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Y:\21-April-26\"/>
    </mc:Choice>
  </mc:AlternateContent>
  <bookViews>
    <workbookView xWindow="0" yWindow="0" windowWidth="2880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NIFTY GRP" sheetId="9" r:id="rId16"/>
    <sheet name="Data Vlaue (Cr)" sheetId="1" r:id="rId17"/>
    <sheet name="Data shares" sheetId="4"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7">'Data shares'!$A$1:$FA$220</definedName>
    <definedName name="Expry_Roll___20" localSheetId="15">'NIFTY GRP'!$A$1:$EY$51</definedName>
    <definedName name="fii" localSheetId="18">FII!$A$1:$N$16</definedName>
    <definedName name="_xlnm.Print_Area" localSheetId="14">Disclaimar!$A$1:$A$24</definedName>
    <definedName name="stats__2" localSheetId="16">'Data Vlaue (Cr)'!$A$1:$FB$220</definedName>
  </definedNames>
  <calcPr calcId="162913"/>
</workbook>
</file>

<file path=xl/calcChain.xml><?xml version="1.0" encoding="utf-8"?>
<calcChain xmlns="http://schemas.openxmlformats.org/spreadsheetml/2006/main">
  <c r="D224" i="13" l="1"/>
  <c r="G222" i="13"/>
  <c r="F222" i="13"/>
  <c r="D222" i="13"/>
  <c r="C222" i="13"/>
  <c r="B222" i="13"/>
  <c r="F221" i="13"/>
  <c r="B221" i="13"/>
  <c r="D220" i="13"/>
  <c r="F219" i="13"/>
  <c r="B219" i="13"/>
  <c r="D218" i="13"/>
  <c r="F217" i="13"/>
  <c r="B217" i="13"/>
  <c r="A220" i="13"/>
  <c r="G220" i="13" s="1"/>
  <c r="A221" i="13"/>
  <c r="E221" i="13" s="1"/>
  <c r="A222" i="13"/>
  <c r="E222" i="13" s="1"/>
  <c r="A223" i="13"/>
  <c r="E223" i="13" s="1"/>
  <c r="A224" i="13"/>
  <c r="G224" i="13" s="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E217" i="13" s="1"/>
  <c r="A218" i="13"/>
  <c r="G218" i="13" s="1"/>
  <c r="A219" i="13"/>
  <c r="E219" i="13" s="1"/>
  <c r="A9" i="13"/>
  <c r="A8" i="13"/>
  <c r="A7" i="13"/>
  <c r="A6" i="13"/>
  <c r="B223" i="13" l="1"/>
  <c r="F223" i="13"/>
  <c r="C217" i="13"/>
  <c r="G217" i="13"/>
  <c r="E218" i="13"/>
  <c r="C219" i="13"/>
  <c r="G219" i="13"/>
  <c r="E220" i="13"/>
  <c r="C221" i="13"/>
  <c r="G221" i="13"/>
  <c r="C223" i="13"/>
  <c r="G223" i="13"/>
  <c r="E224" i="13"/>
  <c r="D217" i="13"/>
  <c r="B218" i="13"/>
  <c r="F218" i="13"/>
  <c r="D219" i="13"/>
  <c r="B220" i="13"/>
  <c r="F220" i="13"/>
  <c r="D221" i="13"/>
  <c r="D223" i="13"/>
  <c r="B224" i="13"/>
  <c r="F224" i="13"/>
  <c r="C218" i="13"/>
  <c r="C220" i="13"/>
  <c r="C224" i="13"/>
  <c r="F76" i="18"/>
  <c r="F109" i="18"/>
  <c r="F213" i="18"/>
  <c r="F45" i="18"/>
  <c r="E45" i="18"/>
  <c r="E213" i="18"/>
  <c r="E109" i="18"/>
  <c r="E76" i="18"/>
  <c r="E222" i="14"/>
  <c r="A222" i="14"/>
  <c r="A223" i="14"/>
  <c r="C223" i="14" s="1"/>
  <c r="A224" i="14"/>
  <c r="E224" i="14" s="1"/>
  <c r="A225" i="14"/>
  <c r="E225" i="14" s="1"/>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C219" i="14" s="1"/>
  <c r="A220" i="14"/>
  <c r="F220" i="14" s="1"/>
  <c r="A221" i="14"/>
  <c r="E221" i="14" s="1"/>
  <c r="A9" i="14"/>
  <c r="A8" i="14"/>
  <c r="A7" i="14"/>
  <c r="A221" i="3"/>
  <c r="Q221" i="3" s="1"/>
  <c r="A222" i="3"/>
  <c r="Q222" i="3" s="1"/>
  <c r="A223" i="3"/>
  <c r="A224" i="3"/>
  <c r="O224" i="3" s="1"/>
  <c r="A225" i="3"/>
  <c r="P225" i="3" s="1"/>
  <c r="A225" i="2"/>
  <c r="A226" i="2"/>
  <c r="A227" i="2"/>
  <c r="P227" i="2" s="1"/>
  <c r="A228" i="2"/>
  <c r="Q228" i="2" s="1"/>
  <c r="A229" i="2"/>
  <c r="F224" i="12"/>
  <c r="F219" i="12"/>
  <c r="A222" i="12"/>
  <c r="J222" i="12" s="1"/>
  <c r="A223" i="12"/>
  <c r="D223" i="12" s="1"/>
  <c r="A224" i="12"/>
  <c r="D224" i="12" s="1"/>
  <c r="A225" i="12"/>
  <c r="H225" i="12" s="1"/>
  <c r="A215" i="12"/>
  <c r="A216" i="12"/>
  <c r="A217" i="12"/>
  <c r="A218" i="12"/>
  <c r="A219" i="12"/>
  <c r="D219" i="12" s="1"/>
  <c r="A220" i="12"/>
  <c r="B220" i="12" s="1"/>
  <c r="A221" i="12"/>
  <c r="D221" i="12" s="1"/>
  <c r="E21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I218" i="11" s="1"/>
  <c r="A219" i="11"/>
  <c r="N219" i="11" s="1"/>
  <c r="A220" i="11"/>
  <c r="E220" i="11" s="1"/>
  <c r="A221" i="11"/>
  <c r="N221" i="11" s="1"/>
  <c r="A222" i="11"/>
  <c r="M222" i="11" s="1"/>
  <c r="A223" i="11"/>
  <c r="N223" i="11" s="1"/>
  <c r="A224" i="11"/>
  <c r="M224" i="11" s="1"/>
  <c r="A225" i="11"/>
  <c r="N225" i="11" s="1"/>
  <c r="A9" i="11"/>
  <c r="A8" i="11"/>
  <c r="A7" i="11"/>
  <c r="D224"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N218" i="10" s="1"/>
  <c r="A219" i="10"/>
  <c r="L219" i="10" s="1"/>
  <c r="A220" i="10"/>
  <c r="G220" i="10" s="1"/>
  <c r="A221" i="10"/>
  <c r="A222" i="10"/>
  <c r="L222" i="10" s="1"/>
  <c r="A223" i="10"/>
  <c r="L223" i="10" s="1"/>
  <c r="A224" i="10"/>
  <c r="L224" i="10" s="1"/>
  <c r="A225" i="10"/>
  <c r="A10" i="10"/>
  <c r="A9" i="10"/>
  <c r="A8" i="10"/>
  <c r="A7" i="10"/>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10" i="8"/>
  <c r="A9" i="8"/>
  <c r="A8" i="8"/>
  <c r="A7" i="8"/>
  <c r="L225" i="6"/>
  <c r="D225" i="6"/>
  <c r="A225" i="6"/>
  <c r="M225" i="6" s="1"/>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L218" i="6" s="1"/>
  <c r="A219" i="6"/>
  <c r="N219" i="6" s="1"/>
  <c r="A220" i="6"/>
  <c r="L220" i="6" s="1"/>
  <c r="A221" i="6"/>
  <c r="G221" i="6" s="1"/>
  <c r="A222" i="6"/>
  <c r="L222" i="6" s="1"/>
  <c r="A223" i="6"/>
  <c r="N223" i="6" s="1"/>
  <c r="A224" i="6"/>
  <c r="L224" i="6" s="1"/>
  <c r="A10" i="6"/>
  <c r="A9" i="6"/>
  <c r="A8" i="6"/>
  <c r="A7" i="6"/>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I218" i="7" s="1"/>
  <c r="A219" i="7"/>
  <c r="I219" i="7" s="1"/>
  <c r="A220" i="7"/>
  <c r="I220" i="7" s="1"/>
  <c r="A221" i="7"/>
  <c r="A222" i="7"/>
  <c r="I222" i="7" s="1"/>
  <c r="A223" i="7"/>
  <c r="I223" i="7" s="1"/>
  <c r="A224" i="7"/>
  <c r="I224" i="7" s="1"/>
  <c r="A225" i="7"/>
  <c r="G225" i="7" s="1"/>
  <c r="A10" i="7"/>
  <c r="A9" i="7"/>
  <c r="A8" i="7"/>
  <c r="A7" i="7"/>
  <c r="O225" i="3"/>
  <c r="I225" i="3"/>
  <c r="B225" i="3"/>
  <c r="Q223" i="3"/>
  <c r="P223" i="3"/>
  <c r="O223" i="3"/>
  <c r="N223" i="3"/>
  <c r="M223" i="3"/>
  <c r="L223" i="3"/>
  <c r="J223" i="3"/>
  <c r="I223" i="3"/>
  <c r="G223" i="3"/>
  <c r="F223" i="3"/>
  <c r="D223" i="3"/>
  <c r="C223" i="3"/>
  <c r="B223" i="3"/>
  <c r="N222" i="3"/>
  <c r="C222" i="3"/>
  <c r="N221" i="3"/>
  <c r="I221" i="3"/>
  <c r="C221"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P218" i="3" s="1"/>
  <c r="A219" i="3"/>
  <c r="O219" i="3" s="1"/>
  <c r="A220" i="3"/>
  <c r="N220" i="3" s="1"/>
  <c r="A12" i="3"/>
  <c r="A13" i="3"/>
  <c r="A11" i="3"/>
  <c r="A10" i="3"/>
  <c r="A9" i="3"/>
  <c r="A8" i="3"/>
  <c r="A7" i="3"/>
  <c r="S229" i="2"/>
  <c r="R229" i="2"/>
  <c r="Q229" i="2"/>
  <c r="P229" i="2"/>
  <c r="M229" i="2"/>
  <c r="L229" i="2"/>
  <c r="I229" i="2"/>
  <c r="H229" i="2"/>
  <c r="E229" i="2"/>
  <c r="D229" i="2"/>
  <c r="C229" i="2"/>
  <c r="B229" i="2"/>
  <c r="R228" i="2"/>
  <c r="Q227" i="2"/>
  <c r="C227" i="2"/>
  <c r="S226" i="2"/>
  <c r="R226" i="2"/>
  <c r="Q226" i="2"/>
  <c r="P226" i="2"/>
  <c r="M226" i="2"/>
  <c r="L226" i="2"/>
  <c r="I226" i="2"/>
  <c r="H226" i="2"/>
  <c r="E226" i="2"/>
  <c r="D226" i="2"/>
  <c r="C226" i="2"/>
  <c r="B226" i="2"/>
  <c r="S225" i="2"/>
  <c r="R225" i="2"/>
  <c r="Q225" i="2"/>
  <c r="P225" i="2"/>
  <c r="M225" i="2"/>
  <c r="L225" i="2"/>
  <c r="I225" i="2"/>
  <c r="H225" i="2"/>
  <c r="J225" i="2" s="1"/>
  <c r="K225" i="2" s="1"/>
  <c r="E225" i="2"/>
  <c r="D225" i="2"/>
  <c r="C225" i="2"/>
  <c r="B22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R222" i="2" s="1"/>
  <c r="A223" i="2"/>
  <c r="R223" i="2" s="1"/>
  <c r="A224" i="2"/>
  <c r="S224" i="2" s="1"/>
  <c r="A15" i="2"/>
  <c r="A14" i="2"/>
  <c r="A13" i="2"/>
  <c r="A12" i="2"/>
  <c r="A11" i="2"/>
  <c r="G223" i="6" l="1"/>
  <c r="D227" i="2"/>
  <c r="R227" i="2"/>
  <c r="M218" i="6"/>
  <c r="G218" i="10"/>
  <c r="F221" i="12"/>
  <c r="H224" i="12"/>
  <c r="B224" i="14"/>
  <c r="G224" i="14" s="1"/>
  <c r="S222" i="2"/>
  <c r="G225" i="2"/>
  <c r="N225" i="2"/>
  <c r="O225" i="2" s="1"/>
  <c r="G226" i="2"/>
  <c r="I227" i="2"/>
  <c r="M222" i="7"/>
  <c r="O219" i="6"/>
  <c r="I219" i="10"/>
  <c r="O221" i="11"/>
  <c r="H221" i="12"/>
  <c r="C224" i="14"/>
  <c r="G225" i="11"/>
  <c r="E224" i="2"/>
  <c r="L227" i="2"/>
  <c r="P224" i="3"/>
  <c r="E222" i="6"/>
  <c r="L220" i="10"/>
  <c r="K223" i="11"/>
  <c r="D222" i="12"/>
  <c r="D219" i="14"/>
  <c r="D224" i="14"/>
  <c r="E223" i="2"/>
  <c r="P224" i="2"/>
  <c r="C228" i="2"/>
  <c r="D221" i="3"/>
  <c r="E221" i="3" s="1"/>
  <c r="J221" i="3"/>
  <c r="O221" i="3"/>
  <c r="C225" i="3"/>
  <c r="J225" i="3"/>
  <c r="K225" i="3" s="1"/>
  <c r="Q225" i="3"/>
  <c r="C218" i="7"/>
  <c r="O219" i="7"/>
  <c r="G223" i="7"/>
  <c r="C219" i="6"/>
  <c r="E220" i="6"/>
  <c r="I222" i="6"/>
  <c r="K223" i="6"/>
  <c r="N223" i="12" s="1"/>
  <c r="M224" i="6"/>
  <c r="F225" i="6"/>
  <c r="N225" i="6"/>
  <c r="K218" i="10"/>
  <c r="M219" i="10"/>
  <c r="H222" i="10"/>
  <c r="E218" i="11"/>
  <c r="G219" i="11"/>
  <c r="C221" i="11"/>
  <c r="I222" i="11"/>
  <c r="O223" i="11"/>
  <c r="K225" i="11"/>
  <c r="H219" i="12"/>
  <c r="J220" i="12"/>
  <c r="F222" i="12"/>
  <c r="H223" i="12"/>
  <c r="C220" i="14"/>
  <c r="D223" i="14"/>
  <c r="F224" i="14"/>
  <c r="D222" i="2"/>
  <c r="M223" i="2"/>
  <c r="F226" i="2"/>
  <c r="H228" i="2"/>
  <c r="F221" i="3"/>
  <c r="L221" i="3"/>
  <c r="P221" i="3"/>
  <c r="D225" i="3"/>
  <c r="M225" i="3"/>
  <c r="G218" i="7"/>
  <c r="O223" i="7"/>
  <c r="E218" i="6"/>
  <c r="G219" i="6"/>
  <c r="I220" i="6"/>
  <c r="M222" i="6"/>
  <c r="O223" i="6"/>
  <c r="H225" i="6"/>
  <c r="O218" i="10"/>
  <c r="C220" i="10"/>
  <c r="B223" i="10"/>
  <c r="M218" i="11"/>
  <c r="K219" i="11"/>
  <c r="G221" i="11"/>
  <c r="C223" i="11"/>
  <c r="O225" i="11"/>
  <c r="B219" i="12"/>
  <c r="J219" i="12"/>
  <c r="B221" i="12"/>
  <c r="J221" i="12"/>
  <c r="H222" i="12"/>
  <c r="B224" i="12"/>
  <c r="J224" i="12"/>
  <c r="B221" i="14"/>
  <c r="G221" i="14" s="1"/>
  <c r="B225" i="14"/>
  <c r="G225" i="14" s="1"/>
  <c r="G219" i="7"/>
  <c r="I224" i="6"/>
  <c r="M224" i="12" s="1"/>
  <c r="F220" i="12"/>
  <c r="I222" i="2"/>
  <c r="S223" i="2"/>
  <c r="M228" i="2"/>
  <c r="B221" i="3"/>
  <c r="G221" i="3"/>
  <c r="M221" i="3"/>
  <c r="G225" i="3"/>
  <c r="N225" i="3"/>
  <c r="M218" i="7"/>
  <c r="E222" i="7"/>
  <c r="I218" i="6"/>
  <c r="M218" i="12" s="1"/>
  <c r="K219" i="6"/>
  <c r="M220" i="6"/>
  <c r="C223" i="6"/>
  <c r="E224" i="6"/>
  <c r="B225" i="6"/>
  <c r="J225" i="6"/>
  <c r="C218" i="10"/>
  <c r="E219" i="10"/>
  <c r="J223" i="10"/>
  <c r="C219" i="11"/>
  <c r="O219" i="11"/>
  <c r="K221" i="11"/>
  <c r="G223" i="11"/>
  <c r="C225" i="11"/>
  <c r="B222" i="12"/>
  <c r="F221" i="14"/>
  <c r="F225" i="14"/>
  <c r="N221" i="7"/>
  <c r="J221" i="7"/>
  <c r="F221" i="7"/>
  <c r="B221" i="7"/>
  <c r="L221" i="7"/>
  <c r="H221" i="7"/>
  <c r="D221" i="7"/>
  <c r="O225" i="7"/>
  <c r="N217" i="6"/>
  <c r="J217" i="6"/>
  <c r="F217" i="6"/>
  <c r="B217" i="6"/>
  <c r="M217" i="6"/>
  <c r="I217" i="6"/>
  <c r="E217" i="6"/>
  <c r="L217" i="6"/>
  <c r="H217" i="6"/>
  <c r="D217" i="6"/>
  <c r="E222" i="2"/>
  <c r="P222" i="2"/>
  <c r="B223" i="2"/>
  <c r="H223" i="2"/>
  <c r="P223" i="2"/>
  <c r="B224" i="2"/>
  <c r="L224" i="2"/>
  <c r="Q224" i="2"/>
  <c r="J226" i="2"/>
  <c r="K226" i="2" s="1"/>
  <c r="G229" i="2"/>
  <c r="N229" i="2"/>
  <c r="O229" i="2" s="1"/>
  <c r="L224" i="7"/>
  <c r="H224" i="7"/>
  <c r="D224" i="7"/>
  <c r="N224" i="7"/>
  <c r="J224" i="7"/>
  <c r="F224" i="7"/>
  <c r="B224" i="7"/>
  <c r="L220" i="7"/>
  <c r="H220" i="7"/>
  <c r="D220" i="7"/>
  <c r="N220" i="7"/>
  <c r="J220" i="7"/>
  <c r="F220" i="7"/>
  <c r="B220" i="7"/>
  <c r="D218" i="7"/>
  <c r="H218" i="7"/>
  <c r="O218" i="7"/>
  <c r="C220" i="7"/>
  <c r="K220" i="7"/>
  <c r="E221" i="7"/>
  <c r="M221" i="7"/>
  <c r="G222" i="7"/>
  <c r="O222" i="7"/>
  <c r="C224" i="7"/>
  <c r="K224" i="7"/>
  <c r="E225" i="7"/>
  <c r="K217" i="6"/>
  <c r="C221" i="6"/>
  <c r="M225" i="10"/>
  <c r="I225" i="10"/>
  <c r="E225" i="10"/>
  <c r="O225" i="10"/>
  <c r="K225" i="10"/>
  <c r="G225" i="10"/>
  <c r="C225" i="10"/>
  <c r="L225" i="10"/>
  <c r="D225" i="10"/>
  <c r="J225" i="10"/>
  <c r="B225" i="10"/>
  <c r="H225" i="10"/>
  <c r="M221" i="10"/>
  <c r="I221" i="10"/>
  <c r="E221" i="10"/>
  <c r="O221" i="10"/>
  <c r="K221" i="10"/>
  <c r="G221" i="10"/>
  <c r="C221" i="10"/>
  <c r="L221" i="10"/>
  <c r="D221" i="10"/>
  <c r="J221" i="10"/>
  <c r="B221" i="10"/>
  <c r="H221" i="10"/>
  <c r="F225" i="10"/>
  <c r="C221" i="7"/>
  <c r="K221" i="7"/>
  <c r="G217" i="6"/>
  <c r="O221" i="6"/>
  <c r="B222" i="2"/>
  <c r="L222" i="2"/>
  <c r="Q222" i="2"/>
  <c r="C223" i="2"/>
  <c r="I223" i="2"/>
  <c r="Q223" i="2"/>
  <c r="C224" i="2"/>
  <c r="H224" i="2"/>
  <c r="M224" i="2"/>
  <c r="R224" i="2"/>
  <c r="N223" i="7"/>
  <c r="J223" i="7"/>
  <c r="F223" i="7"/>
  <c r="B223" i="7"/>
  <c r="L223" i="7"/>
  <c r="H223" i="7"/>
  <c r="D223" i="7"/>
  <c r="N219" i="7"/>
  <c r="J219" i="7"/>
  <c r="F219" i="7"/>
  <c r="B219" i="7"/>
  <c r="L219" i="7"/>
  <c r="H219" i="7"/>
  <c r="D219" i="7"/>
  <c r="E218" i="7"/>
  <c r="C219" i="7"/>
  <c r="K219" i="7"/>
  <c r="E220" i="7"/>
  <c r="M220" i="7"/>
  <c r="G221" i="7"/>
  <c r="O221" i="7"/>
  <c r="C223" i="7"/>
  <c r="K223" i="7"/>
  <c r="E224" i="7"/>
  <c r="M224" i="7"/>
  <c r="O217" i="6"/>
  <c r="F221" i="10"/>
  <c r="N225" i="10"/>
  <c r="N225" i="7"/>
  <c r="J225" i="7"/>
  <c r="F225" i="7"/>
  <c r="B225" i="7"/>
  <c r="M225" i="7"/>
  <c r="I225" i="7"/>
  <c r="L225" i="7"/>
  <c r="H225" i="7"/>
  <c r="D225" i="7"/>
  <c r="C225" i="7"/>
  <c r="N221" i="6"/>
  <c r="J221" i="6"/>
  <c r="F221" i="6"/>
  <c r="B221" i="6"/>
  <c r="M221" i="6"/>
  <c r="I221" i="6"/>
  <c r="E221" i="6"/>
  <c r="L221" i="6"/>
  <c r="O221" i="12" s="1"/>
  <c r="H221" i="6"/>
  <c r="L221" i="12" s="1"/>
  <c r="D221" i="6"/>
  <c r="C222" i="2"/>
  <c r="H222" i="2"/>
  <c r="J222" i="2" s="1"/>
  <c r="K222" i="2" s="1"/>
  <c r="M222" i="2"/>
  <c r="D223" i="2"/>
  <c r="G223" i="2" s="1"/>
  <c r="L223" i="2"/>
  <c r="N223" i="2" s="1"/>
  <c r="O223" i="2" s="1"/>
  <c r="D224" i="2"/>
  <c r="I224" i="2"/>
  <c r="N226" i="2"/>
  <c r="O226" i="2" s="1"/>
  <c r="J229" i="2"/>
  <c r="K229" i="2" s="1"/>
  <c r="L222" i="7"/>
  <c r="H222" i="7"/>
  <c r="D222" i="7"/>
  <c r="N222" i="7"/>
  <c r="J222" i="7"/>
  <c r="F222" i="7"/>
  <c r="B222" i="7"/>
  <c r="L218" i="7"/>
  <c r="N218" i="7"/>
  <c r="J218" i="7"/>
  <c r="B218" i="7"/>
  <c r="F218" i="7"/>
  <c r="K218" i="7"/>
  <c r="E219" i="7"/>
  <c r="M219" i="7"/>
  <c r="G220" i="7"/>
  <c r="O220" i="7"/>
  <c r="I221" i="7"/>
  <c r="C222" i="7"/>
  <c r="K222" i="7"/>
  <c r="E223" i="7"/>
  <c r="M223" i="7"/>
  <c r="G224" i="7"/>
  <c r="O224" i="7"/>
  <c r="K225" i="7"/>
  <c r="C217" i="6"/>
  <c r="K221" i="6"/>
  <c r="N221" i="12" s="1"/>
  <c r="N221" i="10"/>
  <c r="I218" i="12"/>
  <c r="E218" i="12"/>
  <c r="H218" i="12"/>
  <c r="D218" i="12"/>
  <c r="O218" i="12"/>
  <c r="K218" i="12"/>
  <c r="G218" i="12"/>
  <c r="C218" i="12"/>
  <c r="J218" i="12"/>
  <c r="F218" i="12"/>
  <c r="O225" i="12"/>
  <c r="K225" i="12"/>
  <c r="G225" i="12"/>
  <c r="C225" i="12"/>
  <c r="J225" i="12"/>
  <c r="F225" i="12"/>
  <c r="B225" i="12"/>
  <c r="I225" i="12"/>
  <c r="E225" i="12"/>
  <c r="D225" i="12"/>
  <c r="L225" i="12"/>
  <c r="B218" i="12"/>
  <c r="N219" i="12"/>
  <c r="B218" i="6"/>
  <c r="F218" i="6"/>
  <c r="J218" i="6"/>
  <c r="N218" i="6"/>
  <c r="D219" i="6"/>
  <c r="H219" i="6"/>
  <c r="L219" i="12" s="1"/>
  <c r="L219" i="6"/>
  <c r="B220" i="6"/>
  <c r="F220" i="6"/>
  <c r="J220" i="6"/>
  <c r="N220" i="6"/>
  <c r="B222" i="6"/>
  <c r="F222" i="6"/>
  <c r="J222" i="6"/>
  <c r="N222" i="6"/>
  <c r="D223" i="6"/>
  <c r="H223" i="6"/>
  <c r="L223" i="12" s="1"/>
  <c r="L223" i="6"/>
  <c r="O223" i="12" s="1"/>
  <c r="B224" i="6"/>
  <c r="F224" i="6"/>
  <c r="J224" i="6"/>
  <c r="N224" i="6"/>
  <c r="C225" i="6"/>
  <c r="G225" i="6"/>
  <c r="K225" i="6"/>
  <c r="N225" i="12" s="1"/>
  <c r="O225" i="6"/>
  <c r="O224" i="10"/>
  <c r="K224" i="10"/>
  <c r="G224" i="10"/>
  <c r="C224" i="10"/>
  <c r="M224" i="10"/>
  <c r="I224" i="10"/>
  <c r="E224" i="10"/>
  <c r="O220" i="10"/>
  <c r="K220" i="10"/>
  <c r="M220" i="10"/>
  <c r="D218" i="10"/>
  <c r="H218" i="10"/>
  <c r="L218" i="10"/>
  <c r="B219" i="10"/>
  <c r="F219" i="10"/>
  <c r="J219" i="10"/>
  <c r="N219" i="10"/>
  <c r="D220" i="10"/>
  <c r="H220" i="10"/>
  <c r="N220" i="10"/>
  <c r="B222" i="10"/>
  <c r="J222" i="10"/>
  <c r="D223" i="10"/>
  <c r="F224" i="10"/>
  <c r="N224" i="10"/>
  <c r="L224" i="11"/>
  <c r="H224" i="11"/>
  <c r="D224" i="11"/>
  <c r="O224" i="11"/>
  <c r="K224" i="11"/>
  <c r="G224" i="11"/>
  <c r="C224" i="11"/>
  <c r="N224" i="11"/>
  <c r="J224" i="11"/>
  <c r="F224" i="11"/>
  <c r="B224" i="11"/>
  <c r="L220" i="11"/>
  <c r="H220" i="11"/>
  <c r="D220" i="11"/>
  <c r="O220" i="11"/>
  <c r="K220" i="11"/>
  <c r="G220" i="11"/>
  <c r="C220" i="11"/>
  <c r="N220" i="11"/>
  <c r="J220" i="11"/>
  <c r="F220" i="11"/>
  <c r="B220" i="11"/>
  <c r="I220" i="11"/>
  <c r="N220" i="12"/>
  <c r="C218" i="6"/>
  <c r="G218" i="6"/>
  <c r="K218" i="6"/>
  <c r="N218" i="12" s="1"/>
  <c r="O218" i="6"/>
  <c r="E219" i="6"/>
  <c r="I219" i="6"/>
  <c r="M219" i="12" s="1"/>
  <c r="M219" i="6"/>
  <c r="C220" i="6"/>
  <c r="G220" i="6"/>
  <c r="K220" i="6"/>
  <c r="O220" i="6"/>
  <c r="C222" i="6"/>
  <c r="G222" i="6"/>
  <c r="K222" i="6"/>
  <c r="N222" i="12" s="1"/>
  <c r="O222" i="6"/>
  <c r="E223" i="6"/>
  <c r="I223" i="6"/>
  <c r="M223" i="6"/>
  <c r="C224" i="6"/>
  <c r="G224" i="6"/>
  <c r="K224" i="6"/>
  <c r="N224" i="12" s="1"/>
  <c r="O224" i="6"/>
  <c r="M223" i="10"/>
  <c r="I223" i="10"/>
  <c r="E223" i="10"/>
  <c r="O223" i="10"/>
  <c r="K223" i="10"/>
  <c r="G223" i="10"/>
  <c r="C223" i="10"/>
  <c r="E218" i="10"/>
  <c r="I218" i="10"/>
  <c r="M218" i="10"/>
  <c r="C219" i="10"/>
  <c r="G219" i="10"/>
  <c r="K219" i="10"/>
  <c r="O219" i="10"/>
  <c r="E220" i="10"/>
  <c r="I220" i="10"/>
  <c r="D222" i="10"/>
  <c r="F223" i="10"/>
  <c r="N223" i="10"/>
  <c r="H224" i="10"/>
  <c r="M220" i="11"/>
  <c r="E224" i="11"/>
  <c r="M220" i="12"/>
  <c r="D218" i="14"/>
  <c r="C218" i="14"/>
  <c r="F218" i="14"/>
  <c r="B218" i="14"/>
  <c r="D222" i="14"/>
  <c r="C222" i="14"/>
  <c r="F222" i="14"/>
  <c r="B222" i="14"/>
  <c r="G222" i="14" s="1"/>
  <c r="D218" i="6"/>
  <c r="H218" i="6"/>
  <c r="L218" i="12" s="1"/>
  <c r="B219" i="6"/>
  <c r="F219" i="6"/>
  <c r="J219" i="6"/>
  <c r="D220" i="6"/>
  <c r="H220" i="6"/>
  <c r="D222" i="6"/>
  <c r="H222" i="6"/>
  <c r="L222" i="12" s="1"/>
  <c r="B223" i="6"/>
  <c r="F223" i="6"/>
  <c r="J223" i="6"/>
  <c r="D224" i="6"/>
  <c r="H224" i="6"/>
  <c r="L224" i="12" s="1"/>
  <c r="E225" i="6"/>
  <c r="I225" i="6"/>
  <c r="M225" i="12" s="1"/>
  <c r="O222" i="10"/>
  <c r="K222" i="10"/>
  <c r="G222" i="10"/>
  <c r="C222" i="10"/>
  <c r="M222" i="10"/>
  <c r="I222" i="10"/>
  <c r="E222" i="10"/>
  <c r="B218" i="10"/>
  <c r="F218" i="10"/>
  <c r="J218" i="10"/>
  <c r="D219" i="10"/>
  <c r="H219" i="10"/>
  <c r="B220" i="10"/>
  <c r="F220" i="10"/>
  <c r="J220" i="10"/>
  <c r="F222" i="10"/>
  <c r="N222" i="10"/>
  <c r="H223" i="10"/>
  <c r="B224" i="10"/>
  <c r="J224" i="10"/>
  <c r="L222" i="11"/>
  <c r="H222" i="11"/>
  <c r="D222" i="11"/>
  <c r="O222" i="11"/>
  <c r="K222" i="11"/>
  <c r="G222" i="11"/>
  <c r="C222" i="11"/>
  <c r="N222" i="11"/>
  <c r="J222" i="11"/>
  <c r="F222" i="11"/>
  <c r="B222" i="11"/>
  <c r="L218" i="11"/>
  <c r="H218" i="11"/>
  <c r="D218" i="11"/>
  <c r="O218" i="11"/>
  <c r="K218" i="11"/>
  <c r="G218" i="11"/>
  <c r="C218" i="11"/>
  <c r="N218" i="11"/>
  <c r="J218" i="11"/>
  <c r="F218" i="11"/>
  <c r="B218" i="11"/>
  <c r="E222" i="11"/>
  <c r="I224" i="11"/>
  <c r="O219" i="12"/>
  <c r="M222" i="12"/>
  <c r="E218" i="14"/>
  <c r="D219" i="11"/>
  <c r="H219" i="11"/>
  <c r="L219" i="11"/>
  <c r="D221" i="11"/>
  <c r="H221" i="11"/>
  <c r="L221" i="11"/>
  <c r="D223" i="11"/>
  <c r="H223" i="11"/>
  <c r="L223" i="11"/>
  <c r="D225" i="11"/>
  <c r="H225" i="11"/>
  <c r="L225" i="11"/>
  <c r="E219" i="12"/>
  <c r="I219" i="12"/>
  <c r="C220" i="12"/>
  <c r="G220" i="12"/>
  <c r="K220" i="12"/>
  <c r="O220" i="12"/>
  <c r="E221" i="12"/>
  <c r="I221" i="12"/>
  <c r="M221" i="12"/>
  <c r="C222" i="12"/>
  <c r="G222" i="12"/>
  <c r="K222" i="12"/>
  <c r="O222" i="12"/>
  <c r="E223" i="12"/>
  <c r="I223" i="12"/>
  <c r="M223" i="12"/>
  <c r="C224" i="12"/>
  <c r="G224" i="12"/>
  <c r="K224" i="12"/>
  <c r="O224" i="12"/>
  <c r="E219" i="14"/>
  <c r="D220" i="14"/>
  <c r="C221" i="14"/>
  <c r="E223" i="14"/>
  <c r="C225" i="14"/>
  <c r="I219" i="11"/>
  <c r="M219" i="11"/>
  <c r="E221" i="11"/>
  <c r="I221" i="11"/>
  <c r="M221" i="11"/>
  <c r="E223" i="11"/>
  <c r="I223" i="11"/>
  <c r="M223" i="11"/>
  <c r="E225" i="11"/>
  <c r="I225" i="11"/>
  <c r="M225" i="11"/>
  <c r="D220" i="12"/>
  <c r="H220" i="12"/>
  <c r="L220" i="12"/>
  <c r="B223" i="12"/>
  <c r="F223" i="12"/>
  <c r="J223" i="12"/>
  <c r="B219" i="14"/>
  <c r="F219" i="14"/>
  <c r="E220" i="14"/>
  <c r="D221" i="14"/>
  <c r="B223" i="14"/>
  <c r="F223" i="14"/>
  <c r="D225" i="14"/>
  <c r="B219" i="11"/>
  <c r="F219" i="11"/>
  <c r="J219" i="11"/>
  <c r="B221" i="11"/>
  <c r="F221" i="11"/>
  <c r="J221" i="11"/>
  <c r="B223" i="11"/>
  <c r="F223" i="11"/>
  <c r="J223" i="11"/>
  <c r="B225" i="11"/>
  <c r="F225" i="11"/>
  <c r="J225" i="11"/>
  <c r="C219" i="12"/>
  <c r="G219" i="12"/>
  <c r="K219" i="12"/>
  <c r="E220" i="12"/>
  <c r="I220" i="12"/>
  <c r="C221" i="12"/>
  <c r="G221" i="12"/>
  <c r="K221" i="12"/>
  <c r="E222" i="12"/>
  <c r="I222" i="12"/>
  <c r="C223" i="12"/>
  <c r="G223" i="12"/>
  <c r="K223" i="12"/>
  <c r="E224" i="12"/>
  <c r="I224" i="12"/>
  <c r="B220" i="14"/>
  <c r="G220" i="14" s="1"/>
  <c r="I222" i="3"/>
  <c r="L219" i="3"/>
  <c r="D220" i="3"/>
  <c r="B218" i="3"/>
  <c r="F219" i="3"/>
  <c r="J220" i="3"/>
  <c r="F222" i="3"/>
  <c r="P222" i="3"/>
  <c r="Q218" i="3"/>
  <c r="G218" i="3"/>
  <c r="O220" i="3"/>
  <c r="M218" i="3"/>
  <c r="P219" i="3"/>
  <c r="L222" i="3"/>
  <c r="F224" i="3"/>
  <c r="C218" i="3"/>
  <c r="I218" i="3"/>
  <c r="N218" i="3"/>
  <c r="B219" i="3"/>
  <c r="G219" i="3"/>
  <c r="M219" i="3"/>
  <c r="Q219" i="3"/>
  <c r="F220" i="3"/>
  <c r="L220" i="3"/>
  <c r="P220" i="3"/>
  <c r="I224" i="3"/>
  <c r="D218" i="3"/>
  <c r="J218" i="3"/>
  <c r="O218" i="3"/>
  <c r="C219" i="3"/>
  <c r="I219" i="3"/>
  <c r="N219" i="3"/>
  <c r="B220" i="3"/>
  <c r="G220" i="3"/>
  <c r="M220" i="3"/>
  <c r="Q220" i="3"/>
  <c r="L224" i="3"/>
  <c r="F218" i="3"/>
  <c r="H218" i="3" s="1"/>
  <c r="L218" i="3"/>
  <c r="D219" i="3"/>
  <c r="J219" i="3"/>
  <c r="C220" i="3"/>
  <c r="I220" i="3"/>
  <c r="C224" i="3"/>
  <c r="N224" i="3"/>
  <c r="D222" i="3"/>
  <c r="E222" i="3" s="1"/>
  <c r="J222" i="3"/>
  <c r="O222" i="3"/>
  <c r="E223" i="3"/>
  <c r="K223" i="3"/>
  <c r="B224" i="3"/>
  <c r="G224" i="3"/>
  <c r="M224" i="3"/>
  <c r="Q224" i="3"/>
  <c r="F225" i="3"/>
  <c r="L225" i="3"/>
  <c r="K221" i="3"/>
  <c r="B222" i="3"/>
  <c r="G222" i="3"/>
  <c r="M222" i="3"/>
  <c r="H223" i="3"/>
  <c r="D224" i="3"/>
  <c r="J224" i="3"/>
  <c r="I228" i="2"/>
  <c r="J228" i="2" s="1"/>
  <c r="K228" i="2" s="1"/>
  <c r="S228" i="2"/>
  <c r="E227" i="2"/>
  <c r="G227" i="2" s="1"/>
  <c r="M227" i="2"/>
  <c r="N227" i="2" s="1"/>
  <c r="O227" i="2" s="1"/>
  <c r="S227" i="2"/>
  <c r="E228" i="2"/>
  <c r="D228" i="2"/>
  <c r="P228" i="2"/>
  <c r="B227" i="2"/>
  <c r="H227" i="2"/>
  <c r="J227" i="2" s="1"/>
  <c r="K227" i="2" s="1"/>
  <c r="B228" i="2"/>
  <c r="L228" i="2"/>
  <c r="F223" i="2"/>
  <c r="F225" i="2"/>
  <c r="F227" i="2"/>
  <c r="F229" i="2"/>
  <c r="F6" i="18"/>
  <c r="F78" i="18"/>
  <c r="F92" i="18"/>
  <c r="F71" i="18"/>
  <c r="F178" i="18"/>
  <c r="F169" i="18"/>
  <c r="F62" i="18"/>
  <c r="F44" i="18"/>
  <c r="F37" i="18"/>
  <c r="E225" i="3" l="1"/>
  <c r="G223" i="14"/>
  <c r="E224" i="3"/>
  <c r="N228" i="2"/>
  <c r="O228" i="2" s="1"/>
  <c r="G222" i="2"/>
  <c r="H221" i="3"/>
  <c r="H225" i="3"/>
  <c r="J224" i="2"/>
  <c r="K224" i="2" s="1"/>
  <c r="F222" i="2"/>
  <c r="G218" i="14"/>
  <c r="G219" i="14"/>
  <c r="N222" i="2"/>
  <c r="O222" i="2" s="1"/>
  <c r="J223" i="2"/>
  <c r="K223" i="2" s="1"/>
  <c r="K222" i="3"/>
  <c r="N224" i="2"/>
  <c r="O224" i="2" s="1"/>
  <c r="G224" i="2"/>
  <c r="F224" i="2"/>
  <c r="E220" i="3"/>
  <c r="K224" i="3"/>
  <c r="K219" i="3"/>
  <c r="H219" i="3"/>
  <c r="H220" i="3"/>
  <c r="H222" i="3"/>
  <c r="H224" i="3"/>
  <c r="K220" i="3"/>
  <c r="K218" i="3"/>
  <c r="E219" i="3"/>
  <c r="E218" i="3"/>
  <c r="G228" i="2"/>
  <c r="F228" i="2"/>
  <c r="L4" i="21"/>
  <c r="L3" i="21"/>
  <c r="F48" i="18"/>
  <c r="B215" i="14" l="1"/>
  <c r="C216" i="14"/>
  <c r="D217" i="14"/>
  <c r="B213" i="13"/>
  <c r="B214" i="13"/>
  <c r="D215" i="13"/>
  <c r="B216" i="13"/>
  <c r="A214" i="12"/>
  <c r="B214" i="12" s="1"/>
  <c r="B215" i="12"/>
  <c r="C216" i="12"/>
  <c r="B217" i="12"/>
  <c r="D213" i="11"/>
  <c r="B214" i="11"/>
  <c r="C215" i="11"/>
  <c r="D216" i="11"/>
  <c r="D217" i="11"/>
  <c r="B214" i="10"/>
  <c r="C215" i="10"/>
  <c r="B216" i="10"/>
  <c r="B217" i="10"/>
  <c r="B54" i="8"/>
  <c r="D55" i="8"/>
  <c r="B56" i="8"/>
  <c r="B212" i="6"/>
  <c r="C213" i="6"/>
  <c r="D214" i="6"/>
  <c r="B215" i="6"/>
  <c r="B216" i="6"/>
  <c r="B214" i="7"/>
  <c r="B215" i="7"/>
  <c r="D216" i="7"/>
  <c r="B217" i="7"/>
  <c r="B215" i="2"/>
  <c r="B216" i="2"/>
  <c r="D217" i="2"/>
  <c r="B219" i="2"/>
  <c r="B220" i="2"/>
  <c r="D221" i="2"/>
  <c r="L216" i="10" l="1"/>
  <c r="G215" i="13"/>
  <c r="I216" i="10"/>
  <c r="G216" i="10"/>
  <c r="N216" i="11"/>
  <c r="L215" i="2"/>
  <c r="O216" i="10"/>
  <c r="E216" i="10"/>
  <c r="K217" i="11"/>
  <c r="J216" i="12"/>
  <c r="I214" i="12"/>
  <c r="I216" i="12"/>
  <c r="I214" i="7"/>
  <c r="G216" i="11"/>
  <c r="B216" i="12"/>
  <c r="H214" i="12"/>
  <c r="E216" i="14"/>
  <c r="M215" i="6"/>
  <c r="N215" i="10"/>
  <c r="I215" i="6"/>
  <c r="M215" i="10"/>
  <c r="K216" i="10"/>
  <c r="D216" i="10"/>
  <c r="E215" i="10"/>
  <c r="F217" i="11"/>
  <c r="I214" i="11"/>
  <c r="G213" i="11"/>
  <c r="C214" i="12"/>
  <c r="F215" i="13"/>
  <c r="B216" i="14"/>
  <c r="K213" i="11"/>
  <c r="K214" i="6"/>
  <c r="M215" i="11"/>
  <c r="F213" i="11"/>
  <c r="B215" i="13"/>
  <c r="F217" i="14"/>
  <c r="K216" i="7"/>
  <c r="F214" i="6"/>
  <c r="J215" i="11"/>
  <c r="M213" i="11"/>
  <c r="B213" i="11"/>
  <c r="M218" i="2"/>
  <c r="I217" i="2"/>
  <c r="Q215" i="2"/>
  <c r="E215" i="2"/>
  <c r="M216" i="6"/>
  <c r="E215" i="6"/>
  <c r="M216" i="10"/>
  <c r="H216" i="10"/>
  <c r="C216" i="10"/>
  <c r="I215" i="10"/>
  <c r="M214" i="10"/>
  <c r="N217" i="11"/>
  <c r="I217" i="11"/>
  <c r="C217" i="11"/>
  <c r="O213" i="11"/>
  <c r="J213" i="11"/>
  <c r="E213" i="11"/>
  <c r="G214" i="12"/>
  <c r="C217" i="14"/>
  <c r="S218" i="2"/>
  <c r="S217" i="2"/>
  <c r="I215" i="2"/>
  <c r="O217" i="11"/>
  <c r="J217" i="11"/>
  <c r="E217" i="11"/>
  <c r="E218" i="2"/>
  <c r="E217" i="2"/>
  <c r="G217" i="2" s="1"/>
  <c r="M215" i="2"/>
  <c r="N215" i="2" s="1"/>
  <c r="O215" i="2" s="1"/>
  <c r="D215" i="2"/>
  <c r="F215" i="10"/>
  <c r="I214" i="10"/>
  <c r="M217" i="11"/>
  <c r="G217" i="11"/>
  <c r="B217" i="11"/>
  <c r="M214" i="11"/>
  <c r="N213" i="11"/>
  <c r="I213" i="11"/>
  <c r="C213" i="11"/>
  <c r="D214" i="12"/>
  <c r="I213" i="6"/>
  <c r="L217" i="10"/>
  <c r="Q219" i="2"/>
  <c r="R218" i="2"/>
  <c r="L218" i="2"/>
  <c r="D218" i="2"/>
  <c r="L215" i="6"/>
  <c r="H215" i="6"/>
  <c r="D215" i="6"/>
  <c r="O214" i="6"/>
  <c r="J214" i="6"/>
  <c r="E214" i="6"/>
  <c r="N213" i="6"/>
  <c r="F213" i="6"/>
  <c r="M212" i="6"/>
  <c r="K217" i="10"/>
  <c r="M216" i="11"/>
  <c r="F216" i="11"/>
  <c r="S221" i="2"/>
  <c r="I219" i="2"/>
  <c r="Q218" i="2"/>
  <c r="I218" i="2"/>
  <c r="C218" i="2"/>
  <c r="R217" i="2"/>
  <c r="Q216" i="2"/>
  <c r="F216" i="7"/>
  <c r="H214" i="7"/>
  <c r="O215" i="6"/>
  <c r="K215" i="6"/>
  <c r="G215" i="6"/>
  <c r="C215" i="6"/>
  <c r="N214" i="6"/>
  <c r="I214" i="6"/>
  <c r="C214" i="6"/>
  <c r="M213" i="6"/>
  <c r="E213" i="6"/>
  <c r="I212" i="6"/>
  <c r="G217" i="10"/>
  <c r="N216" i="10"/>
  <c r="J216" i="10"/>
  <c r="F216" i="10"/>
  <c r="J215" i="10"/>
  <c r="B215" i="10"/>
  <c r="E214" i="10"/>
  <c r="K216" i="11"/>
  <c r="C216" i="11"/>
  <c r="F216" i="12"/>
  <c r="I215" i="12"/>
  <c r="E215" i="13"/>
  <c r="B217" i="14"/>
  <c r="P218" i="2"/>
  <c r="H218" i="2"/>
  <c r="B218" i="2"/>
  <c r="B216" i="3"/>
  <c r="N215" i="6"/>
  <c r="J215" i="6"/>
  <c r="F215" i="6"/>
  <c r="M214" i="6"/>
  <c r="G214" i="6"/>
  <c r="B214" i="6"/>
  <c r="J213" i="6"/>
  <c r="B213" i="6"/>
  <c r="E212" i="6"/>
  <c r="E217" i="10"/>
  <c r="I216" i="11"/>
  <c r="B216" i="11"/>
  <c r="E216" i="12"/>
  <c r="E215" i="12"/>
  <c r="C215" i="13"/>
  <c r="J55" i="8"/>
  <c r="F55" i="8"/>
  <c r="E55" i="8"/>
  <c r="B214" i="3"/>
  <c r="I214" i="3"/>
  <c r="Q214" i="3"/>
  <c r="L214" i="3"/>
  <c r="D214" i="3"/>
  <c r="M214" i="3"/>
  <c r="P214" i="3"/>
  <c r="R221" i="2"/>
  <c r="E221" i="2"/>
  <c r="G221" i="2" s="1"/>
  <c r="Q220" i="2"/>
  <c r="P219" i="2"/>
  <c r="H219" i="2"/>
  <c r="Q217" i="2"/>
  <c r="C217" i="2"/>
  <c r="F217" i="2" s="1"/>
  <c r="M216" i="2"/>
  <c r="D213" i="3"/>
  <c r="J211" i="3"/>
  <c r="L217" i="7"/>
  <c r="H217" i="7"/>
  <c r="D217" i="7"/>
  <c r="O216" i="7"/>
  <c r="J216" i="7"/>
  <c r="E216" i="7"/>
  <c r="M215" i="7"/>
  <c r="M214" i="7"/>
  <c r="E214" i="7"/>
  <c r="I216" i="6"/>
  <c r="O217" i="10"/>
  <c r="I217" i="10"/>
  <c r="D217" i="10"/>
  <c r="F215" i="11"/>
  <c r="H217" i="12"/>
  <c r="D217" i="12"/>
  <c r="D216" i="13"/>
  <c r="E213" i="13"/>
  <c r="M217" i="7"/>
  <c r="I217" i="7"/>
  <c r="E217" i="7"/>
  <c r="I217" i="12"/>
  <c r="E217" i="12"/>
  <c r="E216" i="13"/>
  <c r="Q221" i="2"/>
  <c r="C221" i="2"/>
  <c r="F221" i="2" s="1"/>
  <c r="M220" i="2"/>
  <c r="M219" i="2"/>
  <c r="E219" i="2"/>
  <c r="N218" i="2"/>
  <c r="O218" i="2" s="1"/>
  <c r="M217" i="2"/>
  <c r="B217" i="2"/>
  <c r="I216" i="2"/>
  <c r="P215" i="2"/>
  <c r="H215" i="2"/>
  <c r="C217" i="3"/>
  <c r="J215" i="3"/>
  <c r="O217" i="7"/>
  <c r="K217" i="7"/>
  <c r="G217" i="7"/>
  <c r="C217" i="7"/>
  <c r="N216" i="7"/>
  <c r="I216" i="7"/>
  <c r="C216" i="7"/>
  <c r="I215" i="7"/>
  <c r="L214" i="7"/>
  <c r="D214" i="7"/>
  <c r="E216" i="6"/>
  <c r="M217" i="10"/>
  <c r="H217" i="10"/>
  <c r="C217" i="10"/>
  <c r="L217" i="11"/>
  <c r="H217" i="11"/>
  <c r="O216" i="11"/>
  <c r="J216" i="11"/>
  <c r="E216" i="11"/>
  <c r="N215" i="11"/>
  <c r="B215" i="11"/>
  <c r="L213" i="11"/>
  <c r="H213" i="11"/>
  <c r="K217" i="12"/>
  <c r="G217" i="12"/>
  <c r="C217" i="12"/>
  <c r="K214" i="12"/>
  <c r="E214" i="12"/>
  <c r="G216" i="13"/>
  <c r="C216" i="13"/>
  <c r="D213" i="13"/>
  <c r="E217" i="14"/>
  <c r="F216" i="14"/>
  <c r="E215" i="14"/>
  <c r="G215" i="14" s="1"/>
  <c r="I221" i="2"/>
  <c r="M221" i="2"/>
  <c r="B221" i="2"/>
  <c r="L219" i="2"/>
  <c r="D219" i="2"/>
  <c r="E216" i="2"/>
  <c r="N217" i="7"/>
  <c r="J217" i="7"/>
  <c r="F217" i="7"/>
  <c r="M216" i="7"/>
  <c r="G216" i="7"/>
  <c r="B216" i="7"/>
  <c r="E215" i="7"/>
  <c r="J217" i="12"/>
  <c r="F217" i="12"/>
  <c r="F216" i="13"/>
  <c r="E214" i="13"/>
  <c r="I54" i="8"/>
  <c r="E56" i="8"/>
  <c r="I55" i="8"/>
  <c r="C55" i="8"/>
  <c r="H54" i="8"/>
  <c r="I56" i="8"/>
  <c r="H56" i="8"/>
  <c r="D56" i="8"/>
  <c r="G55" i="8"/>
  <c r="B55" i="8"/>
  <c r="E54" i="8"/>
  <c r="D54" i="8"/>
  <c r="D215" i="14"/>
  <c r="D216" i="14"/>
  <c r="C215" i="14"/>
  <c r="F215" i="14"/>
  <c r="D214" i="13"/>
  <c r="G213" i="13"/>
  <c r="C213" i="13"/>
  <c r="G214" i="13"/>
  <c r="C214" i="13"/>
  <c r="F213" i="13"/>
  <c r="F214" i="13"/>
  <c r="H215" i="12"/>
  <c r="D215" i="12"/>
  <c r="H216" i="12"/>
  <c r="D216" i="12"/>
  <c r="K215" i="12"/>
  <c r="G215" i="12"/>
  <c r="C215" i="12"/>
  <c r="J214" i="12"/>
  <c r="F214" i="12"/>
  <c r="K216" i="12"/>
  <c r="G216" i="12"/>
  <c r="J215" i="12"/>
  <c r="F215" i="12"/>
  <c r="I215" i="11"/>
  <c r="E215" i="11"/>
  <c r="L215" i="11"/>
  <c r="H215" i="11"/>
  <c r="D215" i="11"/>
  <c r="O214" i="11"/>
  <c r="K214" i="11"/>
  <c r="G214" i="11"/>
  <c r="C214" i="11"/>
  <c r="E214" i="11"/>
  <c r="L214" i="11"/>
  <c r="H214" i="11"/>
  <c r="D214" i="11"/>
  <c r="L216" i="11"/>
  <c r="H216" i="11"/>
  <c r="O215" i="11"/>
  <c r="K215" i="11"/>
  <c r="G215" i="11"/>
  <c r="N214" i="11"/>
  <c r="J214" i="11"/>
  <c r="F214" i="11"/>
  <c r="L214" i="10"/>
  <c r="H214" i="10"/>
  <c r="D214" i="10"/>
  <c r="N217" i="10"/>
  <c r="J217" i="10"/>
  <c r="F217" i="10"/>
  <c r="L215" i="10"/>
  <c r="H215" i="10"/>
  <c r="D215" i="10"/>
  <c r="O214" i="10"/>
  <c r="K214" i="10"/>
  <c r="G214" i="10"/>
  <c r="C214" i="10"/>
  <c r="O215" i="10"/>
  <c r="K215" i="10"/>
  <c r="G215" i="10"/>
  <c r="N214" i="10"/>
  <c r="J214" i="10"/>
  <c r="F214" i="10"/>
  <c r="C56" i="8"/>
  <c r="G54" i="8"/>
  <c r="C54" i="8"/>
  <c r="G56" i="8"/>
  <c r="J56" i="8"/>
  <c r="F56" i="8"/>
  <c r="H55" i="8"/>
  <c r="J54" i="8"/>
  <c r="F54" i="8"/>
  <c r="L216" i="6"/>
  <c r="H216" i="6"/>
  <c r="D216" i="6"/>
  <c r="L212" i="6"/>
  <c r="H212" i="6"/>
  <c r="D212" i="6"/>
  <c r="O216" i="6"/>
  <c r="K216" i="6"/>
  <c r="G216" i="6"/>
  <c r="C216" i="6"/>
  <c r="L213" i="6"/>
  <c r="H213" i="6"/>
  <c r="D213" i="6"/>
  <c r="O212" i="6"/>
  <c r="K212" i="6"/>
  <c r="G212" i="6"/>
  <c r="C212" i="6"/>
  <c r="N216" i="6"/>
  <c r="J216" i="6"/>
  <c r="F216" i="6"/>
  <c r="L214" i="6"/>
  <c r="H214" i="6"/>
  <c r="O213" i="6"/>
  <c r="K213" i="6"/>
  <c r="G213" i="6"/>
  <c r="N212" i="6"/>
  <c r="J212" i="6"/>
  <c r="F212" i="6"/>
  <c r="L215" i="7"/>
  <c r="H215" i="7"/>
  <c r="D215" i="7"/>
  <c r="O214" i="7"/>
  <c r="K214" i="7"/>
  <c r="G214" i="7"/>
  <c r="C214" i="7"/>
  <c r="L216" i="7"/>
  <c r="H216" i="7"/>
  <c r="O215" i="7"/>
  <c r="K215" i="7"/>
  <c r="G215" i="7"/>
  <c r="C215" i="7"/>
  <c r="N214" i="7"/>
  <c r="J214" i="7"/>
  <c r="F214" i="7"/>
  <c r="N215" i="7"/>
  <c r="J215" i="7"/>
  <c r="F215" i="7"/>
  <c r="L217" i="3"/>
  <c r="O214" i="3"/>
  <c r="G214" i="3"/>
  <c r="C214" i="3"/>
  <c r="N211" i="3"/>
  <c r="N214" i="3"/>
  <c r="J214" i="3"/>
  <c r="F214" i="3"/>
  <c r="I220" i="2"/>
  <c r="E220" i="2"/>
  <c r="P220" i="2"/>
  <c r="L220" i="2"/>
  <c r="H220" i="2"/>
  <c r="J220" i="2" s="1"/>
  <c r="K220" i="2" s="1"/>
  <c r="D220" i="2"/>
  <c r="S219" i="2"/>
  <c r="C219" i="2"/>
  <c r="P216" i="2"/>
  <c r="L216" i="2"/>
  <c r="H216" i="2"/>
  <c r="D216" i="2"/>
  <c r="S215" i="2"/>
  <c r="C215" i="2"/>
  <c r="P221" i="2"/>
  <c r="L221" i="2"/>
  <c r="H221" i="2"/>
  <c r="S220" i="2"/>
  <c r="C220" i="2"/>
  <c r="R219" i="2"/>
  <c r="P217" i="2"/>
  <c r="L217" i="2"/>
  <c r="H217" i="2"/>
  <c r="S216" i="2"/>
  <c r="C216" i="2"/>
  <c r="R215" i="2"/>
  <c r="R220" i="2"/>
  <c r="R216" i="2"/>
  <c r="B205" i="14"/>
  <c r="B206" i="14"/>
  <c r="D207" i="14"/>
  <c r="B208" i="14"/>
  <c r="B209" i="14"/>
  <c r="B210" i="14"/>
  <c r="D211" i="14"/>
  <c r="B212" i="14"/>
  <c r="B213" i="14"/>
  <c r="B214" i="14"/>
  <c r="B211" i="13"/>
  <c r="C212" i="13"/>
  <c r="A211" i="12"/>
  <c r="B211" i="12" s="1"/>
  <c r="A212" i="12"/>
  <c r="B212" i="12" s="1"/>
  <c r="A213" i="12"/>
  <c r="D213" i="12" s="1"/>
  <c r="B212" i="11"/>
  <c r="B213" i="10"/>
  <c r="B213" i="7"/>
  <c r="G218" i="2" l="1"/>
  <c r="F215" i="2"/>
  <c r="G216" i="14"/>
  <c r="F211" i="3"/>
  <c r="J218" i="2"/>
  <c r="K218" i="2" s="1"/>
  <c r="J217" i="2"/>
  <c r="K217" i="2" s="1"/>
  <c r="F215" i="3"/>
  <c r="J215" i="2"/>
  <c r="K215" i="2" s="1"/>
  <c r="G215" i="2"/>
  <c r="D208" i="14"/>
  <c r="F218" i="2"/>
  <c r="N217" i="2"/>
  <c r="O217" i="2" s="1"/>
  <c r="N216" i="3"/>
  <c r="G219" i="2"/>
  <c r="F219" i="2"/>
  <c r="N220" i="2"/>
  <c r="O220" i="2" s="1"/>
  <c r="K214" i="3"/>
  <c r="F216" i="3"/>
  <c r="F207" i="14"/>
  <c r="E208" i="14"/>
  <c r="G208" i="14" s="1"/>
  <c r="E207" i="14"/>
  <c r="N221" i="2"/>
  <c r="O221" i="2" s="1"/>
  <c r="J217" i="3"/>
  <c r="L213" i="3"/>
  <c r="Q216" i="3"/>
  <c r="C208" i="14"/>
  <c r="F213" i="3"/>
  <c r="C213" i="3"/>
  <c r="E213" i="3" s="1"/>
  <c r="P213" i="3"/>
  <c r="D216" i="3"/>
  <c r="P216" i="3"/>
  <c r="K213" i="12"/>
  <c r="J216" i="2"/>
  <c r="K216" i="2" s="1"/>
  <c r="J213" i="3"/>
  <c r="G213" i="3"/>
  <c r="E214" i="3"/>
  <c r="G216" i="3"/>
  <c r="C216" i="3"/>
  <c r="J216" i="3"/>
  <c r="L213" i="10"/>
  <c r="F211" i="14"/>
  <c r="J221" i="2"/>
  <c r="K221" i="2" s="1"/>
  <c r="N216" i="2"/>
  <c r="O216" i="2" s="1"/>
  <c r="N213" i="3"/>
  <c r="O213" i="3"/>
  <c r="M216" i="3"/>
  <c r="L216" i="3"/>
  <c r="G217" i="14"/>
  <c r="I216" i="3"/>
  <c r="O216" i="3"/>
  <c r="J219" i="2"/>
  <c r="K219" i="2" s="1"/>
  <c r="H214" i="3"/>
  <c r="F212" i="3"/>
  <c r="L212" i="3"/>
  <c r="P212" i="3"/>
  <c r="J212" i="3"/>
  <c r="B212" i="3"/>
  <c r="G212" i="3"/>
  <c r="M212" i="3"/>
  <c r="Q212" i="3"/>
  <c r="O212" i="3"/>
  <c r="C212" i="3"/>
  <c r="I212" i="3"/>
  <c r="N212" i="3"/>
  <c r="D212" i="3"/>
  <c r="B217" i="3"/>
  <c r="Q217" i="3"/>
  <c r="M217" i="3"/>
  <c r="I217" i="3"/>
  <c r="D213" i="10"/>
  <c r="F213" i="12"/>
  <c r="I211" i="12"/>
  <c r="E211" i="14"/>
  <c r="F208" i="14"/>
  <c r="C207" i="14"/>
  <c r="N217" i="3"/>
  <c r="G217" i="3"/>
  <c r="P217" i="3"/>
  <c r="B215" i="3"/>
  <c r="G215" i="3"/>
  <c r="O215" i="3"/>
  <c r="I215" i="3"/>
  <c r="K215" i="3" s="1"/>
  <c r="P215" i="3"/>
  <c r="D215" i="3"/>
  <c r="C215" i="3"/>
  <c r="L215" i="3"/>
  <c r="Q215" i="3"/>
  <c r="M215" i="3"/>
  <c r="O217" i="3"/>
  <c r="N215" i="3"/>
  <c r="B211" i="3"/>
  <c r="D211" i="3"/>
  <c r="M211" i="3"/>
  <c r="G211" i="3"/>
  <c r="O211" i="3"/>
  <c r="C211" i="3"/>
  <c r="Q211" i="3"/>
  <c r="I211" i="3"/>
  <c r="K211" i="3" s="1"/>
  <c r="P211" i="3"/>
  <c r="L211" i="3"/>
  <c r="E212" i="12"/>
  <c r="F217" i="3"/>
  <c r="D217" i="3"/>
  <c r="E217" i="3" s="1"/>
  <c r="N219" i="2"/>
  <c r="O219" i="2" s="1"/>
  <c r="B213" i="3"/>
  <c r="M213" i="3"/>
  <c r="Q213" i="3"/>
  <c r="I213" i="3"/>
  <c r="M213" i="10"/>
  <c r="I212" i="12"/>
  <c r="F216" i="2"/>
  <c r="G216" i="2"/>
  <c r="F220" i="2"/>
  <c r="G220" i="2"/>
  <c r="I213" i="10"/>
  <c r="C213" i="12"/>
  <c r="D212" i="14"/>
  <c r="E214" i="14"/>
  <c r="G214" i="14" s="1"/>
  <c r="I213" i="7"/>
  <c r="I213" i="12"/>
  <c r="E213" i="10"/>
  <c r="I212" i="11"/>
  <c r="G213" i="12"/>
  <c r="B213" i="12"/>
  <c r="F212" i="13"/>
  <c r="C212" i="14"/>
  <c r="E212" i="11"/>
  <c r="E212" i="13"/>
  <c r="L212" i="11"/>
  <c r="M212" i="11"/>
  <c r="D212" i="11"/>
  <c r="J213" i="12"/>
  <c r="E213" i="12"/>
  <c r="B212" i="13"/>
  <c r="E212" i="14"/>
  <c r="G212" i="14" s="1"/>
  <c r="M213" i="7"/>
  <c r="E213" i="7"/>
  <c r="L213" i="7"/>
  <c r="D213" i="7"/>
  <c r="H213" i="10"/>
  <c r="H212" i="11"/>
  <c r="H211" i="12"/>
  <c r="F212" i="14"/>
  <c r="C211" i="14"/>
  <c r="E209" i="14"/>
  <c r="G209" i="14" s="1"/>
  <c r="B207" i="14"/>
  <c r="E205" i="14"/>
  <c r="G205" i="14" s="1"/>
  <c r="E211" i="12"/>
  <c r="E211" i="13"/>
  <c r="E213" i="14"/>
  <c r="G213" i="14" s="1"/>
  <c r="B211" i="14"/>
  <c r="D209" i="14"/>
  <c r="D205" i="14"/>
  <c r="H213" i="7"/>
  <c r="D211" i="12"/>
  <c r="D213" i="14"/>
  <c r="E206" i="14"/>
  <c r="G206" i="14" s="1"/>
  <c r="D214" i="14"/>
  <c r="C213" i="14"/>
  <c r="D210" i="14"/>
  <c r="C209" i="14"/>
  <c r="D206" i="14"/>
  <c r="C205" i="14"/>
  <c r="C214" i="14"/>
  <c r="F213" i="14"/>
  <c r="C210" i="14"/>
  <c r="F209" i="14"/>
  <c r="C206" i="14"/>
  <c r="F205" i="14"/>
  <c r="E210" i="14"/>
  <c r="G210" i="14" s="1"/>
  <c r="F214" i="14"/>
  <c r="F210" i="14"/>
  <c r="F206" i="14"/>
  <c r="D211" i="13"/>
  <c r="D212" i="13"/>
  <c r="G211" i="13"/>
  <c r="C211" i="13"/>
  <c r="G212" i="13"/>
  <c r="F211" i="13"/>
  <c r="H212" i="12"/>
  <c r="D212" i="12"/>
  <c r="K211" i="12"/>
  <c r="G211" i="12"/>
  <c r="C211" i="12"/>
  <c r="H213" i="12"/>
  <c r="K212" i="12"/>
  <c r="G212" i="12"/>
  <c r="C212" i="12"/>
  <c r="J211" i="12"/>
  <c r="F211" i="12"/>
  <c r="J212" i="12"/>
  <c r="F212" i="12"/>
  <c r="O212" i="11"/>
  <c r="K212" i="11"/>
  <c r="G212" i="11"/>
  <c r="C212" i="11"/>
  <c r="N212" i="11"/>
  <c r="J212" i="11"/>
  <c r="F212" i="11"/>
  <c r="O213" i="10"/>
  <c r="K213" i="10"/>
  <c r="G213" i="10"/>
  <c r="C213" i="10"/>
  <c r="N213" i="10"/>
  <c r="J213" i="10"/>
  <c r="F213" i="10"/>
  <c r="O213" i="7"/>
  <c r="K213" i="7"/>
  <c r="G213" i="7"/>
  <c r="C213" i="7"/>
  <c r="N213" i="7"/>
  <c r="J213" i="7"/>
  <c r="F213" i="7"/>
  <c r="B7" i="13"/>
  <c r="B9" i="13"/>
  <c r="B11" i="13"/>
  <c r="B13" i="13"/>
  <c r="B15" i="13"/>
  <c r="B17" i="13"/>
  <c r="B19" i="13"/>
  <c r="B21" i="13"/>
  <c r="B23" i="13"/>
  <c r="B25" i="13"/>
  <c r="B27" i="13"/>
  <c r="B29" i="13"/>
  <c r="B31" i="13"/>
  <c r="D89" i="13"/>
  <c r="C90" i="13"/>
  <c r="C91" i="13"/>
  <c r="C92" i="13"/>
  <c r="C93" i="13"/>
  <c r="C94" i="13"/>
  <c r="C95" i="13"/>
  <c r="C96" i="13"/>
  <c r="C97" i="13"/>
  <c r="C98" i="13"/>
  <c r="C99" i="13"/>
  <c r="C100" i="13"/>
  <c r="C102" i="13"/>
  <c r="C103" i="13"/>
  <c r="C104" i="13"/>
  <c r="C106" i="13"/>
  <c r="C107" i="13"/>
  <c r="C108" i="13"/>
  <c r="C110" i="13"/>
  <c r="C111" i="13"/>
  <c r="C112" i="13"/>
  <c r="C114" i="13"/>
  <c r="C115" i="13"/>
  <c r="C116" i="13"/>
  <c r="C118" i="13"/>
  <c r="C119" i="13"/>
  <c r="C120" i="13"/>
  <c r="C122" i="13"/>
  <c r="C123" i="13"/>
  <c r="C124" i="13"/>
  <c r="C126" i="13"/>
  <c r="C127" i="13"/>
  <c r="C128" i="13"/>
  <c r="C130" i="13"/>
  <c r="C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E211" i="3" l="1"/>
  <c r="H211" i="3"/>
  <c r="H216" i="3"/>
  <c r="E216" i="3"/>
  <c r="G211" i="14"/>
  <c r="K213" i="3"/>
  <c r="H215" i="3"/>
  <c r="K216" i="3"/>
  <c r="H213" i="3"/>
  <c r="K217" i="3"/>
  <c r="G207" i="14"/>
  <c r="E212" i="3"/>
  <c r="H217" i="3"/>
  <c r="H212" i="3"/>
  <c r="E215" i="3"/>
  <c r="K212" i="3"/>
  <c r="D108" i="13"/>
  <c r="D90" i="13"/>
  <c r="D100" i="13"/>
  <c r="B90" i="13"/>
  <c r="C150" i="13"/>
  <c r="C156" i="13"/>
  <c r="B114" i="13"/>
  <c r="D198" i="13"/>
  <c r="C182" i="13"/>
  <c r="C184" i="13"/>
  <c r="D189" i="13"/>
  <c r="D161" i="13"/>
  <c r="C189" i="13"/>
  <c r="C161" i="13"/>
  <c r="D210" i="13"/>
  <c r="C152" i="13"/>
  <c r="D178" i="13"/>
  <c r="D120" i="13"/>
  <c r="D194" i="13"/>
  <c r="D182" i="13"/>
  <c r="C180" i="13"/>
  <c r="C178" i="13"/>
  <c r="C148" i="13"/>
  <c r="C141" i="13"/>
  <c r="C138" i="13"/>
  <c r="C210" i="13"/>
  <c r="C181" i="13"/>
  <c r="D177" i="13"/>
  <c r="C170" i="13"/>
  <c r="C157" i="13"/>
  <c r="C149" i="13"/>
  <c r="C134" i="13"/>
  <c r="D205" i="13"/>
  <c r="C202" i="13"/>
  <c r="C193" i="13"/>
  <c r="C188" i="13"/>
  <c r="C146" i="13"/>
  <c r="D112" i="13"/>
  <c r="C205" i="13"/>
  <c r="C200" i="13"/>
  <c r="C198" i="13"/>
  <c r="C196" i="13"/>
  <c r="C194" i="13"/>
  <c r="C177" i="13"/>
  <c r="C172" i="13"/>
  <c r="C165" i="13"/>
  <c r="C154" i="13"/>
  <c r="C132" i="13"/>
  <c r="B106" i="13"/>
  <c r="D209" i="13"/>
  <c r="D173" i="13"/>
  <c r="D166" i="13"/>
  <c r="D162" i="13"/>
  <c r="D145" i="13"/>
  <c r="C209" i="13"/>
  <c r="C204" i="13"/>
  <c r="C197" i="13"/>
  <c r="D193" i="13"/>
  <c r="C186" i="13"/>
  <c r="C173" i="13"/>
  <c r="C168" i="13"/>
  <c r="C166" i="13"/>
  <c r="C164" i="13"/>
  <c r="C162" i="13"/>
  <c r="D157" i="13"/>
  <c r="D150" i="13"/>
  <c r="D146" i="13"/>
  <c r="C145" i="13"/>
  <c r="C136" i="13"/>
  <c r="D116" i="13"/>
  <c r="D94" i="13"/>
  <c r="D206" i="13"/>
  <c r="D201" i="13"/>
  <c r="D190" i="13"/>
  <c r="D185" i="13"/>
  <c r="D174" i="13"/>
  <c r="D169" i="13"/>
  <c r="D158" i="13"/>
  <c r="D153" i="13"/>
  <c r="C140" i="13"/>
  <c r="C133" i="13"/>
  <c r="D128" i="13"/>
  <c r="B122" i="13"/>
  <c r="B94" i="13"/>
  <c r="D91" i="13"/>
  <c r="C208" i="13"/>
  <c r="C206" i="13"/>
  <c r="D202" i="13"/>
  <c r="C201" i="13"/>
  <c r="D197" i="13"/>
  <c r="C192" i="13"/>
  <c r="C190" i="13"/>
  <c r="D186" i="13"/>
  <c r="C185" i="13"/>
  <c r="D181" i="13"/>
  <c r="C176" i="13"/>
  <c r="C174" i="13"/>
  <c r="D170" i="13"/>
  <c r="C169" i="13"/>
  <c r="D165" i="13"/>
  <c r="C160" i="13"/>
  <c r="C158" i="13"/>
  <c r="D154" i="13"/>
  <c r="C153" i="13"/>
  <c r="D149" i="13"/>
  <c r="C144" i="13"/>
  <c r="D141" i="13"/>
  <c r="D134" i="13"/>
  <c r="B130" i="13"/>
  <c r="D124" i="13"/>
  <c r="D104" i="13"/>
  <c r="B98" i="13"/>
  <c r="D95" i="13"/>
  <c r="D142" i="13"/>
  <c r="D137" i="13"/>
  <c r="C142" i="13"/>
  <c r="D138" i="13"/>
  <c r="C137" i="13"/>
  <c r="D133" i="13"/>
  <c r="B126" i="13"/>
  <c r="B118" i="13"/>
  <c r="B110" i="13"/>
  <c r="B102" i="13"/>
  <c r="B97" i="13"/>
  <c r="B93" i="13"/>
  <c r="D175" i="13"/>
  <c r="D163" i="13"/>
  <c r="D143" i="13"/>
  <c r="D139" i="13"/>
  <c r="D135" i="13"/>
  <c r="D131" i="13"/>
  <c r="D127" i="13"/>
  <c r="D123" i="13"/>
  <c r="D119" i="13"/>
  <c r="D115" i="13"/>
  <c r="D111" i="13"/>
  <c r="D107" i="13"/>
  <c r="D103" i="13"/>
  <c r="D99" i="13"/>
  <c r="D96" i="13"/>
  <c r="B95" i="13"/>
  <c r="D92" i="13"/>
  <c r="B91" i="13"/>
  <c r="D207" i="13"/>
  <c r="D203" i="13"/>
  <c r="D199" i="13"/>
  <c r="D195" i="13"/>
  <c r="D191" i="13"/>
  <c r="D187" i="13"/>
  <c r="D183" i="13"/>
  <c r="D179" i="13"/>
  <c r="D171" i="13"/>
  <c r="D167" i="13"/>
  <c r="D159" i="13"/>
  <c r="D155" i="13"/>
  <c r="D151" i="13"/>
  <c r="D147" i="13"/>
  <c r="D208" i="13"/>
  <c r="C207" i="13"/>
  <c r="D204" i="13"/>
  <c r="C203" i="13"/>
  <c r="D200" i="13"/>
  <c r="C199" i="13"/>
  <c r="D196" i="13"/>
  <c r="C195" i="13"/>
  <c r="D192" i="13"/>
  <c r="C191" i="13"/>
  <c r="D188" i="13"/>
  <c r="C187" i="13"/>
  <c r="D184" i="13"/>
  <c r="C183" i="13"/>
  <c r="D180" i="13"/>
  <c r="C179" i="13"/>
  <c r="D176" i="13"/>
  <c r="C175" i="13"/>
  <c r="D172" i="13"/>
  <c r="C171" i="13"/>
  <c r="D168" i="13"/>
  <c r="C167" i="13"/>
  <c r="D164" i="13"/>
  <c r="C163" i="13"/>
  <c r="D160" i="13"/>
  <c r="C159" i="13"/>
  <c r="D156" i="13"/>
  <c r="C155" i="13"/>
  <c r="D152" i="13"/>
  <c r="C151" i="13"/>
  <c r="D148" i="13"/>
  <c r="C147" i="13"/>
  <c r="D144" i="13"/>
  <c r="C143" i="13"/>
  <c r="D140" i="13"/>
  <c r="C139" i="13"/>
  <c r="D136" i="13"/>
  <c r="C135" i="13"/>
  <c r="D132" i="13"/>
  <c r="B131" i="13"/>
  <c r="B127" i="13"/>
  <c r="B123" i="13"/>
  <c r="B119" i="13"/>
  <c r="B115" i="13"/>
  <c r="B111" i="13"/>
  <c r="B107" i="13"/>
  <c r="B103" i="13"/>
  <c r="B99" i="13"/>
  <c r="D97" i="13"/>
  <c r="B96" i="13"/>
  <c r="D93" i="13"/>
  <c r="B92" i="13"/>
  <c r="C88" i="13"/>
  <c r="D88" i="13"/>
  <c r="B88" i="13"/>
  <c r="C80" i="13"/>
  <c r="D80" i="13"/>
  <c r="B80" i="13"/>
  <c r="C72" i="13"/>
  <c r="D72" i="13"/>
  <c r="B72" i="13"/>
  <c r="C64" i="13"/>
  <c r="D64" i="13"/>
  <c r="B64" i="13"/>
  <c r="C56" i="13"/>
  <c r="D56" i="13"/>
  <c r="B56" i="13"/>
  <c r="C48" i="13"/>
  <c r="D48" i="13"/>
  <c r="B48" i="13"/>
  <c r="C40" i="13"/>
  <c r="D40" i="13"/>
  <c r="B40" i="13"/>
  <c r="C32" i="13"/>
  <c r="D32" i="13"/>
  <c r="B32" i="13"/>
  <c r="C24" i="13"/>
  <c r="D24" i="13"/>
  <c r="B24" i="13"/>
  <c r="C12" i="13"/>
  <c r="D12" i="13"/>
  <c r="B12" i="13"/>
  <c r="C16" i="13"/>
  <c r="D16" i="13"/>
  <c r="B16" i="13"/>
  <c r="C84" i="13"/>
  <c r="D84" i="13"/>
  <c r="B84" i="13"/>
  <c r="C76" i="13"/>
  <c r="D76" i="13"/>
  <c r="B76" i="13"/>
  <c r="C68" i="13"/>
  <c r="D68" i="13"/>
  <c r="B68" i="13"/>
  <c r="C60" i="13"/>
  <c r="D60" i="13"/>
  <c r="B60" i="13"/>
  <c r="C52" i="13"/>
  <c r="D52" i="13"/>
  <c r="B52" i="13"/>
  <c r="C44" i="13"/>
  <c r="D44" i="13"/>
  <c r="B44" i="13"/>
  <c r="C36" i="13"/>
  <c r="D36" i="13"/>
  <c r="B36" i="13"/>
  <c r="C28" i="13"/>
  <c r="D28" i="13"/>
  <c r="B28" i="13"/>
  <c r="C20" i="13"/>
  <c r="D20" i="13"/>
  <c r="B20" i="13"/>
  <c r="C8" i="13"/>
  <c r="D8" i="13"/>
  <c r="B8" i="13"/>
  <c r="C129" i="13"/>
  <c r="B129" i="13"/>
  <c r="D129" i="13"/>
  <c r="C125" i="13"/>
  <c r="B125" i="13"/>
  <c r="D125" i="13"/>
  <c r="C121" i="13"/>
  <c r="B121" i="13"/>
  <c r="D121" i="13"/>
  <c r="C117" i="13"/>
  <c r="B117" i="13"/>
  <c r="D117" i="13"/>
  <c r="C113" i="13"/>
  <c r="B113" i="13"/>
  <c r="D113" i="13"/>
  <c r="C109" i="13"/>
  <c r="B109" i="13"/>
  <c r="D109" i="13"/>
  <c r="C105" i="13"/>
  <c r="B105" i="13"/>
  <c r="D105" i="13"/>
  <c r="C101" i="13"/>
  <c r="B101" i="13"/>
  <c r="D101" i="13"/>
  <c r="C87" i="13"/>
  <c r="D87" i="13"/>
  <c r="B87" i="13"/>
  <c r="C83" i="13"/>
  <c r="D83" i="13"/>
  <c r="B83" i="13"/>
  <c r="C79" i="13"/>
  <c r="D79" i="13"/>
  <c r="B79" i="13"/>
  <c r="C75" i="13"/>
  <c r="D75" i="13"/>
  <c r="B75" i="13"/>
  <c r="C71" i="13"/>
  <c r="D71" i="13"/>
  <c r="B71" i="13"/>
  <c r="C67" i="13"/>
  <c r="D67" i="13"/>
  <c r="B67" i="13"/>
  <c r="C63" i="13"/>
  <c r="D63" i="13"/>
  <c r="B63" i="13"/>
  <c r="C59" i="13"/>
  <c r="D59" i="13"/>
  <c r="B59" i="13"/>
  <c r="C55" i="13"/>
  <c r="D55" i="13"/>
  <c r="B55" i="13"/>
  <c r="C51" i="13"/>
  <c r="D51" i="13"/>
  <c r="B51" i="13"/>
  <c r="C47" i="13"/>
  <c r="D47" i="13"/>
  <c r="B47" i="13"/>
  <c r="C43" i="13"/>
  <c r="D43" i="13"/>
  <c r="B43" i="13"/>
  <c r="C39" i="13"/>
  <c r="D39" i="13"/>
  <c r="B39" i="13"/>
  <c r="C35" i="13"/>
  <c r="D35" i="13"/>
  <c r="B35" i="13"/>
  <c r="B128" i="13"/>
  <c r="B124" i="13"/>
  <c r="B120" i="13"/>
  <c r="B116" i="13"/>
  <c r="B112" i="13"/>
  <c r="B108" i="13"/>
  <c r="B104" i="13"/>
  <c r="B100" i="13"/>
  <c r="C86" i="13"/>
  <c r="D86" i="13"/>
  <c r="B86" i="13"/>
  <c r="C82" i="13"/>
  <c r="D82" i="13"/>
  <c r="B82" i="13"/>
  <c r="C78" i="13"/>
  <c r="D78" i="13"/>
  <c r="B78" i="13"/>
  <c r="C74" i="13"/>
  <c r="D74" i="13"/>
  <c r="B74" i="13"/>
  <c r="C70" i="13"/>
  <c r="D70" i="13"/>
  <c r="B70" i="13"/>
  <c r="C66" i="13"/>
  <c r="D66" i="13"/>
  <c r="B66" i="13"/>
  <c r="C62" i="13"/>
  <c r="D62" i="13"/>
  <c r="B62" i="13"/>
  <c r="C58" i="13"/>
  <c r="D58" i="13"/>
  <c r="B58" i="13"/>
  <c r="C54" i="13"/>
  <c r="D54" i="13"/>
  <c r="B54" i="13"/>
  <c r="C50" i="13"/>
  <c r="D50" i="13"/>
  <c r="B50" i="13"/>
  <c r="C46" i="13"/>
  <c r="D46" i="13"/>
  <c r="B46" i="13"/>
  <c r="C42" i="13"/>
  <c r="D42" i="13"/>
  <c r="B42" i="13"/>
  <c r="C38" i="13"/>
  <c r="D38" i="13"/>
  <c r="B38" i="13"/>
  <c r="C34" i="13"/>
  <c r="D34" i="13"/>
  <c r="B34" i="13"/>
  <c r="C30" i="13"/>
  <c r="D30" i="13"/>
  <c r="B30" i="13"/>
  <c r="C26" i="13"/>
  <c r="D26" i="13"/>
  <c r="B26" i="13"/>
  <c r="C22" i="13"/>
  <c r="D22" i="13"/>
  <c r="B22" i="13"/>
  <c r="C18" i="13"/>
  <c r="D18" i="13"/>
  <c r="B18" i="13"/>
  <c r="C14" i="13"/>
  <c r="D14" i="13"/>
  <c r="B14" i="13"/>
  <c r="C10" i="13"/>
  <c r="D10" i="13"/>
  <c r="B10" i="13"/>
  <c r="C6" i="13"/>
  <c r="D6" i="13"/>
  <c r="B6" i="13"/>
  <c r="D130" i="13"/>
  <c r="D126" i="13"/>
  <c r="D122" i="13"/>
  <c r="D118" i="13"/>
  <c r="D114" i="13"/>
  <c r="D110" i="13"/>
  <c r="D106" i="13"/>
  <c r="D102" i="13"/>
  <c r="D98" i="13"/>
  <c r="C89" i="13"/>
  <c r="B89" i="13"/>
  <c r="C85" i="13"/>
  <c r="D85" i="13"/>
  <c r="B85" i="13"/>
  <c r="C81" i="13"/>
  <c r="D81" i="13"/>
  <c r="B81" i="13"/>
  <c r="C77" i="13"/>
  <c r="D77" i="13"/>
  <c r="B77" i="13"/>
  <c r="C73" i="13"/>
  <c r="D73" i="13"/>
  <c r="B73" i="13"/>
  <c r="C69" i="13"/>
  <c r="D69" i="13"/>
  <c r="B69" i="13"/>
  <c r="C65" i="13"/>
  <c r="D65" i="13"/>
  <c r="B65" i="13"/>
  <c r="C61" i="13"/>
  <c r="D61" i="13"/>
  <c r="B61" i="13"/>
  <c r="C57" i="13"/>
  <c r="D57" i="13"/>
  <c r="B57" i="13"/>
  <c r="C53" i="13"/>
  <c r="D53" i="13"/>
  <c r="B53" i="13"/>
  <c r="C49" i="13"/>
  <c r="D49" i="13"/>
  <c r="B49" i="13"/>
  <c r="C45" i="13"/>
  <c r="D45" i="13"/>
  <c r="B45" i="13"/>
  <c r="C41" i="13"/>
  <c r="D41" i="13"/>
  <c r="B41" i="13"/>
  <c r="C37" i="13"/>
  <c r="D37" i="13"/>
  <c r="B37" i="13"/>
  <c r="C33" i="13"/>
  <c r="D33" i="13"/>
  <c r="B33" i="13"/>
  <c r="C31" i="13"/>
  <c r="D31" i="13"/>
  <c r="C29" i="13"/>
  <c r="D29" i="13"/>
  <c r="C27" i="13"/>
  <c r="D27" i="13"/>
  <c r="C25" i="13"/>
  <c r="D25" i="13"/>
  <c r="C23" i="13"/>
  <c r="D23" i="13"/>
  <c r="C21" i="13"/>
  <c r="D21" i="13"/>
  <c r="C19" i="13"/>
  <c r="D19" i="13"/>
  <c r="C17" i="13"/>
  <c r="D17" i="13"/>
  <c r="C15" i="13"/>
  <c r="D15" i="13"/>
  <c r="C13" i="13"/>
  <c r="D13" i="13"/>
  <c r="C11" i="13"/>
  <c r="D11" i="13"/>
  <c r="C9" i="13"/>
  <c r="D9" i="13"/>
  <c r="C7" i="13"/>
  <c r="D7" i="13"/>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D198" i="12" s="1"/>
  <c r="A199" i="12"/>
  <c r="F199" i="12" s="1"/>
  <c r="A200" i="12"/>
  <c r="A201" i="12"/>
  <c r="A202" i="12"/>
  <c r="A203" i="12"/>
  <c r="A204" i="12"/>
  <c r="A205" i="12"/>
  <c r="B205" i="12" s="1"/>
  <c r="A206" i="12"/>
  <c r="A207" i="12"/>
  <c r="A208" i="12"/>
  <c r="A209" i="12"/>
  <c r="A210" i="12"/>
  <c r="D189" i="11"/>
  <c r="F190" i="11"/>
  <c r="D191" i="11"/>
  <c r="L193" i="11"/>
  <c r="N194" i="11"/>
  <c r="H195" i="11"/>
  <c r="D197" i="11"/>
  <c r="F198" i="11"/>
  <c r="D199" i="11"/>
  <c r="F200" i="11"/>
  <c r="F201" i="11"/>
  <c r="H202" i="11"/>
  <c r="C203" i="11"/>
  <c r="C205" i="11"/>
  <c r="D206" i="11"/>
  <c r="C207" i="11"/>
  <c r="C209" i="11"/>
  <c r="H210" i="11"/>
  <c r="C211" i="11"/>
  <c r="O190" i="10"/>
  <c r="E191" i="10"/>
  <c r="G192" i="10"/>
  <c r="E193" i="10"/>
  <c r="G194" i="10"/>
  <c r="M195" i="10"/>
  <c r="O196" i="10"/>
  <c r="I197" i="10"/>
  <c r="O198" i="10"/>
  <c r="E199" i="10"/>
  <c r="G200" i="10"/>
  <c r="E201" i="10"/>
  <c r="G202" i="10"/>
  <c r="M203" i="10"/>
  <c r="O204" i="10"/>
  <c r="I205" i="10"/>
  <c r="O206" i="10"/>
  <c r="E207" i="10"/>
  <c r="E209" i="10"/>
  <c r="G210" i="10"/>
  <c r="D211" i="10"/>
  <c r="I212" i="10"/>
  <c r="B145" i="14"/>
  <c r="C189" i="14"/>
  <c r="B190" i="14"/>
  <c r="E191" i="14"/>
  <c r="E193" i="14"/>
  <c r="D194" i="14"/>
  <c r="C195" i="14"/>
  <c r="C197" i="14"/>
  <c r="B198" i="14"/>
  <c r="E199" i="14"/>
  <c r="D202" i="14"/>
  <c r="C203" i="14"/>
  <c r="F11" i="18"/>
  <c r="F15" i="18"/>
  <c r="F136" i="18"/>
  <c r="F64" i="18"/>
  <c r="K211" i="6"/>
  <c r="H190" i="7"/>
  <c r="N191" i="7"/>
  <c r="H192" i="7"/>
  <c r="F195" i="7"/>
  <c r="L196" i="7"/>
  <c r="J197" i="7"/>
  <c r="H198" i="7"/>
  <c r="N199" i="7"/>
  <c r="D200" i="7"/>
  <c r="D202" i="7"/>
  <c r="F203" i="7"/>
  <c r="L204" i="7"/>
  <c r="J205" i="7"/>
  <c r="H206" i="7"/>
  <c r="J207" i="7"/>
  <c r="F208" i="7"/>
  <c r="E209" i="7"/>
  <c r="F210" i="7"/>
  <c r="B211" i="7"/>
  <c r="D212" i="7"/>
  <c r="C189" i="3"/>
  <c r="G190" i="3"/>
  <c r="I196" i="3"/>
  <c r="C197" i="3"/>
  <c r="I200" i="3"/>
  <c r="L202" i="3"/>
  <c r="B208" i="3"/>
  <c r="B210" i="3" l="1"/>
  <c r="M210" i="3"/>
  <c r="I210" i="3"/>
  <c r="Q210" i="3"/>
  <c r="L210" i="3"/>
  <c r="D210" i="3"/>
  <c r="P210" i="3"/>
  <c r="G210" i="3"/>
  <c r="J210" i="3"/>
  <c r="C210" i="3"/>
  <c r="E210" i="3" s="1"/>
  <c r="F210" i="3"/>
  <c r="O210" i="3"/>
  <c r="N210" i="3"/>
  <c r="O214" i="12"/>
  <c r="M215" i="12"/>
  <c r="N216" i="12"/>
  <c r="L217" i="12"/>
  <c r="M216" i="12"/>
  <c r="M217" i="12"/>
  <c r="N217" i="12"/>
  <c r="M214" i="12"/>
  <c r="O217" i="12"/>
  <c r="L214" i="12"/>
  <c r="O216" i="12"/>
  <c r="O215" i="12"/>
  <c r="N214" i="12"/>
  <c r="L216" i="12"/>
  <c r="L215" i="12"/>
  <c r="N215" i="12"/>
  <c r="N211" i="12"/>
  <c r="I213" i="2"/>
  <c r="C209" i="3"/>
  <c r="E208" i="2"/>
  <c r="N204" i="3"/>
  <c r="B209" i="2"/>
  <c r="C205" i="3"/>
  <c r="C207" i="2"/>
  <c r="I203" i="3"/>
  <c r="M205" i="2"/>
  <c r="C201" i="3"/>
  <c r="Q197" i="2"/>
  <c r="C193" i="3"/>
  <c r="R211" i="2"/>
  <c r="I207" i="3"/>
  <c r="E203" i="2"/>
  <c r="D199" i="3"/>
  <c r="H199" i="2"/>
  <c r="N195" i="3"/>
  <c r="R195" i="2"/>
  <c r="N191" i="3"/>
  <c r="C214" i="2"/>
  <c r="L210" i="2"/>
  <c r="P206" i="3"/>
  <c r="M202" i="2"/>
  <c r="G198" i="3"/>
  <c r="C198" i="2"/>
  <c r="C194" i="3"/>
  <c r="L207" i="7"/>
  <c r="I201" i="10"/>
  <c r="E198" i="14"/>
  <c r="G198" i="14" s="1"/>
  <c r="F209" i="11"/>
  <c r="M211" i="7"/>
  <c r="J200" i="11"/>
  <c r="E211" i="7"/>
  <c r="C194" i="14"/>
  <c r="K194" i="10"/>
  <c r="B207" i="11"/>
  <c r="O212" i="7"/>
  <c r="D192" i="7"/>
  <c r="E190" i="14"/>
  <c r="G190" i="14" s="1"/>
  <c r="C211" i="10"/>
  <c r="F205" i="11"/>
  <c r="G212" i="7"/>
  <c r="K208" i="7"/>
  <c r="C202" i="14"/>
  <c r="F211" i="11"/>
  <c r="B203" i="11"/>
  <c r="C204" i="3"/>
  <c r="C192" i="3"/>
  <c r="J192" i="3"/>
  <c r="F208" i="3"/>
  <c r="J196" i="3"/>
  <c r="K196" i="3" s="1"/>
  <c r="E204" i="14"/>
  <c r="D204" i="14"/>
  <c r="E196" i="14"/>
  <c r="D196" i="14"/>
  <c r="E188" i="14"/>
  <c r="D188" i="14"/>
  <c r="O208" i="3"/>
  <c r="J200" i="3"/>
  <c r="K200" i="3" s="1"/>
  <c r="F192" i="3"/>
  <c r="C208" i="3"/>
  <c r="J208" i="3"/>
  <c r="C196" i="3"/>
  <c r="B196" i="3"/>
  <c r="N196" i="3"/>
  <c r="C200" i="14"/>
  <c r="B200" i="14"/>
  <c r="F200" i="14"/>
  <c r="C192" i="14"/>
  <c r="B192" i="14"/>
  <c r="F192" i="14"/>
  <c r="D202" i="3"/>
  <c r="P202" i="3"/>
  <c r="D190" i="3"/>
  <c r="C190" i="3"/>
  <c r="N208" i="3"/>
  <c r="G202" i="3"/>
  <c r="I199" i="3"/>
  <c r="F196" i="3"/>
  <c r="O192" i="3"/>
  <c r="B192" i="3"/>
  <c r="P190" i="3"/>
  <c r="E208" i="11"/>
  <c r="H208" i="11"/>
  <c r="L208" i="11"/>
  <c r="E204" i="11"/>
  <c r="H204" i="11"/>
  <c r="L204" i="11"/>
  <c r="N196" i="11"/>
  <c r="B196" i="11"/>
  <c r="F192" i="11"/>
  <c r="J192" i="11"/>
  <c r="D204" i="11"/>
  <c r="C200" i="3"/>
  <c r="F200" i="3"/>
  <c r="O200" i="3"/>
  <c r="O204" i="3"/>
  <c r="N200" i="3"/>
  <c r="I192" i="3"/>
  <c r="I208" i="3"/>
  <c r="C202" i="3"/>
  <c r="B200" i="3"/>
  <c r="O196" i="3"/>
  <c r="N192" i="3"/>
  <c r="L190" i="3"/>
  <c r="C210" i="7"/>
  <c r="J210" i="7"/>
  <c r="N210" i="7"/>
  <c r="B210" i="7"/>
  <c r="D194" i="7"/>
  <c r="H194" i="7"/>
  <c r="H194" i="12" s="1"/>
  <c r="H202" i="7"/>
  <c r="H202" i="12" s="1"/>
  <c r="D208" i="11"/>
  <c r="N212" i="7"/>
  <c r="F212" i="7"/>
  <c r="L211" i="7"/>
  <c r="D211" i="7"/>
  <c r="J208" i="7"/>
  <c r="B207" i="7"/>
  <c r="H200" i="7"/>
  <c r="H200" i="12" s="1"/>
  <c r="J195" i="7"/>
  <c r="B191" i="7"/>
  <c r="O211" i="10"/>
  <c r="M210" i="10"/>
  <c r="C206" i="10"/>
  <c r="I193" i="10"/>
  <c r="B211" i="11"/>
  <c r="B209" i="11"/>
  <c r="N207" i="11"/>
  <c r="H206" i="11"/>
  <c r="B205" i="11"/>
  <c r="N203" i="11"/>
  <c r="N201" i="11"/>
  <c r="H199" i="11"/>
  <c r="K212" i="7"/>
  <c r="C212" i="7"/>
  <c r="I211" i="7"/>
  <c r="O208" i="7"/>
  <c r="G208" i="7"/>
  <c r="F203" i="14"/>
  <c r="F195" i="14"/>
  <c r="K211" i="10"/>
  <c r="H210" i="10"/>
  <c r="C198" i="10"/>
  <c r="N211" i="11"/>
  <c r="N209" i="11"/>
  <c r="J207" i="11"/>
  <c r="N205" i="11"/>
  <c r="J203" i="11"/>
  <c r="J201" i="11"/>
  <c r="J212" i="7"/>
  <c r="B212" i="7"/>
  <c r="H211" i="7"/>
  <c r="N208" i="7"/>
  <c r="J203" i="7"/>
  <c r="B199" i="7"/>
  <c r="B203" i="14"/>
  <c r="D199" i="14"/>
  <c r="B195" i="14"/>
  <c r="D191" i="14"/>
  <c r="G211" i="10"/>
  <c r="I209" i="10"/>
  <c r="K202" i="10"/>
  <c r="C190" i="10"/>
  <c r="J211" i="11"/>
  <c r="J209" i="11"/>
  <c r="F207" i="11"/>
  <c r="J205" i="11"/>
  <c r="F203" i="11"/>
  <c r="H191" i="11"/>
  <c r="J189" i="3"/>
  <c r="F189" i="3"/>
  <c r="C201" i="7"/>
  <c r="G201" i="7"/>
  <c r="K201" i="7"/>
  <c r="J201" i="12" s="1"/>
  <c r="O201" i="7"/>
  <c r="D201" i="7"/>
  <c r="H201" i="7"/>
  <c r="H201" i="12" s="1"/>
  <c r="L201" i="7"/>
  <c r="K201" i="12" s="1"/>
  <c r="E201" i="7"/>
  <c r="I201" i="7"/>
  <c r="I201" i="12" s="1"/>
  <c r="M201" i="7"/>
  <c r="C193" i="7"/>
  <c r="G193" i="7"/>
  <c r="K193" i="7"/>
  <c r="J193" i="12" s="1"/>
  <c r="O193" i="7"/>
  <c r="D193" i="7"/>
  <c r="H193" i="7"/>
  <c r="H193" i="12" s="1"/>
  <c r="L193" i="7"/>
  <c r="K193" i="12" s="1"/>
  <c r="E193" i="7"/>
  <c r="I193" i="7"/>
  <c r="I193" i="12" s="1"/>
  <c r="M193" i="7"/>
  <c r="L209" i="7"/>
  <c r="K209" i="12" s="1"/>
  <c r="H209" i="7"/>
  <c r="H209" i="12" s="1"/>
  <c r="D209" i="7"/>
  <c r="N205" i="7"/>
  <c r="Q208" i="3"/>
  <c r="M208" i="3"/>
  <c r="D208" i="3"/>
  <c r="Q204" i="3"/>
  <c r="M204" i="3"/>
  <c r="D204" i="3"/>
  <c r="L203" i="3"/>
  <c r="G203" i="3"/>
  <c r="C203" i="3"/>
  <c r="O202" i="3"/>
  <c r="J202" i="3"/>
  <c r="F202" i="3"/>
  <c r="B202" i="3"/>
  <c r="Q200" i="3"/>
  <c r="M200" i="3"/>
  <c r="D200" i="3"/>
  <c r="P199" i="3"/>
  <c r="L199" i="3"/>
  <c r="G199" i="3"/>
  <c r="N197" i="3"/>
  <c r="I197" i="3"/>
  <c r="Q196" i="3"/>
  <c r="M196" i="3"/>
  <c r="D196" i="3"/>
  <c r="Q192" i="3"/>
  <c r="M192" i="3"/>
  <c r="D192" i="3"/>
  <c r="L191" i="3"/>
  <c r="G191" i="3"/>
  <c r="C191" i="3"/>
  <c r="O190" i="3"/>
  <c r="J190" i="3"/>
  <c r="F190" i="3"/>
  <c r="H190" i="3" s="1"/>
  <c r="B190" i="3"/>
  <c r="N189" i="3"/>
  <c r="I189" i="3"/>
  <c r="E208" i="7"/>
  <c r="C208" i="7"/>
  <c r="E204" i="7"/>
  <c r="I204" i="7"/>
  <c r="I204" i="12" s="1"/>
  <c r="M204" i="7"/>
  <c r="B204" i="7"/>
  <c r="F204" i="7"/>
  <c r="J204" i="7"/>
  <c r="N204" i="7"/>
  <c r="C204" i="7"/>
  <c r="G204" i="7"/>
  <c r="K204" i="7"/>
  <c r="J204" i="12" s="1"/>
  <c r="O204" i="7"/>
  <c r="E200" i="7"/>
  <c r="I200" i="7"/>
  <c r="I200" i="12" s="1"/>
  <c r="M200" i="7"/>
  <c r="B200" i="7"/>
  <c r="F200" i="7"/>
  <c r="J200" i="7"/>
  <c r="N200" i="7"/>
  <c r="C200" i="7"/>
  <c r="G200" i="7"/>
  <c r="K200" i="7"/>
  <c r="J200" i="12" s="1"/>
  <c r="O200" i="7"/>
  <c r="E196" i="7"/>
  <c r="I196" i="7"/>
  <c r="I196" i="12" s="1"/>
  <c r="M196" i="7"/>
  <c r="B196" i="7"/>
  <c r="F196" i="7"/>
  <c r="J196" i="7"/>
  <c r="N196" i="7"/>
  <c r="C196" i="7"/>
  <c r="G196" i="7"/>
  <c r="K196" i="7"/>
  <c r="J196" i="12" s="1"/>
  <c r="O196" i="7"/>
  <c r="E192" i="7"/>
  <c r="I192" i="7"/>
  <c r="I192" i="12" s="1"/>
  <c r="M192" i="7"/>
  <c r="B192" i="7"/>
  <c r="F192" i="7"/>
  <c r="J192" i="7"/>
  <c r="N192" i="7"/>
  <c r="C192" i="7"/>
  <c r="G192" i="7"/>
  <c r="K192" i="7"/>
  <c r="J192" i="12" s="1"/>
  <c r="O192" i="7"/>
  <c r="M212" i="7"/>
  <c r="I212" i="7"/>
  <c r="E212" i="7"/>
  <c r="O211" i="7"/>
  <c r="K211" i="7"/>
  <c r="G211" i="7"/>
  <c r="C211" i="7"/>
  <c r="M210" i="7"/>
  <c r="I210" i="7"/>
  <c r="E210" i="7"/>
  <c r="O209" i="7"/>
  <c r="K209" i="7"/>
  <c r="J209" i="12" s="1"/>
  <c r="G209" i="7"/>
  <c r="C209" i="7"/>
  <c r="M208" i="7"/>
  <c r="I208" i="7"/>
  <c r="I208" i="12" s="1"/>
  <c r="D208" i="7"/>
  <c r="L206" i="7"/>
  <c r="K206" i="12" s="1"/>
  <c r="H204" i="7"/>
  <c r="H204" i="12" s="1"/>
  <c r="B201" i="7"/>
  <c r="L198" i="7"/>
  <c r="K198" i="12" s="1"/>
  <c r="H196" i="7"/>
  <c r="H196" i="12" s="1"/>
  <c r="B193" i="7"/>
  <c r="L190" i="7"/>
  <c r="K190" i="12" s="1"/>
  <c r="M212" i="10"/>
  <c r="O197" i="3"/>
  <c r="J197" i="3"/>
  <c r="F197" i="3"/>
  <c r="B197" i="3"/>
  <c r="O189" i="3"/>
  <c r="B189" i="3"/>
  <c r="C205" i="7"/>
  <c r="G205" i="7"/>
  <c r="K205" i="7"/>
  <c r="J205" i="12" s="1"/>
  <c r="O205" i="7"/>
  <c r="D205" i="7"/>
  <c r="H205" i="7"/>
  <c r="H205" i="12" s="1"/>
  <c r="L205" i="7"/>
  <c r="K205" i="12" s="1"/>
  <c r="E205" i="7"/>
  <c r="I205" i="7"/>
  <c r="I205" i="12" s="1"/>
  <c r="M205" i="7"/>
  <c r="C197" i="7"/>
  <c r="G197" i="7"/>
  <c r="K197" i="7"/>
  <c r="J197" i="12" s="1"/>
  <c r="O197" i="7"/>
  <c r="D197" i="7"/>
  <c r="H197" i="7"/>
  <c r="H197" i="12" s="1"/>
  <c r="L197" i="7"/>
  <c r="K197" i="12" s="1"/>
  <c r="E197" i="7"/>
  <c r="I197" i="7"/>
  <c r="I197" i="12" s="1"/>
  <c r="M197" i="7"/>
  <c r="F201" i="7"/>
  <c r="N197" i="7"/>
  <c r="F193" i="7"/>
  <c r="P208" i="3"/>
  <c r="L208" i="3"/>
  <c r="G208" i="3"/>
  <c r="P204" i="3"/>
  <c r="L204" i="3"/>
  <c r="G204" i="3"/>
  <c r="O203" i="3"/>
  <c r="J203" i="3"/>
  <c r="K203" i="3" s="1"/>
  <c r="F203" i="3"/>
  <c r="N202" i="3"/>
  <c r="I202" i="3"/>
  <c r="P200" i="3"/>
  <c r="L200" i="3"/>
  <c r="G200" i="3"/>
  <c r="O199" i="3"/>
  <c r="J199" i="3"/>
  <c r="F199" i="3"/>
  <c r="Q197" i="3"/>
  <c r="M197" i="3"/>
  <c r="D197" i="3"/>
  <c r="E197" i="3" s="1"/>
  <c r="P196" i="3"/>
  <c r="L196" i="3"/>
  <c r="G196" i="3"/>
  <c r="I194" i="3"/>
  <c r="P192" i="3"/>
  <c r="L192" i="3"/>
  <c r="G192" i="3"/>
  <c r="O191" i="3"/>
  <c r="J191" i="3"/>
  <c r="F191" i="3"/>
  <c r="N190" i="3"/>
  <c r="I190" i="3"/>
  <c r="Q189" i="3"/>
  <c r="M189" i="3"/>
  <c r="D189" i="3"/>
  <c r="E189" i="3" s="1"/>
  <c r="C207" i="7"/>
  <c r="G207" i="7"/>
  <c r="K207" i="7"/>
  <c r="J207" i="12" s="1"/>
  <c r="O207" i="7"/>
  <c r="D207" i="7"/>
  <c r="E207" i="7"/>
  <c r="I207" i="7"/>
  <c r="I207" i="12" s="1"/>
  <c r="M207" i="7"/>
  <c r="C203" i="7"/>
  <c r="G203" i="7"/>
  <c r="K203" i="7"/>
  <c r="J203" i="12" s="1"/>
  <c r="O203" i="7"/>
  <c r="D203" i="7"/>
  <c r="H203" i="7"/>
  <c r="H203" i="12" s="1"/>
  <c r="L203" i="7"/>
  <c r="K203" i="12" s="1"/>
  <c r="E203" i="7"/>
  <c r="I203" i="7"/>
  <c r="I203" i="12" s="1"/>
  <c r="M203" i="7"/>
  <c r="C199" i="7"/>
  <c r="G199" i="7"/>
  <c r="K199" i="7"/>
  <c r="J199" i="12" s="1"/>
  <c r="O199" i="7"/>
  <c r="D199" i="7"/>
  <c r="H199" i="7"/>
  <c r="H199" i="12" s="1"/>
  <c r="L199" i="7"/>
  <c r="K199" i="12" s="1"/>
  <c r="E199" i="7"/>
  <c r="I199" i="7"/>
  <c r="I199" i="12" s="1"/>
  <c r="M199" i="7"/>
  <c r="C195" i="7"/>
  <c r="G195" i="7"/>
  <c r="K195" i="7"/>
  <c r="J195" i="12" s="1"/>
  <c r="O195" i="7"/>
  <c r="D195" i="7"/>
  <c r="H195" i="7"/>
  <c r="H195" i="12" s="1"/>
  <c r="L195" i="7"/>
  <c r="K195" i="12" s="1"/>
  <c r="E195" i="7"/>
  <c r="I195" i="7"/>
  <c r="I195" i="12" s="1"/>
  <c r="M195" i="7"/>
  <c r="C191" i="7"/>
  <c r="G191" i="7"/>
  <c r="K191" i="7"/>
  <c r="J191" i="12" s="1"/>
  <c r="O191" i="7"/>
  <c r="D191" i="7"/>
  <c r="H191" i="7"/>
  <c r="H191" i="12" s="1"/>
  <c r="L191" i="7"/>
  <c r="K191" i="12" s="1"/>
  <c r="E191" i="7"/>
  <c r="I191" i="7"/>
  <c r="I191" i="12" s="1"/>
  <c r="M191" i="7"/>
  <c r="L212" i="7"/>
  <c r="H212" i="7"/>
  <c r="N211" i="7"/>
  <c r="J211" i="7"/>
  <c r="F211" i="7"/>
  <c r="L210" i="7"/>
  <c r="K210" i="12" s="1"/>
  <c r="H210" i="7"/>
  <c r="H210" i="12" s="1"/>
  <c r="D210" i="7"/>
  <c r="N209" i="7"/>
  <c r="J209" i="7"/>
  <c r="F209" i="7"/>
  <c r="B209" i="7"/>
  <c r="L208" i="7"/>
  <c r="H208" i="7"/>
  <c r="H208" i="12" s="1"/>
  <c r="B208" i="7"/>
  <c r="H207" i="7"/>
  <c r="F205" i="7"/>
  <c r="D204" i="7"/>
  <c r="B203" i="7"/>
  <c r="N201" i="7"/>
  <c r="L200" i="7"/>
  <c r="K200" i="12" s="1"/>
  <c r="J199" i="7"/>
  <c r="F197" i="7"/>
  <c r="D196" i="7"/>
  <c r="B195" i="7"/>
  <c r="N193" i="7"/>
  <c r="L192" i="7"/>
  <c r="K192" i="12" s="1"/>
  <c r="J191" i="7"/>
  <c r="Q202" i="3"/>
  <c r="M202" i="3"/>
  <c r="P197" i="3"/>
  <c r="L197" i="3"/>
  <c r="G197" i="3"/>
  <c r="Q194" i="3"/>
  <c r="G193" i="3"/>
  <c r="Q190" i="3"/>
  <c r="M190" i="3"/>
  <c r="P189" i="3"/>
  <c r="L189" i="3"/>
  <c r="G189" i="3"/>
  <c r="E206" i="7"/>
  <c r="I206" i="7"/>
  <c r="I206" i="12" s="1"/>
  <c r="M206" i="7"/>
  <c r="B206" i="7"/>
  <c r="F206" i="7"/>
  <c r="J206" i="7"/>
  <c r="N206" i="7"/>
  <c r="C206" i="7"/>
  <c r="G206" i="7"/>
  <c r="K206" i="7"/>
  <c r="J206" i="12" s="1"/>
  <c r="O206" i="7"/>
  <c r="E202" i="7"/>
  <c r="I202" i="7"/>
  <c r="I202" i="12" s="1"/>
  <c r="M202" i="7"/>
  <c r="B202" i="7"/>
  <c r="F202" i="7"/>
  <c r="J202" i="7"/>
  <c r="N202" i="7"/>
  <c r="C202" i="7"/>
  <c r="G202" i="7"/>
  <c r="K202" i="7"/>
  <c r="J202" i="12" s="1"/>
  <c r="O202" i="7"/>
  <c r="E198" i="7"/>
  <c r="I198" i="7"/>
  <c r="I198" i="12" s="1"/>
  <c r="M198" i="7"/>
  <c r="B198" i="7"/>
  <c r="F198" i="7"/>
  <c r="J198" i="7"/>
  <c r="N198" i="7"/>
  <c r="C198" i="7"/>
  <c r="G198" i="7"/>
  <c r="K198" i="7"/>
  <c r="J198" i="12" s="1"/>
  <c r="O198" i="7"/>
  <c r="E194" i="7"/>
  <c r="I194" i="7"/>
  <c r="I194" i="12" s="1"/>
  <c r="M194" i="7"/>
  <c r="B194" i="7"/>
  <c r="F194" i="7"/>
  <c r="J194" i="7"/>
  <c r="N194" i="7"/>
  <c r="C194" i="7"/>
  <c r="G194" i="7"/>
  <c r="K194" i="7"/>
  <c r="J194" i="12" s="1"/>
  <c r="O194" i="7"/>
  <c r="E190" i="7"/>
  <c r="I190" i="7"/>
  <c r="I190" i="12" s="1"/>
  <c r="M190" i="7"/>
  <c r="B190" i="7"/>
  <c r="F190" i="7"/>
  <c r="J190" i="7"/>
  <c r="N190" i="7"/>
  <c r="C190" i="7"/>
  <c r="G190" i="7"/>
  <c r="K190" i="7"/>
  <c r="J190" i="12" s="1"/>
  <c r="O190" i="7"/>
  <c r="O210" i="7"/>
  <c r="K210" i="7"/>
  <c r="J210" i="12" s="1"/>
  <c r="G210" i="7"/>
  <c r="M209" i="7"/>
  <c r="I209" i="7"/>
  <c r="N207" i="7"/>
  <c r="F207" i="7"/>
  <c r="D206" i="7"/>
  <c r="B205" i="7"/>
  <c r="N203" i="7"/>
  <c r="L202" i="7"/>
  <c r="K202" i="12" s="1"/>
  <c r="J201" i="7"/>
  <c r="F199" i="7"/>
  <c r="D198" i="7"/>
  <c r="B197" i="7"/>
  <c r="N195" i="7"/>
  <c r="L194" i="7"/>
  <c r="K194" i="12" s="1"/>
  <c r="J193" i="7"/>
  <c r="F191" i="7"/>
  <c r="D190" i="7"/>
  <c r="B201" i="14"/>
  <c r="F201" i="14"/>
  <c r="C201" i="14"/>
  <c r="D201" i="14"/>
  <c r="D197" i="14"/>
  <c r="E197" i="14"/>
  <c r="B197" i="14"/>
  <c r="F197" i="14"/>
  <c r="B193" i="14"/>
  <c r="G193" i="14" s="1"/>
  <c r="F193" i="14"/>
  <c r="C193" i="14"/>
  <c r="D193" i="14"/>
  <c r="D189" i="14"/>
  <c r="E189" i="14"/>
  <c r="B189" i="14"/>
  <c r="F189" i="14"/>
  <c r="E201" i="14"/>
  <c r="B212" i="10"/>
  <c r="F212" i="10"/>
  <c r="J212" i="10"/>
  <c r="N212" i="10"/>
  <c r="C212" i="10"/>
  <c r="G212" i="10"/>
  <c r="K212" i="10"/>
  <c r="O212" i="10"/>
  <c r="D212" i="10"/>
  <c r="H212" i="10"/>
  <c r="L212" i="10"/>
  <c r="D208" i="10"/>
  <c r="H208" i="10"/>
  <c r="L208" i="10"/>
  <c r="E208" i="10"/>
  <c r="I208" i="10"/>
  <c r="M208" i="10"/>
  <c r="B208" i="10"/>
  <c r="F208" i="10"/>
  <c r="J208" i="10"/>
  <c r="N208" i="10"/>
  <c r="K208" i="10"/>
  <c r="O208" i="10"/>
  <c r="C208" i="10"/>
  <c r="D204" i="10"/>
  <c r="H204" i="10"/>
  <c r="L204" i="10"/>
  <c r="E204" i="10"/>
  <c r="I204" i="10"/>
  <c r="M204" i="10"/>
  <c r="B204" i="10"/>
  <c r="F204" i="10"/>
  <c r="J204" i="10"/>
  <c r="N204" i="10"/>
  <c r="C204" i="10"/>
  <c r="G204" i="10"/>
  <c r="K204" i="10"/>
  <c r="D200" i="10"/>
  <c r="H200" i="10"/>
  <c r="L200" i="10"/>
  <c r="E200" i="10"/>
  <c r="I200" i="10"/>
  <c r="M200" i="10"/>
  <c r="B200" i="10"/>
  <c r="F200" i="10"/>
  <c r="J200" i="10"/>
  <c r="N200" i="10"/>
  <c r="K200" i="10"/>
  <c r="O200" i="10"/>
  <c r="C200" i="10"/>
  <c r="D196" i="10"/>
  <c r="H196" i="10"/>
  <c r="L196" i="10"/>
  <c r="E196" i="10"/>
  <c r="I196" i="10"/>
  <c r="M196" i="10"/>
  <c r="B196" i="10"/>
  <c r="F196" i="10"/>
  <c r="J196" i="10"/>
  <c r="N196" i="10"/>
  <c r="C196" i="10"/>
  <c r="G196" i="10"/>
  <c r="K196" i="10"/>
  <c r="D192" i="10"/>
  <c r="H192" i="10"/>
  <c r="L192" i="10"/>
  <c r="E192" i="10"/>
  <c r="I192" i="10"/>
  <c r="M192" i="10"/>
  <c r="B192" i="10"/>
  <c r="F192" i="10"/>
  <c r="J192" i="10"/>
  <c r="N192" i="10"/>
  <c r="K192" i="10"/>
  <c r="O192" i="10"/>
  <c r="C192" i="10"/>
  <c r="E212" i="10"/>
  <c r="G208" i="10"/>
  <c r="C204" i="14"/>
  <c r="E203" i="14"/>
  <c r="F202" i="14"/>
  <c r="B202" i="14"/>
  <c r="E200" i="14"/>
  <c r="C199" i="14"/>
  <c r="D198" i="14"/>
  <c r="C196" i="14"/>
  <c r="E195" i="14"/>
  <c r="F194" i="14"/>
  <c r="B194" i="14"/>
  <c r="E192" i="14"/>
  <c r="C191" i="14"/>
  <c r="D190" i="14"/>
  <c r="C188" i="14"/>
  <c r="B207" i="10"/>
  <c r="F207" i="10"/>
  <c r="J207" i="10"/>
  <c r="N207" i="10"/>
  <c r="C207" i="10"/>
  <c r="G207" i="10"/>
  <c r="K207" i="10"/>
  <c r="O207" i="10"/>
  <c r="D207" i="10"/>
  <c r="H207" i="10"/>
  <c r="L207" i="10"/>
  <c r="B203" i="10"/>
  <c r="F203" i="10"/>
  <c r="J203" i="10"/>
  <c r="N203" i="10"/>
  <c r="C203" i="10"/>
  <c r="G203" i="10"/>
  <c r="K203" i="10"/>
  <c r="O203" i="10"/>
  <c r="D203" i="10"/>
  <c r="H203" i="10"/>
  <c r="L203" i="10"/>
  <c r="B199" i="10"/>
  <c r="F199" i="10"/>
  <c r="J199" i="10"/>
  <c r="N199" i="10"/>
  <c r="C199" i="10"/>
  <c r="G199" i="10"/>
  <c r="K199" i="10"/>
  <c r="O199" i="10"/>
  <c r="D199" i="10"/>
  <c r="H199" i="10"/>
  <c r="L199" i="10"/>
  <c r="B195" i="10"/>
  <c r="F195" i="10"/>
  <c r="J195" i="10"/>
  <c r="N195" i="10"/>
  <c r="C195" i="10"/>
  <c r="G195" i="10"/>
  <c r="K195" i="10"/>
  <c r="O195" i="10"/>
  <c r="D195" i="10"/>
  <c r="H195" i="10"/>
  <c r="L195" i="10"/>
  <c r="B191" i="10"/>
  <c r="F191" i="10"/>
  <c r="J191" i="10"/>
  <c r="N191" i="10"/>
  <c r="C191" i="10"/>
  <c r="G191" i="10"/>
  <c r="K191" i="10"/>
  <c r="O191" i="10"/>
  <c r="D191" i="10"/>
  <c r="H191" i="10"/>
  <c r="L191" i="10"/>
  <c r="N211" i="10"/>
  <c r="J211" i="10"/>
  <c r="F211" i="10"/>
  <c r="B211" i="10"/>
  <c r="L210" i="10"/>
  <c r="M205" i="10"/>
  <c r="I203" i="10"/>
  <c r="M197" i="10"/>
  <c r="I195" i="10"/>
  <c r="L210" i="11"/>
  <c r="L202" i="11"/>
  <c r="F204" i="14"/>
  <c r="B204" i="14"/>
  <c r="D203" i="14"/>
  <c r="E202" i="14"/>
  <c r="D200" i="14"/>
  <c r="F199" i="14"/>
  <c r="B199" i="14"/>
  <c r="G199" i="14" s="1"/>
  <c r="C198" i="14"/>
  <c r="F196" i="14"/>
  <c r="B196" i="14"/>
  <c r="D195" i="14"/>
  <c r="E194" i="14"/>
  <c r="D192" i="14"/>
  <c r="F191" i="14"/>
  <c r="B191" i="14"/>
  <c r="G191" i="14" s="1"/>
  <c r="C190" i="14"/>
  <c r="F188" i="14"/>
  <c r="B188" i="14"/>
  <c r="D210" i="10"/>
  <c r="E210" i="10"/>
  <c r="I210" i="10"/>
  <c r="B210" i="10"/>
  <c r="F210" i="10"/>
  <c r="D206" i="10"/>
  <c r="H206" i="10"/>
  <c r="L206" i="10"/>
  <c r="E206" i="10"/>
  <c r="I206" i="10"/>
  <c r="M206" i="10"/>
  <c r="B206" i="10"/>
  <c r="F206" i="10"/>
  <c r="J206" i="10"/>
  <c r="N206" i="10"/>
  <c r="D202" i="10"/>
  <c r="H202" i="10"/>
  <c r="L202" i="10"/>
  <c r="E202" i="10"/>
  <c r="I202" i="10"/>
  <c r="M202" i="10"/>
  <c r="B202" i="10"/>
  <c r="F202" i="10"/>
  <c r="J202" i="10"/>
  <c r="N202" i="10"/>
  <c r="D198" i="10"/>
  <c r="H198" i="10"/>
  <c r="L198" i="10"/>
  <c r="E198" i="10"/>
  <c r="I198" i="10"/>
  <c r="M198" i="10"/>
  <c r="B198" i="10"/>
  <c r="F198" i="10"/>
  <c r="J198" i="10"/>
  <c r="N198" i="10"/>
  <c r="D194" i="10"/>
  <c r="H194" i="10"/>
  <c r="L194" i="10"/>
  <c r="E194" i="10"/>
  <c r="I194" i="10"/>
  <c r="M194" i="10"/>
  <c r="B194" i="10"/>
  <c r="F194" i="10"/>
  <c r="J194" i="10"/>
  <c r="N194" i="10"/>
  <c r="D190" i="10"/>
  <c r="H190" i="10"/>
  <c r="L190" i="10"/>
  <c r="E190" i="10"/>
  <c r="I190" i="10"/>
  <c r="M190" i="10"/>
  <c r="B190" i="10"/>
  <c r="F190" i="10"/>
  <c r="J190" i="10"/>
  <c r="N190" i="10"/>
  <c r="M211" i="10"/>
  <c r="I211" i="10"/>
  <c r="E211" i="10"/>
  <c r="O210" i="10"/>
  <c r="K210" i="10"/>
  <c r="C210" i="10"/>
  <c r="M207" i="10"/>
  <c r="K206" i="10"/>
  <c r="E203" i="10"/>
  <c r="C202" i="10"/>
  <c r="M199" i="10"/>
  <c r="K198" i="10"/>
  <c r="E195" i="10"/>
  <c r="C194" i="10"/>
  <c r="M191" i="10"/>
  <c r="K190" i="10"/>
  <c r="F198" i="14"/>
  <c r="F190" i="14"/>
  <c r="B209" i="10"/>
  <c r="F209" i="10"/>
  <c r="J209" i="10"/>
  <c r="N209" i="10"/>
  <c r="C209" i="10"/>
  <c r="G209" i="10"/>
  <c r="K209" i="10"/>
  <c r="O209" i="10"/>
  <c r="D209" i="10"/>
  <c r="H209" i="10"/>
  <c r="L209" i="10"/>
  <c r="B205" i="10"/>
  <c r="F205" i="10"/>
  <c r="J205" i="10"/>
  <c r="N205" i="10"/>
  <c r="C205" i="10"/>
  <c r="G205" i="10"/>
  <c r="K205" i="10"/>
  <c r="O205" i="10"/>
  <c r="D205" i="10"/>
  <c r="H205" i="10"/>
  <c r="L205" i="10"/>
  <c r="B201" i="10"/>
  <c r="F201" i="10"/>
  <c r="J201" i="10"/>
  <c r="N201" i="10"/>
  <c r="C201" i="10"/>
  <c r="G201" i="10"/>
  <c r="K201" i="10"/>
  <c r="O201" i="10"/>
  <c r="D201" i="10"/>
  <c r="H201" i="10"/>
  <c r="L201" i="10"/>
  <c r="B197" i="10"/>
  <c r="F197" i="10"/>
  <c r="J197" i="10"/>
  <c r="N197" i="10"/>
  <c r="C197" i="10"/>
  <c r="G197" i="10"/>
  <c r="K197" i="10"/>
  <c r="O197" i="10"/>
  <c r="D197" i="10"/>
  <c r="H197" i="10"/>
  <c r="L197" i="10"/>
  <c r="B193" i="10"/>
  <c r="F193" i="10"/>
  <c r="J193" i="10"/>
  <c r="N193" i="10"/>
  <c r="C193" i="10"/>
  <c r="G193" i="10"/>
  <c r="K193" i="10"/>
  <c r="O193" i="10"/>
  <c r="D193" i="10"/>
  <c r="H193" i="10"/>
  <c r="L193" i="10"/>
  <c r="L211" i="10"/>
  <c r="H211" i="10"/>
  <c r="N210" i="10"/>
  <c r="J210" i="10"/>
  <c r="M209" i="10"/>
  <c r="I207" i="10"/>
  <c r="G206" i="10"/>
  <c r="E205" i="10"/>
  <c r="O202" i="10"/>
  <c r="M201" i="10"/>
  <c r="I199" i="10"/>
  <c r="G198" i="10"/>
  <c r="E197" i="10"/>
  <c r="O194" i="10"/>
  <c r="M193" i="10"/>
  <c r="I191" i="10"/>
  <c r="G190" i="10"/>
  <c r="E210" i="11"/>
  <c r="I210" i="11"/>
  <c r="M210" i="11"/>
  <c r="B210" i="11"/>
  <c r="F210" i="11"/>
  <c r="J210" i="11"/>
  <c r="N210" i="11"/>
  <c r="C210" i="11"/>
  <c r="G210" i="11"/>
  <c r="K210" i="11"/>
  <c r="O210" i="11"/>
  <c r="E206" i="11"/>
  <c r="I206" i="11"/>
  <c r="M206" i="11"/>
  <c r="B206" i="11"/>
  <c r="F206" i="11"/>
  <c r="J206" i="11"/>
  <c r="N206" i="11"/>
  <c r="C206" i="11"/>
  <c r="G206" i="11"/>
  <c r="K206" i="11"/>
  <c r="O206" i="11"/>
  <c r="E202" i="11"/>
  <c r="I202" i="11"/>
  <c r="M202" i="11"/>
  <c r="B202" i="11"/>
  <c r="F202" i="11"/>
  <c r="J202" i="11"/>
  <c r="N202" i="11"/>
  <c r="C202" i="11"/>
  <c r="G202" i="11"/>
  <c r="K202" i="11"/>
  <c r="O202" i="11"/>
  <c r="C198" i="11"/>
  <c r="G198" i="11"/>
  <c r="K198" i="11"/>
  <c r="O198" i="11"/>
  <c r="D198" i="11"/>
  <c r="H198" i="11"/>
  <c r="L198" i="11"/>
  <c r="E198" i="11"/>
  <c r="I198" i="11"/>
  <c r="M198" i="11"/>
  <c r="J198" i="11"/>
  <c r="N198" i="11"/>
  <c r="B198" i="11"/>
  <c r="C194" i="11"/>
  <c r="G194" i="11"/>
  <c r="K194" i="11"/>
  <c r="O194" i="11"/>
  <c r="D194" i="11"/>
  <c r="H194" i="11"/>
  <c r="L194" i="11"/>
  <c r="E194" i="11"/>
  <c r="I194" i="11"/>
  <c r="M194" i="11"/>
  <c r="B194" i="11"/>
  <c r="F194" i="11"/>
  <c r="J194" i="11"/>
  <c r="C190" i="11"/>
  <c r="G190" i="11"/>
  <c r="K190" i="11"/>
  <c r="O190" i="11"/>
  <c r="D190" i="11"/>
  <c r="H190" i="11"/>
  <c r="L190" i="11"/>
  <c r="E190" i="11"/>
  <c r="I190" i="11"/>
  <c r="M190" i="11"/>
  <c r="J190" i="11"/>
  <c r="N190" i="11"/>
  <c r="B190" i="11"/>
  <c r="C209" i="12"/>
  <c r="G209" i="12"/>
  <c r="D209" i="12"/>
  <c r="E209" i="12"/>
  <c r="I209" i="12"/>
  <c r="B209" i="12"/>
  <c r="F209" i="12"/>
  <c r="C205" i="12"/>
  <c r="G205" i="12"/>
  <c r="D205" i="12"/>
  <c r="E205" i="12"/>
  <c r="F205" i="12"/>
  <c r="C201" i="12"/>
  <c r="G201" i="12"/>
  <c r="D201" i="12"/>
  <c r="E201" i="12"/>
  <c r="B201" i="12"/>
  <c r="F201" i="12"/>
  <c r="B197" i="12"/>
  <c r="F197" i="12"/>
  <c r="C197" i="12"/>
  <c r="D197" i="12"/>
  <c r="G197" i="12"/>
  <c r="E197" i="12"/>
  <c r="B193" i="12"/>
  <c r="F193" i="12"/>
  <c r="C193" i="12"/>
  <c r="G193" i="12"/>
  <c r="D193" i="12"/>
  <c r="E193" i="12"/>
  <c r="B189" i="12"/>
  <c r="F189" i="12"/>
  <c r="C189" i="12"/>
  <c r="G189" i="12"/>
  <c r="D189" i="12"/>
  <c r="E189" i="12"/>
  <c r="F207" i="13"/>
  <c r="G207" i="13"/>
  <c r="E207" i="13"/>
  <c r="F203" i="13"/>
  <c r="G203" i="13"/>
  <c r="E203" i="13"/>
  <c r="F199" i="13"/>
  <c r="G199" i="13"/>
  <c r="E199" i="13"/>
  <c r="F195" i="13"/>
  <c r="G195" i="13"/>
  <c r="E195" i="13"/>
  <c r="F191" i="13"/>
  <c r="G191" i="13"/>
  <c r="E191" i="13"/>
  <c r="F187" i="13"/>
  <c r="G187" i="13"/>
  <c r="E187" i="13"/>
  <c r="D210" i="11"/>
  <c r="L206" i="11"/>
  <c r="D202" i="11"/>
  <c r="E201" i="11"/>
  <c r="C201" i="11"/>
  <c r="E197" i="11"/>
  <c r="I197" i="11"/>
  <c r="M197" i="11"/>
  <c r="B197" i="11"/>
  <c r="F197" i="11"/>
  <c r="J197" i="11"/>
  <c r="N197" i="11"/>
  <c r="C197" i="11"/>
  <c r="G197" i="11"/>
  <c r="K197" i="11"/>
  <c r="O197" i="11"/>
  <c r="E193" i="11"/>
  <c r="I193" i="11"/>
  <c r="M193" i="11"/>
  <c r="B193" i="11"/>
  <c r="F193" i="11"/>
  <c r="J193" i="11"/>
  <c r="N193" i="11"/>
  <c r="C193" i="11"/>
  <c r="G193" i="11"/>
  <c r="K193" i="11"/>
  <c r="O193" i="11"/>
  <c r="E189" i="11"/>
  <c r="I189" i="11"/>
  <c r="M189" i="11"/>
  <c r="B189" i="11"/>
  <c r="F189" i="11"/>
  <c r="J189" i="11"/>
  <c r="N189" i="11"/>
  <c r="C189" i="11"/>
  <c r="G189" i="11"/>
  <c r="K189" i="11"/>
  <c r="O189" i="11"/>
  <c r="E208" i="12"/>
  <c r="B208" i="12"/>
  <c r="F208" i="12"/>
  <c r="J208" i="12"/>
  <c r="C208" i="12"/>
  <c r="G208" i="12"/>
  <c r="K208" i="12"/>
  <c r="D208" i="12"/>
  <c r="E204" i="12"/>
  <c r="B204" i="12"/>
  <c r="F204" i="12"/>
  <c r="C204" i="12"/>
  <c r="G204" i="12"/>
  <c r="K204" i="12"/>
  <c r="D204" i="12"/>
  <c r="E200" i="12"/>
  <c r="B200" i="12"/>
  <c r="F200" i="12"/>
  <c r="C200" i="12"/>
  <c r="G200" i="12"/>
  <c r="D200" i="12"/>
  <c r="D196" i="12"/>
  <c r="E196" i="12"/>
  <c r="B196" i="12"/>
  <c r="F196" i="12"/>
  <c r="G196" i="12"/>
  <c r="K196" i="12"/>
  <c r="D192" i="12"/>
  <c r="H192" i="12"/>
  <c r="E192" i="12"/>
  <c r="B192" i="12"/>
  <c r="F192" i="12"/>
  <c r="C192" i="12"/>
  <c r="G192" i="12"/>
  <c r="D188" i="12"/>
  <c r="E188" i="12"/>
  <c r="B188" i="12"/>
  <c r="F188" i="12"/>
  <c r="G188" i="12"/>
  <c r="C188" i="12"/>
  <c r="E210" i="13"/>
  <c r="F210" i="13"/>
  <c r="G210" i="13"/>
  <c r="E206" i="13"/>
  <c r="F206" i="13"/>
  <c r="G206" i="13"/>
  <c r="E202" i="13"/>
  <c r="F202" i="13"/>
  <c r="G202" i="13"/>
  <c r="E198" i="13"/>
  <c r="F198" i="13"/>
  <c r="G198" i="13"/>
  <c r="E194" i="13"/>
  <c r="F194" i="13"/>
  <c r="G194" i="13"/>
  <c r="E190" i="13"/>
  <c r="F190" i="13"/>
  <c r="G190" i="13"/>
  <c r="M211" i="11"/>
  <c r="I211" i="11"/>
  <c r="E211" i="11"/>
  <c r="M209" i="11"/>
  <c r="I209" i="11"/>
  <c r="E209" i="11"/>
  <c r="O208" i="11"/>
  <c r="K208" i="11"/>
  <c r="G208" i="11"/>
  <c r="C208" i="11"/>
  <c r="M207" i="11"/>
  <c r="I207" i="11"/>
  <c r="E207" i="11"/>
  <c r="M205" i="11"/>
  <c r="I205" i="11"/>
  <c r="E205" i="11"/>
  <c r="O204" i="11"/>
  <c r="K204" i="11"/>
  <c r="G204" i="11"/>
  <c r="C204" i="11"/>
  <c r="M203" i="11"/>
  <c r="I203" i="11"/>
  <c r="E203" i="11"/>
  <c r="M201" i="11"/>
  <c r="I201" i="11"/>
  <c r="D201" i="11"/>
  <c r="L195" i="11"/>
  <c r="H193" i="11"/>
  <c r="C200" i="11"/>
  <c r="G200" i="11"/>
  <c r="K200" i="11"/>
  <c r="O200" i="11"/>
  <c r="D200" i="11"/>
  <c r="H200" i="11"/>
  <c r="L200" i="11"/>
  <c r="E200" i="11"/>
  <c r="I200" i="11"/>
  <c r="M200" i="11"/>
  <c r="C196" i="11"/>
  <c r="G196" i="11"/>
  <c r="K196" i="11"/>
  <c r="O196" i="11"/>
  <c r="D196" i="11"/>
  <c r="H196" i="11"/>
  <c r="L196" i="11"/>
  <c r="E196" i="11"/>
  <c r="I196" i="11"/>
  <c r="M196" i="11"/>
  <c r="C192" i="11"/>
  <c r="G192" i="11"/>
  <c r="K192" i="11"/>
  <c r="O192" i="11"/>
  <c r="D192" i="11"/>
  <c r="H192" i="11"/>
  <c r="L192" i="11"/>
  <c r="E192" i="11"/>
  <c r="I192" i="11"/>
  <c r="M192" i="11"/>
  <c r="C207" i="12"/>
  <c r="G207" i="12"/>
  <c r="K207" i="12"/>
  <c r="D207" i="12"/>
  <c r="H207" i="12"/>
  <c r="E207" i="12"/>
  <c r="B207" i="12"/>
  <c r="C203" i="12"/>
  <c r="G203" i="12"/>
  <c r="D203" i="12"/>
  <c r="E203" i="12"/>
  <c r="B203" i="12"/>
  <c r="F203" i="12"/>
  <c r="C199" i="12"/>
  <c r="G199" i="12"/>
  <c r="D199" i="12"/>
  <c r="E199" i="12"/>
  <c r="B199" i="12"/>
  <c r="B195" i="12"/>
  <c r="F195" i="12"/>
  <c r="C195" i="12"/>
  <c r="G195" i="12"/>
  <c r="D195" i="12"/>
  <c r="E195" i="12"/>
  <c r="B191" i="12"/>
  <c r="F191" i="12"/>
  <c r="C191" i="12"/>
  <c r="G191" i="12"/>
  <c r="D191" i="12"/>
  <c r="E191" i="12"/>
  <c r="F209" i="13"/>
  <c r="G209" i="13"/>
  <c r="E209" i="13"/>
  <c r="F205" i="13"/>
  <c r="G205" i="13"/>
  <c r="E205" i="13"/>
  <c r="F201" i="13"/>
  <c r="G201" i="13"/>
  <c r="E201" i="13"/>
  <c r="F197" i="13"/>
  <c r="G197" i="13"/>
  <c r="F193" i="13"/>
  <c r="G193" i="13"/>
  <c r="E193" i="13"/>
  <c r="F189" i="13"/>
  <c r="G189" i="13"/>
  <c r="E189" i="13"/>
  <c r="L211" i="11"/>
  <c r="H211" i="11"/>
  <c r="D211" i="11"/>
  <c r="L209" i="11"/>
  <c r="H209" i="11"/>
  <c r="D209" i="11"/>
  <c r="N208" i="11"/>
  <c r="J208" i="11"/>
  <c r="F208" i="11"/>
  <c r="B208" i="11"/>
  <c r="L207" i="11"/>
  <c r="H207" i="11"/>
  <c r="D207" i="11"/>
  <c r="L205" i="11"/>
  <c r="H205" i="11"/>
  <c r="D205" i="11"/>
  <c r="N204" i="11"/>
  <c r="J204" i="11"/>
  <c r="F204" i="11"/>
  <c r="B204" i="11"/>
  <c r="L203" i="11"/>
  <c r="H203" i="11"/>
  <c r="D203" i="11"/>
  <c r="L201" i="11"/>
  <c r="H201" i="11"/>
  <c r="B201" i="11"/>
  <c r="B200" i="11"/>
  <c r="L197" i="11"/>
  <c r="J196" i="11"/>
  <c r="D193" i="11"/>
  <c r="B192" i="11"/>
  <c r="L189" i="11"/>
  <c r="F207" i="12"/>
  <c r="E199" i="11"/>
  <c r="I199" i="11"/>
  <c r="M199" i="11"/>
  <c r="B199" i="11"/>
  <c r="F199" i="11"/>
  <c r="J199" i="11"/>
  <c r="N199" i="11"/>
  <c r="C199" i="11"/>
  <c r="G199" i="11"/>
  <c r="K199" i="11"/>
  <c r="O199" i="11"/>
  <c r="E195" i="11"/>
  <c r="I195" i="11"/>
  <c r="M195" i="11"/>
  <c r="B195" i="11"/>
  <c r="F195" i="11"/>
  <c r="J195" i="11"/>
  <c r="N195" i="11"/>
  <c r="C195" i="11"/>
  <c r="G195" i="11"/>
  <c r="K195" i="11"/>
  <c r="O195" i="11"/>
  <c r="E191" i="11"/>
  <c r="I191" i="11"/>
  <c r="M191" i="11"/>
  <c r="B191" i="11"/>
  <c r="F191" i="11"/>
  <c r="J191" i="11"/>
  <c r="N191" i="11"/>
  <c r="C191" i="11"/>
  <c r="G191" i="11"/>
  <c r="K191" i="11"/>
  <c r="O191" i="11"/>
  <c r="E210" i="12"/>
  <c r="I210" i="12"/>
  <c r="B210" i="12"/>
  <c r="F210" i="12"/>
  <c r="C210" i="12"/>
  <c r="G210" i="12"/>
  <c r="D210" i="12"/>
  <c r="E206" i="12"/>
  <c r="B206" i="12"/>
  <c r="F206" i="12"/>
  <c r="C206" i="12"/>
  <c r="G206" i="12"/>
  <c r="H206" i="12"/>
  <c r="E202" i="12"/>
  <c r="B202" i="12"/>
  <c r="F202" i="12"/>
  <c r="C202" i="12"/>
  <c r="G202" i="12"/>
  <c r="D202" i="12"/>
  <c r="E198" i="12"/>
  <c r="B198" i="12"/>
  <c r="F198" i="12"/>
  <c r="C198" i="12"/>
  <c r="G198" i="12"/>
  <c r="H198" i="12"/>
  <c r="D194" i="12"/>
  <c r="E194" i="12"/>
  <c r="B194" i="12"/>
  <c r="F194" i="12"/>
  <c r="C194" i="12"/>
  <c r="G194" i="12"/>
  <c r="D190" i="12"/>
  <c r="H190" i="12"/>
  <c r="E190" i="12"/>
  <c r="B190" i="12"/>
  <c r="F190" i="12"/>
  <c r="C190" i="12"/>
  <c r="G190" i="12"/>
  <c r="E208" i="13"/>
  <c r="F208" i="13"/>
  <c r="G208" i="13"/>
  <c r="E204" i="13"/>
  <c r="F204" i="13"/>
  <c r="G204" i="13"/>
  <c r="E200" i="13"/>
  <c r="F200" i="13"/>
  <c r="G200" i="13"/>
  <c r="E196" i="13"/>
  <c r="F196" i="13"/>
  <c r="G196" i="13"/>
  <c r="E192" i="13"/>
  <c r="F192" i="13"/>
  <c r="G192" i="13"/>
  <c r="E188" i="13"/>
  <c r="F188" i="13"/>
  <c r="G188" i="13"/>
  <c r="O211" i="11"/>
  <c r="K211" i="11"/>
  <c r="G211" i="11"/>
  <c r="O209" i="11"/>
  <c r="K209" i="11"/>
  <c r="G209" i="11"/>
  <c r="M208" i="11"/>
  <c r="I208" i="11"/>
  <c r="O207" i="11"/>
  <c r="K207" i="11"/>
  <c r="G207" i="11"/>
  <c r="O205" i="11"/>
  <c r="K205" i="11"/>
  <c r="G205" i="11"/>
  <c r="M204" i="11"/>
  <c r="I204" i="11"/>
  <c r="O203" i="11"/>
  <c r="K203" i="11"/>
  <c r="G203" i="11"/>
  <c r="O201" i="11"/>
  <c r="K201" i="11"/>
  <c r="G201" i="11"/>
  <c r="N200" i="11"/>
  <c r="L199" i="11"/>
  <c r="H197" i="11"/>
  <c r="F196" i="11"/>
  <c r="D195" i="11"/>
  <c r="N192" i="11"/>
  <c r="L191" i="11"/>
  <c r="H189" i="11"/>
  <c r="D206" i="12"/>
  <c r="C196" i="12"/>
  <c r="E197" i="13"/>
  <c r="E209" i="6"/>
  <c r="I209" i="6"/>
  <c r="M209" i="12" s="1"/>
  <c r="M209" i="6"/>
  <c r="B209" i="6"/>
  <c r="F209" i="6"/>
  <c r="J209" i="6"/>
  <c r="N209" i="6"/>
  <c r="C209" i="6"/>
  <c r="G209" i="6"/>
  <c r="K209" i="6"/>
  <c r="N209" i="12" s="1"/>
  <c r="O209" i="6"/>
  <c r="D209" i="6"/>
  <c r="H209" i="6"/>
  <c r="L209" i="12" s="1"/>
  <c r="L209" i="6"/>
  <c r="O209" i="12" s="1"/>
  <c r="E205" i="6"/>
  <c r="I205" i="6"/>
  <c r="M205" i="12" s="1"/>
  <c r="M205" i="6"/>
  <c r="B205" i="6"/>
  <c r="F205" i="6"/>
  <c r="J205" i="6"/>
  <c r="N205" i="6"/>
  <c r="C205" i="6"/>
  <c r="G205" i="6"/>
  <c r="K205" i="6"/>
  <c r="N205" i="12" s="1"/>
  <c r="O205" i="6"/>
  <c r="D205" i="6"/>
  <c r="H205" i="6"/>
  <c r="L205" i="12" s="1"/>
  <c r="L205" i="6"/>
  <c r="O205" i="12" s="1"/>
  <c r="E201" i="6"/>
  <c r="I201" i="6"/>
  <c r="M201" i="12" s="1"/>
  <c r="M201" i="6"/>
  <c r="B201" i="6"/>
  <c r="F201" i="6"/>
  <c r="J201" i="6"/>
  <c r="N201" i="6"/>
  <c r="C201" i="6"/>
  <c r="G201" i="6"/>
  <c r="K201" i="6"/>
  <c r="N201" i="12" s="1"/>
  <c r="O201" i="6"/>
  <c r="D201" i="6"/>
  <c r="H201" i="6"/>
  <c r="L201" i="12" s="1"/>
  <c r="L201" i="6"/>
  <c r="O201" i="12" s="1"/>
  <c r="E197" i="6"/>
  <c r="I197" i="6"/>
  <c r="M197" i="12" s="1"/>
  <c r="M197" i="6"/>
  <c r="B197" i="6"/>
  <c r="F197" i="6"/>
  <c r="J197" i="6"/>
  <c r="N197" i="6"/>
  <c r="C197" i="6"/>
  <c r="G197" i="6"/>
  <c r="K197" i="6"/>
  <c r="N197" i="12" s="1"/>
  <c r="O197" i="6"/>
  <c r="D197" i="6"/>
  <c r="H197" i="6"/>
  <c r="L197" i="12" s="1"/>
  <c r="L197" i="6"/>
  <c r="O197" i="12" s="1"/>
  <c r="E193" i="6"/>
  <c r="I193" i="6"/>
  <c r="M193" i="12" s="1"/>
  <c r="M193" i="6"/>
  <c r="B193" i="6"/>
  <c r="F193" i="6"/>
  <c r="J193" i="6"/>
  <c r="N193" i="6"/>
  <c r="C193" i="6"/>
  <c r="G193" i="6"/>
  <c r="K193" i="6"/>
  <c r="N193" i="12" s="1"/>
  <c r="O193" i="6"/>
  <c r="D193" i="6"/>
  <c r="H193" i="6"/>
  <c r="L193" i="12" s="1"/>
  <c r="L193" i="6"/>
  <c r="O193" i="12" s="1"/>
  <c r="E189" i="6"/>
  <c r="I189" i="6"/>
  <c r="M189" i="12" s="1"/>
  <c r="M189" i="6"/>
  <c r="B189" i="6"/>
  <c r="F189" i="6"/>
  <c r="J189" i="6"/>
  <c r="N189" i="6"/>
  <c r="C189" i="6"/>
  <c r="G189" i="6"/>
  <c r="K189" i="6"/>
  <c r="N189" i="12" s="1"/>
  <c r="O189" i="6"/>
  <c r="D189" i="6"/>
  <c r="H189" i="6"/>
  <c r="L189" i="12" s="1"/>
  <c r="L189" i="6"/>
  <c r="O189" i="12" s="1"/>
  <c r="O213" i="12"/>
  <c r="L213" i="12"/>
  <c r="L211" i="6"/>
  <c r="O211" i="12" s="1"/>
  <c r="C208" i="6"/>
  <c r="G208" i="6"/>
  <c r="K208" i="6"/>
  <c r="N208" i="12" s="1"/>
  <c r="O208" i="6"/>
  <c r="D208" i="6"/>
  <c r="H208" i="6"/>
  <c r="L208" i="12" s="1"/>
  <c r="L208" i="6"/>
  <c r="O208" i="12" s="1"/>
  <c r="E208" i="6"/>
  <c r="I208" i="6"/>
  <c r="M208" i="12" s="1"/>
  <c r="M208" i="6"/>
  <c r="B208" i="6"/>
  <c r="F208" i="6"/>
  <c r="J208" i="6"/>
  <c r="N208" i="6"/>
  <c r="C204" i="6"/>
  <c r="G204" i="6"/>
  <c r="K204" i="6"/>
  <c r="N204" i="12" s="1"/>
  <c r="O204" i="6"/>
  <c r="D204" i="6"/>
  <c r="H204" i="6"/>
  <c r="L204" i="12" s="1"/>
  <c r="L204" i="6"/>
  <c r="O204" i="12" s="1"/>
  <c r="E204" i="6"/>
  <c r="I204" i="6"/>
  <c r="M204" i="12" s="1"/>
  <c r="M204" i="6"/>
  <c r="B204" i="6"/>
  <c r="F204" i="6"/>
  <c r="J204" i="6"/>
  <c r="N204" i="6"/>
  <c r="C200" i="6"/>
  <c r="G200" i="6"/>
  <c r="K200" i="6"/>
  <c r="N200" i="12" s="1"/>
  <c r="O200" i="6"/>
  <c r="D200" i="6"/>
  <c r="H200" i="6"/>
  <c r="L200" i="12" s="1"/>
  <c r="L200" i="6"/>
  <c r="O200" i="12" s="1"/>
  <c r="E200" i="6"/>
  <c r="I200" i="6"/>
  <c r="M200" i="12" s="1"/>
  <c r="M200" i="6"/>
  <c r="B200" i="6"/>
  <c r="F200" i="6"/>
  <c r="J200" i="6"/>
  <c r="N200" i="6"/>
  <c r="C196" i="6"/>
  <c r="G196" i="6"/>
  <c r="K196" i="6"/>
  <c r="N196" i="12" s="1"/>
  <c r="O196" i="6"/>
  <c r="D196" i="6"/>
  <c r="H196" i="6"/>
  <c r="L196" i="12" s="1"/>
  <c r="L196" i="6"/>
  <c r="O196" i="12" s="1"/>
  <c r="E196" i="6"/>
  <c r="I196" i="6"/>
  <c r="M196" i="12" s="1"/>
  <c r="M196" i="6"/>
  <c r="B196" i="6"/>
  <c r="F196" i="6"/>
  <c r="J196" i="6"/>
  <c r="N196" i="6"/>
  <c r="C192" i="6"/>
  <c r="G192" i="6"/>
  <c r="K192" i="6"/>
  <c r="N192" i="12" s="1"/>
  <c r="O192" i="6"/>
  <c r="D192" i="6"/>
  <c r="H192" i="6"/>
  <c r="L192" i="12" s="1"/>
  <c r="L192" i="6"/>
  <c r="O192" i="12" s="1"/>
  <c r="E192" i="6"/>
  <c r="I192" i="6"/>
  <c r="M192" i="12" s="1"/>
  <c r="M192" i="6"/>
  <c r="B192" i="6"/>
  <c r="F192" i="6"/>
  <c r="J192" i="6"/>
  <c r="N192" i="6"/>
  <c r="C188" i="6"/>
  <c r="G188" i="6"/>
  <c r="K188" i="6"/>
  <c r="N188" i="12" s="1"/>
  <c r="O188" i="6"/>
  <c r="D188" i="6"/>
  <c r="H188" i="6"/>
  <c r="L188" i="12" s="1"/>
  <c r="L188" i="6"/>
  <c r="O188" i="12" s="1"/>
  <c r="E188" i="6"/>
  <c r="I188" i="6"/>
  <c r="M188" i="12" s="1"/>
  <c r="M188" i="6"/>
  <c r="B188" i="6"/>
  <c r="F188" i="6"/>
  <c r="J188" i="6"/>
  <c r="N188" i="6"/>
  <c r="N213" i="12"/>
  <c r="M212" i="12"/>
  <c r="O211" i="6"/>
  <c r="E211" i="6"/>
  <c r="B211" i="6"/>
  <c r="F211" i="6"/>
  <c r="C211" i="6"/>
  <c r="G211" i="6"/>
  <c r="D211" i="6"/>
  <c r="H211" i="6"/>
  <c r="L211" i="12" s="1"/>
  <c r="E207" i="6"/>
  <c r="I207" i="6"/>
  <c r="M207" i="12" s="1"/>
  <c r="M207" i="6"/>
  <c r="B207" i="6"/>
  <c r="F207" i="6"/>
  <c r="J207" i="6"/>
  <c r="N207" i="6"/>
  <c r="C207" i="6"/>
  <c r="G207" i="6"/>
  <c r="K207" i="6"/>
  <c r="N207" i="12" s="1"/>
  <c r="O207" i="6"/>
  <c r="D207" i="6"/>
  <c r="H207" i="6"/>
  <c r="L207" i="12" s="1"/>
  <c r="L207" i="6"/>
  <c r="O207" i="12" s="1"/>
  <c r="E203" i="6"/>
  <c r="I203" i="6"/>
  <c r="M203" i="12" s="1"/>
  <c r="M203" i="6"/>
  <c r="B203" i="6"/>
  <c r="F203" i="6"/>
  <c r="J203" i="6"/>
  <c r="N203" i="6"/>
  <c r="C203" i="6"/>
  <c r="G203" i="6"/>
  <c r="K203" i="6"/>
  <c r="N203" i="12" s="1"/>
  <c r="O203" i="6"/>
  <c r="D203" i="6"/>
  <c r="H203" i="6"/>
  <c r="L203" i="12" s="1"/>
  <c r="L203" i="6"/>
  <c r="O203" i="12" s="1"/>
  <c r="E199" i="6"/>
  <c r="I199" i="6"/>
  <c r="M199" i="12" s="1"/>
  <c r="M199" i="6"/>
  <c r="B199" i="6"/>
  <c r="F199" i="6"/>
  <c r="J199" i="6"/>
  <c r="N199" i="6"/>
  <c r="C199" i="6"/>
  <c r="G199" i="6"/>
  <c r="K199" i="6"/>
  <c r="N199" i="12" s="1"/>
  <c r="O199" i="6"/>
  <c r="D199" i="6"/>
  <c r="H199" i="6"/>
  <c r="L199" i="12" s="1"/>
  <c r="L199" i="6"/>
  <c r="O199" i="12" s="1"/>
  <c r="E195" i="6"/>
  <c r="I195" i="6"/>
  <c r="M195" i="12" s="1"/>
  <c r="M195" i="6"/>
  <c r="B195" i="6"/>
  <c r="F195" i="6"/>
  <c r="J195" i="6"/>
  <c r="N195" i="6"/>
  <c r="C195" i="6"/>
  <c r="G195" i="6"/>
  <c r="K195" i="6"/>
  <c r="N195" i="12" s="1"/>
  <c r="O195" i="6"/>
  <c r="D195" i="6"/>
  <c r="H195" i="6"/>
  <c r="L195" i="12" s="1"/>
  <c r="L195" i="6"/>
  <c r="O195" i="12" s="1"/>
  <c r="E191" i="6"/>
  <c r="I191" i="6"/>
  <c r="M191" i="12" s="1"/>
  <c r="M191" i="6"/>
  <c r="B191" i="6"/>
  <c r="F191" i="6"/>
  <c r="J191" i="6"/>
  <c r="N191" i="6"/>
  <c r="C191" i="6"/>
  <c r="G191" i="6"/>
  <c r="K191" i="6"/>
  <c r="N191" i="12" s="1"/>
  <c r="O191" i="6"/>
  <c r="D191" i="6"/>
  <c r="H191" i="6"/>
  <c r="L191" i="12" s="1"/>
  <c r="L191" i="6"/>
  <c r="O191" i="12" s="1"/>
  <c r="O212" i="12"/>
  <c r="L212" i="12"/>
  <c r="N211" i="6"/>
  <c r="J211" i="6"/>
  <c r="C210" i="6"/>
  <c r="G210" i="6"/>
  <c r="K210" i="6"/>
  <c r="N210" i="12" s="1"/>
  <c r="O210" i="6"/>
  <c r="D210" i="6"/>
  <c r="H210" i="6"/>
  <c r="L210" i="12" s="1"/>
  <c r="L210" i="6"/>
  <c r="O210" i="12" s="1"/>
  <c r="E210" i="6"/>
  <c r="I210" i="6"/>
  <c r="M210" i="12" s="1"/>
  <c r="M210" i="6"/>
  <c r="B210" i="6"/>
  <c r="F210" i="6"/>
  <c r="J210" i="6"/>
  <c r="N210" i="6"/>
  <c r="C206" i="6"/>
  <c r="G206" i="6"/>
  <c r="K206" i="6"/>
  <c r="N206" i="12" s="1"/>
  <c r="O206" i="6"/>
  <c r="D206" i="6"/>
  <c r="H206" i="6"/>
  <c r="L206" i="12" s="1"/>
  <c r="L206" i="6"/>
  <c r="O206" i="12" s="1"/>
  <c r="E206" i="6"/>
  <c r="I206" i="6"/>
  <c r="M206" i="12" s="1"/>
  <c r="M206" i="6"/>
  <c r="B206" i="6"/>
  <c r="F206" i="6"/>
  <c r="J206" i="6"/>
  <c r="N206" i="6"/>
  <c r="C202" i="6"/>
  <c r="G202" i="6"/>
  <c r="K202" i="6"/>
  <c r="N202" i="12" s="1"/>
  <c r="O202" i="6"/>
  <c r="D202" i="6"/>
  <c r="H202" i="6"/>
  <c r="L202" i="12" s="1"/>
  <c r="L202" i="6"/>
  <c r="O202" i="12" s="1"/>
  <c r="E202" i="6"/>
  <c r="I202" i="6"/>
  <c r="M202" i="12" s="1"/>
  <c r="M202" i="6"/>
  <c r="B202" i="6"/>
  <c r="F202" i="6"/>
  <c r="J202" i="6"/>
  <c r="N202" i="6"/>
  <c r="C198" i="6"/>
  <c r="G198" i="6"/>
  <c r="K198" i="6"/>
  <c r="N198" i="12" s="1"/>
  <c r="O198" i="6"/>
  <c r="D198" i="6"/>
  <c r="H198" i="6"/>
  <c r="L198" i="12" s="1"/>
  <c r="L198" i="6"/>
  <c r="O198" i="12" s="1"/>
  <c r="E198" i="6"/>
  <c r="I198" i="6"/>
  <c r="M198" i="12" s="1"/>
  <c r="M198" i="6"/>
  <c r="B198" i="6"/>
  <c r="F198" i="6"/>
  <c r="J198" i="6"/>
  <c r="N198" i="6"/>
  <c r="C194" i="6"/>
  <c r="G194" i="6"/>
  <c r="K194" i="6"/>
  <c r="N194" i="12" s="1"/>
  <c r="O194" i="6"/>
  <c r="D194" i="6"/>
  <c r="H194" i="6"/>
  <c r="L194" i="12" s="1"/>
  <c r="L194" i="6"/>
  <c r="O194" i="12" s="1"/>
  <c r="E194" i="6"/>
  <c r="I194" i="6"/>
  <c r="M194" i="12" s="1"/>
  <c r="M194" i="6"/>
  <c r="B194" i="6"/>
  <c r="F194" i="6"/>
  <c r="J194" i="6"/>
  <c r="N194" i="6"/>
  <c r="C190" i="6"/>
  <c r="G190" i="6"/>
  <c r="K190" i="6"/>
  <c r="N190" i="12" s="1"/>
  <c r="O190" i="6"/>
  <c r="D190" i="6"/>
  <c r="H190" i="6"/>
  <c r="L190" i="12" s="1"/>
  <c r="L190" i="6"/>
  <c r="O190" i="12" s="1"/>
  <c r="E190" i="6"/>
  <c r="I190" i="6"/>
  <c r="M190" i="12" s="1"/>
  <c r="M190" i="6"/>
  <c r="B190" i="6"/>
  <c r="F190" i="6"/>
  <c r="J190" i="6"/>
  <c r="N190" i="6"/>
  <c r="M213" i="12"/>
  <c r="N212" i="12"/>
  <c r="M211" i="6"/>
  <c r="I211" i="6"/>
  <c r="M211" i="12" s="1"/>
  <c r="Q213" i="2"/>
  <c r="D205" i="2"/>
  <c r="I197" i="2"/>
  <c r="H208" i="2"/>
  <c r="C212" i="2"/>
  <c r="R212" i="2"/>
  <c r="I204" i="2"/>
  <c r="L204" i="2"/>
  <c r="M200" i="2"/>
  <c r="P200" i="2"/>
  <c r="C196" i="2"/>
  <c r="D196" i="2"/>
  <c r="R196" i="2"/>
  <c r="B200" i="2"/>
  <c r="D212" i="2"/>
  <c r="E211" i="2"/>
  <c r="P207" i="2"/>
  <c r="L199" i="2"/>
  <c r="S209" i="2"/>
  <c r="H207" i="2"/>
  <c r="R203" i="2"/>
  <c r="C199" i="2"/>
  <c r="E195" i="2"/>
  <c r="D206" i="2"/>
  <c r="L206" i="2"/>
  <c r="R206" i="2"/>
  <c r="E206" i="2"/>
  <c r="M206" i="2"/>
  <c r="S206" i="2"/>
  <c r="B194" i="2"/>
  <c r="H194" i="2"/>
  <c r="P194" i="2"/>
  <c r="C194" i="2"/>
  <c r="I194" i="2"/>
  <c r="Q194" i="2"/>
  <c r="C206" i="2"/>
  <c r="S202" i="2"/>
  <c r="E213" i="2"/>
  <c r="R213" i="2"/>
  <c r="B213" i="2"/>
  <c r="S213" i="2"/>
  <c r="C209" i="2"/>
  <c r="H209" i="2"/>
  <c r="L209" i="2"/>
  <c r="P209" i="2"/>
  <c r="D209" i="2"/>
  <c r="I209" i="2"/>
  <c r="M209" i="2"/>
  <c r="Q209" i="2"/>
  <c r="E205" i="2"/>
  <c r="R205" i="2"/>
  <c r="B205" i="2"/>
  <c r="S205" i="2"/>
  <c r="C201" i="2"/>
  <c r="H201" i="2"/>
  <c r="L201" i="2"/>
  <c r="P201" i="2"/>
  <c r="D201" i="2"/>
  <c r="I201" i="2"/>
  <c r="M201" i="2"/>
  <c r="Q201" i="2"/>
  <c r="E197" i="2"/>
  <c r="R197" i="2"/>
  <c r="B197" i="2"/>
  <c r="S197" i="2"/>
  <c r="H214" i="2"/>
  <c r="P213" i="2"/>
  <c r="H213" i="2"/>
  <c r="Q212" i="2"/>
  <c r="M211" i="2"/>
  <c r="D211" i="2"/>
  <c r="R209" i="2"/>
  <c r="S208" i="2"/>
  <c r="P206" i="2"/>
  <c r="B206" i="2"/>
  <c r="L205" i="2"/>
  <c r="C205" i="2"/>
  <c r="Q203" i="2"/>
  <c r="I203" i="2"/>
  <c r="R202" i="2"/>
  <c r="D202" i="2"/>
  <c r="E201" i="2"/>
  <c r="S199" i="2"/>
  <c r="B199" i="2"/>
  <c r="H198" i="2"/>
  <c r="P197" i="2"/>
  <c r="H197" i="2"/>
  <c r="Q196" i="2"/>
  <c r="M195" i="2"/>
  <c r="D195" i="2"/>
  <c r="L194" i="2"/>
  <c r="B210" i="2"/>
  <c r="H210" i="2"/>
  <c r="P210" i="2"/>
  <c r="C210" i="2"/>
  <c r="I210" i="2"/>
  <c r="Q210" i="2"/>
  <c r="Q206" i="2"/>
  <c r="E212" i="2"/>
  <c r="M212" i="2"/>
  <c r="S212" i="2"/>
  <c r="B212" i="2"/>
  <c r="H212" i="2"/>
  <c r="P212" i="2"/>
  <c r="C208" i="2"/>
  <c r="I208" i="2"/>
  <c r="Q208" i="2"/>
  <c r="D208" i="2"/>
  <c r="L208" i="2"/>
  <c r="R208" i="2"/>
  <c r="E204" i="2"/>
  <c r="M204" i="2"/>
  <c r="S204" i="2"/>
  <c r="B204" i="2"/>
  <c r="H204" i="2"/>
  <c r="P204" i="2"/>
  <c r="C200" i="2"/>
  <c r="I200" i="2"/>
  <c r="Q200" i="2"/>
  <c r="D200" i="2"/>
  <c r="L200" i="2"/>
  <c r="R200" i="2"/>
  <c r="E196" i="2"/>
  <c r="M196" i="2"/>
  <c r="S196" i="2"/>
  <c r="B196" i="2"/>
  <c r="H196" i="2"/>
  <c r="P196" i="2"/>
  <c r="Q214" i="2"/>
  <c r="M213" i="2"/>
  <c r="D213" i="2"/>
  <c r="L212" i="2"/>
  <c r="S210" i="2"/>
  <c r="E210" i="2"/>
  <c r="P208" i="2"/>
  <c r="B208" i="2"/>
  <c r="L207" i="2"/>
  <c r="I206" i="2"/>
  <c r="Q205" i="2"/>
  <c r="I205" i="2"/>
  <c r="R204" i="2"/>
  <c r="D204" i="2"/>
  <c r="S201" i="2"/>
  <c r="B201" i="2"/>
  <c r="H200" i="2"/>
  <c r="P199" i="2"/>
  <c r="Q198" i="2"/>
  <c r="M197" i="2"/>
  <c r="D197" i="2"/>
  <c r="L196" i="2"/>
  <c r="S194" i="2"/>
  <c r="E194" i="2"/>
  <c r="D214" i="2"/>
  <c r="L214" i="2"/>
  <c r="R214" i="2"/>
  <c r="E214" i="2"/>
  <c r="M214" i="2"/>
  <c r="S214" i="2"/>
  <c r="B202" i="2"/>
  <c r="H202" i="2"/>
  <c r="P202" i="2"/>
  <c r="C202" i="2"/>
  <c r="I202" i="2"/>
  <c r="Q202" i="2"/>
  <c r="D198" i="2"/>
  <c r="L198" i="2"/>
  <c r="R198" i="2"/>
  <c r="E198" i="2"/>
  <c r="M198" i="2"/>
  <c r="S198" i="2"/>
  <c r="I214" i="2"/>
  <c r="M210" i="2"/>
  <c r="E202" i="2"/>
  <c r="I198" i="2"/>
  <c r="M194" i="2"/>
  <c r="B211" i="2"/>
  <c r="S211" i="2"/>
  <c r="C211" i="2"/>
  <c r="H211" i="2"/>
  <c r="L211" i="2"/>
  <c r="P211" i="2"/>
  <c r="D207" i="2"/>
  <c r="I207" i="2"/>
  <c r="M207" i="2"/>
  <c r="Q207" i="2"/>
  <c r="E207" i="2"/>
  <c r="R207" i="2"/>
  <c r="B203" i="2"/>
  <c r="S203" i="2"/>
  <c r="C203" i="2"/>
  <c r="H203" i="2"/>
  <c r="L203" i="2"/>
  <c r="P203" i="2"/>
  <c r="D199" i="2"/>
  <c r="I199" i="2"/>
  <c r="M199" i="2"/>
  <c r="Q199" i="2"/>
  <c r="E199" i="2"/>
  <c r="R199" i="2"/>
  <c r="B195" i="2"/>
  <c r="S195" i="2"/>
  <c r="C195" i="2"/>
  <c r="H195" i="2"/>
  <c r="L195" i="2"/>
  <c r="P195" i="2"/>
  <c r="P214" i="2"/>
  <c r="B214" i="2"/>
  <c r="L213" i="2"/>
  <c r="C213" i="2"/>
  <c r="I212" i="2"/>
  <c r="Q211" i="2"/>
  <c r="I211" i="2"/>
  <c r="R210" i="2"/>
  <c r="D210" i="2"/>
  <c r="E209" i="2"/>
  <c r="M208" i="2"/>
  <c r="S207" i="2"/>
  <c r="B207" i="2"/>
  <c r="H206" i="2"/>
  <c r="P205" i="2"/>
  <c r="H205" i="2"/>
  <c r="Q204" i="2"/>
  <c r="C204" i="2"/>
  <c r="M203" i="2"/>
  <c r="D203" i="2"/>
  <c r="G203" i="2" s="1"/>
  <c r="L202" i="2"/>
  <c r="N202" i="2" s="1"/>
  <c r="O202" i="2" s="1"/>
  <c r="R201" i="2"/>
  <c r="S200" i="2"/>
  <c r="E200" i="2"/>
  <c r="P198" i="2"/>
  <c r="B198" i="2"/>
  <c r="L197" i="2"/>
  <c r="C197" i="2"/>
  <c r="I196" i="2"/>
  <c r="Q195" i="2"/>
  <c r="I195" i="2"/>
  <c r="R194" i="2"/>
  <c r="D194" i="2"/>
  <c r="N205" i="2" l="1"/>
  <c r="O205" i="2" s="1"/>
  <c r="J213" i="2"/>
  <c r="K213" i="2" s="1"/>
  <c r="M198" i="3"/>
  <c r="L198" i="3"/>
  <c r="Q203" i="3"/>
  <c r="B203" i="3"/>
  <c r="Q198" i="3"/>
  <c r="F198" i="3"/>
  <c r="H198" i="3" s="1"/>
  <c r="N198" i="3"/>
  <c r="K210" i="3"/>
  <c r="B201" i="3"/>
  <c r="N196" i="2"/>
  <c r="O196" i="2" s="1"/>
  <c r="Q201" i="3"/>
  <c r="F209" i="3"/>
  <c r="P205" i="3"/>
  <c r="J207" i="3"/>
  <c r="K207" i="3" s="1"/>
  <c r="D209" i="3"/>
  <c r="E209" i="3" s="1"/>
  <c r="O205" i="3"/>
  <c r="G201" i="3"/>
  <c r="G209" i="3"/>
  <c r="D205" i="3"/>
  <c r="E205" i="3" s="1"/>
  <c r="M209" i="3"/>
  <c r="F201" i="3"/>
  <c r="H201" i="3" s="1"/>
  <c r="O209" i="3"/>
  <c r="L195" i="3"/>
  <c r="N205" i="3"/>
  <c r="I209" i="3"/>
  <c r="J201" i="3"/>
  <c r="H210" i="3"/>
  <c r="L201" i="3"/>
  <c r="G205" i="3"/>
  <c r="L209" i="3"/>
  <c r="D201" i="3"/>
  <c r="E201" i="3" s="1"/>
  <c r="M205" i="3"/>
  <c r="Q209" i="3"/>
  <c r="O201" i="3"/>
  <c r="I201" i="3"/>
  <c r="N209" i="3"/>
  <c r="F205" i="3"/>
  <c r="H205" i="3" s="1"/>
  <c r="F198" i="2"/>
  <c r="N210" i="2"/>
  <c r="O210" i="2" s="1"/>
  <c r="P201" i="3"/>
  <c r="L205" i="3"/>
  <c r="P209" i="3"/>
  <c r="M201" i="3"/>
  <c r="Q205" i="3"/>
  <c r="B209" i="3"/>
  <c r="J209" i="3"/>
  <c r="E202" i="3"/>
  <c r="F205" i="2"/>
  <c r="L193" i="3"/>
  <c r="N194" i="3"/>
  <c r="I193" i="3"/>
  <c r="F206" i="3"/>
  <c r="B195" i="3"/>
  <c r="P193" i="3"/>
  <c r="M206" i="3"/>
  <c r="O195" i="3"/>
  <c r="I206" i="3"/>
  <c r="B194" i="3"/>
  <c r="O206" i="3"/>
  <c r="D195" i="3"/>
  <c r="N207" i="3"/>
  <c r="J197" i="2"/>
  <c r="K197" i="2" s="1"/>
  <c r="M194" i="3"/>
  <c r="Q206" i="3"/>
  <c r="D193" i="3"/>
  <c r="E193" i="3" s="1"/>
  <c r="N206" i="3"/>
  <c r="O193" i="3"/>
  <c r="J194" i="3"/>
  <c r="K194" i="3" s="1"/>
  <c r="P207" i="3"/>
  <c r="L206" i="3"/>
  <c r="D206" i="3"/>
  <c r="M191" i="3"/>
  <c r="F194" i="3"/>
  <c r="B206" i="3"/>
  <c r="B205" i="3"/>
  <c r="B204" i="3"/>
  <c r="J204" i="3"/>
  <c r="D194" i="3"/>
  <c r="E194" i="3" s="1"/>
  <c r="C206" i="3"/>
  <c r="I191" i="3"/>
  <c r="K191" i="3" s="1"/>
  <c r="B191" i="3"/>
  <c r="N203" i="3"/>
  <c r="I204" i="3"/>
  <c r="Q199" i="3"/>
  <c r="D203" i="3"/>
  <c r="E203" i="3" s="1"/>
  <c r="P191" i="3"/>
  <c r="O194" i="3"/>
  <c r="C199" i="3"/>
  <c r="E199" i="3" s="1"/>
  <c r="N201" i="3"/>
  <c r="P203" i="3"/>
  <c r="I205" i="3"/>
  <c r="J206" i="3"/>
  <c r="J205" i="3"/>
  <c r="P194" i="3"/>
  <c r="F204" i="3"/>
  <c r="H204" i="3" s="1"/>
  <c r="M195" i="3"/>
  <c r="Q191" i="3"/>
  <c r="M199" i="3"/>
  <c r="P198" i="3"/>
  <c r="G206" i="3"/>
  <c r="M203" i="3"/>
  <c r="G194" i="3"/>
  <c r="N199" i="3"/>
  <c r="D191" i="3"/>
  <c r="E191" i="3" s="1"/>
  <c r="B199" i="3"/>
  <c r="L194" i="3"/>
  <c r="J199" i="2"/>
  <c r="K199" i="2" s="1"/>
  <c r="F214" i="2"/>
  <c r="O207" i="3"/>
  <c r="B193" i="3"/>
  <c r="N193" i="3"/>
  <c r="P195" i="3"/>
  <c r="J198" i="3"/>
  <c r="C207" i="3"/>
  <c r="D198" i="3"/>
  <c r="Q207" i="3"/>
  <c r="Q195" i="3"/>
  <c r="M193" i="3"/>
  <c r="F195" i="3"/>
  <c r="F193" i="3"/>
  <c r="H193" i="3" s="1"/>
  <c r="C195" i="3"/>
  <c r="O198" i="3"/>
  <c r="G207" i="3"/>
  <c r="C198" i="3"/>
  <c r="D207" i="3"/>
  <c r="Q193" i="3"/>
  <c r="J195" i="3"/>
  <c r="I198" i="3"/>
  <c r="F207" i="3"/>
  <c r="J193" i="3"/>
  <c r="G195" i="3"/>
  <c r="B198" i="3"/>
  <c r="L207" i="3"/>
  <c r="I195" i="3"/>
  <c r="B207" i="3"/>
  <c r="M207" i="3"/>
  <c r="H191" i="3"/>
  <c r="H199" i="3"/>
  <c r="J207" i="2"/>
  <c r="K207" i="2" s="1"/>
  <c r="N199" i="2"/>
  <c r="O199" i="2" s="1"/>
  <c r="H203" i="3"/>
  <c r="F213" i="2"/>
  <c r="F195" i="2"/>
  <c r="F200" i="2"/>
  <c r="E190" i="3"/>
  <c r="F208" i="2"/>
  <c r="J204" i="2"/>
  <c r="K204" i="2" s="1"/>
  <c r="K208" i="3"/>
  <c r="K192" i="3"/>
  <c r="N206" i="2"/>
  <c r="O206" i="2" s="1"/>
  <c r="G200" i="14"/>
  <c r="H200" i="3"/>
  <c r="F211" i="2"/>
  <c r="G197" i="2"/>
  <c r="J200" i="2"/>
  <c r="K200" i="2" s="1"/>
  <c r="H208" i="3"/>
  <c r="H202" i="3"/>
  <c r="K190" i="3"/>
  <c r="H196" i="3"/>
  <c r="E204" i="3"/>
  <c r="G188" i="14"/>
  <c r="G204" i="14"/>
  <c r="H192" i="3"/>
  <c r="G195" i="14"/>
  <c r="E196" i="3"/>
  <c r="G192" i="14"/>
  <c r="E200" i="3"/>
  <c r="K199" i="3"/>
  <c r="K202" i="3"/>
  <c r="J208" i="2"/>
  <c r="K208" i="2" s="1"/>
  <c r="G196" i="14"/>
  <c r="G203" i="14"/>
  <c r="G201" i="14"/>
  <c r="E192" i="3"/>
  <c r="E208" i="3"/>
  <c r="K189" i="3"/>
  <c r="K197" i="3"/>
  <c r="H189" i="3"/>
  <c r="F210" i="2"/>
  <c r="J203" i="2"/>
  <c r="K203" i="2" s="1"/>
  <c r="G213" i="2"/>
  <c r="N200" i="2"/>
  <c r="O200" i="2" s="1"/>
  <c r="G206" i="2"/>
  <c r="G202" i="14"/>
  <c r="G189" i="14"/>
  <c r="G197" i="14"/>
  <c r="H197" i="3"/>
  <c r="J210" i="2"/>
  <c r="K210" i="2" s="1"/>
  <c r="G202" i="2"/>
  <c r="F212" i="2"/>
  <c r="G205" i="2"/>
  <c r="G194" i="14"/>
  <c r="F194" i="2"/>
  <c r="J205" i="2"/>
  <c r="K205" i="2" s="1"/>
  <c r="F199" i="2"/>
  <c r="N207" i="2"/>
  <c r="O207" i="2" s="1"/>
  <c r="G198" i="2"/>
  <c r="G212" i="2"/>
  <c r="N197" i="2"/>
  <c r="O197" i="2" s="1"/>
  <c r="G195" i="2"/>
  <c r="F196" i="2"/>
  <c r="G214" i="2"/>
  <c r="F197" i="2"/>
  <c r="G207" i="2"/>
  <c r="J202" i="2"/>
  <c r="K202" i="2" s="1"/>
  <c r="G194" i="2"/>
  <c r="G211" i="2"/>
  <c r="J198" i="2"/>
  <c r="K198" i="2" s="1"/>
  <c r="G196" i="2"/>
  <c r="G210" i="2"/>
  <c r="N195" i="2"/>
  <c r="O195" i="2" s="1"/>
  <c r="N198" i="2"/>
  <c r="O198" i="2" s="1"/>
  <c r="N214" i="2"/>
  <c r="O214" i="2" s="1"/>
  <c r="F204" i="2"/>
  <c r="N204" i="2"/>
  <c r="O204" i="2" s="1"/>
  <c r="J196" i="2"/>
  <c r="K196" i="2" s="1"/>
  <c r="J212" i="2"/>
  <c r="K212" i="2" s="1"/>
  <c r="F202" i="2"/>
  <c r="N201" i="2"/>
  <c r="O201" i="2" s="1"/>
  <c r="N209" i="2"/>
  <c r="O209" i="2" s="1"/>
  <c r="G199" i="2"/>
  <c r="N213" i="2"/>
  <c r="O213" i="2" s="1"/>
  <c r="J206" i="2"/>
  <c r="K206" i="2" s="1"/>
  <c r="N203" i="2"/>
  <c r="O203" i="2" s="1"/>
  <c r="N211" i="2"/>
  <c r="O211" i="2" s="1"/>
  <c r="N212" i="2"/>
  <c r="O212" i="2" s="1"/>
  <c r="J201" i="2"/>
  <c r="K201" i="2" s="1"/>
  <c r="J209" i="2"/>
  <c r="K209" i="2" s="1"/>
  <c r="F206" i="2"/>
  <c r="F203" i="2"/>
  <c r="J214" i="2"/>
  <c r="K214" i="2" s="1"/>
  <c r="G204" i="2"/>
  <c r="G200" i="2"/>
  <c r="G208" i="2"/>
  <c r="J195" i="2"/>
  <c r="K195" i="2" s="1"/>
  <c r="J211" i="2"/>
  <c r="K211" i="2" s="1"/>
  <c r="N208" i="2"/>
  <c r="O208" i="2" s="1"/>
  <c r="N194" i="2"/>
  <c r="O194" i="2" s="1"/>
  <c r="G201" i="2"/>
  <c r="F201" i="2"/>
  <c r="G209" i="2"/>
  <c r="F209" i="2"/>
  <c r="J194" i="2"/>
  <c r="K194" i="2" s="1"/>
  <c r="F207" i="2"/>
  <c r="F13" i="18"/>
  <c r="K206" i="3" l="1"/>
  <c r="K209" i="3"/>
  <c r="H194" i="3"/>
  <c r="K201" i="3"/>
  <c r="H209" i="3"/>
  <c r="K204" i="3"/>
  <c r="H206" i="3"/>
  <c r="K198" i="3"/>
  <c r="K195" i="3"/>
  <c r="K193" i="3"/>
  <c r="E195" i="3"/>
  <c r="E198" i="3"/>
  <c r="H195" i="3"/>
  <c r="E207" i="3"/>
  <c r="K205" i="3"/>
  <c r="H207" i="3"/>
  <c r="E206" i="3"/>
  <c r="F204" i="18"/>
  <c r="F139" i="18"/>
  <c r="F200" i="18"/>
  <c r="F170" i="18"/>
  <c r="F29" i="18"/>
  <c r="F140" i="18"/>
  <c r="F128" i="18"/>
  <c r="F135" i="18"/>
  <c r="F117" i="18"/>
  <c r="F150" i="18"/>
  <c r="F39" i="18"/>
  <c r="F67" i="18"/>
  <c r="F107" i="18"/>
  <c r="F41" i="18"/>
  <c r="F103" i="18"/>
  <c r="F133" i="18"/>
  <c r="F94" i="18"/>
  <c r="F216" i="18"/>
  <c r="F120" i="18"/>
  <c r="F35" i="18"/>
  <c r="F214" i="18"/>
  <c r="F158" i="18"/>
  <c r="F77" i="18"/>
  <c r="F24" i="18"/>
  <c r="F129" i="18"/>
  <c r="F155" i="18"/>
  <c r="F186" i="18"/>
  <c r="F145" i="18"/>
  <c r="F30" i="18"/>
  <c r="F173" i="18"/>
  <c r="F160" i="18"/>
  <c r="F20" i="18"/>
  <c r="F51" i="18"/>
  <c r="F166" i="18"/>
  <c r="F121" i="18"/>
  <c r="F212" i="18"/>
  <c r="F110" i="18"/>
  <c r="F176" i="18"/>
  <c r="F10" i="18"/>
  <c r="F63" i="18"/>
  <c r="F72" i="18"/>
  <c r="F82" i="18"/>
  <c r="F87" i="18"/>
  <c r="F95" i="18"/>
  <c r="F181" i="18"/>
  <c r="F217" i="18"/>
  <c r="F171" i="18"/>
  <c r="F80" i="18"/>
  <c r="F167" i="18"/>
  <c r="F81" i="18"/>
  <c r="F91" i="18"/>
  <c r="F179" i="18"/>
  <c r="F111" i="18"/>
  <c r="F130" i="18"/>
  <c r="F40" i="18"/>
  <c r="F53" i="18"/>
  <c r="F58" i="18"/>
  <c r="F161" i="18"/>
  <c r="F125" i="18"/>
  <c r="F52" i="18"/>
  <c r="F33" i="18"/>
  <c r="F113" i="18"/>
  <c r="F61" i="18"/>
  <c r="F75" i="18"/>
  <c r="F164" i="18"/>
  <c r="F54" i="18"/>
  <c r="F69" i="18"/>
  <c r="F60" i="18"/>
  <c r="F134" i="18"/>
  <c r="F202" i="18"/>
  <c r="F199" i="18"/>
  <c r="F180" i="18"/>
  <c r="F210" i="18"/>
  <c r="F46" i="18"/>
  <c r="F126" i="18"/>
  <c r="F93" i="18"/>
  <c r="F50" i="18"/>
  <c r="F123" i="18"/>
  <c r="F208" i="18"/>
  <c r="F43" i="18"/>
  <c r="F149" i="18"/>
  <c r="F175" i="18"/>
  <c r="F183" i="18"/>
  <c r="F203" i="18"/>
  <c r="F21" i="18"/>
  <c r="F195" i="18"/>
  <c r="F156" i="18"/>
  <c r="F66" i="18"/>
  <c r="F100" i="18"/>
  <c r="F65" i="18"/>
  <c r="F124" i="18"/>
  <c r="F22" i="18"/>
  <c r="F119" i="18"/>
  <c r="F190" i="18"/>
  <c r="F47" i="18"/>
  <c r="F137" i="18"/>
  <c r="F90" i="18"/>
  <c r="F201" i="18"/>
  <c r="F215" i="18"/>
  <c r="F188" i="18"/>
  <c r="F209" i="18"/>
  <c r="F115" i="18"/>
  <c r="F34" i="18"/>
  <c r="F32" i="18"/>
  <c r="F198" i="18"/>
  <c r="F38" i="18"/>
  <c r="F55" i="18"/>
  <c r="F7" i="18"/>
  <c r="F25" i="18"/>
  <c r="F192" i="18"/>
  <c r="F101" i="18"/>
  <c r="F151" i="18"/>
  <c r="F211" i="18"/>
  <c r="F17" i="18"/>
  <c r="F106" i="18"/>
  <c r="F74" i="18"/>
  <c r="F152" i="18"/>
  <c r="F142" i="18"/>
  <c r="F57" i="18"/>
  <c r="F85" i="18"/>
  <c r="F59" i="18"/>
  <c r="F8" i="18"/>
  <c r="F189" i="18"/>
  <c r="F86" i="18"/>
  <c r="F14" i="18"/>
  <c r="F99" i="18"/>
  <c r="F68" i="18"/>
  <c r="F191" i="18"/>
  <c r="F27" i="18"/>
  <c r="F194" i="18"/>
  <c r="F28" i="18"/>
  <c r="F89" i="18"/>
  <c r="F143" i="18"/>
  <c r="F132" i="18"/>
  <c r="F131" i="18"/>
  <c r="F184" i="18"/>
  <c r="F105" i="18"/>
  <c r="F114" i="18"/>
  <c r="F182" i="18"/>
  <c r="F185" i="18"/>
  <c r="F9" i="18"/>
  <c r="F84" i="18"/>
  <c r="F118" i="18"/>
  <c r="F205" i="18"/>
  <c r="F197" i="18"/>
  <c r="F157" i="18"/>
  <c r="F88" i="18"/>
  <c r="F5" i="18"/>
  <c r="F159" i="18"/>
  <c r="F108" i="18"/>
  <c r="F148" i="18"/>
  <c r="F172" i="18"/>
  <c r="F98" i="18"/>
  <c r="F207" i="18"/>
  <c r="F104" i="18"/>
  <c r="F122" i="18"/>
  <c r="F154" i="18"/>
  <c r="F102" i="18"/>
  <c r="F26" i="18"/>
  <c r="F165" i="18"/>
  <c r="F162" i="18"/>
  <c r="F79" i="18"/>
  <c r="F146" i="18"/>
  <c r="F147" i="18"/>
  <c r="F56" i="18"/>
  <c r="F153" i="18"/>
  <c r="F73" i="18"/>
  <c r="F36" i="18"/>
  <c r="F174" i="18"/>
  <c r="F31" i="18"/>
  <c r="F193" i="18"/>
  <c r="F42" i="18"/>
  <c r="F127" i="18"/>
  <c r="F163" i="18"/>
  <c r="F138" i="18"/>
  <c r="F116" i="18"/>
  <c r="F97" i="18"/>
  <c r="F18" i="18"/>
  <c r="F141" i="18"/>
  <c r="F196" i="18"/>
  <c r="F83" i="18"/>
  <c r="F19" i="18"/>
  <c r="F49" i="18"/>
  <c r="F70" i="18"/>
  <c r="F206" i="18"/>
  <c r="F187" i="18"/>
  <c r="F144" i="18"/>
  <c r="F96" i="18"/>
  <c r="F177" i="18"/>
  <c r="F16" i="18"/>
  <c r="F23" i="18"/>
  <c r="F112" i="18"/>
  <c r="F12" i="18"/>
  <c r="E138"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58" i="18"/>
  <c r="E93" i="18"/>
  <c r="E181" i="18"/>
  <c r="E41" i="18"/>
  <c r="E19" i="18"/>
  <c r="E75" i="18"/>
  <c r="E31" i="18"/>
  <c r="E130" i="18"/>
  <c r="E169" i="18"/>
  <c r="E125" i="18"/>
  <c r="E180" i="18"/>
  <c r="E141" i="18"/>
  <c r="E199" i="18"/>
  <c r="E104" i="18"/>
  <c r="E119" i="18"/>
  <c r="E120" i="18"/>
  <c r="E112" i="18"/>
  <c r="E106" i="18"/>
  <c r="E127" i="18"/>
  <c r="E72" i="18"/>
  <c r="E204" i="18"/>
  <c r="E193" i="18"/>
  <c r="E122" i="18"/>
  <c r="E132" i="18"/>
  <c r="E205" i="18"/>
  <c r="E198" i="18"/>
  <c r="E146" i="18"/>
  <c r="E178" i="18"/>
  <c r="E113" i="18"/>
  <c r="E152" i="18"/>
  <c r="E29" i="18"/>
  <c r="E100" i="18"/>
  <c r="E189" i="18"/>
  <c r="E53" i="18"/>
  <c r="E22" i="18"/>
  <c r="E12" i="18"/>
  <c r="E211" i="18"/>
  <c r="E58" i="18"/>
  <c r="E34" i="18"/>
  <c r="E110" i="18"/>
  <c r="E174" i="18"/>
  <c r="E82" i="18"/>
  <c r="E129" i="18"/>
  <c r="E87" i="18"/>
  <c r="E95" i="18"/>
  <c r="E54" i="18"/>
  <c r="E217" i="18"/>
  <c r="E116" i="18"/>
  <c r="E25" i="18"/>
  <c r="E153" i="18"/>
  <c r="E215" i="18"/>
  <c r="E115" i="18"/>
  <c r="E149" i="18"/>
  <c r="E7" i="18"/>
  <c r="E55" i="18"/>
  <c r="E162" i="18"/>
  <c r="E30" i="18"/>
  <c r="E27" i="18"/>
  <c r="E175" i="18"/>
  <c r="E42" i="18"/>
  <c r="E21" i="18"/>
  <c r="E43" i="18"/>
  <c r="E187" i="18"/>
  <c r="E105" i="18"/>
  <c r="E91" i="18"/>
  <c r="E111" i="18"/>
  <c r="E143" i="18"/>
  <c r="E186" i="18"/>
  <c r="E157" i="18"/>
  <c r="E73" i="18"/>
  <c r="E140" i="18"/>
  <c r="E18" i="18"/>
  <c r="E97" i="18"/>
  <c r="E35" i="18"/>
  <c r="E32" i="18"/>
  <c r="E50" i="18"/>
  <c r="E61" i="18"/>
  <c r="E51" i="18"/>
  <c r="E96" i="18"/>
  <c r="E40" i="18"/>
  <c r="E47" i="18"/>
  <c r="E150" i="18"/>
  <c r="E155" i="18"/>
  <c r="E17" i="18"/>
  <c r="E20" i="18"/>
  <c r="E212" i="18"/>
  <c r="E5" i="18"/>
  <c r="E201" i="18"/>
  <c r="E164" i="18"/>
  <c r="E195" i="18"/>
  <c r="E23" i="18"/>
  <c r="E134" i="18"/>
  <c r="E161" i="18"/>
  <c r="E68" i="18"/>
  <c r="E137" i="18"/>
  <c r="E191" i="18"/>
  <c r="E83" i="18"/>
  <c r="E160" i="18"/>
  <c r="E121" i="18"/>
  <c r="E66" i="18"/>
  <c r="E200" i="18"/>
  <c r="E148" i="18"/>
  <c r="E8" i="18"/>
  <c r="E69" i="18"/>
  <c r="E165" i="18"/>
  <c r="E166" i="18"/>
  <c r="E154" i="18"/>
  <c r="E94" i="18"/>
  <c r="E171" i="18"/>
  <c r="E101" i="18"/>
  <c r="E60" i="18"/>
  <c r="E156" i="18"/>
  <c r="E98" i="18"/>
  <c r="E151" i="18"/>
  <c r="E170" i="18"/>
  <c r="E163" i="18"/>
  <c r="E202" i="18"/>
  <c r="E24" i="18"/>
  <c r="E70" i="18"/>
  <c r="E124" i="18"/>
  <c r="E85" i="18"/>
  <c r="E67" i="18"/>
  <c r="E88" i="18"/>
  <c r="E38" i="18"/>
  <c r="E144" i="18"/>
  <c r="E188" i="18"/>
  <c r="E207" i="18"/>
  <c r="E123" i="18"/>
  <c r="E203" i="18"/>
  <c r="E168" i="18"/>
  <c r="F168" i="18"/>
  <c r="E65" i="18"/>
  <c r="E139" i="18"/>
  <c r="E74" i="18"/>
  <c r="E46" i="18"/>
  <c r="E177" i="18"/>
  <c r="E39" i="18"/>
  <c r="E210" i="18"/>
  <c r="E99" i="18"/>
  <c r="E131" i="18"/>
  <c r="E84" i="18"/>
  <c r="E59" i="18"/>
  <c r="E86" i="18"/>
  <c r="E185" i="18"/>
  <c r="E33" i="18"/>
  <c r="E52" i="18"/>
  <c r="E14" i="18"/>
  <c r="E118" i="18"/>
  <c r="E190" i="18"/>
  <c r="E208" i="18"/>
  <c r="E89" i="18"/>
  <c r="E194" i="18"/>
  <c r="E28" i="18"/>
  <c r="E126" i="18"/>
  <c r="E209" i="18"/>
  <c r="E145" i="18"/>
  <c r="E159" i="18"/>
  <c r="E216" i="18"/>
  <c r="E206" i="18"/>
  <c r="E79" i="18"/>
  <c r="E167" i="18"/>
  <c r="E16" i="18"/>
  <c r="E63" i="18"/>
  <c r="E172" i="18"/>
  <c r="E184" i="18"/>
  <c r="E133" i="18"/>
  <c r="E90" i="18"/>
  <c r="E10" i="18"/>
  <c r="E182" i="18"/>
  <c r="E117" i="18"/>
  <c r="E128" i="18"/>
  <c r="E214" i="18"/>
  <c r="E114" i="18"/>
  <c r="E173" i="18"/>
  <c r="E107" i="18"/>
  <c r="E9" i="18"/>
  <c r="E176" i="18"/>
  <c r="E135" i="18"/>
  <c r="E26" i="18"/>
  <c r="E179" i="18"/>
  <c r="E102" i="18"/>
  <c r="E142" i="18"/>
  <c r="E183" i="18"/>
  <c r="E36" i="18"/>
  <c r="E196" i="18"/>
  <c r="E108" i="18"/>
  <c r="E80" i="18"/>
  <c r="E44" i="18"/>
  <c r="C7" i="14"/>
  <c r="B8" i="14"/>
  <c r="B9" i="14"/>
  <c r="C10" i="14"/>
  <c r="C11" i="14"/>
  <c r="B12" i="14"/>
  <c r="D13" i="14"/>
  <c r="C14" i="14"/>
  <c r="C15" i="14"/>
  <c r="B16" i="14"/>
  <c r="D17" i="14"/>
  <c r="C18" i="14"/>
  <c r="C19" i="14"/>
  <c r="B20" i="14"/>
  <c r="D21" i="14"/>
  <c r="C23" i="14"/>
  <c r="C24" i="14"/>
  <c r="D25" i="14"/>
  <c r="C26" i="14"/>
  <c r="C27" i="14"/>
  <c r="C28" i="14"/>
  <c r="C29" i="14"/>
  <c r="E30" i="14"/>
  <c r="C31" i="14"/>
  <c r="C32" i="14"/>
  <c r="C33" i="14"/>
  <c r="C34" i="14"/>
  <c r="C35" i="14"/>
  <c r="D37" i="14"/>
  <c r="C39" i="14"/>
  <c r="C40" i="14"/>
  <c r="B41" i="14"/>
  <c r="C42" i="14"/>
  <c r="F43" i="14"/>
  <c r="E44" i="14"/>
  <c r="E46" i="14"/>
  <c r="F47" i="14"/>
  <c r="D48" i="14"/>
  <c r="C49" i="14"/>
  <c r="E50" i="14"/>
  <c r="C51" i="14"/>
  <c r="D52" i="14"/>
  <c r="D53" i="14"/>
  <c r="C54" i="14"/>
  <c r="C55" i="14"/>
  <c r="D56" i="14"/>
  <c r="D57" i="14"/>
  <c r="C59" i="14"/>
  <c r="D60" i="14"/>
  <c r="C61" i="14"/>
  <c r="C62" i="14"/>
  <c r="C63" i="14"/>
  <c r="C65" i="14"/>
  <c r="C66" i="14"/>
  <c r="C67" i="14"/>
  <c r="C69" i="14"/>
  <c r="C70" i="14"/>
  <c r="C71" i="14"/>
  <c r="C73" i="14"/>
  <c r="C74" i="14"/>
  <c r="C75" i="14"/>
  <c r="C77" i="14"/>
  <c r="C78" i="14"/>
  <c r="C79" i="14"/>
  <c r="E81" i="14"/>
  <c r="E82" i="14"/>
  <c r="F83" i="14"/>
  <c r="B84" i="14"/>
  <c r="E85" i="14"/>
  <c r="C86" i="14"/>
  <c r="C87" i="14"/>
  <c r="C88" i="14"/>
  <c r="D89" i="14"/>
  <c r="C91" i="14"/>
  <c r="C92" i="14"/>
  <c r="D93" i="14"/>
  <c r="C94" i="14"/>
  <c r="C95" i="14"/>
  <c r="C96" i="14"/>
  <c r="D97" i="14"/>
  <c r="C98" i="14"/>
  <c r="C99" i="14"/>
  <c r="C100" i="14"/>
  <c r="E101" i="14"/>
  <c r="C102" i="14"/>
  <c r="C103" i="14"/>
  <c r="C104" i="14"/>
  <c r="D105" i="14"/>
  <c r="C107" i="14"/>
  <c r="C108" i="14"/>
  <c r="B109" i="14"/>
  <c r="C111" i="14"/>
  <c r="C112" i="14"/>
  <c r="D113" i="14"/>
  <c r="C114" i="14"/>
  <c r="C115" i="14"/>
  <c r="C117" i="14"/>
  <c r="C118" i="14"/>
  <c r="C119" i="14"/>
  <c r="C120" i="14"/>
  <c r="C123" i="14"/>
  <c r="C124" i="14"/>
  <c r="C125" i="14"/>
  <c r="C126" i="14"/>
  <c r="C127" i="14"/>
  <c r="B129" i="14"/>
  <c r="C130" i="14"/>
  <c r="D131" i="14"/>
  <c r="C133" i="14"/>
  <c r="D135" i="14"/>
  <c r="D136" i="14"/>
  <c r="C137" i="14"/>
  <c r="C138" i="14"/>
  <c r="C139" i="14"/>
  <c r="C140" i="14"/>
  <c r="C141" i="14"/>
  <c r="C142" i="14"/>
  <c r="E143" i="14"/>
  <c r="F144" i="14"/>
  <c r="D148" i="14"/>
  <c r="D149" i="14"/>
  <c r="F151" i="14"/>
  <c r="D152" i="14"/>
  <c r="C153" i="14"/>
  <c r="D156" i="14"/>
  <c r="C157" i="14"/>
  <c r="C158" i="14"/>
  <c r="B159" i="14"/>
  <c r="D160" i="14"/>
  <c r="D161" i="14"/>
  <c r="B165" i="14"/>
  <c r="D167" i="14"/>
  <c r="F168" i="14"/>
  <c r="C169" i="14"/>
  <c r="C171" i="14"/>
  <c r="C172" i="14"/>
  <c r="E173" i="14"/>
  <c r="E174" i="14"/>
  <c r="E175" i="14"/>
  <c r="E176" i="14"/>
  <c r="E177" i="14"/>
  <c r="C178" i="14"/>
  <c r="C180" i="14"/>
  <c r="E182" i="14"/>
  <c r="B183" i="14"/>
  <c r="C184" i="14"/>
  <c r="F185" i="14"/>
  <c r="C186" i="14"/>
  <c r="B187" i="14"/>
  <c r="E19" i="13"/>
  <c r="E20" i="13"/>
  <c r="E21" i="13"/>
  <c r="F35" i="13"/>
  <c r="E37" i="13"/>
  <c r="F43" i="13"/>
  <c r="E49" i="13"/>
  <c r="E54" i="13"/>
  <c r="G58" i="13"/>
  <c r="F59" i="13"/>
  <c r="E61" i="13"/>
  <c r="F63" i="13"/>
  <c r="F64" i="13"/>
  <c r="G72" i="13"/>
  <c r="E73" i="13"/>
  <c r="G74" i="13"/>
  <c r="F76" i="13"/>
  <c r="F77" i="13"/>
  <c r="E78" i="13"/>
  <c r="E89" i="13"/>
  <c r="E93" i="13"/>
  <c r="F102" i="13"/>
  <c r="F106" i="13"/>
  <c r="E114" i="13"/>
  <c r="G123" i="13"/>
  <c r="F128" i="13"/>
  <c r="E133" i="13"/>
  <c r="F141" i="13"/>
  <c r="E142" i="13"/>
  <c r="E147" i="13"/>
  <c r="F148" i="13"/>
  <c r="E152" i="13"/>
  <c r="F153" i="13"/>
  <c r="E163" i="13"/>
  <c r="F164" i="13"/>
  <c r="F165" i="13"/>
  <c r="E170" i="13"/>
  <c r="G171" i="13"/>
  <c r="F172" i="13"/>
  <c r="G173" i="13"/>
  <c r="E174" i="13"/>
  <c r="G177" i="13"/>
  <c r="E180" i="13"/>
  <c r="F184" i="13"/>
  <c r="E186" i="13"/>
  <c r="D7" i="12"/>
  <c r="C8" i="12"/>
  <c r="G10" i="12"/>
  <c r="D11" i="12"/>
  <c r="F13" i="12"/>
  <c r="F15" i="12"/>
  <c r="C16" i="12"/>
  <c r="C17" i="12"/>
  <c r="F19" i="12"/>
  <c r="C20" i="12"/>
  <c r="D21" i="12"/>
  <c r="G22" i="12"/>
  <c r="C24" i="12"/>
  <c r="E25" i="12"/>
  <c r="C27" i="12"/>
  <c r="F29" i="12"/>
  <c r="C30" i="12"/>
  <c r="C31" i="12"/>
  <c r="C32" i="12"/>
  <c r="G34" i="12"/>
  <c r="B36" i="12"/>
  <c r="D38" i="12"/>
  <c r="E39" i="12"/>
  <c r="C40" i="12"/>
  <c r="B43" i="12"/>
  <c r="B45" i="12"/>
  <c r="E46" i="12"/>
  <c r="D47" i="12"/>
  <c r="B49" i="12"/>
  <c r="G50" i="12"/>
  <c r="D51" i="12"/>
  <c r="F52" i="12"/>
  <c r="B53" i="12"/>
  <c r="D54" i="12"/>
  <c r="B55" i="12"/>
  <c r="C57" i="12"/>
  <c r="D59" i="12"/>
  <c r="B61" i="12"/>
  <c r="D63" i="12"/>
  <c r="B64" i="12"/>
  <c r="C65" i="12"/>
  <c r="D66" i="12"/>
  <c r="F67" i="12"/>
  <c r="C68" i="12"/>
  <c r="C69" i="12"/>
  <c r="D70" i="12"/>
  <c r="E71" i="12"/>
  <c r="D72" i="12"/>
  <c r="F73" i="12"/>
  <c r="B74" i="12"/>
  <c r="F76" i="12"/>
  <c r="B77" i="12"/>
  <c r="C78" i="12"/>
  <c r="E79" i="12"/>
  <c r="C82" i="12"/>
  <c r="F83" i="12"/>
  <c r="D85" i="12"/>
  <c r="C86" i="12"/>
  <c r="C87" i="12"/>
  <c r="B90" i="12"/>
  <c r="F91" i="12"/>
  <c r="E94" i="12"/>
  <c r="C95" i="12"/>
  <c r="E96" i="12"/>
  <c r="G98" i="12"/>
  <c r="C99" i="12"/>
  <c r="C100" i="12"/>
  <c r="C102" i="12"/>
  <c r="C104" i="12"/>
  <c r="E105" i="12"/>
  <c r="C106" i="12"/>
  <c r="C107" i="12"/>
  <c r="C108" i="12"/>
  <c r="C109" i="12"/>
  <c r="E110" i="12"/>
  <c r="C111" i="12"/>
  <c r="C112" i="12"/>
  <c r="D113" i="12"/>
  <c r="E114" i="12"/>
  <c r="C115" i="12"/>
  <c r="C116" i="12"/>
  <c r="F117" i="12"/>
  <c r="E118" i="12"/>
  <c r="E119" i="12"/>
  <c r="C120" i="12"/>
  <c r="D121" i="12"/>
  <c r="B122" i="12"/>
  <c r="C123" i="12"/>
  <c r="F125" i="12"/>
  <c r="B126" i="12"/>
  <c r="C127" i="12"/>
  <c r="E128" i="12"/>
  <c r="D129" i="12"/>
  <c r="G130" i="12"/>
  <c r="C132" i="12"/>
  <c r="F134" i="12"/>
  <c r="F135" i="12"/>
  <c r="D136" i="12"/>
  <c r="F137" i="12"/>
  <c r="B138" i="12"/>
  <c r="F141" i="12"/>
  <c r="D143" i="12"/>
  <c r="E144" i="12"/>
  <c r="E147" i="12"/>
  <c r="E148" i="12"/>
  <c r="C149" i="12"/>
  <c r="C151" i="12"/>
  <c r="E152" i="12"/>
  <c r="G153" i="12"/>
  <c r="E154" i="12"/>
  <c r="C156" i="12"/>
  <c r="F157" i="12"/>
  <c r="E158" i="12"/>
  <c r="E159" i="12"/>
  <c r="E162" i="12"/>
  <c r="C164" i="12"/>
  <c r="E165" i="12"/>
  <c r="C166" i="12"/>
  <c r="D167" i="12"/>
  <c r="C168" i="12"/>
  <c r="G169" i="12"/>
  <c r="G170" i="12"/>
  <c r="E171" i="12"/>
  <c r="C172" i="12"/>
  <c r="D173" i="12"/>
  <c r="E174" i="12"/>
  <c r="D177" i="12"/>
  <c r="G178" i="12"/>
  <c r="E179" i="12"/>
  <c r="E182" i="12"/>
  <c r="E187" i="12"/>
  <c r="E7" i="11"/>
  <c r="L8" i="11"/>
  <c r="L10" i="11"/>
  <c r="F12" i="11"/>
  <c r="E15" i="11"/>
  <c r="C17" i="11"/>
  <c r="E18" i="11"/>
  <c r="H19" i="11"/>
  <c r="L20" i="11"/>
  <c r="C21" i="11"/>
  <c r="C22" i="11"/>
  <c r="C23" i="11"/>
  <c r="E24" i="11"/>
  <c r="I25" i="11"/>
  <c r="G27" i="11"/>
  <c r="L28" i="11"/>
  <c r="B29" i="11"/>
  <c r="D31" i="11"/>
  <c r="B32" i="11"/>
  <c r="K33" i="11"/>
  <c r="B34" i="11"/>
  <c r="C35" i="11"/>
  <c r="N36" i="11"/>
  <c r="C38" i="11"/>
  <c r="C39" i="11"/>
  <c r="B40" i="11"/>
  <c r="B41" i="11"/>
  <c r="C42" i="11"/>
  <c r="D43" i="11"/>
  <c r="B44" i="11"/>
  <c r="B45" i="11"/>
  <c r="B46" i="11"/>
  <c r="C48" i="11"/>
  <c r="F50" i="11"/>
  <c r="B51" i="11"/>
  <c r="I52" i="11"/>
  <c r="D53" i="11"/>
  <c r="E54" i="11"/>
  <c r="B55" i="11"/>
  <c r="D57" i="11"/>
  <c r="C58" i="11"/>
  <c r="C60" i="11"/>
  <c r="K61" i="11"/>
  <c r="F62" i="11"/>
  <c r="E63" i="11"/>
  <c r="B64" i="11"/>
  <c r="I65" i="11"/>
  <c r="E66" i="11"/>
  <c r="E67" i="11"/>
  <c r="C68" i="11"/>
  <c r="I69" i="11"/>
  <c r="E70" i="11"/>
  <c r="C71" i="11"/>
  <c r="C72" i="11"/>
  <c r="G73" i="11"/>
  <c r="E74" i="11"/>
  <c r="C75" i="11"/>
  <c r="C76" i="11"/>
  <c r="E77" i="11"/>
  <c r="C80" i="11"/>
  <c r="K81" i="11"/>
  <c r="C82" i="11"/>
  <c r="C83" i="11"/>
  <c r="C84" i="11"/>
  <c r="I85" i="11"/>
  <c r="E86" i="11"/>
  <c r="D88" i="11"/>
  <c r="G89" i="11"/>
  <c r="E90" i="11"/>
  <c r="C91" i="11"/>
  <c r="D92" i="11"/>
  <c r="K93" i="11"/>
  <c r="B94" i="11"/>
  <c r="E95" i="11"/>
  <c r="F96" i="11"/>
  <c r="N97" i="11"/>
  <c r="E98" i="11"/>
  <c r="C99" i="11"/>
  <c r="E100" i="11"/>
  <c r="F101" i="11"/>
  <c r="G102" i="11"/>
  <c r="D103" i="11"/>
  <c r="L104" i="11"/>
  <c r="F105" i="11"/>
  <c r="D106" i="11"/>
  <c r="D107" i="11"/>
  <c r="I108" i="11"/>
  <c r="K109" i="11"/>
  <c r="L110" i="11"/>
  <c r="E111" i="11"/>
  <c r="F112" i="11"/>
  <c r="C113" i="11"/>
  <c r="E114" i="11"/>
  <c r="G115" i="11"/>
  <c r="B116" i="11"/>
  <c r="C117" i="11"/>
  <c r="E118" i="11"/>
  <c r="H119" i="11"/>
  <c r="G121" i="11"/>
  <c r="B122" i="11"/>
  <c r="C123" i="11"/>
  <c r="B124" i="11"/>
  <c r="B125" i="11"/>
  <c r="B126" i="11"/>
  <c r="E127" i="11"/>
  <c r="F128" i="11"/>
  <c r="C129" i="11"/>
  <c r="I130" i="11"/>
  <c r="M131" i="11"/>
  <c r="B132" i="11"/>
  <c r="E133" i="11"/>
  <c r="G134" i="11"/>
  <c r="M135" i="11"/>
  <c r="B136" i="11"/>
  <c r="D137" i="11"/>
  <c r="I138" i="11"/>
  <c r="M139" i="11"/>
  <c r="F140" i="11"/>
  <c r="E141" i="11"/>
  <c r="C142" i="11"/>
  <c r="E143" i="11"/>
  <c r="B144" i="11"/>
  <c r="D145" i="11"/>
  <c r="C146" i="11"/>
  <c r="B147" i="11"/>
  <c r="B148" i="11"/>
  <c r="E150" i="11"/>
  <c r="L151" i="11"/>
  <c r="B152" i="11"/>
  <c r="D153" i="11"/>
  <c r="C154" i="11"/>
  <c r="B155" i="11"/>
  <c r="B156" i="11"/>
  <c r="F157" i="11"/>
  <c r="L159" i="11"/>
  <c r="B160" i="11"/>
  <c r="I162" i="11"/>
  <c r="H163" i="11"/>
  <c r="B164" i="11"/>
  <c r="K165" i="11"/>
  <c r="I166" i="11"/>
  <c r="E167" i="11"/>
  <c r="B168" i="11"/>
  <c r="D169" i="11"/>
  <c r="I170" i="11"/>
  <c r="H171" i="11"/>
  <c r="E172" i="11"/>
  <c r="F173" i="11"/>
  <c r="E174" i="11"/>
  <c r="D175" i="11"/>
  <c r="E176" i="11"/>
  <c r="K177" i="11"/>
  <c r="D179" i="11"/>
  <c r="E180" i="11"/>
  <c r="K181" i="11"/>
  <c r="I182" i="11"/>
  <c r="H183" i="11"/>
  <c r="E184" i="11"/>
  <c r="C186" i="11"/>
  <c r="E187" i="11"/>
  <c r="B188" i="11"/>
  <c r="D7" i="10"/>
  <c r="B8" i="10"/>
  <c r="E9" i="10"/>
  <c r="B10" i="10"/>
  <c r="C11" i="10"/>
  <c r="G12" i="10"/>
  <c r="D13" i="10"/>
  <c r="B14" i="10"/>
  <c r="B15" i="10"/>
  <c r="G16" i="10"/>
  <c r="B17" i="10"/>
  <c r="F18" i="10"/>
  <c r="E19" i="10"/>
  <c r="C20" i="10"/>
  <c r="F21" i="10"/>
  <c r="B22" i="10"/>
  <c r="D24" i="10"/>
  <c r="C25" i="10"/>
  <c r="B26" i="10"/>
  <c r="E29" i="10"/>
  <c r="B30" i="10"/>
  <c r="E31" i="10"/>
  <c r="F32" i="10"/>
  <c r="E33" i="10"/>
  <c r="B34" i="10"/>
  <c r="C37" i="10"/>
  <c r="B38" i="10"/>
  <c r="E39" i="10"/>
  <c r="D40" i="10"/>
  <c r="B41" i="10"/>
  <c r="B42" i="10"/>
  <c r="D44" i="10"/>
  <c r="D45" i="10"/>
  <c r="B46" i="10"/>
  <c r="N48" i="10"/>
  <c r="B49" i="10"/>
  <c r="B50" i="10"/>
  <c r="D52" i="10"/>
  <c r="B53" i="10"/>
  <c r="E54" i="10"/>
  <c r="E55" i="10"/>
  <c r="D56" i="10"/>
  <c r="B57" i="10"/>
  <c r="C60" i="10"/>
  <c r="B61" i="10"/>
  <c r="B62" i="10"/>
  <c r="E63" i="10"/>
  <c r="B65" i="10"/>
  <c r="D68" i="10"/>
  <c r="D69" i="10"/>
  <c r="B70" i="10"/>
  <c r="E71" i="10"/>
  <c r="D72" i="10"/>
  <c r="K76" i="10"/>
  <c r="C77" i="10"/>
  <c r="E79" i="10"/>
  <c r="D80" i="10"/>
  <c r="I81" i="10"/>
  <c r="E82" i="10"/>
  <c r="C84" i="10"/>
  <c r="C85" i="10"/>
  <c r="B86" i="10"/>
  <c r="E87" i="10"/>
  <c r="D88" i="10"/>
  <c r="C89" i="10"/>
  <c r="I90" i="10"/>
  <c r="B93" i="10"/>
  <c r="B94" i="10"/>
  <c r="D96" i="10"/>
  <c r="I97" i="10"/>
  <c r="L98" i="10"/>
  <c r="B100" i="10"/>
  <c r="I101" i="10"/>
  <c r="E103" i="10"/>
  <c r="E104" i="10"/>
  <c r="E106" i="10"/>
  <c r="C108" i="10"/>
  <c r="C109" i="10"/>
  <c r="B110" i="10"/>
  <c r="C113" i="10"/>
  <c r="B114" i="10"/>
  <c r="E117" i="10"/>
  <c r="B119" i="10"/>
  <c r="D120" i="10"/>
  <c r="C121" i="10"/>
  <c r="H122" i="10"/>
  <c r="I123" i="10"/>
  <c r="C125" i="10"/>
  <c r="H126" i="10"/>
  <c r="I127" i="10"/>
  <c r="I128" i="10"/>
  <c r="I129" i="10"/>
  <c r="D132" i="10"/>
  <c r="B133" i="10"/>
  <c r="E134" i="10"/>
  <c r="B136" i="10"/>
  <c r="L137" i="10"/>
  <c r="D138" i="10"/>
  <c r="E141" i="10"/>
  <c r="D142" i="10"/>
  <c r="E143" i="10"/>
  <c r="C144" i="10"/>
  <c r="C145" i="10"/>
  <c r="L151" i="10"/>
  <c r="B153" i="10"/>
  <c r="D154" i="10"/>
  <c r="F155" i="10"/>
  <c r="C156" i="10"/>
  <c r="D157" i="10"/>
  <c r="E158" i="10"/>
  <c r="L159" i="10"/>
  <c r="B161" i="10"/>
  <c r="C164" i="10"/>
  <c r="L166" i="10"/>
  <c r="D167" i="10"/>
  <c r="C169" i="10"/>
  <c r="D171" i="10"/>
  <c r="C172" i="10"/>
  <c r="E174" i="10"/>
  <c r="B176" i="10"/>
  <c r="L178" i="10"/>
  <c r="M179" i="10"/>
  <c r="C180" i="10"/>
  <c r="I181" i="10"/>
  <c r="H182" i="10"/>
  <c r="M184" i="10"/>
  <c r="C185" i="10"/>
  <c r="L186" i="10"/>
  <c r="F187" i="10"/>
  <c r="I189" i="10"/>
  <c r="D7" i="8"/>
  <c r="F8" i="8"/>
  <c r="G9" i="8"/>
  <c r="F14" i="8"/>
  <c r="I16" i="8"/>
  <c r="D17" i="8"/>
  <c r="C18" i="8"/>
  <c r="D19" i="8"/>
  <c r="C20" i="8"/>
  <c r="D21" i="8"/>
  <c r="C22" i="8"/>
  <c r="D23" i="8"/>
  <c r="F24" i="8"/>
  <c r="G25" i="8"/>
  <c r="C26" i="8"/>
  <c r="D27" i="8"/>
  <c r="G30" i="8"/>
  <c r="D31" i="8"/>
  <c r="I32" i="8"/>
  <c r="D33" i="8"/>
  <c r="C34" i="8"/>
  <c r="D35" i="8"/>
  <c r="G37" i="8"/>
  <c r="C38" i="8"/>
  <c r="D39" i="8"/>
  <c r="C40" i="8"/>
  <c r="D41" i="8"/>
  <c r="F44" i="8"/>
  <c r="G47" i="8"/>
  <c r="C48" i="8"/>
  <c r="D49" i="8"/>
  <c r="C50" i="8"/>
  <c r="D51" i="8"/>
  <c r="F52" i="8"/>
  <c r="C7" i="7"/>
  <c r="C8" i="6"/>
  <c r="E9" i="6"/>
  <c r="G10" i="6"/>
  <c r="B11" i="6"/>
  <c r="E12" i="7"/>
  <c r="I13" i="6"/>
  <c r="C16" i="6"/>
  <c r="B17" i="6"/>
  <c r="I20" i="7"/>
  <c r="D21" i="6"/>
  <c r="D22" i="6"/>
  <c r="I23" i="6"/>
  <c r="E24" i="6"/>
  <c r="D25" i="6"/>
  <c r="G26" i="6"/>
  <c r="B27" i="7"/>
  <c r="F29" i="6"/>
  <c r="M30" i="6"/>
  <c r="B31" i="7"/>
  <c r="L32" i="6"/>
  <c r="B33" i="6"/>
  <c r="C34" i="6"/>
  <c r="C35" i="6"/>
  <c r="G36" i="6"/>
  <c r="L37" i="6"/>
  <c r="B38" i="6"/>
  <c r="C39" i="6"/>
  <c r="L40" i="6"/>
  <c r="H41" i="7"/>
  <c r="B42" i="7"/>
  <c r="C43" i="6"/>
  <c r="L44" i="6"/>
  <c r="D45" i="6"/>
  <c r="I46" i="6"/>
  <c r="D47" i="6"/>
  <c r="I48" i="6"/>
  <c r="L49" i="6"/>
  <c r="K50" i="6"/>
  <c r="K51" i="6"/>
  <c r="E52" i="6"/>
  <c r="I53" i="6"/>
  <c r="B55" i="6"/>
  <c r="O56" i="6"/>
  <c r="F57" i="6"/>
  <c r="K58" i="6"/>
  <c r="F59" i="6"/>
  <c r="E60" i="6"/>
  <c r="L61" i="6"/>
  <c r="C64" i="7"/>
  <c r="E65" i="6"/>
  <c r="E67" i="6"/>
  <c r="K68" i="6"/>
  <c r="F69" i="6"/>
  <c r="I70" i="6"/>
  <c r="C71" i="7"/>
  <c r="L72" i="7"/>
  <c r="J73" i="6"/>
  <c r="I74" i="6"/>
  <c r="E75" i="6"/>
  <c r="D77" i="6"/>
  <c r="I78" i="6"/>
  <c r="F79" i="7"/>
  <c r="C80" i="6"/>
  <c r="L81" i="7"/>
  <c r="I82" i="6"/>
  <c r="C84" i="6"/>
  <c r="F85" i="6"/>
  <c r="I86" i="6"/>
  <c r="L87" i="6"/>
  <c r="C88" i="6"/>
  <c r="B89" i="6"/>
  <c r="I90" i="6"/>
  <c r="C91" i="6"/>
  <c r="G92" i="6"/>
  <c r="O93" i="7"/>
  <c r="M94" i="6"/>
  <c r="B95" i="7"/>
  <c r="K96" i="6"/>
  <c r="E97" i="6"/>
  <c r="I98" i="6"/>
  <c r="E99" i="6"/>
  <c r="G100" i="6"/>
  <c r="L101" i="6"/>
  <c r="D103" i="6"/>
  <c r="C104" i="6"/>
  <c r="B105" i="6"/>
  <c r="I106" i="6"/>
  <c r="C107" i="6"/>
  <c r="G108" i="6"/>
  <c r="E109" i="6"/>
  <c r="C111" i="6"/>
  <c r="H112" i="7"/>
  <c r="F113" i="6"/>
  <c r="J114" i="6"/>
  <c r="B115" i="6"/>
  <c r="G116" i="6"/>
  <c r="D117" i="6"/>
  <c r="F118" i="6"/>
  <c r="B119" i="6"/>
  <c r="E120" i="6"/>
  <c r="I121" i="6"/>
  <c r="C122" i="6"/>
  <c r="B123" i="6"/>
  <c r="G124" i="6"/>
  <c r="F126" i="6"/>
  <c r="C127" i="6"/>
  <c r="O128" i="6"/>
  <c r="L129" i="6"/>
  <c r="B130" i="6"/>
  <c r="C131" i="6"/>
  <c r="C132" i="6"/>
  <c r="D133" i="6"/>
  <c r="K134" i="6"/>
  <c r="E136" i="6"/>
  <c r="B137" i="6"/>
  <c r="F138" i="7"/>
  <c r="B139" i="6"/>
  <c r="G140" i="6"/>
  <c r="B142" i="6"/>
  <c r="F143" i="7"/>
  <c r="H144" i="6"/>
  <c r="F145" i="6"/>
  <c r="E146" i="6"/>
  <c r="I148" i="6"/>
  <c r="E149" i="6"/>
  <c r="F151" i="6"/>
  <c r="G152" i="7"/>
  <c r="C153" i="6"/>
  <c r="E154" i="6"/>
  <c r="B155" i="6"/>
  <c r="B156" i="6"/>
  <c r="E158" i="6"/>
  <c r="D159" i="6"/>
  <c r="N161" i="6"/>
  <c r="E162" i="6"/>
  <c r="D163" i="6"/>
  <c r="H165" i="6"/>
  <c r="E166" i="6"/>
  <c r="D167" i="6"/>
  <c r="B168" i="6"/>
  <c r="B169" i="6"/>
  <c r="E170" i="6"/>
  <c r="F171" i="6"/>
  <c r="G173" i="6"/>
  <c r="E174" i="6"/>
  <c r="C175" i="6"/>
  <c r="C176" i="6"/>
  <c r="B177" i="6"/>
  <c r="E178" i="6"/>
  <c r="D179" i="6"/>
  <c r="D180" i="6"/>
  <c r="B181" i="6"/>
  <c r="E182" i="6"/>
  <c r="C183" i="6"/>
  <c r="I184" i="6"/>
  <c r="F185" i="7"/>
  <c r="E186" i="6"/>
  <c r="B18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C7" i="3"/>
  <c r="O8" i="3"/>
  <c r="C9" i="3"/>
  <c r="M10" i="3"/>
  <c r="Q11" i="3"/>
  <c r="G12" i="3"/>
  <c r="B13" i="3"/>
  <c r="I14" i="3"/>
  <c r="D15" i="3"/>
  <c r="B16" i="3"/>
  <c r="Q17" i="3"/>
  <c r="B18" i="3"/>
  <c r="D19" i="3"/>
  <c r="C20" i="3"/>
  <c r="F21" i="3"/>
  <c r="F22" i="3"/>
  <c r="C23" i="3"/>
  <c r="B24" i="3"/>
  <c r="N25" i="3"/>
  <c r="B26" i="3"/>
  <c r="G27" i="3"/>
  <c r="B28" i="3"/>
  <c r="F29" i="3"/>
  <c r="I30" i="3"/>
  <c r="C31" i="3"/>
  <c r="B32" i="3"/>
  <c r="F33" i="3"/>
  <c r="B34" i="3"/>
  <c r="D35" i="3"/>
  <c r="B36" i="3"/>
  <c r="C37" i="3"/>
  <c r="L38" i="3"/>
  <c r="P39" i="3"/>
  <c r="B40" i="3"/>
  <c r="D42" i="3"/>
  <c r="C43" i="3"/>
  <c r="D44" i="3"/>
  <c r="G45" i="3"/>
  <c r="I46" i="3"/>
  <c r="D47" i="3"/>
  <c r="C48" i="3"/>
  <c r="B49" i="3"/>
  <c r="I51" i="3"/>
  <c r="Q52" i="3"/>
  <c r="F53" i="3"/>
  <c r="B54" i="3"/>
  <c r="C56" i="3"/>
  <c r="I57" i="3"/>
  <c r="I58" i="3"/>
  <c r="C59" i="3"/>
  <c r="G60" i="3"/>
  <c r="G61" i="3"/>
  <c r="I62" i="3"/>
  <c r="I63" i="3"/>
  <c r="D64" i="3"/>
  <c r="B65" i="3"/>
  <c r="F66" i="3"/>
  <c r="G67" i="3"/>
  <c r="D68" i="3"/>
  <c r="F69" i="3"/>
  <c r="G71" i="3"/>
  <c r="D72" i="3"/>
  <c r="I73" i="3"/>
  <c r="Q75" i="3"/>
  <c r="O76" i="3"/>
  <c r="F77" i="3"/>
  <c r="C79" i="3"/>
  <c r="L80" i="3"/>
  <c r="Q81" i="3"/>
  <c r="B82" i="3"/>
  <c r="D83" i="3"/>
  <c r="F85" i="3"/>
  <c r="L87" i="3"/>
  <c r="P88" i="3"/>
  <c r="C89" i="3"/>
  <c r="I90" i="3"/>
  <c r="C91" i="3"/>
  <c r="C92" i="3"/>
  <c r="B93" i="3"/>
  <c r="D94" i="3"/>
  <c r="B96" i="3"/>
  <c r="F97" i="3"/>
  <c r="B98" i="3"/>
  <c r="I99" i="3"/>
  <c r="F100" i="3"/>
  <c r="N101" i="3"/>
  <c r="F102" i="3"/>
  <c r="G103" i="3"/>
  <c r="B104" i="3"/>
  <c r="Q105" i="3"/>
  <c r="N106" i="3"/>
  <c r="D108" i="3"/>
  <c r="G109" i="3"/>
  <c r="I110" i="3"/>
  <c r="C111" i="3"/>
  <c r="D112" i="3"/>
  <c r="F113" i="3"/>
  <c r="J114" i="3"/>
  <c r="I115" i="3"/>
  <c r="B116" i="3"/>
  <c r="F117" i="3"/>
  <c r="F118" i="3"/>
  <c r="L119" i="3"/>
  <c r="I120" i="3"/>
  <c r="Q121" i="3"/>
  <c r="B122" i="3"/>
  <c r="D123" i="3"/>
  <c r="M124" i="3"/>
  <c r="J125" i="3"/>
  <c r="F127" i="3"/>
  <c r="Q128" i="3"/>
  <c r="F129" i="3"/>
  <c r="D130" i="3"/>
  <c r="D131" i="3"/>
  <c r="B132" i="3"/>
  <c r="I133" i="3"/>
  <c r="O134" i="3"/>
  <c r="C135" i="3"/>
  <c r="B136" i="3"/>
  <c r="M137" i="3"/>
  <c r="C138" i="3"/>
  <c r="C139" i="3"/>
  <c r="M140" i="3"/>
  <c r="P142" i="3"/>
  <c r="F143" i="3"/>
  <c r="Q144" i="3"/>
  <c r="M146" i="3"/>
  <c r="C147" i="3"/>
  <c r="Q148" i="3"/>
  <c r="O151" i="3"/>
  <c r="I152" i="3"/>
  <c r="M153" i="3"/>
  <c r="D154" i="3"/>
  <c r="J155" i="3"/>
  <c r="B156" i="3"/>
  <c r="I157" i="3"/>
  <c r="G159" i="3"/>
  <c r="I160" i="3"/>
  <c r="I161" i="3"/>
  <c r="D162" i="3"/>
  <c r="D163" i="3"/>
  <c r="I165" i="3"/>
  <c r="G166" i="3"/>
  <c r="N167" i="3"/>
  <c r="I168" i="3"/>
  <c r="I169" i="3"/>
  <c r="G170" i="3"/>
  <c r="B171" i="3"/>
  <c r="Q172" i="3"/>
  <c r="D174" i="3"/>
  <c r="D175" i="3"/>
  <c r="M176" i="3"/>
  <c r="Q177" i="3"/>
  <c r="B178" i="3"/>
  <c r="P179" i="3"/>
  <c r="Q180" i="3"/>
  <c r="I181" i="3"/>
  <c r="C182" i="3"/>
  <c r="B183" i="3"/>
  <c r="I184" i="3"/>
  <c r="I185" i="3"/>
  <c r="G186" i="3"/>
  <c r="C187" i="3"/>
  <c r="G188" i="3"/>
  <c r="C10" i="2"/>
  <c r="B6" i="3" s="1"/>
  <c r="D6" i="5" s="1"/>
  <c r="D10" i="2"/>
  <c r="R10" i="2" s="1"/>
  <c r="Q11" i="2"/>
  <c r="D12" i="2"/>
  <c r="L13" i="2"/>
  <c r="L14" i="2"/>
  <c r="I15" i="2"/>
  <c r="E16" i="2"/>
  <c r="Q17" i="2"/>
  <c r="I18" i="2"/>
  <c r="Q19" i="2"/>
  <c r="C20" i="2"/>
  <c r="L21" i="2"/>
  <c r="Q22" i="2"/>
  <c r="C23" i="2"/>
  <c r="L26" i="2"/>
  <c r="C27" i="2"/>
  <c r="D28" i="2"/>
  <c r="I29" i="2"/>
  <c r="Q31" i="2"/>
  <c r="E32" i="2"/>
  <c r="D33" i="2"/>
  <c r="I34" i="2"/>
  <c r="S35" i="2"/>
  <c r="B36" i="2"/>
  <c r="L37" i="2"/>
  <c r="D38" i="2"/>
  <c r="I4" i="21" s="1"/>
  <c r="C39" i="2"/>
  <c r="Q40" i="2"/>
  <c r="L41" i="2"/>
  <c r="L42" i="2"/>
  <c r="I43" i="2"/>
  <c r="H44" i="2"/>
  <c r="I45" i="2"/>
  <c r="C47" i="2"/>
  <c r="B48" i="2"/>
  <c r="I50" i="2"/>
  <c r="S51" i="2"/>
  <c r="B52" i="2"/>
  <c r="D53" i="2"/>
  <c r="D54" i="2"/>
  <c r="C55" i="2"/>
  <c r="B56" i="2"/>
  <c r="Q57" i="2"/>
  <c r="D58" i="2"/>
  <c r="C59" i="2"/>
  <c r="P60" i="2"/>
  <c r="I61" i="2"/>
  <c r="D62" i="2"/>
  <c r="Q63" i="2"/>
  <c r="B64" i="2"/>
  <c r="D65" i="2"/>
  <c r="Q66" i="2"/>
  <c r="C67" i="2"/>
  <c r="B68" i="2"/>
  <c r="L69" i="2"/>
  <c r="D70" i="2"/>
  <c r="C71" i="2"/>
  <c r="D72" i="2"/>
  <c r="C75" i="2"/>
  <c r="D76" i="2"/>
  <c r="D77" i="2"/>
  <c r="C80" i="2"/>
  <c r="I81" i="2"/>
  <c r="I82" i="2"/>
  <c r="I84" i="2"/>
  <c r="D85" i="2"/>
  <c r="D86" i="2"/>
  <c r="I87" i="2"/>
  <c r="C88" i="2"/>
  <c r="I89" i="2"/>
  <c r="C91" i="2"/>
  <c r="H92" i="2"/>
  <c r="D94" i="2"/>
  <c r="I95" i="2"/>
  <c r="D96" i="2"/>
  <c r="I97" i="2"/>
  <c r="I98" i="2"/>
  <c r="I99" i="2"/>
  <c r="C100" i="2"/>
  <c r="D101" i="2"/>
  <c r="D102" i="2"/>
  <c r="I103" i="2"/>
  <c r="D104" i="2"/>
  <c r="I105" i="2"/>
  <c r="I106" i="2"/>
  <c r="E108" i="2"/>
  <c r="D109" i="2"/>
  <c r="D110" i="2"/>
  <c r="I111" i="2"/>
  <c r="E112" i="2"/>
  <c r="D113" i="2"/>
  <c r="L114" i="2"/>
  <c r="C115" i="2"/>
  <c r="R116" i="2"/>
  <c r="D117" i="2"/>
  <c r="D118" i="2"/>
  <c r="D120" i="2"/>
  <c r="I121" i="2"/>
  <c r="L122" i="2"/>
  <c r="C123" i="2"/>
  <c r="D124" i="2"/>
  <c r="D125" i="2"/>
  <c r="D126" i="2"/>
  <c r="I127" i="2"/>
  <c r="D128" i="2"/>
  <c r="I129" i="2"/>
  <c r="I130" i="2"/>
  <c r="C131" i="2"/>
  <c r="C132" i="2"/>
  <c r="D133" i="2"/>
  <c r="I135" i="2"/>
  <c r="D136" i="2"/>
  <c r="I137" i="2"/>
  <c r="Q138" i="2"/>
  <c r="C139" i="2"/>
  <c r="C140" i="2"/>
  <c r="D141" i="2"/>
  <c r="I143" i="2"/>
  <c r="I144" i="2"/>
  <c r="D145" i="2"/>
  <c r="C146" i="2"/>
  <c r="D147" i="2"/>
  <c r="D148" i="2"/>
  <c r="I149" i="2"/>
  <c r="I150" i="2"/>
  <c r="I151" i="2"/>
  <c r="Q152" i="2"/>
  <c r="C154" i="2"/>
  <c r="E155" i="2"/>
  <c r="J3" i="21" s="1"/>
  <c r="I157" i="2"/>
  <c r="I159" i="2"/>
  <c r="Q160" i="2"/>
  <c r="D161" i="2"/>
  <c r="C162" i="2"/>
  <c r="I165" i="2"/>
  <c r="Q166" i="2"/>
  <c r="I167" i="2"/>
  <c r="Q168" i="2"/>
  <c r="D169" i="2"/>
  <c r="Q170" i="2"/>
  <c r="C171" i="2"/>
  <c r="C172" i="2"/>
  <c r="B173" i="2"/>
  <c r="E174" i="2"/>
  <c r="C175" i="2"/>
  <c r="I176" i="2"/>
  <c r="D177" i="2"/>
  <c r="C178" i="2"/>
  <c r="H179" i="2"/>
  <c r="D181" i="2"/>
  <c r="E182" i="2"/>
  <c r="E184" i="2"/>
  <c r="E185" i="2"/>
  <c r="C186" i="2"/>
  <c r="C187" i="2"/>
  <c r="C188" i="2"/>
  <c r="D189" i="2"/>
  <c r="I190" i="2"/>
  <c r="C191" i="2"/>
  <c r="E192" i="2"/>
  <c r="Q193" i="2"/>
  <c r="G256" i="2"/>
  <c r="C257" i="2"/>
  <c r="D257" i="2"/>
  <c r="F257" i="2"/>
  <c r="G257" i="2"/>
  <c r="C258" i="2"/>
  <c r="D258" i="2"/>
  <c r="F258" i="2"/>
  <c r="G258" i="2"/>
  <c r="C259" i="2"/>
  <c r="D259" i="2"/>
  <c r="F259" i="2"/>
  <c r="G259" i="2"/>
  <c r="C260" i="2"/>
  <c r="D260" i="2"/>
  <c r="F260" i="2"/>
  <c r="G260" i="2"/>
  <c r="L29" i="7" l="1"/>
  <c r="N119" i="7"/>
  <c r="I148" i="7"/>
  <c r="O136" i="7"/>
  <c r="D114" i="7"/>
  <c r="I183" i="7"/>
  <c r="L173" i="7"/>
  <c r="F90" i="7"/>
  <c r="D60" i="7"/>
  <c r="F52" i="7"/>
  <c r="D171" i="7"/>
  <c r="J78" i="7"/>
  <c r="B30" i="7"/>
  <c r="B163" i="7"/>
  <c r="B131" i="7"/>
  <c r="N107" i="7"/>
  <c r="H47" i="7"/>
  <c r="J155" i="7"/>
  <c r="C59" i="7"/>
  <c r="B35" i="7"/>
  <c r="I11" i="7"/>
  <c r="H181" i="7"/>
  <c r="F94" i="7"/>
  <c r="B178" i="7"/>
  <c r="J46" i="7"/>
  <c r="E177" i="7"/>
  <c r="F82" i="7"/>
  <c r="B130" i="7"/>
  <c r="K80" i="7"/>
  <c r="G34" i="7"/>
  <c r="C4" i="21" s="1"/>
  <c r="C256" i="2"/>
  <c r="F256" i="2" s="1"/>
  <c r="F169" i="7"/>
  <c r="B127" i="7"/>
  <c r="O67" i="7"/>
  <c r="H16" i="7"/>
  <c r="F19" i="14"/>
  <c r="G97" i="7"/>
  <c r="L155" i="6"/>
  <c r="J155" i="6"/>
  <c r="E155" i="6"/>
  <c r="D146" i="7"/>
  <c r="G96" i="7"/>
  <c r="F50" i="7"/>
  <c r="B170" i="7"/>
  <c r="E121" i="7"/>
  <c r="F74" i="7"/>
  <c r="E49" i="7"/>
  <c r="B26" i="7"/>
  <c r="I144" i="7"/>
  <c r="K120" i="7"/>
  <c r="G73" i="7"/>
  <c r="K48" i="7"/>
  <c r="K25" i="7"/>
  <c r="E167" i="7"/>
  <c r="E24" i="7"/>
  <c r="I166" i="7"/>
  <c r="G89" i="7"/>
  <c r="C23" i="7"/>
  <c r="M182" i="7"/>
  <c r="N165" i="7"/>
  <c r="C113" i="7"/>
  <c r="C85" i="7"/>
  <c r="D68" i="7"/>
  <c r="E134" i="7"/>
  <c r="O84" i="7"/>
  <c r="B38" i="7"/>
  <c r="C180" i="7"/>
  <c r="C133" i="7"/>
  <c r="B111" i="7"/>
  <c r="O37" i="7"/>
  <c r="K179" i="7"/>
  <c r="J132" i="7"/>
  <c r="B108" i="7"/>
  <c r="C61" i="7"/>
  <c r="D36" i="7"/>
  <c r="K13" i="7"/>
  <c r="G129" i="7"/>
  <c r="C33" i="7"/>
  <c r="E162" i="7"/>
  <c r="J123" i="7"/>
  <c r="I45" i="7"/>
  <c r="I175" i="7"/>
  <c r="L161" i="7"/>
  <c r="C92" i="7"/>
  <c r="C75" i="7"/>
  <c r="B106" i="7"/>
  <c r="C91" i="7"/>
  <c r="K43" i="7"/>
  <c r="C105" i="7"/>
  <c r="H57" i="7"/>
  <c r="C10" i="7"/>
  <c r="E156" i="7"/>
  <c r="O39" i="7"/>
  <c r="I8" i="7"/>
  <c r="L117" i="7"/>
  <c r="C103" i="7"/>
  <c r="F55" i="7"/>
  <c r="L154" i="7"/>
  <c r="D116" i="7"/>
  <c r="B70" i="7"/>
  <c r="F22" i="7"/>
  <c r="E165" i="5"/>
  <c r="C99" i="7"/>
  <c r="L69" i="7"/>
  <c r="E21" i="7"/>
  <c r="L23" i="6"/>
  <c r="O23" i="12" s="1"/>
  <c r="E259" i="2"/>
  <c r="O32" i="3"/>
  <c r="N69" i="3"/>
  <c r="O93" i="5"/>
  <c r="L145" i="10"/>
  <c r="I33" i="10"/>
  <c r="I18" i="8"/>
  <c r="C84" i="14"/>
  <c r="O73" i="5"/>
  <c r="F167" i="12"/>
  <c r="F161" i="14"/>
  <c r="M167" i="6"/>
  <c r="K132" i="10"/>
  <c r="M109" i="6"/>
  <c r="H260"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L77" i="7"/>
  <c r="L53" i="7"/>
  <c r="H167" i="6"/>
  <c r="L109" i="6"/>
  <c r="M8" i="6"/>
  <c r="K120" i="10"/>
  <c r="E110" i="10"/>
  <c r="K113" i="11"/>
  <c r="E78" i="12"/>
  <c r="F13" i="13"/>
  <c r="I161" i="2"/>
  <c r="I36" i="5"/>
  <c r="I151" i="7"/>
  <c r="B88" i="7"/>
  <c r="G65" i="7"/>
  <c r="L51" i="7"/>
  <c r="O56" i="10"/>
  <c r="M146" i="11"/>
  <c r="C170" i="12"/>
  <c r="C161" i="14"/>
  <c r="E70" i="14"/>
  <c r="P140" i="2"/>
  <c r="C56" i="2"/>
  <c r="O176" i="7"/>
  <c r="G149" i="7"/>
  <c r="L98" i="7"/>
  <c r="L86" i="7"/>
  <c r="E16" i="6"/>
  <c r="K93" i="5"/>
  <c r="E188" i="7"/>
  <c r="M165" i="6"/>
  <c r="I96" i="10"/>
  <c r="K74" i="11"/>
  <c r="D125" i="14"/>
  <c r="E193" i="2"/>
  <c r="R147" i="2"/>
  <c r="L32" i="2"/>
  <c r="I171" i="3"/>
  <c r="M37" i="3"/>
  <c r="N163" i="5"/>
  <c r="E186" i="7"/>
  <c r="H118" i="7"/>
  <c r="D109" i="7"/>
  <c r="N35" i="6"/>
  <c r="H258" i="2"/>
  <c r="B56" i="3"/>
  <c r="O165" i="5"/>
  <c r="H158" i="7"/>
  <c r="F71" i="7"/>
  <c r="B9" i="7"/>
  <c r="F131" i="6"/>
  <c r="L120" i="6"/>
  <c r="E103" i="6"/>
  <c r="O80" i="6"/>
  <c r="F104" i="10"/>
  <c r="K84" i="10"/>
  <c r="I62" i="10"/>
  <c r="N72" i="11"/>
  <c r="F87" i="14"/>
  <c r="C44" i="14"/>
  <c r="I40" i="2"/>
  <c r="M178" i="3"/>
  <c r="O12" i="3"/>
  <c r="N165" i="5"/>
  <c r="K128" i="7"/>
  <c r="F111" i="6"/>
  <c r="I84" i="10"/>
  <c r="L72" i="11"/>
  <c r="G173" i="12"/>
  <c r="F47" i="12"/>
  <c r="Q144" i="2"/>
  <c r="L124" i="2"/>
  <c r="L92" i="2"/>
  <c r="Q60" i="2"/>
  <c r="F187" i="3"/>
  <c r="L135" i="3"/>
  <c r="L12" i="3"/>
  <c r="K165" i="5"/>
  <c r="L38" i="10"/>
  <c r="F173" i="12"/>
  <c r="F100" i="7"/>
  <c r="D144" i="2"/>
  <c r="Q16" i="2"/>
  <c r="I64" i="3"/>
  <c r="B12" i="3"/>
  <c r="K101" i="5"/>
  <c r="I139" i="7"/>
  <c r="H126" i="7"/>
  <c r="F153" i="10"/>
  <c r="E173" i="12"/>
  <c r="B52" i="14"/>
  <c r="G19" i="8"/>
  <c r="O163" i="5"/>
  <c r="O109" i="5"/>
  <c r="O83" i="5"/>
  <c r="O65" i="5"/>
  <c r="C18" i="5"/>
  <c r="E18" i="13"/>
  <c r="E13" i="14"/>
  <c r="L123" i="11"/>
  <c r="B173" i="12"/>
  <c r="C163" i="5"/>
  <c r="F80" i="11"/>
  <c r="N60" i="11"/>
  <c r="E177" i="13"/>
  <c r="E154" i="13"/>
  <c r="E86" i="13"/>
  <c r="E113" i="14"/>
  <c r="B63" i="14"/>
  <c r="D50" i="14"/>
  <c r="E28" i="14"/>
  <c r="E25" i="14"/>
  <c r="N129" i="5"/>
  <c r="F122" i="13"/>
  <c r="B177" i="14"/>
  <c r="G177" i="14" s="1"/>
  <c r="F125" i="14"/>
  <c r="E119" i="14"/>
  <c r="B79" i="14"/>
  <c r="F55" i="14"/>
  <c r="I188" i="2"/>
  <c r="B109" i="6"/>
  <c r="I96" i="6"/>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G40"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O175" i="12" s="1"/>
  <c r="E168" i="6"/>
  <c r="L107" i="6"/>
  <c r="K104" i="6"/>
  <c r="R104" i="12" s="1"/>
  <c r="I94" i="6"/>
  <c r="Q94" i="12" s="1"/>
  <c r="N77" i="6"/>
  <c r="I25" i="6"/>
  <c r="G16" i="6"/>
  <c r="E171" i="10"/>
  <c r="N164" i="10"/>
  <c r="J157" i="10"/>
  <c r="I156" i="10"/>
  <c r="I141" i="10"/>
  <c r="C141" i="10"/>
  <c r="I121" i="10"/>
  <c r="F120" i="10"/>
  <c r="I110" i="10"/>
  <c r="K96" i="10"/>
  <c r="L94" i="10"/>
  <c r="I86" i="10"/>
  <c r="K56" i="10"/>
  <c r="O112" i="7"/>
  <c r="H181" i="6"/>
  <c r="G122" i="6"/>
  <c r="O114" i="6"/>
  <c r="L69" i="6"/>
  <c r="O69" i="12" s="1"/>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I27" i="7"/>
  <c r="H94" i="7"/>
  <c r="J30" i="7"/>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E72" i="13"/>
  <c r="E69" i="13"/>
  <c r="G29" i="13"/>
  <c r="F19" i="13"/>
  <c r="G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G170" i="13"/>
  <c r="F124" i="13"/>
  <c r="E98" i="13"/>
  <c r="F80" i="13"/>
  <c r="E13" i="13"/>
  <c r="F15" i="14"/>
  <c r="O151" i="5"/>
  <c r="O133" i="5"/>
  <c r="C123" i="5"/>
  <c r="I114" i="5"/>
  <c r="K107" i="5"/>
  <c r="O97" i="5"/>
  <c r="O89" i="5"/>
  <c r="O81" i="5"/>
  <c r="O75" i="5"/>
  <c r="N69" i="5"/>
  <c r="K63" i="5"/>
  <c r="N44" i="5"/>
  <c r="C34" i="5"/>
  <c r="N23" i="5"/>
  <c r="K166" i="11"/>
  <c r="I94" i="11"/>
  <c r="J92" i="11"/>
  <c r="L88" i="11"/>
  <c r="G53" i="11"/>
  <c r="G74" i="12"/>
  <c r="F96" i="13"/>
  <c r="F90" i="13"/>
  <c r="E141" i="14"/>
  <c r="F99" i="14"/>
  <c r="F93" i="14"/>
  <c r="E78" i="14"/>
  <c r="B71" i="14"/>
  <c r="F69" i="14"/>
  <c r="D62" i="14"/>
  <c r="F60" i="14"/>
  <c r="E41" i="14"/>
  <c r="G41" i="14" s="1"/>
  <c r="B31" i="14"/>
  <c r="F29" i="14"/>
  <c r="D15" i="14"/>
  <c r="C13" i="14"/>
  <c r="I168" i="2"/>
  <c r="C166" i="2"/>
  <c r="D157" i="2"/>
  <c r="C147" i="2"/>
  <c r="D137" i="2"/>
  <c r="P128" i="2"/>
  <c r="L80" i="2"/>
  <c r="P76" i="2"/>
  <c r="I75" i="2"/>
  <c r="R68" i="2"/>
  <c r="D66" i="2"/>
  <c r="H52" i="2"/>
  <c r="H40" i="2"/>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N20" i="3"/>
  <c r="Q12" i="3"/>
  <c r="D12" i="3"/>
  <c r="L171" i="7"/>
  <c r="R191" i="2"/>
  <c r="Q173" i="2"/>
  <c r="L171" i="3"/>
  <c r="D171" i="3"/>
  <c r="G127" i="3"/>
  <c r="Q72" i="3"/>
  <c r="L189" i="7"/>
  <c r="K189" i="12" s="1"/>
  <c r="I171" i="7"/>
  <c r="G113" i="7"/>
  <c r="M112"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P68" i="3"/>
  <c r="L67" i="3"/>
  <c r="Q64" i="3"/>
  <c r="G59" i="3"/>
  <c r="E59" i="5" s="1"/>
  <c r="P47" i="3"/>
  <c r="J28" i="3"/>
  <c r="H189" i="7"/>
  <c r="H189" i="12" s="1"/>
  <c r="E171" i="7"/>
  <c r="E113" i="7"/>
  <c r="S75" i="2"/>
  <c r="G72" i="7"/>
  <c r="C72" i="7"/>
  <c r="O72" i="7"/>
  <c r="D72" i="7"/>
  <c r="I72" i="7"/>
  <c r="I12" i="10"/>
  <c r="L18" i="7"/>
  <c r="I183" i="6"/>
  <c r="K169" i="6"/>
  <c r="L52" i="6"/>
  <c r="M187" i="10"/>
  <c r="L133" i="10"/>
  <c r="H133" i="10"/>
  <c r="D133" i="10"/>
  <c r="O132" i="10"/>
  <c r="J132" i="10"/>
  <c r="E132" i="10"/>
  <c r="J125" i="10"/>
  <c r="N69" i="10"/>
  <c r="O68" i="10"/>
  <c r="L57" i="10"/>
  <c r="M49" i="10"/>
  <c r="F18" i="7"/>
  <c r="E183" i="6"/>
  <c r="I169" i="6"/>
  <c r="O130" i="6"/>
  <c r="J97" i="6"/>
  <c r="I77" i="6"/>
  <c r="K52" i="6"/>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P109" i="12" s="1"/>
  <c r="I108" i="6"/>
  <c r="Q108" i="12" s="1"/>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I20" i="5"/>
  <c r="N15" i="5"/>
  <c r="D7" i="5"/>
  <c r="N7" i="5"/>
  <c r="D12" i="5"/>
  <c r="I12" i="5"/>
  <c r="F186" i="13"/>
  <c r="F138" i="13"/>
  <c r="E94" i="13"/>
  <c r="E92" i="13"/>
  <c r="E62" i="13"/>
  <c r="E40" i="13"/>
  <c r="E183" i="14"/>
  <c r="G183" i="14" s="1"/>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F129" i="13"/>
  <c r="F112" i="13"/>
  <c r="E108" i="13"/>
  <c r="F81" i="13"/>
  <c r="E70" i="13"/>
  <c r="E65" i="13"/>
  <c r="F51" i="13"/>
  <c r="F37" i="13"/>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F156" i="13"/>
  <c r="F134" i="13"/>
  <c r="F94" i="13"/>
  <c r="F84" i="13"/>
  <c r="G82" i="13"/>
  <c r="E64" i="13"/>
  <c r="G62" i="13"/>
  <c r="G54" i="13"/>
  <c r="F40" i="13"/>
  <c r="E11" i="13"/>
  <c r="E6" i="13"/>
  <c r="D157" i="14"/>
  <c r="E149" i="14"/>
  <c r="B137" i="14"/>
  <c r="C129" i="14"/>
  <c r="E126" i="14"/>
  <c r="E123" i="14"/>
  <c r="B95" i="14"/>
  <c r="E93" i="14"/>
  <c r="E17" i="14"/>
  <c r="E15" i="14"/>
  <c r="E14" i="14"/>
  <c r="E12" i="14"/>
  <c r="G12" i="14" s="1"/>
  <c r="C165" i="6"/>
  <c r="E165" i="6"/>
  <c r="B138" i="6"/>
  <c r="K138" i="6"/>
  <c r="P120" i="2"/>
  <c r="E120" i="2"/>
  <c r="G120" i="2" s="1"/>
  <c r="P48" i="2"/>
  <c r="E48" i="2"/>
  <c r="Q34" i="2"/>
  <c r="L182" i="3"/>
  <c r="M166" i="3"/>
  <c r="M157" i="3"/>
  <c r="N147" i="3"/>
  <c r="Q133" i="3"/>
  <c r="O104" i="3"/>
  <c r="I94" i="3"/>
  <c r="Q93" i="3"/>
  <c r="G93" i="3"/>
  <c r="Q92" i="3"/>
  <c r="G92" i="3"/>
  <c r="O85" i="3"/>
  <c r="G85" i="3"/>
  <c r="L47" i="3"/>
  <c r="P40" i="3"/>
  <c r="Q39" i="3"/>
  <c r="L165" i="6"/>
  <c r="F165" i="6"/>
  <c r="C161" i="6"/>
  <c r="I161" i="6"/>
  <c r="F161" i="6"/>
  <c r="E112" i="6"/>
  <c r="L112" i="6"/>
  <c r="I112" i="6"/>
  <c r="C95" i="6"/>
  <c r="L95" i="6"/>
  <c r="E73" i="6"/>
  <c r="H73" i="6"/>
  <c r="L73" i="12" s="1"/>
  <c r="B73" i="6"/>
  <c r="L73" i="6"/>
  <c r="I12" i="6"/>
  <c r="Q12" i="12" s="1"/>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13" i="7"/>
  <c r="J94" i="7"/>
  <c r="D93" i="7"/>
  <c r="H72" i="7"/>
  <c r="N71" i="7"/>
  <c r="K27" i="7"/>
  <c r="E27" i="7"/>
  <c r="L181" i="6"/>
  <c r="D181" i="6"/>
  <c r="I180" i="6"/>
  <c r="M169" i="6"/>
  <c r="E169" i="6"/>
  <c r="I168" i="6"/>
  <c r="Q168" i="12" s="1"/>
  <c r="L167" i="6"/>
  <c r="E167" i="6"/>
  <c r="N165" i="6"/>
  <c r="I165" i="6"/>
  <c r="B165" i="6"/>
  <c r="B114" i="6"/>
  <c r="G114" i="6"/>
  <c r="E114" i="6"/>
  <c r="C71" i="6"/>
  <c r="K71" i="6"/>
  <c r="S71" i="12" s="1"/>
  <c r="O71" i="6"/>
  <c r="G71" i="6"/>
  <c r="D69" i="6"/>
  <c r="I69" i="6"/>
  <c r="Q69" i="12" s="1"/>
  <c r="N69" i="6"/>
  <c r="E69" i="6"/>
  <c r="J69" i="6"/>
  <c r="B69" i="6"/>
  <c r="H69" i="6"/>
  <c r="L69" i="12" s="1"/>
  <c r="M69" i="6"/>
  <c r="B41" i="6"/>
  <c r="I41" i="6"/>
  <c r="N41" i="6"/>
  <c r="H41" i="6"/>
  <c r="E27" i="6"/>
  <c r="I27" i="6"/>
  <c r="M27" i="12" s="1"/>
  <c r="K27" i="6"/>
  <c r="N27" i="12" s="1"/>
  <c r="G27" i="6"/>
  <c r="C166" i="10"/>
  <c r="G166" i="10"/>
  <c r="K166" i="10"/>
  <c r="E166" i="10"/>
  <c r="B148" i="10"/>
  <c r="G148" i="10"/>
  <c r="N148" i="10"/>
  <c r="C148" i="10"/>
  <c r="I122" i="6"/>
  <c r="I111" i="6"/>
  <c r="Q111" i="12" s="1"/>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E185" i="13"/>
  <c r="F182" i="13"/>
  <c r="F178" i="13"/>
  <c r="E138" i="13"/>
  <c r="G126" i="13"/>
  <c r="F118" i="13"/>
  <c r="E102" i="13"/>
  <c r="G102" i="13"/>
  <c r="L183" i="11"/>
  <c r="L163" i="11"/>
  <c r="M154" i="11"/>
  <c r="H144" i="11"/>
  <c r="O134" i="11"/>
  <c r="K129" i="11"/>
  <c r="L127" i="11"/>
  <c r="H64" i="11"/>
  <c r="F34" i="11"/>
  <c r="N32" i="11"/>
  <c r="I32" i="11"/>
  <c r="D32" i="11"/>
  <c r="E178" i="13"/>
  <c r="G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E171" i="13"/>
  <c r="E146" i="13"/>
  <c r="G146" i="13"/>
  <c r="F130" i="13"/>
  <c r="G125" i="13"/>
  <c r="E106" i="13"/>
  <c r="N26" i="5"/>
  <c r="E127" i="12"/>
  <c r="E109" i="12"/>
  <c r="D99" i="12"/>
  <c r="E63" i="12"/>
  <c r="F40" i="12"/>
  <c r="D19" i="12"/>
  <c r="E130" i="13"/>
  <c r="G118" i="13"/>
  <c r="F104" i="13"/>
  <c r="F100" i="13"/>
  <c r="E96" i="13"/>
  <c r="G56" i="13"/>
  <c r="E38" i="13"/>
  <c r="G34" i="13"/>
  <c r="G25" i="13"/>
  <c r="C156" i="14"/>
  <c r="C149" i="14"/>
  <c r="E148" i="14"/>
  <c r="E127" i="14"/>
  <c r="D115" i="14"/>
  <c r="C113" i="14"/>
  <c r="E55" i="14"/>
  <c r="F52" i="14"/>
  <c r="E39" i="14"/>
  <c r="E37" i="14"/>
  <c r="D33" i="14"/>
  <c r="F31" i="14"/>
  <c r="D29" i="14"/>
  <c r="F11" i="14"/>
  <c r="E9" i="14"/>
  <c r="G9" i="14" s="1"/>
  <c r="F116" i="13"/>
  <c r="E112" i="13"/>
  <c r="E100" i="13"/>
  <c r="G94" i="13"/>
  <c r="F92" i="13"/>
  <c r="G86" i="13"/>
  <c r="E83" i="13"/>
  <c r="G80" i="13"/>
  <c r="F73" i="13"/>
  <c r="G69" i="13"/>
  <c r="E56" i="13"/>
  <c r="G50" i="13"/>
  <c r="E29" i="13"/>
  <c r="F23" i="13"/>
  <c r="F187" i="14"/>
  <c r="F160" i="14"/>
  <c r="B156" i="14"/>
  <c r="D153" i="14"/>
  <c r="F149" i="14"/>
  <c r="B149" i="14"/>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D36" i="2"/>
  <c r="M36" i="2"/>
  <c r="E36" i="2"/>
  <c r="P36" i="2"/>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G189" i="2" s="1"/>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C157" i="7"/>
  <c r="L157" i="7"/>
  <c r="D152" i="7"/>
  <c r="E152" i="7"/>
  <c r="J152" i="7"/>
  <c r="O152" i="7"/>
  <c r="C145" i="7"/>
  <c r="G145" i="7"/>
  <c r="C136" i="7"/>
  <c r="C109" i="7"/>
  <c r="B107" i="7"/>
  <c r="B187" i="6"/>
  <c r="M187" i="6"/>
  <c r="F187" i="6"/>
  <c r="H187" i="6"/>
  <c r="M172" i="6"/>
  <c r="I172" i="7"/>
  <c r="I164" i="6"/>
  <c r="Q164" i="12" s="1"/>
  <c r="K164" i="6"/>
  <c r="E164" i="7"/>
  <c r="B147" i="6"/>
  <c r="F147" i="6"/>
  <c r="I147" i="6"/>
  <c r="L147" i="6"/>
  <c r="B135" i="6"/>
  <c r="F135" i="6"/>
  <c r="J135" i="6"/>
  <c r="N135" i="6"/>
  <c r="C135" i="6"/>
  <c r="G135" i="6"/>
  <c r="K135" i="6"/>
  <c r="S135" i="12" s="1"/>
  <c r="O135" i="6"/>
  <c r="D135" i="6"/>
  <c r="H135" i="6"/>
  <c r="P135" i="12" s="1"/>
  <c r="L135" i="6"/>
  <c r="B125" i="6"/>
  <c r="E125" i="6"/>
  <c r="H125" i="6"/>
  <c r="J125" i="6"/>
  <c r="E54" i="6"/>
  <c r="J54" i="6"/>
  <c r="I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C187" i="7"/>
  <c r="E180" i="7"/>
  <c r="M171" i="7"/>
  <c r="I161" i="7"/>
  <c r="M152" i="7"/>
  <c r="F152" i="7"/>
  <c r="J148" i="7"/>
  <c r="F136" i="7"/>
  <c r="B135" i="7"/>
  <c r="F114" i="7"/>
  <c r="E112" i="7"/>
  <c r="C112" i="7"/>
  <c r="I112" i="7"/>
  <c r="D112" i="7"/>
  <c r="L112" i="7"/>
  <c r="J83" i="7"/>
  <c r="B83" i="7"/>
  <c r="C81" i="7"/>
  <c r="H81" i="7"/>
  <c r="M81" i="7"/>
  <c r="D81" i="7"/>
  <c r="I81" i="7"/>
  <c r="O81" i="7"/>
  <c r="E81" i="7"/>
  <c r="K81" i="7"/>
  <c r="B63" i="7"/>
  <c r="F63" i="7"/>
  <c r="K63" i="7"/>
  <c r="E46" i="7"/>
  <c r="B46" i="7"/>
  <c r="M46" i="7"/>
  <c r="F46" i="7"/>
  <c r="H46" i="7"/>
  <c r="E150" i="6"/>
  <c r="I150" i="7"/>
  <c r="M135" i="6"/>
  <c r="I66" i="6"/>
  <c r="M66" i="12" s="1"/>
  <c r="M66" i="7"/>
  <c r="C62" i="6"/>
  <c r="K62" i="7"/>
  <c r="B13" i="6"/>
  <c r="F13" i="6"/>
  <c r="J13" i="6"/>
  <c r="N13" i="6"/>
  <c r="C13" i="6"/>
  <c r="G13" i="6"/>
  <c r="K13" i="6"/>
  <c r="S13" i="12" s="1"/>
  <c r="O13" i="6"/>
  <c r="D13" i="6"/>
  <c r="L13" i="6"/>
  <c r="O13" i="12" s="1"/>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K152" i="7"/>
  <c r="C152" i="7"/>
  <c r="B151" i="7"/>
  <c r="K151" i="7"/>
  <c r="L147" i="7"/>
  <c r="E136" i="7"/>
  <c r="C77" i="7"/>
  <c r="D77" i="7"/>
  <c r="O77" i="7"/>
  <c r="G77" i="7"/>
  <c r="I77" i="7"/>
  <c r="E185" i="6"/>
  <c r="I185" i="6"/>
  <c r="M185" i="6"/>
  <c r="B141" i="6"/>
  <c r="L141" i="6"/>
  <c r="I135" i="6"/>
  <c r="C76" i="6"/>
  <c r="L76" i="5" s="1"/>
  <c r="O76" i="6"/>
  <c r="I76" i="7"/>
  <c r="F15" i="6"/>
  <c r="L15" i="6"/>
  <c r="C15" i="7"/>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F132" i="7"/>
  <c r="B14" i="7"/>
  <c r="H14" i="7"/>
  <c r="L187" i="6"/>
  <c r="K160" i="6"/>
  <c r="I160" i="7"/>
  <c r="B152" i="6"/>
  <c r="I152" i="6"/>
  <c r="E135" i="6"/>
  <c r="F110" i="6"/>
  <c r="I110" i="6"/>
  <c r="K110" i="6"/>
  <c r="C110" i="7"/>
  <c r="I102" i="6"/>
  <c r="C87" i="6"/>
  <c r="H87" i="6"/>
  <c r="M87" i="6"/>
  <c r="D87" i="6"/>
  <c r="I87" i="6"/>
  <c r="Q87" i="12" s="1"/>
  <c r="O87" i="6"/>
  <c r="E87" i="6"/>
  <c r="G87" i="6"/>
  <c r="F87" i="7"/>
  <c r="K87" i="6"/>
  <c r="R87" i="12" s="1"/>
  <c r="E83" i="6"/>
  <c r="G83" i="6"/>
  <c r="I83" i="6"/>
  <c r="Q83" i="12" s="1"/>
  <c r="C83" i="6"/>
  <c r="L83" i="5" s="1"/>
  <c r="K83" i="6"/>
  <c r="R83" i="12" s="1"/>
  <c r="O83" i="6"/>
  <c r="B51" i="6"/>
  <c r="G51" i="6"/>
  <c r="M51" i="6"/>
  <c r="C51" i="6"/>
  <c r="I51" i="6"/>
  <c r="N51" i="6"/>
  <c r="E51" i="6"/>
  <c r="O51" i="6"/>
  <c r="F51" i="6"/>
  <c r="J51" i="6"/>
  <c r="E28" i="6"/>
  <c r="K173" i="10"/>
  <c r="E94" i="7"/>
  <c r="F42" i="7"/>
  <c r="K31" i="7"/>
  <c r="M27" i="7"/>
  <c r="G27" i="7"/>
  <c r="O21" i="7"/>
  <c r="C21" i="7"/>
  <c r="M12" i="7"/>
  <c r="N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O59" i="12" s="1"/>
  <c r="L56" i="6"/>
  <c r="D56" i="6"/>
  <c r="I56" i="6"/>
  <c r="Q56" i="12" s="1"/>
  <c r="F42" i="6"/>
  <c r="I42" i="6"/>
  <c r="H36" i="6"/>
  <c r="C31" i="6"/>
  <c r="K31" i="6"/>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L49" i="7"/>
  <c r="I31" i="7"/>
  <c r="I12" i="7"/>
  <c r="N183" i="6"/>
  <c r="F183" i="6"/>
  <c r="K181" i="6"/>
  <c r="E181" i="6"/>
  <c r="O180" i="6"/>
  <c r="E180" i="6"/>
  <c r="J177" i="6"/>
  <c r="F175" i="6"/>
  <c r="J161" i="6"/>
  <c r="D161" i="6"/>
  <c r="M155" i="6"/>
  <c r="H155" i="6"/>
  <c r="I139" i="6"/>
  <c r="F138" i="6"/>
  <c r="L133" i="6"/>
  <c r="O133" i="12" s="1"/>
  <c r="K123" i="6"/>
  <c r="G120" i="6"/>
  <c r="M119" i="6"/>
  <c r="G119" i="6"/>
  <c r="O112" i="6"/>
  <c r="B111" i="6"/>
  <c r="E111" i="6"/>
  <c r="K111" i="6"/>
  <c r="S111" i="12" s="1"/>
  <c r="C99" i="6"/>
  <c r="G99" i="6"/>
  <c r="K99" i="6"/>
  <c r="B93" i="6"/>
  <c r="F93" i="6"/>
  <c r="L93" i="6"/>
  <c r="E81" i="6"/>
  <c r="L81" i="6"/>
  <c r="I68" i="6"/>
  <c r="O68" i="6"/>
  <c r="C52" i="6"/>
  <c r="H52" i="6"/>
  <c r="M52" i="6"/>
  <c r="D52" i="6"/>
  <c r="I52" i="6"/>
  <c r="O52" i="6"/>
  <c r="F50" i="6"/>
  <c r="I50" i="6"/>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S112" i="12" s="1"/>
  <c r="D85" i="6"/>
  <c r="I85" i="6"/>
  <c r="N85" i="6"/>
  <c r="I63" i="6"/>
  <c r="Q63" i="12" s="1"/>
  <c r="M63" i="6"/>
  <c r="H60" i="6"/>
  <c r="L60" i="6"/>
  <c r="O60" i="12" s="1"/>
  <c r="E36" i="6"/>
  <c r="C36" i="6"/>
  <c r="I36" i="6"/>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G150" i="13"/>
  <c r="C54" i="11"/>
  <c r="B54" i="11"/>
  <c r="H54" i="11"/>
  <c r="M54" i="11"/>
  <c r="D54" i="11"/>
  <c r="I54" i="11"/>
  <c r="N54" i="11"/>
  <c r="C52" i="11"/>
  <c r="D52" i="11"/>
  <c r="N52" i="11"/>
  <c r="F52" i="11"/>
  <c r="C50" i="11"/>
  <c r="L50" i="11"/>
  <c r="C47" i="11"/>
  <c r="K47" i="11"/>
  <c r="E35" i="11"/>
  <c r="H35" i="11"/>
  <c r="K35" i="11"/>
  <c r="C181" i="12"/>
  <c r="F181" i="12"/>
  <c r="C122" i="12"/>
  <c r="F122" i="12"/>
  <c r="G122" i="12"/>
  <c r="B86" i="12"/>
  <c r="G86" i="12"/>
  <c r="C73" i="12"/>
  <c r="B73" i="12"/>
  <c r="E73" i="12"/>
  <c r="C70" i="12"/>
  <c r="F70" i="12"/>
  <c r="F60" i="12"/>
  <c r="C60" i="12"/>
  <c r="B41" i="12"/>
  <c r="C41" i="12"/>
  <c r="E41" i="12"/>
  <c r="G41" i="12"/>
  <c r="C37" i="12"/>
  <c r="B37" i="12"/>
  <c r="E37" i="12"/>
  <c r="F37" i="12"/>
  <c r="C14" i="12"/>
  <c r="G14" i="12"/>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C138" i="12"/>
  <c r="E138" i="12"/>
  <c r="F138" i="12"/>
  <c r="C130" i="12"/>
  <c r="B130" i="12"/>
  <c r="F130" i="12"/>
  <c r="F126" i="12"/>
  <c r="E123" i="12"/>
  <c r="D103" i="12"/>
  <c r="F103" i="12"/>
  <c r="F89" i="12"/>
  <c r="D89" i="12"/>
  <c r="E62" i="12"/>
  <c r="G62" i="12"/>
  <c r="B44" i="12"/>
  <c r="C44" i="12"/>
  <c r="F44" i="12"/>
  <c r="D23" i="12"/>
  <c r="B23" i="12"/>
  <c r="F23" i="12"/>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F176" i="13"/>
  <c r="F157" i="13"/>
  <c r="G157" i="13"/>
  <c r="C49" i="12"/>
  <c r="F43" i="12"/>
  <c r="E122" i="13"/>
  <c r="F108" i="13"/>
  <c r="E104" i="13"/>
  <c r="E90" i="13"/>
  <c r="F86" i="13"/>
  <c r="F83" i="13"/>
  <c r="I60" i="11"/>
  <c r="I53" i="11"/>
  <c r="E151" i="12"/>
  <c r="F109" i="12"/>
  <c r="E99" i="12"/>
  <c r="E87" i="12"/>
  <c r="F63" i="12"/>
  <c r="G49" i="12"/>
  <c r="E40" i="12"/>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D88" i="2"/>
  <c r="F88" i="2" s="1"/>
  <c r="Q87" i="2"/>
  <c r="L85" i="2"/>
  <c r="R84" i="2"/>
  <c r="L84" i="2"/>
  <c r="D78" i="2"/>
  <c r="L78" i="2"/>
  <c r="B76" i="2"/>
  <c r="H76" i="2"/>
  <c r="M76" i="2"/>
  <c r="R76" i="2"/>
  <c r="I74" i="2"/>
  <c r="R72" i="2"/>
  <c r="H72" i="2"/>
  <c r="S68" i="2"/>
  <c r="L68" i="2"/>
  <c r="Q64" i="2"/>
  <c r="S59" i="2"/>
  <c r="E56" i="2"/>
  <c r="H56" i="2"/>
  <c r="S56" i="2"/>
  <c r="D48" i="2"/>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O154" i="3"/>
  <c r="C151" i="3"/>
  <c r="I151" i="3"/>
  <c r="G146" i="3"/>
  <c r="D146" i="3"/>
  <c r="O146" i="3"/>
  <c r="B142" i="3"/>
  <c r="C142" i="3"/>
  <c r="L142" i="3"/>
  <c r="Q142" i="3"/>
  <c r="D142" i="3"/>
  <c r="M142" i="3"/>
  <c r="G142" i="3"/>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I83" i="3"/>
  <c r="F82" i="3"/>
  <c r="P82" i="3"/>
  <c r="D79" i="3"/>
  <c r="E79" i="3" s="1"/>
  <c r="J74" i="3"/>
  <c r="L62" i="3"/>
  <c r="J61" i="3"/>
  <c r="L60" i="3"/>
  <c r="S36" i="2"/>
  <c r="I36" i="2"/>
  <c r="L33" i="2"/>
  <c r="R32" i="2"/>
  <c r="D32" i="2"/>
  <c r="G32" i="2" s="1"/>
  <c r="S27" i="2"/>
  <c r="M20" i="2"/>
  <c r="I12" i="2"/>
  <c r="N187" i="3"/>
  <c r="I187" i="3"/>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Q83" i="3"/>
  <c r="B81" i="3"/>
  <c r="F81" i="3"/>
  <c r="G79" i="3"/>
  <c r="I79" i="3"/>
  <c r="Q79" i="3"/>
  <c r="F74" i="3"/>
  <c r="D74" i="3"/>
  <c r="N74" i="3"/>
  <c r="I74" i="3"/>
  <c r="P74" i="3"/>
  <c r="D62" i="3"/>
  <c r="N62" i="3"/>
  <c r="F62" i="3"/>
  <c r="Q62" i="3"/>
  <c r="B61" i="3"/>
  <c r="M61" i="3"/>
  <c r="F61" i="3"/>
  <c r="H61" i="3" s="1"/>
  <c r="O61" i="3"/>
  <c r="C60" i="3"/>
  <c r="B60" i="3"/>
  <c r="M60" i="3"/>
  <c r="F60" i="3"/>
  <c r="H60" i="3" s="1"/>
  <c r="P60" i="3"/>
  <c r="F58" i="3"/>
  <c r="N58" i="3"/>
  <c r="J50" i="3"/>
  <c r="L50" i="3"/>
  <c r="B38" i="3"/>
  <c r="F38" i="3"/>
  <c r="J37" i="3"/>
  <c r="C27" i="3"/>
  <c r="L27" i="3"/>
  <c r="J26" i="3"/>
  <c r="P23" i="3"/>
  <c r="M21" i="3"/>
  <c r="G13" i="3"/>
  <c r="Q13" i="3"/>
  <c r="J189" i="7"/>
  <c r="I162" i="7"/>
  <c r="M162" i="7"/>
  <c r="N148" i="7"/>
  <c r="F148" i="7"/>
  <c r="O47" i="3"/>
  <c r="G47" i="3"/>
  <c r="E47" i="5" s="1"/>
  <c r="F47" i="5" s="1"/>
  <c r="G47" i="5" s="1"/>
  <c r="J45" i="3"/>
  <c r="P44" i="3"/>
  <c r="M42" i="3"/>
  <c r="F42" i="3"/>
  <c r="Q37" i="3"/>
  <c r="G37" i="3"/>
  <c r="F34" i="3"/>
  <c r="M34" i="3"/>
  <c r="G31" i="3"/>
  <c r="E31" i="5" s="1"/>
  <c r="F31" i="5" s="1"/>
  <c r="G31" i="5" s="1"/>
  <c r="L31" i="3"/>
  <c r="C28" i="3"/>
  <c r="I28" i="3"/>
  <c r="N28" i="3"/>
  <c r="Q26" i="3"/>
  <c r="D26" i="3"/>
  <c r="M23" i="3"/>
  <c r="J21" i="3"/>
  <c r="J13" i="3"/>
  <c r="I9" i="3"/>
  <c r="F9" i="3"/>
  <c r="C189" i="7"/>
  <c r="D189" i="7"/>
  <c r="I189" i="7"/>
  <c r="I189" i="12" s="1"/>
  <c r="N189" i="7"/>
  <c r="M148" i="7"/>
  <c r="M77" i="3"/>
  <c r="M72" i="3"/>
  <c r="F72" i="3"/>
  <c r="P71" i="3"/>
  <c r="M68" i="3"/>
  <c r="F68" i="3"/>
  <c r="O67" i="3"/>
  <c r="M66" i="3"/>
  <c r="M64" i="3"/>
  <c r="F64" i="3"/>
  <c r="N57" i="3"/>
  <c r="P56" i="3"/>
  <c r="G56" i="3"/>
  <c r="M47" i="3"/>
  <c r="F45" i="3"/>
  <c r="H45" i="3" s="1"/>
  <c r="L44" i="3"/>
  <c r="Q42" i="3"/>
  <c r="L42" i="3"/>
  <c r="L39" i="3"/>
  <c r="G39" i="3"/>
  <c r="E39" i="5" s="1"/>
  <c r="F39" i="5" s="1"/>
  <c r="G39" i="5" s="1"/>
  <c r="O37" i="3"/>
  <c r="I35" i="3"/>
  <c r="G35" i="3"/>
  <c r="C32" i="3"/>
  <c r="I32" i="3"/>
  <c r="N32" i="3"/>
  <c r="Q30" i="3"/>
  <c r="M28" i="3"/>
  <c r="F28" i="3"/>
  <c r="Q27" i="3"/>
  <c r="N26" i="3"/>
  <c r="L23" i="3"/>
  <c r="C21" i="3"/>
  <c r="M18" i="3"/>
  <c r="C16" i="3"/>
  <c r="G16" i="3"/>
  <c r="F13" i="3"/>
  <c r="G11" i="3"/>
  <c r="F10" i="3"/>
  <c r="L10" i="3"/>
  <c r="D167" i="7"/>
  <c r="F37" i="3"/>
  <c r="N37" i="3"/>
  <c r="I26" i="3"/>
  <c r="P26" i="3"/>
  <c r="C8" i="3"/>
  <c r="I8" i="3"/>
  <c r="C148" i="7"/>
  <c r="G148" i="7"/>
  <c r="K148" i="7"/>
  <c r="O148" i="7"/>
  <c r="D148" i="7"/>
  <c r="H148" i="7"/>
  <c r="L148" i="7"/>
  <c r="H144" i="7"/>
  <c r="N132" i="7"/>
  <c r="I132" i="7"/>
  <c r="C132" i="7"/>
  <c r="N114" i="7"/>
  <c r="I107" i="7"/>
  <c r="G67" i="7"/>
  <c r="E67" i="7"/>
  <c r="L45" i="7"/>
  <c r="E30" i="7"/>
  <c r="F30" i="7"/>
  <c r="H30" i="7"/>
  <c r="E25" i="7"/>
  <c r="H22" i="7"/>
  <c r="C14" i="7"/>
  <c r="E14" i="7"/>
  <c r="L14" i="7"/>
  <c r="F14" i="7"/>
  <c r="M14" i="7"/>
  <c r="B7" i="7"/>
  <c r="G7" i="7"/>
  <c r="I7" i="7"/>
  <c r="C179" i="6"/>
  <c r="F179" i="6"/>
  <c r="I179" i="6"/>
  <c r="M179" i="12" s="1"/>
  <c r="I173" i="6"/>
  <c r="B172" i="6"/>
  <c r="E172" i="6"/>
  <c r="I172" i="6"/>
  <c r="Q172" i="12" s="1"/>
  <c r="D171" i="6"/>
  <c r="B171" i="6"/>
  <c r="J171" i="6"/>
  <c r="E171" i="6"/>
  <c r="L171" i="6"/>
  <c r="O171" i="12" s="1"/>
  <c r="I149" i="6"/>
  <c r="B148" i="6"/>
  <c r="C148" i="6"/>
  <c r="K148" i="6"/>
  <c r="E148" i="6"/>
  <c r="M148" i="6"/>
  <c r="G148" i="6"/>
  <c r="O148" i="6"/>
  <c r="D144" i="6"/>
  <c r="C144" i="6"/>
  <c r="K144" i="6"/>
  <c r="E144" i="6"/>
  <c r="L144" i="6"/>
  <c r="G144" i="6"/>
  <c r="M144" i="6"/>
  <c r="I180" i="7"/>
  <c r="M144" i="7"/>
  <c r="E144" i="7"/>
  <c r="L136" i="7"/>
  <c r="H136" i="7"/>
  <c r="M132" i="7"/>
  <c r="G132" i="7"/>
  <c r="B132" i="7"/>
  <c r="L114" i="7"/>
  <c r="K112" i="7"/>
  <c r="K111" i="7"/>
  <c r="G107" i="7"/>
  <c r="M105" i="7"/>
  <c r="M94" i="7"/>
  <c r="L92" i="7"/>
  <c r="M72" i="7"/>
  <c r="K41" i="7"/>
  <c r="M30" i="7"/>
  <c r="C18" i="7"/>
  <c r="D18" i="7"/>
  <c r="I18" i="7"/>
  <c r="N18" i="7"/>
  <c r="E18" i="7"/>
  <c r="J18" i="7"/>
  <c r="J14" i="7"/>
  <c r="O7" i="7"/>
  <c r="C187" i="6"/>
  <c r="D187" i="6"/>
  <c r="I187" i="6"/>
  <c r="M187" i="12" s="1"/>
  <c r="N187" i="6"/>
  <c r="E187" i="6"/>
  <c r="J187" i="6"/>
  <c r="N179" i="6"/>
  <c r="C177" i="6"/>
  <c r="G177" i="6"/>
  <c r="K177" i="6"/>
  <c r="O177" i="6"/>
  <c r="D177" i="6"/>
  <c r="H177" i="6"/>
  <c r="L177" i="6"/>
  <c r="D176" i="6"/>
  <c r="E176" i="6"/>
  <c r="M176" i="6"/>
  <c r="G176" i="6"/>
  <c r="O176" i="6"/>
  <c r="M171" i="6"/>
  <c r="B164" i="6"/>
  <c r="C164" i="6"/>
  <c r="O164" i="6"/>
  <c r="G164" i="6"/>
  <c r="C157" i="6"/>
  <c r="E157" i="6"/>
  <c r="I157" i="6"/>
  <c r="M157" i="6"/>
  <c r="B151" i="6"/>
  <c r="H151" i="6"/>
  <c r="M151" i="6"/>
  <c r="D151" i="6"/>
  <c r="I151" i="6"/>
  <c r="M151" i="12" s="1"/>
  <c r="N151" i="6"/>
  <c r="E151" i="6"/>
  <c r="J151" i="6"/>
  <c r="C143" i="6"/>
  <c r="E143" i="6"/>
  <c r="I143" i="6"/>
  <c r="M143" i="6"/>
  <c r="C45" i="7"/>
  <c r="D45" i="7"/>
  <c r="O45" i="7"/>
  <c r="G45"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P149" i="12" s="1"/>
  <c r="L149" i="6"/>
  <c r="B58" i="7"/>
  <c r="F58" i="7"/>
  <c r="L58" i="7"/>
  <c r="K58" i="12" s="1"/>
  <c r="E41" i="7"/>
  <c r="C41" i="7"/>
  <c r="M41" i="7"/>
  <c r="G41" i="7"/>
  <c r="M22" i="7"/>
  <c r="C31" i="7"/>
  <c r="C13" i="7"/>
  <c r="I186" i="6"/>
  <c r="M186" i="12" s="1"/>
  <c r="M183" i="6"/>
  <c r="H183" i="6"/>
  <c r="B183" i="6"/>
  <c r="N181" i="6"/>
  <c r="J181" i="6"/>
  <c r="F181" i="6"/>
  <c r="K180" i="6"/>
  <c r="C180" i="6"/>
  <c r="N175" i="6"/>
  <c r="D175" i="6"/>
  <c r="F163" i="6"/>
  <c r="M161" i="6"/>
  <c r="H161" i="6"/>
  <c r="B161" i="6"/>
  <c r="L159" i="6"/>
  <c r="I156" i="6"/>
  <c r="Q156" i="12" s="1"/>
  <c r="I153" i="6"/>
  <c r="Q153" i="12" s="1"/>
  <c r="N147" i="6"/>
  <c r="D147" i="6"/>
  <c r="K142" i="6"/>
  <c r="R142" i="12" s="1"/>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P101" i="12" s="1"/>
  <c r="O99" i="6"/>
  <c r="I99" i="6"/>
  <c r="D99" i="6"/>
  <c r="F97" i="6"/>
  <c r="G95" i="6"/>
  <c r="J93" i="6"/>
  <c r="E93" i="6"/>
  <c r="O92" i="6"/>
  <c r="L91" i="6"/>
  <c r="L89" i="6"/>
  <c r="K88" i="6"/>
  <c r="S88" i="12" s="1"/>
  <c r="L85" i="6"/>
  <c r="E85" i="6"/>
  <c r="K84" i="6"/>
  <c r="R84" i="12" s="1"/>
  <c r="H81" i="6"/>
  <c r="E80" i="6"/>
  <c r="I80" i="6"/>
  <c r="M80" i="12" s="1"/>
  <c r="L77" i="6"/>
  <c r="O77" i="12" s="1"/>
  <c r="E77" i="6"/>
  <c r="K76" i="6"/>
  <c r="D73" i="6"/>
  <c r="F73" i="6"/>
  <c r="M73" i="6"/>
  <c r="E72" i="6"/>
  <c r="C72" i="6"/>
  <c r="O72" i="6"/>
  <c r="I67" i="6"/>
  <c r="F61" i="6"/>
  <c r="I55" i="6"/>
  <c r="M55" i="12" s="1"/>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S126" i="12" s="1"/>
  <c r="L121" i="6"/>
  <c r="L116" i="6"/>
  <c r="F115" i="6"/>
  <c r="G107" i="6"/>
  <c r="H105" i="6"/>
  <c r="M99" i="6"/>
  <c r="H99" i="6"/>
  <c r="M97" i="6"/>
  <c r="B97" i="6"/>
  <c r="O95" i="6"/>
  <c r="D95" i="6"/>
  <c r="N93" i="6"/>
  <c r="I93" i="6"/>
  <c r="D93" i="6"/>
  <c r="K92" i="6"/>
  <c r="S92" i="12" s="1"/>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E35" i="6"/>
  <c r="G35" i="6"/>
  <c r="O35" i="6"/>
  <c r="I35" i="6"/>
  <c r="J33" i="6"/>
  <c r="L25" i="6"/>
  <c r="L21" i="6"/>
  <c r="E19" i="6"/>
  <c r="H19" i="6"/>
  <c r="P19" i="12" s="1"/>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E89" i="6"/>
  <c r="B85" i="6"/>
  <c r="H85" i="6"/>
  <c r="P85" i="12" s="1"/>
  <c r="M85" i="6"/>
  <c r="G84" i="6"/>
  <c r="I84" i="6"/>
  <c r="Q84" i="12" s="1"/>
  <c r="M81" i="6"/>
  <c r="B77" i="6"/>
  <c r="H77" i="6"/>
  <c r="L77" i="12" s="1"/>
  <c r="M77" i="6"/>
  <c r="G76" i="6"/>
  <c r="I76" i="6"/>
  <c r="O67" i="6"/>
  <c r="D64" i="6"/>
  <c r="G64" i="6"/>
  <c r="K62" i="6"/>
  <c r="S62" i="12" s="1"/>
  <c r="N55" i="6"/>
  <c r="E46" i="6"/>
  <c r="C46" i="6"/>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K67" i="6"/>
  <c r="N67" i="12" s="1"/>
  <c r="C55" i="6"/>
  <c r="E55" i="6"/>
  <c r="J55" i="6"/>
  <c r="O55" i="6"/>
  <c r="F55" i="6"/>
  <c r="K55" i="6"/>
  <c r="R55" i="12" s="1"/>
  <c r="C47" i="6"/>
  <c r="G47" i="6"/>
  <c r="I47" i="6"/>
  <c r="Q47" i="12" s="1"/>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59" i="2"/>
  <c r="F261" i="2"/>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P32" i="5" s="1"/>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C135" i="5"/>
  <c r="I134" i="5"/>
  <c r="N127" i="5"/>
  <c r="O121" i="5"/>
  <c r="C119" i="5"/>
  <c r="I118" i="5"/>
  <c r="N111" i="5"/>
  <c r="N108" i="5"/>
  <c r="N107" i="5"/>
  <c r="N104" i="5"/>
  <c r="N103" i="5"/>
  <c r="N100" i="5"/>
  <c r="N99" i="5"/>
  <c r="N96" i="5"/>
  <c r="N95" i="5"/>
  <c r="N92" i="5"/>
  <c r="N91" i="5"/>
  <c r="N88" i="5"/>
  <c r="N87" i="5"/>
  <c r="N84" i="5"/>
  <c r="N83" i="5"/>
  <c r="P83" i="5" s="1"/>
  <c r="N80" i="5"/>
  <c r="N79" i="5"/>
  <c r="N76" i="5"/>
  <c r="N75" i="5"/>
  <c r="N72" i="5"/>
  <c r="N71" i="5"/>
  <c r="N68" i="5"/>
  <c r="N67" i="5"/>
  <c r="P67" i="5" s="1"/>
  <c r="N64" i="5"/>
  <c r="N63" i="5"/>
  <c r="K48" i="5"/>
  <c r="K44" i="5"/>
  <c r="K40" i="5"/>
  <c r="K36" i="5"/>
  <c r="K32" i="5"/>
  <c r="K28" i="5"/>
  <c r="K24" i="5"/>
  <c r="K20" i="5"/>
  <c r="K16" i="5"/>
  <c r="K12" i="5"/>
  <c r="K8" i="5"/>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E179" i="13"/>
  <c r="E168" i="13"/>
  <c r="G154" i="13"/>
  <c r="B25" i="12"/>
  <c r="C25" i="12"/>
  <c r="G18" i="12"/>
  <c r="C18" i="12"/>
  <c r="E181" i="13"/>
  <c r="G181" i="13"/>
  <c r="F166" i="13"/>
  <c r="F162" i="13"/>
  <c r="G141" i="13"/>
  <c r="F133" i="13"/>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G174" i="13"/>
  <c r="F170" i="13"/>
  <c r="G166" i="13"/>
  <c r="G162" i="13"/>
  <c r="F161" i="13"/>
  <c r="F150" i="13"/>
  <c r="F146" i="13"/>
  <c r="F140" i="13"/>
  <c r="F132" i="13"/>
  <c r="E123" i="13"/>
  <c r="G65" i="12"/>
  <c r="E54" i="12"/>
  <c r="E53" i="12"/>
  <c r="G46" i="12"/>
  <c r="E45" i="12"/>
  <c r="E31" i="12"/>
  <c r="C28" i="12"/>
  <c r="E28" i="12"/>
  <c r="G25" i="12"/>
  <c r="C21" i="12"/>
  <c r="B21" i="12"/>
  <c r="E13" i="12"/>
  <c r="F11" i="12"/>
  <c r="G180" i="13"/>
  <c r="E166" i="13"/>
  <c r="G165" i="13"/>
  <c r="E162" i="13"/>
  <c r="F154" i="13"/>
  <c r="F145" i="13"/>
  <c r="G142" i="13"/>
  <c r="G139" i="13"/>
  <c r="G133" i="13"/>
  <c r="E131" i="13"/>
  <c r="E149" i="13"/>
  <c r="G138" i="13"/>
  <c r="E126" i="13"/>
  <c r="F125" i="13"/>
  <c r="G122" i="13"/>
  <c r="G114" i="13"/>
  <c r="G106" i="13"/>
  <c r="G98" i="13"/>
  <c r="G90" i="13"/>
  <c r="F67" i="13"/>
  <c r="E51" i="13"/>
  <c r="F48" i="13"/>
  <c r="F47" i="13"/>
  <c r="E45" i="13"/>
  <c r="E43" i="13"/>
  <c r="F41" i="13"/>
  <c r="F27" i="13"/>
  <c r="E25" i="13"/>
  <c r="E8" i="13"/>
  <c r="G8" i="13"/>
  <c r="E184" i="14"/>
  <c r="C183" i="14"/>
  <c r="F183" i="14"/>
  <c r="B176" i="14"/>
  <c r="G176" i="14" s="1"/>
  <c r="C176" i="14"/>
  <c r="B167" i="14"/>
  <c r="F167" i="14"/>
  <c r="C151" i="14"/>
  <c r="E151" i="14"/>
  <c r="F3" i="21" s="1"/>
  <c r="B151" i="14"/>
  <c r="G3" i="21" s="1"/>
  <c r="D144" i="14"/>
  <c r="C144" i="14"/>
  <c r="C110" i="14"/>
  <c r="E110" i="14"/>
  <c r="F68" i="13"/>
  <c r="E67" i="13"/>
  <c r="G65" i="13"/>
  <c r="F61" i="13"/>
  <c r="F49" i="13"/>
  <c r="E48" i="13"/>
  <c r="E41" i="13"/>
  <c r="E35" i="13"/>
  <c r="E27" i="13"/>
  <c r="E23" i="13"/>
  <c r="F7" i="13"/>
  <c r="C187" i="14"/>
  <c r="E187" i="14"/>
  <c r="G187" i="14" s="1"/>
  <c r="D172" i="14"/>
  <c r="B172" i="14"/>
  <c r="B169" i="14"/>
  <c r="D169" i="14"/>
  <c r="E154" i="14"/>
  <c r="C154" i="14"/>
  <c r="D146" i="14"/>
  <c r="E146" i="14"/>
  <c r="C131" i="14"/>
  <c r="B131" i="14"/>
  <c r="E131" i="14"/>
  <c r="C122" i="14"/>
  <c r="E122" i="14"/>
  <c r="E81" i="13"/>
  <c r="E75" i="13"/>
  <c r="F65" i="13"/>
  <c r="F56" i="13"/>
  <c r="F44" i="13"/>
  <c r="G42" i="13"/>
  <c r="E24" i="13"/>
  <c r="G24" i="13"/>
  <c r="F11" i="13"/>
  <c r="E9" i="13"/>
  <c r="C177" i="14"/>
  <c r="D177" i="14"/>
  <c r="F172" i="14"/>
  <c r="D171" i="14"/>
  <c r="F169" i="14"/>
  <c r="C143" i="14"/>
  <c r="B143" i="14"/>
  <c r="F143" i="14"/>
  <c r="F140" i="14"/>
  <c r="C128" i="14"/>
  <c r="E128" i="14"/>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B91" i="14"/>
  <c r="C89" i="14"/>
  <c r="E87" i="14"/>
  <c r="G87" i="14" s="1"/>
  <c r="E79" i="14"/>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G8" i="14" s="1"/>
  <c r="D7" i="14"/>
  <c r="F129" i="14"/>
  <c r="B123" i="14"/>
  <c r="B119" i="14"/>
  <c r="B111" i="14"/>
  <c r="F109" i="14"/>
  <c r="F103" i="14"/>
  <c r="E99" i="14"/>
  <c r="E96" i="14"/>
  <c r="F91" i="14"/>
  <c r="E77" i="14"/>
  <c r="E73" i="14"/>
  <c r="E69" i="14"/>
  <c r="E65" i="14"/>
  <c r="E61" i="14"/>
  <c r="F56" i="14"/>
  <c r="E49" i="14"/>
  <c r="F48" i="14"/>
  <c r="F41" i="14"/>
  <c r="F35" i="14"/>
  <c r="E34" i="14"/>
  <c r="F4" i="21" s="1"/>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I3" i="21" s="1"/>
  <c r="P151" i="2"/>
  <c r="D3" i="21" s="1"/>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B3" i="21" s="1"/>
  <c r="C155" i="2"/>
  <c r="H3" i="21" s="1"/>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Q127" i="2"/>
  <c r="S124" i="2"/>
  <c r="I124" i="2"/>
  <c r="C124" i="2"/>
  <c r="I123" i="2"/>
  <c r="I122" i="2"/>
  <c r="L121" i="2"/>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E3" i="21" s="1"/>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C32" i="2"/>
  <c r="H32" i="2"/>
  <c r="P32" i="2"/>
  <c r="S24" i="2"/>
  <c r="L24" i="2"/>
  <c r="C24" i="2"/>
  <c r="Q13" i="2"/>
  <c r="S12" i="2"/>
  <c r="L12" i="2"/>
  <c r="E12" i="2"/>
  <c r="G12" i="2" s="1"/>
  <c r="Q186" i="3"/>
  <c r="I186" i="3"/>
  <c r="Q185" i="3"/>
  <c r="J184" i="3"/>
  <c r="K184" i="3" s="1"/>
  <c r="L181" i="3"/>
  <c r="C179" i="3"/>
  <c r="I179" i="3"/>
  <c r="N179" i="3"/>
  <c r="J176" i="3"/>
  <c r="L173" i="3"/>
  <c r="Q170" i="3"/>
  <c r="I170" i="3"/>
  <c r="Q169" i="3"/>
  <c r="J168" i="3"/>
  <c r="K168" i="3" s="1"/>
  <c r="Q167" i="3"/>
  <c r="L167" i="3"/>
  <c r="C167" i="3"/>
  <c r="M160" i="3"/>
  <c r="B160" i="3"/>
  <c r="N160" i="3"/>
  <c r="M159" i="3"/>
  <c r="F159" i="3"/>
  <c r="H159" i="3" s="1"/>
  <c r="P158" i="3"/>
  <c r="G158" i="3"/>
  <c r="C155" i="3"/>
  <c r="I155" i="3"/>
  <c r="K155" i="3" s="1"/>
  <c r="N155" i="3"/>
  <c r="L151" i="3"/>
  <c r="D151" i="3"/>
  <c r="P150" i="3"/>
  <c r="D150" i="3"/>
  <c r="M149" i="3"/>
  <c r="D147" i="3"/>
  <c r="E147" i="3" s="1"/>
  <c r="J147" i="3"/>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Q59" i="3"/>
  <c r="Q58" i="3"/>
  <c r="L58" i="3"/>
  <c r="D58" i="3"/>
  <c r="N56" i="3"/>
  <c r="I56" i="3"/>
  <c r="D56" i="3"/>
  <c r="E56" i="3" s="1"/>
  <c r="Q55" i="3"/>
  <c r="G55" i="3"/>
  <c r="L54" i="3"/>
  <c r="O52" i="3"/>
  <c r="J52" i="3"/>
  <c r="D52" i="3"/>
  <c r="Q51" i="3"/>
  <c r="G51" i="3"/>
  <c r="P50" i="3"/>
  <c r="F50" i="3"/>
  <c r="O48" i="3"/>
  <c r="J48" i="3"/>
  <c r="D48" i="3"/>
  <c r="E48" i="3" s="1"/>
  <c r="N44" i="3"/>
  <c r="I44" i="3"/>
  <c r="C44" i="3"/>
  <c r="E44" i="3" s="1"/>
  <c r="L43" i="3"/>
  <c r="I41" i="3"/>
  <c r="L34" i="3"/>
  <c r="Q31" i="3"/>
  <c r="I31" i="3"/>
  <c r="D30" i="3"/>
  <c r="N30" i="3"/>
  <c r="G29" i="3"/>
  <c r="H29" i="3" s="1"/>
  <c r="D24" i="3"/>
  <c r="J24" i="3"/>
  <c r="O24" i="3"/>
  <c r="B22" i="3"/>
  <c r="L22" i="3"/>
  <c r="B21" i="3"/>
  <c r="I21" i="3"/>
  <c r="O21" i="3"/>
  <c r="M20" i="3"/>
  <c r="F20" i="3"/>
  <c r="G19" i="3"/>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E43" i="5" s="1"/>
  <c r="F43" i="5" s="1"/>
  <c r="G43" i="5" s="1"/>
  <c r="Q38" i="3"/>
  <c r="B37" i="3"/>
  <c r="I37" i="3"/>
  <c r="B33" i="3"/>
  <c r="Q33" i="3"/>
  <c r="P31" i="3"/>
  <c r="L30" i="3"/>
  <c r="Q29" i="3"/>
  <c r="F26" i="3"/>
  <c r="M26" i="3"/>
  <c r="C25" i="3"/>
  <c r="Q25" i="3"/>
  <c r="M24" i="3"/>
  <c r="F24" i="3"/>
  <c r="G23" i="3"/>
  <c r="E23" i="5" s="1"/>
  <c r="F23" i="5" s="1"/>
  <c r="G23" i="5" s="1"/>
  <c r="Q23" i="3"/>
  <c r="Q21" i="3"/>
  <c r="G21" i="3"/>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O20" i="3"/>
  <c r="L18" i="3"/>
  <c r="D16" i="3"/>
  <c r="J16" i="3"/>
  <c r="O16" i="3"/>
  <c r="I15" i="3"/>
  <c r="C11" i="3"/>
  <c r="L11" i="3"/>
  <c r="B10" i="3"/>
  <c r="J10" i="3"/>
  <c r="P10" i="3"/>
  <c r="N8" i="3"/>
  <c r="F8" i="3"/>
  <c r="I184" i="7"/>
  <c r="I179" i="7"/>
  <c r="F173" i="7"/>
  <c r="O171" i="7"/>
  <c r="K171" i="7"/>
  <c r="G171" i="7"/>
  <c r="C171" i="7"/>
  <c r="I157" i="7"/>
  <c r="F151" i="7"/>
  <c r="K145" i="7"/>
  <c r="E145" i="7"/>
  <c r="O144" i="7"/>
  <c r="K144" i="7"/>
  <c r="G144" i="7"/>
  <c r="C144" i="7"/>
  <c r="I135" i="7"/>
  <c r="N134" i="7"/>
  <c r="I119" i="7"/>
  <c r="D118" i="7"/>
  <c r="N118" i="7"/>
  <c r="K113" i="7"/>
  <c r="B112" i="7"/>
  <c r="F112" i="7"/>
  <c r="J112" i="7"/>
  <c r="N112" i="7"/>
  <c r="K107" i="7"/>
  <c r="K105" i="7"/>
  <c r="N103" i="7"/>
  <c r="G92" i="7"/>
  <c r="K83" i="7"/>
  <c r="O180" i="7"/>
  <c r="G180" i="7"/>
  <c r="N171" i="7"/>
  <c r="J171" i="7"/>
  <c r="F171" i="7"/>
  <c r="H167" i="7"/>
  <c r="M166" i="7"/>
  <c r="K164" i="7"/>
  <c r="G157" i="7"/>
  <c r="L152" i="7"/>
  <c r="H152" i="7"/>
  <c r="N151" i="7"/>
  <c r="C151" i="7"/>
  <c r="O145" i="7"/>
  <c r="I145" i="7"/>
  <c r="D145" i="7"/>
  <c r="N144" i="7"/>
  <c r="J144" i="7"/>
  <c r="F144" i="7"/>
  <c r="F135" i="7"/>
  <c r="L132" i="7"/>
  <c r="H132" i="7"/>
  <c r="K119" i="7"/>
  <c r="B114" i="7"/>
  <c r="I114" i="7"/>
  <c r="D113" i="7"/>
  <c r="I113" i="7"/>
  <c r="O113" i="7"/>
  <c r="E107" i="7"/>
  <c r="J107" i="7"/>
  <c r="O107" i="7"/>
  <c r="F107" i="7"/>
  <c r="M107" i="7"/>
  <c r="G105" i="7"/>
  <c r="F103" i="7"/>
  <c r="M92" i="7"/>
  <c r="D82" i="7"/>
  <c r="E166" i="7"/>
  <c r="O157" i="7"/>
  <c r="D157" i="7"/>
  <c r="M145" i="7"/>
  <c r="H145" i="7"/>
  <c r="N135" i="7"/>
  <c r="C135" i="7"/>
  <c r="N130" i="7"/>
  <c r="C101" i="7"/>
  <c r="G101" i="7"/>
  <c r="L101" i="7"/>
  <c r="B92" i="7"/>
  <c r="F92" i="7"/>
  <c r="J92" i="7"/>
  <c r="N92" i="7"/>
  <c r="D92" i="7"/>
  <c r="I92" i="7"/>
  <c r="O92" i="7"/>
  <c r="E92" i="7"/>
  <c r="K92" i="7"/>
  <c r="D88" i="7"/>
  <c r="E105" i="7"/>
  <c r="L105" i="7"/>
  <c r="H105" i="7"/>
  <c r="B103" i="7"/>
  <c r="I103" i="7"/>
  <c r="K103" i="7"/>
  <c r="H92" i="7"/>
  <c r="F83" i="7"/>
  <c r="M83" i="7"/>
  <c r="E83" i="7"/>
  <c r="O83" i="7"/>
  <c r="G83" i="7"/>
  <c r="C93" i="7"/>
  <c r="G93"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D97" i="7"/>
  <c r="L93" i="7"/>
  <c r="K72" i="7"/>
  <c r="E72" i="7"/>
  <c r="B71" i="7"/>
  <c r="I71" i="7"/>
  <c r="K64" i="7"/>
  <c r="C20" i="7"/>
  <c r="G20" i="7"/>
  <c r="K20" i="7"/>
  <c r="O20" i="7"/>
  <c r="D20" i="7"/>
  <c r="H20" i="7"/>
  <c r="L20" i="7"/>
  <c r="B20" i="7"/>
  <c r="F20" i="7"/>
  <c r="J20" i="7"/>
  <c r="N20" i="7"/>
  <c r="C12" i="7"/>
  <c r="G12" i="7"/>
  <c r="K12" i="7"/>
  <c r="O12" i="7"/>
  <c r="D12" i="7"/>
  <c r="H12" i="7"/>
  <c r="L12" i="7"/>
  <c r="B12" i="7"/>
  <c r="F12" i="7"/>
  <c r="J12" i="7"/>
  <c r="N12" i="7"/>
  <c r="L166" i="5"/>
  <c r="D64" i="7"/>
  <c r="H64" i="7"/>
  <c r="L64" i="7"/>
  <c r="B64" i="7"/>
  <c r="F64" i="7"/>
  <c r="J64" i="7"/>
  <c r="N64" i="7"/>
  <c r="B60" i="7"/>
  <c r="C19" i="7"/>
  <c r="I19" i="7"/>
  <c r="M19" i="7"/>
  <c r="E19" i="7"/>
  <c r="D184" i="6"/>
  <c r="E184" i="6"/>
  <c r="M184" i="6"/>
  <c r="G184" i="6"/>
  <c r="O184" i="6"/>
  <c r="C184" i="6"/>
  <c r="K184" i="6"/>
  <c r="B74" i="7"/>
  <c r="L74" i="7"/>
  <c r="F67" i="7"/>
  <c r="M67" i="7"/>
  <c r="B67" i="7"/>
  <c r="J67" i="7"/>
  <c r="O64" i="7"/>
  <c r="G64" i="7"/>
  <c r="G11" i="7"/>
  <c r="I65" i="7"/>
  <c r="L46" i="7"/>
  <c r="L42" i="7"/>
  <c r="L41" i="7"/>
  <c r="F31" i="7"/>
  <c r="L30" i="7"/>
  <c r="N22" i="7"/>
  <c r="I22" i="7"/>
  <c r="D22" i="7"/>
  <c r="M21" i="7"/>
  <c r="N14" i="7"/>
  <c r="I14" i="7"/>
  <c r="D14" i="7"/>
  <c r="K8" i="7"/>
  <c r="M7" i="7"/>
  <c r="E7" i="7"/>
  <c r="J179" i="6"/>
  <c r="E179" i="6"/>
  <c r="I178" i="6"/>
  <c r="M178" i="12" s="1"/>
  <c r="J175" i="6"/>
  <c r="E175" i="6"/>
  <c r="L173" i="6"/>
  <c r="O173" i="12" s="1"/>
  <c r="H173" i="6"/>
  <c r="D173" i="6"/>
  <c r="O172" i="6"/>
  <c r="G172" i="6"/>
  <c r="N171" i="6"/>
  <c r="I171" i="6"/>
  <c r="Q171" i="12" s="1"/>
  <c r="L169" i="6"/>
  <c r="H169" i="6"/>
  <c r="L169" i="12" s="1"/>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S156" i="12" s="1"/>
  <c r="C156" i="6"/>
  <c r="N153" i="6"/>
  <c r="J153" i="6"/>
  <c r="F153" i="6"/>
  <c r="B153" i="6"/>
  <c r="K152" i="6"/>
  <c r="C152" i="6"/>
  <c r="J147" i="6"/>
  <c r="E147" i="6"/>
  <c r="I146" i="6"/>
  <c r="Q146" i="12" s="1"/>
  <c r="O144" i="6"/>
  <c r="I144" i="6"/>
  <c r="M144" i="12" s="1"/>
  <c r="N143" i="6"/>
  <c r="J143" i="6"/>
  <c r="F143" i="6"/>
  <c r="B143" i="6"/>
  <c r="I142" i="6"/>
  <c r="M141" i="6"/>
  <c r="F141" i="6"/>
  <c r="L139" i="6"/>
  <c r="H139" i="6"/>
  <c r="D139" i="6"/>
  <c r="O138" i="6"/>
  <c r="J138" i="6"/>
  <c r="E138" i="6"/>
  <c r="N137" i="6"/>
  <c r="D137" i="6"/>
  <c r="K136" i="6"/>
  <c r="C136" i="6"/>
  <c r="M133" i="6"/>
  <c r="H133" i="6"/>
  <c r="B133" i="6"/>
  <c r="I132" i="6"/>
  <c r="Q132" i="12" s="1"/>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P67" i="12" s="1"/>
  <c r="L67" i="6"/>
  <c r="O67" i="12" s="1"/>
  <c r="B67" i="6"/>
  <c r="F67" i="6"/>
  <c r="J67" i="6"/>
  <c r="N67" i="6"/>
  <c r="O63" i="6"/>
  <c r="G63" i="6"/>
  <c r="N62" i="6"/>
  <c r="D61" i="6"/>
  <c r="N61" i="6"/>
  <c r="I61" i="6"/>
  <c r="Q61" i="12" s="1"/>
  <c r="C60" i="6"/>
  <c r="L60" i="5" s="1"/>
  <c r="K60" i="6"/>
  <c r="S60" i="12" s="1"/>
  <c r="G60" i="6"/>
  <c r="M60" i="6"/>
  <c r="I57" i="6"/>
  <c r="M57" i="12" s="1"/>
  <c r="O54" i="6"/>
  <c r="B127" i="6"/>
  <c r="F127" i="6"/>
  <c r="J127" i="6"/>
  <c r="N127" i="6"/>
  <c r="D123" i="6"/>
  <c r="H123" i="6"/>
  <c r="L123" i="6"/>
  <c r="B117" i="6"/>
  <c r="H117" i="6"/>
  <c r="P117" i="12" s="1"/>
  <c r="M117" i="6"/>
  <c r="C115" i="6"/>
  <c r="G115" i="6"/>
  <c r="K115" i="6"/>
  <c r="O115" i="6"/>
  <c r="D105" i="6"/>
  <c r="I105" i="6"/>
  <c r="M105" i="12" s="1"/>
  <c r="N105" i="6"/>
  <c r="C102" i="6"/>
  <c r="E102" i="6"/>
  <c r="B91" i="6"/>
  <c r="F91" i="6"/>
  <c r="J91" i="6"/>
  <c r="N91" i="6"/>
  <c r="E88" i="6"/>
  <c r="M88" i="6"/>
  <c r="D79" i="6"/>
  <c r="H79" i="6"/>
  <c r="L79" i="12" s="1"/>
  <c r="L79" i="6"/>
  <c r="B79" i="6"/>
  <c r="F79" i="6"/>
  <c r="J79" i="6"/>
  <c r="N79" i="6"/>
  <c r="B65" i="6"/>
  <c r="J65" i="6"/>
  <c r="F65" i="6"/>
  <c r="M65" i="6"/>
  <c r="E62" i="6"/>
  <c r="J62" i="6"/>
  <c r="O62" i="6"/>
  <c r="B62" i="6"/>
  <c r="G62" i="6"/>
  <c r="M62" i="6"/>
  <c r="D53" i="6"/>
  <c r="N53" i="6"/>
  <c r="L53" i="6"/>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H143" i="6"/>
  <c r="P143" i="12" s="1"/>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S157" i="12" s="1"/>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Q115" i="12" s="1"/>
  <c r="D115" i="6"/>
  <c r="B107" i="6"/>
  <c r="F107" i="6"/>
  <c r="J107" i="6"/>
  <c r="N107" i="6"/>
  <c r="L105" i="6"/>
  <c r="E105" i="6"/>
  <c r="E104" i="6"/>
  <c r="M104" i="6"/>
  <c r="M102" i="6"/>
  <c r="I100" i="6"/>
  <c r="B95" i="6"/>
  <c r="F95" i="6"/>
  <c r="J95" i="6"/>
  <c r="N95" i="6"/>
  <c r="O91" i="6"/>
  <c r="I91" i="6"/>
  <c r="M91" i="12" s="1"/>
  <c r="D91" i="6"/>
  <c r="D89" i="6"/>
  <c r="I89" i="6"/>
  <c r="Q89" i="12" s="1"/>
  <c r="N89" i="6"/>
  <c r="G88" i="6"/>
  <c r="M79" i="6"/>
  <c r="E79" i="6"/>
  <c r="C78" i="6"/>
  <c r="M78" i="6"/>
  <c r="E78" i="6"/>
  <c r="D75" i="6"/>
  <c r="H75" i="6"/>
  <c r="P75" i="12" s="1"/>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64" i="12" s="1"/>
  <c r="O59" i="6"/>
  <c r="K59" i="6"/>
  <c r="G59" i="6"/>
  <c r="L55" i="6"/>
  <c r="O55" i="12" s="1"/>
  <c r="H55" i="6"/>
  <c r="D55" i="6"/>
  <c r="D51" i="6"/>
  <c r="H51" i="6"/>
  <c r="P51" i="12" s="1"/>
  <c r="L51" i="6"/>
  <c r="O51" i="12" s="1"/>
  <c r="C50" i="6"/>
  <c r="L50" i="5" s="1"/>
  <c r="N50" i="6"/>
  <c r="L48" i="6"/>
  <c r="O48" i="12" s="1"/>
  <c r="M47" i="6"/>
  <c r="H47" i="6"/>
  <c r="K46" i="6"/>
  <c r="M43" i="6"/>
  <c r="G43" i="6"/>
  <c r="M39" i="6"/>
  <c r="H39" i="6"/>
  <c r="E38" i="6"/>
  <c r="K38" i="6"/>
  <c r="M35" i="6"/>
  <c r="D31" i="6"/>
  <c r="H31" i="6"/>
  <c r="P31" i="12" s="1"/>
  <c r="L31" i="6"/>
  <c r="O31" i="12" s="1"/>
  <c r="B31" i="6"/>
  <c r="F31" i="6"/>
  <c r="J31" i="6"/>
  <c r="N31" i="6"/>
  <c r="G30" i="6"/>
  <c r="O30" i="6"/>
  <c r="C30" i="6"/>
  <c r="K30" i="6"/>
  <c r="M27" i="6"/>
  <c r="I22" i="6"/>
  <c r="Q22" i="12" s="1"/>
  <c r="I18" i="6"/>
  <c r="Q18" i="12" s="1"/>
  <c r="D18" i="6"/>
  <c r="O18" i="6"/>
  <c r="C12" i="6"/>
  <c r="L12" i="5" s="1"/>
  <c r="K12" i="6"/>
  <c r="S12" i="12" s="1"/>
  <c r="K9" i="6"/>
  <c r="R9" i="12" s="1"/>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E47" i="6"/>
  <c r="B46" i="6"/>
  <c r="G46" i="6"/>
  <c r="M46" i="6"/>
  <c r="O43" i="6"/>
  <c r="J43" i="6"/>
  <c r="E43" i="6"/>
  <c r="K42" i="6"/>
  <c r="N42" i="12" s="1"/>
  <c r="K39" i="6"/>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57" i="2"/>
  <c r="G261" i="2"/>
  <c r="H51" i="8"/>
  <c r="C51" i="8"/>
  <c r="G50" i="8"/>
  <c r="B50" i="8"/>
  <c r="E46" i="8"/>
  <c r="E38" i="8"/>
  <c r="I33" i="8"/>
  <c r="C32" i="8"/>
  <c r="E31" i="8"/>
  <c r="H27" i="8"/>
  <c r="C27" i="8"/>
  <c r="G26" i="8"/>
  <c r="B26" i="8"/>
  <c r="D25" i="8"/>
  <c r="C24" i="8"/>
  <c r="E23" i="8"/>
  <c r="I17" i="8"/>
  <c r="C16" i="8"/>
  <c r="E15" i="8"/>
  <c r="H11" i="8"/>
  <c r="C11" i="8"/>
  <c r="G10" i="8"/>
  <c r="B10" i="8"/>
  <c r="D9" i="8"/>
  <c r="C8" i="8"/>
  <c r="E7" i="8"/>
  <c r="J46" i="8"/>
  <c r="B46" i="8"/>
  <c r="J38" i="8"/>
  <c r="B38" i="8"/>
  <c r="C31" i="8"/>
  <c r="C23" i="8"/>
  <c r="G21" i="8"/>
  <c r="C15" i="8"/>
  <c r="C7"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K146" i="5"/>
  <c r="K142" i="5"/>
  <c r="K138" i="5"/>
  <c r="K134" i="5"/>
  <c r="K130" i="5"/>
  <c r="K126" i="5"/>
  <c r="K122" i="5"/>
  <c r="K118" i="5"/>
  <c r="K114" i="5"/>
  <c r="K110" i="5"/>
  <c r="O108" i="5"/>
  <c r="C108" i="5"/>
  <c r="K106" i="5"/>
  <c r="O104" i="5"/>
  <c r="C104" i="5"/>
  <c r="K102" i="5"/>
  <c r="O100" i="5"/>
  <c r="C100" i="5"/>
  <c r="K98" i="5"/>
  <c r="O96" i="5"/>
  <c r="C96" i="5"/>
  <c r="K94" i="5"/>
  <c r="O92" i="5"/>
  <c r="C92" i="5"/>
  <c r="K90" i="5"/>
  <c r="O88" i="5"/>
  <c r="C88" i="5"/>
  <c r="K86" i="5"/>
  <c r="O84" i="5"/>
  <c r="C84" i="5"/>
  <c r="K82" i="5"/>
  <c r="O80" i="5"/>
  <c r="C80" i="5"/>
  <c r="K78" i="5"/>
  <c r="O76" i="5"/>
  <c r="C76" i="5"/>
  <c r="K74" i="5"/>
  <c r="O72" i="5"/>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C7" i="5"/>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O146" i="5"/>
  <c r="O142" i="5"/>
  <c r="O138" i="5"/>
  <c r="O134" i="5"/>
  <c r="O130" i="5"/>
  <c r="O126" i="5"/>
  <c r="O122" i="5"/>
  <c r="O118" i="5"/>
  <c r="O114" i="5"/>
  <c r="O110" i="5"/>
  <c r="K108" i="5"/>
  <c r="O106" i="5"/>
  <c r="K104" i="5"/>
  <c r="O102" i="5"/>
  <c r="K100" i="5"/>
  <c r="O98" i="5"/>
  <c r="K96" i="5"/>
  <c r="O94" i="5"/>
  <c r="P93" i="5"/>
  <c r="K92" i="5"/>
  <c r="O90" i="5"/>
  <c r="P90" i="5" s="1"/>
  <c r="K88" i="5"/>
  <c r="O86" i="5"/>
  <c r="P85" i="5"/>
  <c r="K84" i="5"/>
  <c r="O82" i="5"/>
  <c r="K80" i="5"/>
  <c r="O78" i="5"/>
  <c r="K76" i="5"/>
  <c r="O74" i="5"/>
  <c r="K72" i="5"/>
  <c r="O70" i="5"/>
  <c r="K68" i="5"/>
  <c r="O66" i="5"/>
  <c r="K64" i="5"/>
  <c r="O49" i="5"/>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E183" i="13"/>
  <c r="F180" i="13"/>
  <c r="G176" i="13"/>
  <c r="F174" i="13"/>
  <c r="E173" i="13"/>
  <c r="G167" i="13"/>
  <c r="G158" i="13"/>
  <c r="E155" i="13"/>
  <c r="G151" i="13"/>
  <c r="G147" i="13"/>
  <c r="E144" i="13"/>
  <c r="E136" i="13"/>
  <c r="F136" i="13"/>
  <c r="E128" i="13"/>
  <c r="E120" i="13"/>
  <c r="F120" i="13"/>
  <c r="B17" i="12"/>
  <c r="F17" i="12"/>
  <c r="E160" i="13"/>
  <c r="E117" i="13"/>
  <c r="G117" i="13"/>
  <c r="E109" i="13"/>
  <c r="G109" i="13"/>
  <c r="E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G184" i="13"/>
  <c r="E182" i="13"/>
  <c r="E176" i="13"/>
  <c r="F173" i="13"/>
  <c r="F169" i="13"/>
  <c r="E165" i="13"/>
  <c r="G155" i="13"/>
  <c r="F144" i="13"/>
  <c r="F142" i="13"/>
  <c r="G57" i="12"/>
  <c r="G33" i="12"/>
  <c r="D27" i="12"/>
  <c r="D17" i="12"/>
  <c r="G175" i="13"/>
  <c r="F168" i="13"/>
  <c r="G163" i="13"/>
  <c r="F160" i="13"/>
  <c r="F158" i="13"/>
  <c r="F152" i="13"/>
  <c r="E139" i="13"/>
  <c r="F137" i="13"/>
  <c r="F121" i="13"/>
  <c r="E113" i="13"/>
  <c r="G113" i="13"/>
  <c r="E105" i="13"/>
  <c r="G105" i="13"/>
  <c r="E97" i="13"/>
  <c r="G97" i="13"/>
  <c r="E88" i="13"/>
  <c r="G77" i="13"/>
  <c r="F60" i="13"/>
  <c r="G57" i="13"/>
  <c r="G53" i="13"/>
  <c r="F39" i="13"/>
  <c r="G33" i="13"/>
  <c r="E31" i="13"/>
  <c r="E26" i="13"/>
  <c r="G17" i="13"/>
  <c r="E15" i="13"/>
  <c r="E10" i="13"/>
  <c r="C181" i="14"/>
  <c r="B181" i="14"/>
  <c r="D181" i="14"/>
  <c r="E181" i="14"/>
  <c r="B179" i="14"/>
  <c r="F179" i="14"/>
  <c r="C179" i="14"/>
  <c r="D179" i="14"/>
  <c r="C170" i="14"/>
  <c r="E170" i="14"/>
  <c r="B45" i="14"/>
  <c r="F45" i="14"/>
  <c r="C45" i="14"/>
  <c r="D45" i="14"/>
  <c r="E45" i="14"/>
  <c r="C22" i="14"/>
  <c r="E22" i="14"/>
  <c r="G159" i="13"/>
  <c r="E157" i="13"/>
  <c r="G143" i="13"/>
  <c r="E141" i="13"/>
  <c r="G135" i="13"/>
  <c r="G127" i="13"/>
  <c r="F126" i="13"/>
  <c r="E125" i="13"/>
  <c r="G119" i="13"/>
  <c r="F88" i="13"/>
  <c r="E85" i="13"/>
  <c r="G85" i="13"/>
  <c r="E77" i="13"/>
  <c r="G73" i="13"/>
  <c r="F72" i="13"/>
  <c r="G64" i="13"/>
  <c r="F57" i="13"/>
  <c r="F53" i="13"/>
  <c r="G41" i="13"/>
  <c r="G37" i="13"/>
  <c r="F33" i="13"/>
  <c r="E32" i="13"/>
  <c r="G32" i="13"/>
  <c r="E22" i="13"/>
  <c r="F21" i="13"/>
  <c r="G21" i="13"/>
  <c r="F17" i="13"/>
  <c r="E16" i="13"/>
  <c r="G16" i="13"/>
  <c r="C162" i="14"/>
  <c r="D162" i="14"/>
  <c r="E162" i="14"/>
  <c r="C155" i="14"/>
  <c r="D155" i="14"/>
  <c r="F155" i="14"/>
  <c r="C147" i="14"/>
  <c r="F147" i="14"/>
  <c r="F145" i="14"/>
  <c r="C145" i="14"/>
  <c r="D145" i="14"/>
  <c r="E145" i="14"/>
  <c r="G93" i="13"/>
  <c r="G89" i="13"/>
  <c r="F79" i="13"/>
  <c r="F71" i="13"/>
  <c r="E57" i="13"/>
  <c r="E53" i="13"/>
  <c r="F45" i="13"/>
  <c r="G45" i="13"/>
  <c r="E33" i="13"/>
  <c r="F31" i="13"/>
  <c r="E28" i="13"/>
  <c r="G28" i="13"/>
  <c r="E17" i="13"/>
  <c r="F15" i="13"/>
  <c r="E12" i="13"/>
  <c r="G12" i="13"/>
  <c r="C150" i="14"/>
  <c r="D150" i="14"/>
  <c r="C106" i="14"/>
  <c r="E106" i="14"/>
  <c r="G131" i="13"/>
  <c r="G81" i="13"/>
  <c r="G78" i="13"/>
  <c r="F75" i="13"/>
  <c r="G70" i="13"/>
  <c r="F69" i="13"/>
  <c r="G61" i="13"/>
  <c r="E59" i="13"/>
  <c r="F55" i="13"/>
  <c r="G49" i="13"/>
  <c r="E46" i="13"/>
  <c r="G46"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G48" i="13"/>
  <c r="F36" i="13"/>
  <c r="E30" i="13"/>
  <c r="F25" i="13"/>
  <c r="E14" i="13"/>
  <c r="F9"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G37" i="14" s="1"/>
  <c r="F21" i="14"/>
  <c r="B21" i="14"/>
  <c r="C20" i="14"/>
  <c r="C16" i="14"/>
  <c r="C12" i="14"/>
  <c r="C8" i="14"/>
  <c r="G95"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61" i="2"/>
  <c r="H257" i="2"/>
  <c r="B192" i="2"/>
  <c r="R192" i="2"/>
  <c r="D192" i="2"/>
  <c r="H192" i="2"/>
  <c r="L192" i="2"/>
  <c r="P192" i="2"/>
  <c r="E260"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L158" i="2"/>
  <c r="P158" i="2"/>
  <c r="B158" i="2"/>
  <c r="M158" i="2"/>
  <c r="R158" i="2"/>
  <c r="E158" i="2"/>
  <c r="Q156" i="2"/>
  <c r="Q154" i="2"/>
  <c r="B152" i="2"/>
  <c r="R152" i="2"/>
  <c r="E152" i="2"/>
  <c r="P152" i="2"/>
  <c r="C152" i="2"/>
  <c r="H152" i="2"/>
  <c r="M152" i="2"/>
  <c r="S152" i="2"/>
  <c r="D150" i="2"/>
  <c r="H150" i="2"/>
  <c r="L150" i="2"/>
  <c r="P150" i="2"/>
  <c r="B150" i="2"/>
  <c r="M150" i="2"/>
  <c r="R150" i="2"/>
  <c r="E150" i="2"/>
  <c r="Q148" i="2"/>
  <c r="Q146" i="2"/>
  <c r="B144" i="2"/>
  <c r="R144" i="2"/>
  <c r="E144" i="2"/>
  <c r="G144" i="2" s="1"/>
  <c r="P144" i="2"/>
  <c r="C144" i="2"/>
  <c r="H144" i="2"/>
  <c r="J144" i="2" s="1"/>
  <c r="K144" i="2" s="1"/>
  <c r="M144" i="2"/>
  <c r="S144" i="2"/>
  <c r="Q142" i="2"/>
  <c r="F140" i="2"/>
  <c r="C138" i="2"/>
  <c r="S138" i="2"/>
  <c r="B138" i="2"/>
  <c r="H138" i="2"/>
  <c r="M138" i="2"/>
  <c r="R138" i="2"/>
  <c r="E138" i="2"/>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R50" i="2"/>
  <c r="E50" i="2"/>
  <c r="P50" i="2"/>
  <c r="S47" i="2"/>
  <c r="Q46" i="2"/>
  <c r="C42" i="2"/>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D11" i="2"/>
  <c r="H11" i="2"/>
  <c r="L11" i="2"/>
  <c r="P11" i="2"/>
  <c r="C11" i="2"/>
  <c r="I11" i="2"/>
  <c r="S11" i="2"/>
  <c r="E11" i="2"/>
  <c r="B11" i="2"/>
  <c r="M11" i="2"/>
  <c r="R11" i="2"/>
  <c r="B188" i="2"/>
  <c r="R188" i="2"/>
  <c r="D188" i="2"/>
  <c r="H188" i="2"/>
  <c r="J188" i="2" s="1"/>
  <c r="K188" i="2" s="1"/>
  <c r="L188" i="2"/>
  <c r="P188" i="2"/>
  <c r="D186" i="2"/>
  <c r="H186" i="2"/>
  <c r="L186" i="2"/>
  <c r="P186" i="2"/>
  <c r="B186" i="2"/>
  <c r="R186" i="2"/>
  <c r="B180" i="2"/>
  <c r="R180" i="2"/>
  <c r="D180" i="2"/>
  <c r="H180" i="2"/>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S153" i="2"/>
  <c r="B153" i="2"/>
  <c r="H153" i="2"/>
  <c r="M153" i="2"/>
  <c r="R153" i="2"/>
  <c r="E153" i="2"/>
  <c r="P153" i="2"/>
  <c r="C145" i="2"/>
  <c r="F145" i="2" s="1"/>
  <c r="S145" i="2"/>
  <c r="B145" i="2"/>
  <c r="H145" i="2"/>
  <c r="M145" i="2"/>
  <c r="R145" i="2"/>
  <c r="E145" i="2"/>
  <c r="G145" i="2" s="1"/>
  <c r="P145" i="2"/>
  <c r="B141" i="2"/>
  <c r="R141" i="2"/>
  <c r="C141" i="2"/>
  <c r="F141" i="2" s="1"/>
  <c r="H141" i="2"/>
  <c r="M141" i="2"/>
  <c r="S141" i="2"/>
  <c r="E141" i="2"/>
  <c r="G141" i="2" s="1"/>
  <c r="P141" i="2"/>
  <c r="D139" i="2"/>
  <c r="H139" i="2"/>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L67" i="2"/>
  <c r="P67" i="2"/>
  <c r="E67" i="2"/>
  <c r="B67" i="2"/>
  <c r="M67" i="2"/>
  <c r="R67" i="2"/>
  <c r="B61" i="2"/>
  <c r="R61" i="2"/>
  <c r="C61" i="2"/>
  <c r="H61" i="2"/>
  <c r="J61" i="2" s="1"/>
  <c r="K61" i="2" s="1"/>
  <c r="M61" i="2"/>
  <c r="S61" i="2"/>
  <c r="E61" i="2"/>
  <c r="P61" i="2"/>
  <c r="D59" i="2"/>
  <c r="H59" i="2"/>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58" i="2"/>
  <c r="L164" i="2"/>
  <c r="D162" i="2"/>
  <c r="H162" i="2"/>
  <c r="L162" i="2"/>
  <c r="P162" i="2"/>
  <c r="E162" i="2"/>
  <c r="B162" i="2"/>
  <c r="M162" i="2"/>
  <c r="R162" i="2"/>
  <c r="L156" i="2"/>
  <c r="D154" i="2"/>
  <c r="H154" i="2"/>
  <c r="L154" i="2"/>
  <c r="P154" i="2"/>
  <c r="E154" i="2"/>
  <c r="B154" i="2"/>
  <c r="M154" i="2"/>
  <c r="R154" i="2"/>
  <c r="B148" i="2"/>
  <c r="R148" i="2"/>
  <c r="C148" i="2"/>
  <c r="H148" i="2"/>
  <c r="M148" i="2"/>
  <c r="S148" i="2"/>
  <c r="E148" i="2"/>
  <c r="P148" i="2"/>
  <c r="D146" i="2"/>
  <c r="H146" i="2"/>
  <c r="L146" i="2"/>
  <c r="P146" i="2"/>
  <c r="E146" i="2"/>
  <c r="B146" i="2"/>
  <c r="M146" i="2"/>
  <c r="R146" i="2"/>
  <c r="C142" i="2"/>
  <c r="S142" i="2"/>
  <c r="E142" i="2"/>
  <c r="P142" i="2"/>
  <c r="B142" i="2"/>
  <c r="H142" i="2"/>
  <c r="M142" i="2"/>
  <c r="R142" i="2"/>
  <c r="C134" i="2"/>
  <c r="S134" i="2"/>
  <c r="E134" i="2"/>
  <c r="P134" i="2"/>
  <c r="B134" i="2"/>
  <c r="H134" i="2"/>
  <c r="M134" i="2"/>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R94" i="2"/>
  <c r="C86" i="2"/>
  <c r="F86" i="2" s="1"/>
  <c r="S86" i="2"/>
  <c r="E86" i="2"/>
  <c r="G86" i="2" s="1"/>
  <c r="P86" i="2"/>
  <c r="B86" i="2"/>
  <c r="H86" i="2"/>
  <c r="M86" i="2"/>
  <c r="R86" i="2"/>
  <c r="C78" i="2"/>
  <c r="S78" i="2"/>
  <c r="E78" i="2"/>
  <c r="P78" i="2"/>
  <c r="B78" i="2"/>
  <c r="H78" i="2"/>
  <c r="M78" i="2"/>
  <c r="R78" i="2"/>
  <c r="C70" i="2"/>
  <c r="F70" i="2" s="1"/>
  <c r="S70" i="2"/>
  <c r="E70" i="2"/>
  <c r="G70" i="2" s="1"/>
  <c r="P70" i="2"/>
  <c r="B70" i="2"/>
  <c r="H70" i="2"/>
  <c r="M70" i="2"/>
  <c r="R70" i="2"/>
  <c r="C62" i="2"/>
  <c r="F62" i="2" s="1"/>
  <c r="S62" i="2"/>
  <c r="E62" i="2"/>
  <c r="G62" i="2" s="1"/>
  <c r="P62" i="2"/>
  <c r="B62" i="2"/>
  <c r="H62" i="2"/>
  <c r="M62" i="2"/>
  <c r="R62" i="2"/>
  <c r="C54" i="2"/>
  <c r="F54" i="2" s="1"/>
  <c r="S54" i="2"/>
  <c r="E54" i="2"/>
  <c r="G54" i="2" s="1"/>
  <c r="P54" i="2"/>
  <c r="B54" i="2"/>
  <c r="H54" i="2"/>
  <c r="M54" i="2"/>
  <c r="R54" i="2"/>
  <c r="C46" i="2"/>
  <c r="S46" i="2"/>
  <c r="E46" i="2"/>
  <c r="P46" i="2"/>
  <c r="B46" i="2"/>
  <c r="H46" i="2"/>
  <c r="M46" i="2"/>
  <c r="R46" i="2"/>
  <c r="C38" i="2"/>
  <c r="H4" i="21" s="1"/>
  <c r="S38" i="2"/>
  <c r="E38" i="2"/>
  <c r="J4" i="21" s="1"/>
  <c r="P38" i="2"/>
  <c r="D4" i="21" s="1"/>
  <c r="B38" i="2"/>
  <c r="H38" i="2"/>
  <c r="B4" i="21" s="1"/>
  <c r="M38" i="2"/>
  <c r="R38" i="2"/>
  <c r="E4" i="21" s="1"/>
  <c r="C30" i="2"/>
  <c r="S30" i="2"/>
  <c r="E30" i="2"/>
  <c r="P30" i="2"/>
  <c r="B30" i="2"/>
  <c r="H30" i="2"/>
  <c r="M30" i="2"/>
  <c r="R30" i="2"/>
  <c r="C14" i="2"/>
  <c r="S14" i="2"/>
  <c r="D14" i="2"/>
  <c r="I14" i="2"/>
  <c r="E14" i="2"/>
  <c r="P14" i="2"/>
  <c r="B14" i="2"/>
  <c r="H14" i="2"/>
  <c r="M14" i="2"/>
  <c r="N14" i="2" s="1"/>
  <c r="O14" i="2" s="1"/>
  <c r="R14" i="2"/>
  <c r="I170" i="2"/>
  <c r="Q192" i="2"/>
  <c r="I192" i="2"/>
  <c r="D190" i="2"/>
  <c r="H190" i="2"/>
  <c r="J190" i="2" s="1"/>
  <c r="K190" i="2" s="1"/>
  <c r="L190" i="2"/>
  <c r="P190" i="2"/>
  <c r="B190" i="2"/>
  <c r="R190" i="2"/>
  <c r="M188" i="2"/>
  <c r="E188" i="2"/>
  <c r="M186" i="2"/>
  <c r="E186" i="2"/>
  <c r="B184" i="2"/>
  <c r="R184" i="2"/>
  <c r="D184" i="2"/>
  <c r="H184" i="2"/>
  <c r="L184" i="2"/>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R157" i="2"/>
  <c r="I156" i="2"/>
  <c r="S154" i="2"/>
  <c r="I154" i="2"/>
  <c r="Q153" i="2"/>
  <c r="C149" i="2"/>
  <c r="S149" i="2"/>
  <c r="E149" i="2"/>
  <c r="P149" i="2"/>
  <c r="B149" i="2"/>
  <c r="H149" i="2"/>
  <c r="M149" i="2"/>
  <c r="R149" i="2"/>
  <c r="I148" i="2"/>
  <c r="S146" i="2"/>
  <c r="I146" i="2"/>
  <c r="Q145" i="2"/>
  <c r="D143" i="2"/>
  <c r="H143" i="2"/>
  <c r="J143" i="2" s="1"/>
  <c r="M143" i="2"/>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L119" i="2"/>
  <c r="P119" i="2"/>
  <c r="B119" i="2"/>
  <c r="M119" i="2"/>
  <c r="R119" i="2"/>
  <c r="E119" i="2"/>
  <c r="I118" i="2"/>
  <c r="Q117" i="2"/>
  <c r="Q115" i="2"/>
  <c r="B113" i="2"/>
  <c r="R113" i="2"/>
  <c r="E113" i="2"/>
  <c r="G113" i="2" s="1"/>
  <c r="P113" i="2"/>
  <c r="C113" i="2"/>
  <c r="F113" i="2" s="1"/>
  <c r="H113" i="2"/>
  <c r="M113" i="2"/>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P57" i="2"/>
  <c r="C57" i="2"/>
  <c r="F57" i="2" s="1"/>
  <c r="H57" i="2"/>
  <c r="M57" i="2"/>
  <c r="S57" i="2"/>
  <c r="D55" i="2"/>
  <c r="H55" i="2"/>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L23" i="2"/>
  <c r="P23" i="2"/>
  <c r="B21" i="2"/>
  <c r="R21" i="2"/>
  <c r="L18" i="2"/>
  <c r="Q15" i="2"/>
  <c r="S191" i="2"/>
  <c r="S187" i="2"/>
  <c r="S183" i="2"/>
  <c r="S179" i="2"/>
  <c r="S175" i="2"/>
  <c r="E23" i="2"/>
  <c r="P21" i="2"/>
  <c r="E21" i="2"/>
  <c r="P18" i="2"/>
  <c r="E18" i="2"/>
  <c r="E15" i="2"/>
  <c r="P13" i="2"/>
  <c r="E13" i="2"/>
  <c r="P185" i="3"/>
  <c r="D184" i="3"/>
  <c r="L184" i="3"/>
  <c r="P184" i="3"/>
  <c r="C184" i="3"/>
  <c r="G184" i="3"/>
  <c r="O184" i="3"/>
  <c r="C181" i="3"/>
  <c r="G181" i="3"/>
  <c r="O181" i="3"/>
  <c r="B181" i="3"/>
  <c r="F181" i="3"/>
  <c r="J181" i="3"/>
  <c r="K181" i="3" s="1"/>
  <c r="N181" i="3"/>
  <c r="J180" i="3"/>
  <c r="L177" i="3"/>
  <c r="N172" i="3"/>
  <c r="F172" i="3"/>
  <c r="P169" i="3"/>
  <c r="D168" i="3"/>
  <c r="L168" i="3"/>
  <c r="P168" i="3"/>
  <c r="C168" i="3"/>
  <c r="G168" i="3"/>
  <c r="O168" i="3"/>
  <c r="C165" i="3"/>
  <c r="G165" i="3"/>
  <c r="O165" i="3"/>
  <c r="B165" i="3"/>
  <c r="F165" i="3"/>
  <c r="J165" i="3"/>
  <c r="K165" i="3" s="1"/>
  <c r="N165" i="3"/>
  <c r="J164" i="3"/>
  <c r="L161" i="3"/>
  <c r="N156" i="3"/>
  <c r="F156" i="3"/>
  <c r="P153" i="3"/>
  <c r="D152" i="3"/>
  <c r="L152" i="3"/>
  <c r="P152" i="3"/>
  <c r="C152" i="3"/>
  <c r="G152" i="3"/>
  <c r="O152" i="3"/>
  <c r="C149" i="3"/>
  <c r="G149" i="3"/>
  <c r="O149" i="3"/>
  <c r="B149" i="3"/>
  <c r="F149" i="3"/>
  <c r="J149" i="3"/>
  <c r="N149" i="3"/>
  <c r="J148" i="3"/>
  <c r="L145" i="3"/>
  <c r="N140" i="3"/>
  <c r="F140" i="3"/>
  <c r="P137" i="3"/>
  <c r="D136" i="3"/>
  <c r="L136" i="3"/>
  <c r="P136" i="3"/>
  <c r="C136" i="3"/>
  <c r="G136" i="3"/>
  <c r="O136" i="3"/>
  <c r="C133" i="3"/>
  <c r="G133" i="3"/>
  <c r="O133" i="3"/>
  <c r="B133" i="3"/>
  <c r="F133" i="3"/>
  <c r="J133" i="3"/>
  <c r="K133" i="3" s="1"/>
  <c r="N133" i="3"/>
  <c r="J132" i="3"/>
  <c r="D124" i="3"/>
  <c r="L124" i="3"/>
  <c r="P124" i="3"/>
  <c r="B124" i="3"/>
  <c r="F124" i="3"/>
  <c r="J124" i="3"/>
  <c r="N124" i="3"/>
  <c r="C124" i="3"/>
  <c r="G124" i="3"/>
  <c r="O124" i="3"/>
  <c r="Q113" i="3"/>
  <c r="Q107" i="3"/>
  <c r="Q97" i="3"/>
  <c r="D180" i="3"/>
  <c r="L180" i="3"/>
  <c r="P180" i="3"/>
  <c r="C180" i="3"/>
  <c r="G180" i="3"/>
  <c r="O180" i="3"/>
  <c r="C177" i="3"/>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O145" i="3"/>
  <c r="B145" i="3"/>
  <c r="F145" i="3"/>
  <c r="J145" i="3"/>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61" i="2"/>
  <c r="R23" i="2"/>
  <c r="M23" i="2"/>
  <c r="B23" i="2"/>
  <c r="S21" i="2"/>
  <c r="M21" i="2"/>
  <c r="N21" i="2" s="1"/>
  <c r="O21" i="2" s="1"/>
  <c r="H21" i="2"/>
  <c r="C21" i="2"/>
  <c r="R18" i="2"/>
  <c r="M18" i="2"/>
  <c r="H18" i="2"/>
  <c r="J18" i="2" s="1"/>
  <c r="K18" i="2" s="1"/>
  <c r="R15" i="2"/>
  <c r="M15" i="2"/>
  <c r="S13" i="2"/>
  <c r="M13" i="2"/>
  <c r="N13" i="2" s="1"/>
  <c r="O13" i="2" s="1"/>
  <c r="H13" i="2"/>
  <c r="D188" i="3"/>
  <c r="L188" i="3"/>
  <c r="P188" i="3"/>
  <c r="L185" i="3"/>
  <c r="M184" i="3"/>
  <c r="N180" i="3"/>
  <c r="F180" i="3"/>
  <c r="P177" i="3"/>
  <c r="D176" i="3"/>
  <c r="L176" i="3"/>
  <c r="P176" i="3"/>
  <c r="C176" i="3"/>
  <c r="G176" i="3"/>
  <c r="O176" i="3"/>
  <c r="C173" i="3"/>
  <c r="G173" i="3"/>
  <c r="O173" i="3"/>
  <c r="B173" i="3"/>
  <c r="F173" i="3"/>
  <c r="J173" i="3"/>
  <c r="N173" i="3"/>
  <c r="J172" i="3"/>
  <c r="L169" i="3"/>
  <c r="M168" i="3"/>
  <c r="N164" i="3"/>
  <c r="F164" i="3"/>
  <c r="P161" i="3"/>
  <c r="D160" i="3"/>
  <c r="L160" i="3"/>
  <c r="P160" i="3"/>
  <c r="C160" i="3"/>
  <c r="G160" i="3"/>
  <c r="O160" i="3"/>
  <c r="C157" i="3"/>
  <c r="E157" i="3" s="1"/>
  <c r="G157" i="3"/>
  <c r="O157" i="3"/>
  <c r="B157" i="3"/>
  <c r="F157" i="3"/>
  <c r="J157" i="3"/>
  <c r="K157" i="3" s="1"/>
  <c r="N157" i="3"/>
  <c r="J156" i="3"/>
  <c r="L153" i="3"/>
  <c r="M152" i="3"/>
  <c r="N148" i="3"/>
  <c r="F148" i="3"/>
  <c r="P145" i="3"/>
  <c r="D144" i="3"/>
  <c r="L144" i="3"/>
  <c r="P144" i="3"/>
  <c r="C144" i="3"/>
  <c r="G144" i="3"/>
  <c r="O144" i="3"/>
  <c r="C141" i="3"/>
  <c r="G141" i="3"/>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G153" i="3"/>
  <c r="E153" i="5" s="1"/>
  <c r="O153" i="3"/>
  <c r="B153" i="3"/>
  <c r="F153" i="3"/>
  <c r="J153" i="3"/>
  <c r="N153" i="3"/>
  <c r="M148" i="3"/>
  <c r="M145" i="3"/>
  <c r="D140" i="3"/>
  <c r="L140" i="3"/>
  <c r="P140" i="3"/>
  <c r="C140" i="3"/>
  <c r="G140" i="3"/>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G110" i="3"/>
  <c r="O110" i="3"/>
  <c r="D105" i="3"/>
  <c r="L105" i="3"/>
  <c r="P105" i="3"/>
  <c r="B99" i="3"/>
  <c r="F99" i="3"/>
  <c r="J99" i="3"/>
  <c r="K99" i="3" s="1"/>
  <c r="N99" i="3"/>
  <c r="C94" i="3"/>
  <c r="E94" i="3" s="1"/>
  <c r="G94" i="3"/>
  <c r="O94" i="3"/>
  <c r="O91" i="3"/>
  <c r="I91" i="3"/>
  <c r="D91" i="3"/>
  <c r="E91" i="3" s="1"/>
  <c r="D89" i="3"/>
  <c r="E89" i="3" s="1"/>
  <c r="L89" i="3"/>
  <c r="P89" i="3"/>
  <c r="N86" i="3"/>
  <c r="I86" i="3"/>
  <c r="D86" i="3"/>
  <c r="B83" i="3"/>
  <c r="F83" i="3"/>
  <c r="J83" i="3"/>
  <c r="N83" i="3"/>
  <c r="N81" i="3"/>
  <c r="I81" i="3"/>
  <c r="C81" i="3"/>
  <c r="C78" i="3"/>
  <c r="G78" i="3"/>
  <c r="O78" i="3"/>
  <c r="O75" i="3"/>
  <c r="I75" i="3"/>
  <c r="D75" i="3"/>
  <c r="D73" i="3"/>
  <c r="L73" i="3"/>
  <c r="P73" i="3"/>
  <c r="N70" i="3"/>
  <c r="I70" i="3"/>
  <c r="D70" i="3"/>
  <c r="B67" i="3"/>
  <c r="F67" i="3"/>
  <c r="H67" i="3" s="1"/>
  <c r="J67" i="3"/>
  <c r="N67" i="3"/>
  <c r="N65" i="3"/>
  <c r="I65" i="3"/>
  <c r="C65" i="3"/>
  <c r="C62" i="3"/>
  <c r="G62" i="3"/>
  <c r="O62" i="3"/>
  <c r="O59" i="3"/>
  <c r="I59" i="3"/>
  <c r="D59" i="3"/>
  <c r="E59" i="3" s="1"/>
  <c r="D57" i="3"/>
  <c r="L57" i="3"/>
  <c r="P57" i="3"/>
  <c r="N54" i="3"/>
  <c r="I54" i="3"/>
  <c r="D54" i="3"/>
  <c r="B51" i="3"/>
  <c r="F51" i="3"/>
  <c r="J51" i="3"/>
  <c r="K51" i="3" s="1"/>
  <c r="N51" i="3"/>
  <c r="N49" i="3"/>
  <c r="I49" i="3"/>
  <c r="C49" i="3"/>
  <c r="C46" i="3"/>
  <c r="G46" i="3"/>
  <c r="O46" i="3"/>
  <c r="O43" i="3"/>
  <c r="I43" i="3"/>
  <c r="D43" i="3"/>
  <c r="E43" i="3" s="1"/>
  <c r="D41" i="3"/>
  <c r="L41" i="3"/>
  <c r="P41" i="3"/>
  <c r="N38" i="3"/>
  <c r="I38" i="3"/>
  <c r="D38" i="3"/>
  <c r="B35" i="3"/>
  <c r="F35" i="3"/>
  <c r="J35" i="3"/>
  <c r="N35" i="3"/>
  <c r="N33" i="3"/>
  <c r="I33" i="3"/>
  <c r="C33" i="3"/>
  <c r="C30" i="3"/>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D59" i="5"/>
  <c r="H59" i="5"/>
  <c r="D58" i="5"/>
  <c r="H58" i="5"/>
  <c r="D57" i="5"/>
  <c r="H57" i="5"/>
  <c r="D56" i="5"/>
  <c r="H56" i="5"/>
  <c r="D55" i="5"/>
  <c r="H55" i="5"/>
  <c r="D54" i="5"/>
  <c r="H54" i="5"/>
  <c r="D53" i="5"/>
  <c r="H53" i="5"/>
  <c r="D52" i="5"/>
  <c r="H52" i="5"/>
  <c r="D51" i="5"/>
  <c r="H51" i="5"/>
  <c r="D50" i="5"/>
  <c r="H50"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P122" i="3"/>
  <c r="L122" i="3"/>
  <c r="D122" i="3"/>
  <c r="P115" i="3"/>
  <c r="C114" i="3"/>
  <c r="G114" i="3"/>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P78" i="3"/>
  <c r="J78" i="3"/>
  <c r="D77" i="3"/>
  <c r="L77" i="3"/>
  <c r="P77" i="3"/>
  <c r="M75" i="3"/>
  <c r="O73" i="3"/>
  <c r="J73" i="3"/>
  <c r="K73" i="3" s="1"/>
  <c r="B71" i="3"/>
  <c r="F71" i="3"/>
  <c r="H71" i="3" s="1"/>
  <c r="J71" i="3"/>
  <c r="N71" i="3"/>
  <c r="M70" i="3"/>
  <c r="P67" i="3"/>
  <c r="C66" i="3"/>
  <c r="G66" i="3"/>
  <c r="H66" i="3" s="1"/>
  <c r="O66" i="3"/>
  <c r="M65" i="3"/>
  <c r="G65" i="3"/>
  <c r="P62" i="3"/>
  <c r="J62" i="3"/>
  <c r="K62" i="3" s="1"/>
  <c r="D61" i="3"/>
  <c r="L61" i="3"/>
  <c r="P61" i="3"/>
  <c r="M59" i="3"/>
  <c r="O57" i="3"/>
  <c r="J57" i="3"/>
  <c r="K57" i="3" s="1"/>
  <c r="B55" i="3"/>
  <c r="F55" i="3"/>
  <c r="J55" i="3"/>
  <c r="N55" i="3"/>
  <c r="M54" i="3"/>
  <c r="P51" i="3"/>
  <c r="C50" i="3"/>
  <c r="G50" i="3"/>
  <c r="O50" i="3"/>
  <c r="M49" i="3"/>
  <c r="G49" i="3"/>
  <c r="E49" i="5" s="1"/>
  <c r="F49" i="5" s="1"/>
  <c r="G49" i="5" s="1"/>
  <c r="P46" i="3"/>
  <c r="J46" i="3"/>
  <c r="K46" i="3" s="1"/>
  <c r="D45" i="3"/>
  <c r="L45" i="3"/>
  <c r="P45" i="3"/>
  <c r="M43" i="3"/>
  <c r="O41" i="3"/>
  <c r="J41" i="3"/>
  <c r="B39" i="3"/>
  <c r="F39" i="3"/>
  <c r="J39" i="3"/>
  <c r="N39" i="3"/>
  <c r="M38" i="3"/>
  <c r="P35" i="3"/>
  <c r="C34" i="3"/>
  <c r="G34" i="3"/>
  <c r="O34" i="3"/>
  <c r="M33" i="3"/>
  <c r="G33" i="3"/>
  <c r="P30" i="3"/>
  <c r="J30" i="3"/>
  <c r="K30" i="3" s="1"/>
  <c r="D29" i="3"/>
  <c r="L29" i="3"/>
  <c r="P29" i="3"/>
  <c r="M27" i="3"/>
  <c r="O25" i="3"/>
  <c r="J25" i="3"/>
  <c r="K25" i="3" s="1"/>
  <c r="B23" i="3"/>
  <c r="F23" i="3"/>
  <c r="J23" i="3"/>
  <c r="N23" i="3"/>
  <c r="M22" i="3"/>
  <c r="P19" i="3"/>
  <c r="C18" i="3"/>
  <c r="G18" i="3"/>
  <c r="O18" i="3"/>
  <c r="M17" i="3"/>
  <c r="G17" i="3"/>
  <c r="E17" i="5" s="1"/>
  <c r="F17" i="5" s="1"/>
  <c r="G17" i="5" s="1"/>
  <c r="P14" i="3"/>
  <c r="J14" i="3"/>
  <c r="K14" i="3" s="1"/>
  <c r="D13" i="3"/>
  <c r="L13" i="3"/>
  <c r="P13" i="3"/>
  <c r="M11" i="3"/>
  <c r="O9" i="3"/>
  <c r="J9" i="3"/>
  <c r="B7" i="3"/>
  <c r="F7" i="3"/>
  <c r="J7" i="3"/>
  <c r="N7" i="3"/>
  <c r="E166" i="5"/>
  <c r="E109" i="5"/>
  <c r="E103" i="5"/>
  <c r="E71" i="5"/>
  <c r="E67" i="5"/>
  <c r="N62" i="5"/>
  <c r="K61" i="5"/>
  <c r="K60" i="5"/>
  <c r="K59" i="5"/>
  <c r="K58" i="5"/>
  <c r="K57" i="5"/>
  <c r="K56" i="5"/>
  <c r="K55" i="5"/>
  <c r="K54" i="5"/>
  <c r="K53" i="5"/>
  <c r="K52" i="5"/>
  <c r="K51" i="5"/>
  <c r="K50" i="5"/>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J59" i="3"/>
  <c r="N59" i="3"/>
  <c r="C54" i="3"/>
  <c r="G54" i="3"/>
  <c r="O54" i="3"/>
  <c r="D49" i="3"/>
  <c r="L49" i="3"/>
  <c r="P49" i="3"/>
  <c r="B43" i="3"/>
  <c r="F43" i="3"/>
  <c r="J43" i="3"/>
  <c r="N43" i="3"/>
  <c r="C38" i="3"/>
  <c r="G38" i="3"/>
  <c r="O38" i="3"/>
  <c r="D33" i="3"/>
  <c r="L33" i="3"/>
  <c r="P33" i="3"/>
  <c r="B27" i="3"/>
  <c r="F27" i="3"/>
  <c r="H27" i="3" s="1"/>
  <c r="J27" i="3"/>
  <c r="N27" i="3"/>
  <c r="C22" i="3"/>
  <c r="G22" i="3"/>
  <c r="H22" i="3" s="1"/>
  <c r="O22" i="3"/>
  <c r="D17" i="3"/>
  <c r="L17" i="3"/>
  <c r="P17" i="3"/>
  <c r="B11" i="3"/>
  <c r="F11" i="3"/>
  <c r="J11" i="3"/>
  <c r="N11" i="3"/>
  <c r="E61" i="5"/>
  <c r="E60" i="5"/>
  <c r="E13" i="5"/>
  <c r="F13" i="5" s="1"/>
  <c r="G13"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F182" i="3"/>
  <c r="H182" i="3" s="1"/>
  <c r="N178" i="3"/>
  <c r="J178" i="3"/>
  <c r="F178" i="3"/>
  <c r="N174" i="3"/>
  <c r="J174" i="3"/>
  <c r="F174" i="3"/>
  <c r="N170" i="3"/>
  <c r="J170" i="3"/>
  <c r="F170" i="3"/>
  <c r="H170" i="3" s="1"/>
  <c r="N166" i="3"/>
  <c r="J166" i="3"/>
  <c r="K166" i="3" s="1"/>
  <c r="F166" i="3"/>
  <c r="H166" i="3" s="1"/>
  <c r="N162" i="3"/>
  <c r="J162" i="3"/>
  <c r="F162" i="3"/>
  <c r="N158" i="3"/>
  <c r="J158" i="3"/>
  <c r="F158" i="3"/>
  <c r="N154" i="3"/>
  <c r="J154" i="3"/>
  <c r="F154" i="3"/>
  <c r="N150" i="3"/>
  <c r="J150" i="3"/>
  <c r="F150" i="3"/>
  <c r="N146" i="3"/>
  <c r="J146" i="3"/>
  <c r="F146" i="3"/>
  <c r="N142" i="3"/>
  <c r="J142" i="3"/>
  <c r="K142" i="3" s="1"/>
  <c r="F142" i="3"/>
  <c r="N138" i="3"/>
  <c r="J138" i="3"/>
  <c r="F138" i="3"/>
  <c r="N134" i="3"/>
  <c r="J134" i="3"/>
  <c r="F134" i="3"/>
  <c r="N130" i="3"/>
  <c r="J130" i="3"/>
  <c r="F130" i="3"/>
  <c r="O129" i="3"/>
  <c r="G129" i="3"/>
  <c r="H129" i="3" s="1"/>
  <c r="N126" i="3"/>
  <c r="J126" i="3"/>
  <c r="F126" i="3"/>
  <c r="O125" i="3"/>
  <c r="G125" i="3"/>
  <c r="N122" i="3"/>
  <c r="J122" i="3"/>
  <c r="F122" i="3"/>
  <c r="O121" i="3"/>
  <c r="G121" i="3"/>
  <c r="D117" i="3"/>
  <c r="L117" i="3"/>
  <c r="P117" i="3"/>
  <c r="M115" i="3"/>
  <c r="C115" i="3"/>
  <c r="N114" i="3"/>
  <c r="I114" i="3"/>
  <c r="K114" i="3" s="1"/>
  <c r="D114" i="3"/>
  <c r="B111" i="3"/>
  <c r="F111" i="3"/>
  <c r="J111" i="3"/>
  <c r="N111" i="3"/>
  <c r="M110" i="3"/>
  <c r="B110" i="3"/>
  <c r="N109" i="3"/>
  <c r="I109" i="3"/>
  <c r="C109" i="3"/>
  <c r="C106" i="3"/>
  <c r="E106" i="3" s="1"/>
  <c r="G106" i="3"/>
  <c r="O106" i="3"/>
  <c r="M105" i="3"/>
  <c r="G105" i="3"/>
  <c r="E105" i="5" s="1"/>
  <c r="B105" i="3"/>
  <c r="O103" i="3"/>
  <c r="I103" i="3"/>
  <c r="D103" i="3"/>
  <c r="D101" i="3"/>
  <c r="L101" i="3"/>
  <c r="P101" i="3"/>
  <c r="M99" i="3"/>
  <c r="C99" i="3"/>
  <c r="E99" i="3" s="1"/>
  <c r="N98" i="3"/>
  <c r="I98" i="3"/>
  <c r="D98" i="3"/>
  <c r="B95" i="3"/>
  <c r="F95" i="3"/>
  <c r="J95" i="3"/>
  <c r="N95" i="3"/>
  <c r="M94" i="3"/>
  <c r="B94" i="3"/>
  <c r="N93" i="3"/>
  <c r="I93" i="3"/>
  <c r="C93" i="3"/>
  <c r="P91" i="3"/>
  <c r="C90" i="3"/>
  <c r="G90" i="3"/>
  <c r="O90" i="3"/>
  <c r="M89" i="3"/>
  <c r="G89" i="3"/>
  <c r="E89" i="5" s="1"/>
  <c r="B89" i="3"/>
  <c r="O87" i="3"/>
  <c r="I87" i="3"/>
  <c r="D87" i="3"/>
  <c r="E87" i="3" s="1"/>
  <c r="P86" i="3"/>
  <c r="J86" i="3"/>
  <c r="D85" i="3"/>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N66" i="3"/>
  <c r="I66" i="3"/>
  <c r="D66" i="3"/>
  <c r="O65" i="3"/>
  <c r="J65" i="3"/>
  <c r="B63" i="3"/>
  <c r="F63" i="3"/>
  <c r="J63" i="3"/>
  <c r="K63" i="3" s="1"/>
  <c r="N63" i="3"/>
  <c r="M62" i="3"/>
  <c r="B62" i="3"/>
  <c r="N61" i="3"/>
  <c r="I61" i="3"/>
  <c r="C61" i="3"/>
  <c r="P59" i="3"/>
  <c r="C58" i="3"/>
  <c r="G58" i="3"/>
  <c r="O58" i="3"/>
  <c r="M57" i="3"/>
  <c r="G57" i="3"/>
  <c r="B57" i="3"/>
  <c r="O55" i="3"/>
  <c r="I55" i="3"/>
  <c r="D55" i="3"/>
  <c r="P54" i="3"/>
  <c r="J54" i="3"/>
  <c r="D53" i="3"/>
  <c r="L53" i="3"/>
  <c r="P53" i="3"/>
  <c r="M51" i="3"/>
  <c r="C51" i="3"/>
  <c r="N50" i="3"/>
  <c r="I50" i="3"/>
  <c r="D50" i="3"/>
  <c r="O49" i="3"/>
  <c r="J49" i="3"/>
  <c r="B47" i="3"/>
  <c r="F47" i="3"/>
  <c r="H47" i="3" s="1"/>
  <c r="J47" i="3"/>
  <c r="N47" i="3"/>
  <c r="M46" i="3"/>
  <c r="B46" i="3"/>
  <c r="N45" i="3"/>
  <c r="I45" i="3"/>
  <c r="C45" i="3"/>
  <c r="P43" i="3"/>
  <c r="C42" i="3"/>
  <c r="E42" i="3" s="1"/>
  <c r="G42" i="3"/>
  <c r="O42" i="3"/>
  <c r="M41" i="3"/>
  <c r="G41" i="3"/>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B25" i="3"/>
  <c r="O23" i="3"/>
  <c r="I23" i="3"/>
  <c r="D23" i="3"/>
  <c r="E23" i="3" s="1"/>
  <c r="P22" i="3"/>
  <c r="J22" i="3"/>
  <c r="D21" i="3"/>
  <c r="L21" i="3"/>
  <c r="P21" i="3"/>
  <c r="M19" i="3"/>
  <c r="C19" i="3"/>
  <c r="E19" i="3" s="1"/>
  <c r="N18" i="3"/>
  <c r="I18" i="3"/>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D156" i="5"/>
  <c r="H156" i="5"/>
  <c r="D155" i="5"/>
  <c r="H155" i="5"/>
  <c r="J155" i="5" s="1"/>
  <c r="D154" i="5"/>
  <c r="H154" i="5"/>
  <c r="J154" i="5" s="1"/>
  <c r="D153" i="5"/>
  <c r="H153" i="5"/>
  <c r="J153" i="5" s="1"/>
  <c r="D152" i="5"/>
  <c r="H152" i="5"/>
  <c r="D151" i="5"/>
  <c r="H151" i="5"/>
  <c r="J151" i="5" s="1"/>
  <c r="D150" i="5"/>
  <c r="H150" i="5"/>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D125" i="5"/>
  <c r="H125" i="5"/>
  <c r="J125" i="5" s="1"/>
  <c r="D124" i="5"/>
  <c r="H124" i="5"/>
  <c r="D123" i="5"/>
  <c r="H123" i="5"/>
  <c r="J123" i="5" s="1"/>
  <c r="D122" i="5"/>
  <c r="H122" i="5"/>
  <c r="J122" i="5" s="1"/>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D87" i="5"/>
  <c r="H87" i="5"/>
  <c r="J87" i="5" s="1"/>
  <c r="D86" i="5"/>
  <c r="H86" i="5"/>
  <c r="D85" i="5"/>
  <c r="H85" i="5"/>
  <c r="J85" i="5" s="1"/>
  <c r="D84" i="5"/>
  <c r="H84" i="5"/>
  <c r="J84" i="5" s="1"/>
  <c r="L84" i="5"/>
  <c r="D83" i="5"/>
  <c r="H83" i="5"/>
  <c r="J83" i="5" s="1"/>
  <c r="D82" i="5"/>
  <c r="H82" i="5"/>
  <c r="D81" i="5"/>
  <c r="H81" i="5"/>
  <c r="J81" i="5" s="1"/>
  <c r="D80" i="5"/>
  <c r="H80" i="5"/>
  <c r="J80" i="5" s="1"/>
  <c r="L80" i="5"/>
  <c r="D79" i="5"/>
  <c r="H79" i="5"/>
  <c r="J79" i="5" s="1"/>
  <c r="D78" i="5"/>
  <c r="H78" i="5"/>
  <c r="D77" i="5"/>
  <c r="H77" i="5"/>
  <c r="J77" i="5" s="1"/>
  <c r="D76" i="5"/>
  <c r="H76" i="5"/>
  <c r="J76" i="5" s="1"/>
  <c r="D75" i="5"/>
  <c r="H75" i="5"/>
  <c r="J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C182" i="7"/>
  <c r="G182" i="7"/>
  <c r="K182" i="7"/>
  <c r="O182" i="7"/>
  <c r="D182" i="7"/>
  <c r="H182" i="7"/>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H176" i="7"/>
  <c r="L172" i="7"/>
  <c r="H172" i="7"/>
  <c r="D172" i="7"/>
  <c r="L164" i="7"/>
  <c r="H164" i="7"/>
  <c r="D164" i="7"/>
  <c r="L160" i="7"/>
  <c r="D160" i="7"/>
  <c r="O158" i="7"/>
  <c r="K157" i="7"/>
  <c r="E157" i="7"/>
  <c r="O151" i="7"/>
  <c r="J151" i="7"/>
  <c r="E151" i="7"/>
  <c r="O135" i="7"/>
  <c r="J135" i="7"/>
  <c r="E135" i="7"/>
  <c r="L131" i="7"/>
  <c r="O119" i="7"/>
  <c r="J119" i="7"/>
  <c r="E119" i="7"/>
  <c r="J114" i="7"/>
  <c r="E114" i="7"/>
  <c r="M111" i="7"/>
  <c r="G111" i="7"/>
  <c r="K109" i="7"/>
  <c r="E109" i="7"/>
  <c r="M106" i="7"/>
  <c r="B105" i="7"/>
  <c r="F105" i="7"/>
  <c r="J105" i="7"/>
  <c r="N105" i="7"/>
  <c r="O103" i="7"/>
  <c r="J103" i="7"/>
  <c r="E103" i="7"/>
  <c r="M101" i="7"/>
  <c r="H101" i="7"/>
  <c r="D99" i="7"/>
  <c r="H99" i="7"/>
  <c r="M95" i="7"/>
  <c r="G95" i="7"/>
  <c r="C94" i="7"/>
  <c r="G94" i="7"/>
  <c r="K94" i="7"/>
  <c r="O94" i="7"/>
  <c r="K93" i="7"/>
  <c r="E93" i="7"/>
  <c r="H90" i="7"/>
  <c r="D83" i="7"/>
  <c r="H83" i="7"/>
  <c r="L83" i="7"/>
  <c r="M79" i="7"/>
  <c r="G79" i="7"/>
  <c r="K77" i="7"/>
  <c r="E77" i="7"/>
  <c r="M74" i="7"/>
  <c r="H74" i="7"/>
  <c r="O71" i="7"/>
  <c r="J71" i="7"/>
  <c r="E71" i="7"/>
  <c r="D67" i="7"/>
  <c r="H67" i="7"/>
  <c r="L67" i="7"/>
  <c r="M63" i="7"/>
  <c r="G63" i="7"/>
  <c r="G62" i="7"/>
  <c r="M58" i="7"/>
  <c r="H58" i="7"/>
  <c r="H58" i="12" s="1"/>
  <c r="B57" i="7"/>
  <c r="F57" i="7"/>
  <c r="J57" i="7"/>
  <c r="N57" i="7"/>
  <c r="J50" i="7"/>
  <c r="E50" i="7"/>
  <c r="C46" i="7"/>
  <c r="G46" i="7"/>
  <c r="K46" i="7"/>
  <c r="O46" i="7"/>
  <c r="K45" i="7"/>
  <c r="E45" i="7"/>
  <c r="M42" i="7"/>
  <c r="H42" i="7"/>
  <c r="B41" i="7"/>
  <c r="F41" i="7"/>
  <c r="J41" i="7"/>
  <c r="N41" i="7"/>
  <c r="M37" i="7"/>
  <c r="H37" i="7"/>
  <c r="H35" i="7"/>
  <c r="M31" i="7"/>
  <c r="G31" i="7"/>
  <c r="C30" i="7"/>
  <c r="G30" i="7"/>
  <c r="K30" i="7"/>
  <c r="O30" i="7"/>
  <c r="K29" i="7"/>
  <c r="E29" i="7"/>
  <c r="M26" i="7"/>
  <c r="H26" i="7"/>
  <c r="B25" i="7"/>
  <c r="J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I118" i="6"/>
  <c r="Q118" i="12" s="1"/>
  <c r="N118" i="6"/>
  <c r="E118" i="6"/>
  <c r="J118" i="6"/>
  <c r="O118" i="6"/>
  <c r="C113" i="6"/>
  <c r="G113" i="6"/>
  <c r="K113" i="6"/>
  <c r="R113" i="12" s="1"/>
  <c r="O113" i="6"/>
  <c r="B113" i="6"/>
  <c r="H113" i="6"/>
  <c r="M113" i="6"/>
  <c r="D113" i="6"/>
  <c r="I113" i="6"/>
  <c r="N113" i="6"/>
  <c r="E113" i="6"/>
  <c r="J113" i="6"/>
  <c r="H127" i="7"/>
  <c r="K122" i="7"/>
  <c r="D111" i="7"/>
  <c r="H111" i="7"/>
  <c r="L111" i="7"/>
  <c r="B101" i="7"/>
  <c r="F101" i="7"/>
  <c r="J101" i="7"/>
  <c r="N101" i="7"/>
  <c r="D95" i="7"/>
  <c r="H95" i="7"/>
  <c r="L95" i="7"/>
  <c r="C90" i="7"/>
  <c r="D79" i="7"/>
  <c r="H79" i="7"/>
  <c r="L79" i="7"/>
  <c r="C74" i="7"/>
  <c r="G74" i="7"/>
  <c r="K74" i="7"/>
  <c r="O74" i="7"/>
  <c r="D63" i="7"/>
  <c r="H63" i="7"/>
  <c r="L63" i="7"/>
  <c r="C58" i="7"/>
  <c r="G58" i="7"/>
  <c r="K58" i="7"/>
  <c r="O58" i="7"/>
  <c r="F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R162" i="12" s="1"/>
  <c r="O162" i="6"/>
  <c r="D162" i="6"/>
  <c r="H162" i="6"/>
  <c r="P162" i="12" s="1"/>
  <c r="L162" i="6"/>
  <c r="I158" i="6"/>
  <c r="Q158" i="12" s="1"/>
  <c r="B154" i="6"/>
  <c r="F154" i="6"/>
  <c r="J154" i="6"/>
  <c r="N154" i="6"/>
  <c r="C154" i="6"/>
  <c r="G154" i="6"/>
  <c r="K154" i="6"/>
  <c r="S154" i="12" s="1"/>
  <c r="O154" i="6"/>
  <c r="D154" i="6"/>
  <c r="H154" i="6"/>
  <c r="L154" i="6"/>
  <c r="I150" i="6"/>
  <c r="Q150" i="12" s="1"/>
  <c r="B146" i="6"/>
  <c r="F146" i="6"/>
  <c r="J146" i="6"/>
  <c r="N146" i="6"/>
  <c r="C146" i="6"/>
  <c r="G146" i="6"/>
  <c r="K146" i="6"/>
  <c r="O146" i="6"/>
  <c r="D146" i="6"/>
  <c r="H146" i="6"/>
  <c r="L146" i="12" s="1"/>
  <c r="L146" i="6"/>
  <c r="O146" i="12" s="1"/>
  <c r="L140" i="6"/>
  <c r="O140" i="12" s="1"/>
  <c r="B124" i="6"/>
  <c r="F124" i="6"/>
  <c r="J124" i="6"/>
  <c r="N124" i="6"/>
  <c r="C124" i="6"/>
  <c r="H124" i="6"/>
  <c r="L124" i="12" s="1"/>
  <c r="M124" i="6"/>
  <c r="D124" i="6"/>
  <c r="I124" i="6"/>
  <c r="O124" i="6"/>
  <c r="E124" i="6"/>
  <c r="K124" i="6"/>
  <c r="H49" i="5"/>
  <c r="H48" i="5"/>
  <c r="H47" i="5"/>
  <c r="H46" i="5"/>
  <c r="H45" i="5"/>
  <c r="H44" i="5"/>
  <c r="H43" i="5"/>
  <c r="H42" i="5"/>
  <c r="H41" i="5"/>
  <c r="J41" i="5" s="1"/>
  <c r="H40" i="5"/>
  <c r="H39" i="5"/>
  <c r="H38" i="5"/>
  <c r="H37" i="5"/>
  <c r="H36" i="5"/>
  <c r="H35" i="5"/>
  <c r="L34" i="5"/>
  <c r="H34" i="5"/>
  <c r="H33" i="5"/>
  <c r="H32" i="5"/>
  <c r="J32" i="5" s="1"/>
  <c r="H31" i="5"/>
  <c r="H30" i="5"/>
  <c r="L29" i="5"/>
  <c r="H29" i="5"/>
  <c r="H28" i="5"/>
  <c r="J28" i="5" s="1"/>
  <c r="H27" i="5"/>
  <c r="H26" i="5"/>
  <c r="H25" i="5"/>
  <c r="H24" i="5"/>
  <c r="H23" i="5"/>
  <c r="H22" i="5"/>
  <c r="H21" i="5"/>
  <c r="J21" i="5" s="1"/>
  <c r="H20" i="5"/>
  <c r="H19" i="5"/>
  <c r="H18" i="5"/>
  <c r="H17" i="5"/>
  <c r="L16" i="5"/>
  <c r="H16" i="5"/>
  <c r="H15" i="5"/>
  <c r="H14" i="5"/>
  <c r="H13" i="5"/>
  <c r="H12" i="5"/>
  <c r="J12" i="5" s="1"/>
  <c r="H11" i="5"/>
  <c r="H10" i="5"/>
  <c r="H9" i="5"/>
  <c r="L8" i="5"/>
  <c r="H8" i="5"/>
  <c r="H7" i="5"/>
  <c r="O189" i="7"/>
  <c r="K189" i="7"/>
  <c r="J189" i="12" s="1"/>
  <c r="G189" i="7"/>
  <c r="O185" i="7"/>
  <c r="K185" i="7"/>
  <c r="G185" i="7"/>
  <c r="N184" i="7"/>
  <c r="J184" i="7"/>
  <c r="F184" i="7"/>
  <c r="N180" i="7"/>
  <c r="J180" i="7"/>
  <c r="F180" i="7"/>
  <c r="O177" i="7"/>
  <c r="K177" i="7"/>
  <c r="G177" i="7"/>
  <c r="O173" i="7"/>
  <c r="K173" i="7"/>
  <c r="G173" i="7"/>
  <c r="N172" i="7"/>
  <c r="J172" i="7"/>
  <c r="F172" i="7"/>
  <c r="N164" i="7"/>
  <c r="J164" i="7"/>
  <c r="F164" i="7"/>
  <c r="K161" i="7"/>
  <c r="G161" i="7"/>
  <c r="M157" i="7"/>
  <c r="H157" i="7"/>
  <c r="M151" i="7"/>
  <c r="G151" i="7"/>
  <c r="C3" i="21" s="1"/>
  <c r="B145" i="7"/>
  <c r="F145" i="7"/>
  <c r="J145" i="7"/>
  <c r="N145" i="7"/>
  <c r="H141" i="7"/>
  <c r="M135" i="7"/>
  <c r="G135" i="7"/>
  <c r="N131"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B97" i="7"/>
  <c r="F97" i="7"/>
  <c r="J97" i="7"/>
  <c r="N97" i="7"/>
  <c r="O95" i="7"/>
  <c r="J95" i="7"/>
  <c r="E95" i="7"/>
  <c r="N94" i="7"/>
  <c r="I94" i="7"/>
  <c r="D94" i="7"/>
  <c r="M93" i="7"/>
  <c r="H93" i="7"/>
  <c r="H91"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G54" i="7"/>
  <c r="K53" i="7"/>
  <c r="M50" i="7"/>
  <c r="B49" i="7"/>
  <c r="F49" i="7"/>
  <c r="J49" i="7"/>
  <c r="N49" i="7"/>
  <c r="N46" i="7"/>
  <c r="I46" i="7"/>
  <c r="D46" i="7"/>
  <c r="M45" i="7"/>
  <c r="H45" i="7"/>
  <c r="J42" i="7"/>
  <c r="E42" i="7"/>
  <c r="O41" i="7"/>
  <c r="I41" i="7"/>
  <c r="D41" i="7"/>
  <c r="K37" i="7"/>
  <c r="E37" i="7"/>
  <c r="N35" i="7"/>
  <c r="C35" i="7"/>
  <c r="O31" i="7"/>
  <c r="J31" i="7"/>
  <c r="E31" i="7"/>
  <c r="N30" i="7"/>
  <c r="I30" i="7"/>
  <c r="D30" i="7"/>
  <c r="M29" i="7"/>
  <c r="H29" i="7"/>
  <c r="D27" i="7"/>
  <c r="H27" i="7"/>
  <c r="L27" i="7"/>
  <c r="J26" i="7"/>
  <c r="E26" i="7"/>
  <c r="K23" i="7"/>
  <c r="B21" i="7"/>
  <c r="F21" i="7"/>
  <c r="J21" i="7"/>
  <c r="N21" i="7"/>
  <c r="D21" i="7"/>
  <c r="H21" i="7"/>
  <c r="L21" i="7"/>
  <c r="O19" i="7"/>
  <c r="G19" i="7"/>
  <c r="L13" i="7"/>
  <c r="M186" i="6"/>
  <c r="M178" i="6"/>
  <c r="M170" i="6"/>
  <c r="M162" i="6"/>
  <c r="M154" i="6"/>
  <c r="M146" i="6"/>
  <c r="L145" i="6"/>
  <c r="S134" i="12"/>
  <c r="D134" i="6"/>
  <c r="H134" i="6"/>
  <c r="L134" i="12" s="1"/>
  <c r="L134" i="6"/>
  <c r="O134" i="12" s="1"/>
  <c r="B134" i="6"/>
  <c r="G134" i="6"/>
  <c r="M134" i="6"/>
  <c r="C134" i="6"/>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K106" i="6"/>
  <c r="S106" i="12" s="1"/>
  <c r="E106" i="6"/>
  <c r="M106" i="6"/>
  <c r="G106" i="6"/>
  <c r="O106" i="6"/>
  <c r="B157" i="7"/>
  <c r="F157" i="7"/>
  <c r="J157" i="7"/>
  <c r="N157" i="7"/>
  <c r="D151" i="7"/>
  <c r="H151" i="7"/>
  <c r="L151" i="7"/>
  <c r="B141" i="7"/>
  <c r="J141" i="7"/>
  <c r="D135" i="7"/>
  <c r="H135" i="7"/>
  <c r="L135" i="7"/>
  <c r="D119" i="7"/>
  <c r="H119" i="7"/>
  <c r="L119" i="7"/>
  <c r="C114" i="7"/>
  <c r="G114" i="7"/>
  <c r="K114" i="7"/>
  <c r="O114" i="7"/>
  <c r="N111" i="7"/>
  <c r="I111" i="7"/>
  <c r="C111" i="7"/>
  <c r="B109" i="7"/>
  <c r="F109" i="7"/>
  <c r="J109" i="7"/>
  <c r="N109" i="7"/>
  <c r="D103" i="7"/>
  <c r="H103" i="7"/>
  <c r="L103" i="7"/>
  <c r="O101" i="7"/>
  <c r="I101" i="7"/>
  <c r="D101" i="7"/>
  <c r="G98" i="7"/>
  <c r="O98" i="7"/>
  <c r="N95" i="7"/>
  <c r="I95" i="7"/>
  <c r="C95" i="7"/>
  <c r="B93" i="7"/>
  <c r="F93" i="7"/>
  <c r="J93" i="7"/>
  <c r="N93" i="7"/>
  <c r="D90" i="7"/>
  <c r="D87" i="7"/>
  <c r="C82" i="7"/>
  <c r="G82" i="7"/>
  <c r="K82" i="7"/>
  <c r="O82" i="7"/>
  <c r="N79" i="7"/>
  <c r="I79" i="7"/>
  <c r="C79" i="7"/>
  <c r="B77" i="7"/>
  <c r="F77" i="7"/>
  <c r="J77" i="7"/>
  <c r="N77" i="7"/>
  <c r="N74" i="7"/>
  <c r="I74" i="7"/>
  <c r="D74" i="7"/>
  <c r="D71" i="7"/>
  <c r="H71" i="7"/>
  <c r="L71" i="7"/>
  <c r="O66" i="7"/>
  <c r="N63" i="7"/>
  <c r="I63" i="7"/>
  <c r="C63" i="7"/>
  <c r="N58" i="7"/>
  <c r="I58" i="7"/>
  <c r="D58" i="7"/>
  <c r="O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6"/>
  <c r="B166" i="6"/>
  <c r="F166" i="6"/>
  <c r="J166" i="6"/>
  <c r="N166" i="6"/>
  <c r="C166" i="6"/>
  <c r="G166" i="6"/>
  <c r="K166" i="6"/>
  <c r="O166" i="6"/>
  <c r="D166" i="6"/>
  <c r="H166" i="6"/>
  <c r="L166" i="12" s="1"/>
  <c r="L166" i="6"/>
  <c r="B158" i="6"/>
  <c r="F158" i="6"/>
  <c r="J158" i="6"/>
  <c r="N158" i="6"/>
  <c r="C158" i="6"/>
  <c r="G158" i="6"/>
  <c r="K158" i="6"/>
  <c r="O158" i="6"/>
  <c r="D158" i="6"/>
  <c r="H158" i="6"/>
  <c r="L158" i="6"/>
  <c r="B150" i="6"/>
  <c r="F150" i="6"/>
  <c r="J150" i="6"/>
  <c r="N150" i="6"/>
  <c r="C150" i="6"/>
  <c r="G150" i="6"/>
  <c r="K150" i="6"/>
  <c r="O150" i="6"/>
  <c r="D150" i="6"/>
  <c r="H150" i="6"/>
  <c r="L150" i="6"/>
  <c r="B140" i="6"/>
  <c r="F140" i="6"/>
  <c r="J140" i="6"/>
  <c r="N140" i="6"/>
  <c r="C140" i="6"/>
  <c r="H140" i="6"/>
  <c r="L140" i="12" s="1"/>
  <c r="M140" i="6"/>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C40" i="6"/>
  <c r="L43" i="5" s="1"/>
  <c r="H40" i="6"/>
  <c r="L40" i="12" s="1"/>
  <c r="M40" i="6"/>
  <c r="B32" i="6"/>
  <c r="F32" i="6"/>
  <c r="J32" i="6"/>
  <c r="N32" i="6"/>
  <c r="C32" i="6"/>
  <c r="H32" i="6"/>
  <c r="P32" i="12" s="1"/>
  <c r="M32" i="6"/>
  <c r="E32" i="6"/>
  <c r="K32" i="6"/>
  <c r="M23" i="12"/>
  <c r="O25" i="12"/>
  <c r="M13" i="12"/>
  <c r="M25" i="12"/>
  <c r="M61" i="12"/>
  <c r="O40" i="12"/>
  <c r="M46" i="12"/>
  <c r="M74" i="12"/>
  <c r="M78" i="12"/>
  <c r="O61" i="12"/>
  <c r="O65" i="12"/>
  <c r="M82" i="12"/>
  <c r="M86" i="12"/>
  <c r="M90" i="12"/>
  <c r="M94" i="12"/>
  <c r="M98" i="12"/>
  <c r="M85" i="12"/>
  <c r="M111" i="12"/>
  <c r="M156" i="12"/>
  <c r="M160" i="12"/>
  <c r="N134" i="12"/>
  <c r="N135" i="12"/>
  <c r="M161" i="12"/>
  <c r="M185" i="12"/>
  <c r="M184" i="12"/>
  <c r="L165" i="12"/>
  <c r="C7" i="6"/>
  <c r="G7" i="6"/>
  <c r="K7" i="6"/>
  <c r="O7" i="6"/>
  <c r="E7" i="6"/>
  <c r="J7" i="6"/>
  <c r="B7" i="6"/>
  <c r="H7" i="6"/>
  <c r="M7" i="6"/>
  <c r="D7" i="6"/>
  <c r="N7" i="6"/>
  <c r="I7" i="6"/>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H56" i="6"/>
  <c r="P56" i="12" s="1"/>
  <c r="M56" i="6"/>
  <c r="B48" i="6"/>
  <c r="F48" i="6"/>
  <c r="J48" i="6"/>
  <c r="N48" i="6"/>
  <c r="C48" i="6"/>
  <c r="H48" i="6"/>
  <c r="P48" i="12" s="1"/>
  <c r="M48" i="6"/>
  <c r="E48" i="6"/>
  <c r="K48" i="6"/>
  <c r="N45" i="6"/>
  <c r="I40" i="6"/>
  <c r="Q40" i="12" s="1"/>
  <c r="N37" i="6"/>
  <c r="N34" i="6"/>
  <c r="I32" i="6"/>
  <c r="B10" i="6"/>
  <c r="F10" i="6"/>
  <c r="J10" i="6"/>
  <c r="N10" i="6"/>
  <c r="C10" i="6"/>
  <c r="L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60" i="12"/>
  <c r="Q148" i="12"/>
  <c r="D142" i="6"/>
  <c r="H142" i="6"/>
  <c r="L142" i="6"/>
  <c r="O142" i="12" s="1"/>
  <c r="C137" i="6"/>
  <c r="G137" i="6"/>
  <c r="K137" i="6"/>
  <c r="R137" i="12" s="1"/>
  <c r="O137" i="6"/>
  <c r="B132" i="6"/>
  <c r="F132" i="6"/>
  <c r="J132" i="6"/>
  <c r="N132" i="6"/>
  <c r="D126" i="6"/>
  <c r="H126" i="6"/>
  <c r="P126" i="12" s="1"/>
  <c r="L126" i="6"/>
  <c r="O126" i="12" s="1"/>
  <c r="Q121" i="12"/>
  <c r="C121" i="6"/>
  <c r="L122" i="5" s="1"/>
  <c r="G121" i="6"/>
  <c r="K121" i="6"/>
  <c r="O121" i="6"/>
  <c r="B116" i="6"/>
  <c r="F116" i="6"/>
  <c r="J116" i="6"/>
  <c r="N116" i="6"/>
  <c r="D110" i="6"/>
  <c r="H110" i="6"/>
  <c r="P110" i="12" s="1"/>
  <c r="L110" i="6"/>
  <c r="Q102" i="12"/>
  <c r="D102" i="6"/>
  <c r="H102" i="6"/>
  <c r="L102" i="6"/>
  <c r="B102" i="6"/>
  <c r="F102" i="6"/>
  <c r="J102" i="6"/>
  <c r="N102" i="6"/>
  <c r="M98" i="6"/>
  <c r="E98" i="6"/>
  <c r="D94" i="6"/>
  <c r="H94" i="6"/>
  <c r="L94" i="6"/>
  <c r="O94" i="12" s="1"/>
  <c r="B94" i="6"/>
  <c r="F94" i="6"/>
  <c r="J94" i="6"/>
  <c r="N94" i="6"/>
  <c r="M90" i="6"/>
  <c r="E90" i="6"/>
  <c r="Q86" i="12"/>
  <c r="D86" i="6"/>
  <c r="H86" i="6"/>
  <c r="L86" i="6"/>
  <c r="O87" i="12" s="1"/>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H64" i="6"/>
  <c r="P64" i="12" s="1"/>
  <c r="M64" i="6"/>
  <c r="E64" i="6"/>
  <c r="K64" i="6"/>
  <c r="R64" i="12" s="1"/>
  <c r="F58" i="6"/>
  <c r="C45" i="6"/>
  <c r="L45" i="5" s="1"/>
  <c r="G45" i="6"/>
  <c r="K45" i="6"/>
  <c r="N45" i="12" s="1"/>
  <c r="O45" i="6"/>
  <c r="E45" i="6"/>
  <c r="J45" i="6"/>
  <c r="B45" i="6"/>
  <c r="H45" i="6"/>
  <c r="M45" i="6"/>
  <c r="G40" i="6"/>
  <c r="C37" i="6"/>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O22" i="7"/>
  <c r="K22" i="7"/>
  <c r="G22" i="7"/>
  <c r="O18" i="7"/>
  <c r="K18" i="7"/>
  <c r="G18" i="7"/>
  <c r="O14" i="7"/>
  <c r="K14" i="7"/>
  <c r="G14" i="7"/>
  <c r="L11" i="7"/>
  <c r="H11" i="7"/>
  <c r="O10" i="7"/>
  <c r="K10" i="7"/>
  <c r="G10" i="7"/>
  <c r="L7" i="7"/>
  <c r="H7" i="7"/>
  <c r="D7" i="7"/>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O175" i="6"/>
  <c r="K175" i="6"/>
  <c r="N175" i="12" s="1"/>
  <c r="G175" i="6"/>
  <c r="L172" i="6"/>
  <c r="H172" i="6"/>
  <c r="L172" i="12" s="1"/>
  <c r="D172" i="6"/>
  <c r="O171" i="6"/>
  <c r="K171" i="6"/>
  <c r="G171" i="6"/>
  <c r="C171" i="6"/>
  <c r="S169" i="12"/>
  <c r="L168" i="6"/>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L156" i="6"/>
  <c r="O156" i="12" s="1"/>
  <c r="H156" i="6"/>
  <c r="P156" i="12" s="1"/>
  <c r="D156" i="6"/>
  <c r="O155" i="6"/>
  <c r="K155" i="6"/>
  <c r="N155" i="12" s="1"/>
  <c r="G155" i="6"/>
  <c r="C155" i="6"/>
  <c r="L152" i="6"/>
  <c r="O152" i="12" s="1"/>
  <c r="H152" i="6"/>
  <c r="L152" i="12" s="1"/>
  <c r="D152" i="6"/>
  <c r="O151" i="6"/>
  <c r="K151" i="6"/>
  <c r="G151" i="6"/>
  <c r="C151" i="6"/>
  <c r="L151" i="5" s="1"/>
  <c r="L148" i="6"/>
  <c r="O148" i="12" s="1"/>
  <c r="H148" i="6"/>
  <c r="P148" i="12" s="1"/>
  <c r="D148" i="6"/>
  <c r="O147" i="6"/>
  <c r="K147" i="6"/>
  <c r="G147" i="6"/>
  <c r="C147" i="6"/>
  <c r="L147" i="5" s="1"/>
  <c r="M147" i="5" s="1"/>
  <c r="Q144" i="12"/>
  <c r="B144" i="6"/>
  <c r="F144" i="6"/>
  <c r="J144" i="6"/>
  <c r="N144" i="6"/>
  <c r="O142" i="6"/>
  <c r="J142" i="6"/>
  <c r="E142" i="6"/>
  <c r="N141" i="6"/>
  <c r="I141" i="6"/>
  <c r="M141" i="12" s="1"/>
  <c r="D141" i="6"/>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97" i="12"/>
  <c r="P89" i="12"/>
  <c r="Q85" i="12"/>
  <c r="Q77" i="12"/>
  <c r="Q73" i="12"/>
  <c r="C65" i="6"/>
  <c r="G65" i="6"/>
  <c r="K65" i="6"/>
  <c r="N65" i="12" s="1"/>
  <c r="O65" i="6"/>
  <c r="B60" i="6"/>
  <c r="F60" i="6"/>
  <c r="J60" i="6"/>
  <c r="N60" i="6"/>
  <c r="D54" i="6"/>
  <c r="H54" i="6"/>
  <c r="L54" i="12" s="1"/>
  <c r="L54" i="6"/>
  <c r="O54" i="12" s="1"/>
  <c r="C49" i="6"/>
  <c r="L49" i="5" s="1"/>
  <c r="G49" i="6"/>
  <c r="K49" i="6"/>
  <c r="N49" i="12" s="1"/>
  <c r="O49" i="6"/>
  <c r="S44" i="12"/>
  <c r="B44" i="6"/>
  <c r="F44" i="6"/>
  <c r="J44" i="6"/>
  <c r="N44" i="6"/>
  <c r="D38" i="6"/>
  <c r="H38" i="6"/>
  <c r="P38" i="12" s="1"/>
  <c r="L38" i="6"/>
  <c r="C33" i="6"/>
  <c r="L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R135" i="12"/>
  <c r="S127" i="12"/>
  <c r="R127" i="12"/>
  <c r="P119" i="12"/>
  <c r="R111" i="12"/>
  <c r="O109" i="6"/>
  <c r="K109" i="6"/>
  <c r="G109" i="6"/>
  <c r="C109" i="6"/>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O89" i="6"/>
  <c r="K89" i="6"/>
  <c r="N89" i="12" s="1"/>
  <c r="G89" i="6"/>
  <c r="C89" i="6"/>
  <c r="L89" i="5" s="1"/>
  <c r="O85" i="6"/>
  <c r="K85" i="6"/>
  <c r="N85" i="12" s="1"/>
  <c r="G85" i="6"/>
  <c r="C85" i="6"/>
  <c r="L85" i="5" s="1"/>
  <c r="P83" i="12"/>
  <c r="O81" i="6"/>
  <c r="K81" i="6"/>
  <c r="R81" i="12" s="1"/>
  <c r="G81" i="6"/>
  <c r="C81" i="6"/>
  <c r="O77" i="6"/>
  <c r="K77" i="6"/>
  <c r="S77" i="12" s="1"/>
  <c r="G77" i="6"/>
  <c r="C77" i="6"/>
  <c r="L77" i="5" s="1"/>
  <c r="O73" i="6"/>
  <c r="K73" i="6"/>
  <c r="R73" i="12" s="1"/>
  <c r="G73" i="6"/>
  <c r="C73" i="6"/>
  <c r="O69" i="6"/>
  <c r="K69" i="6"/>
  <c r="N69" i="12" s="1"/>
  <c r="G69" i="6"/>
  <c r="C69" i="6"/>
  <c r="L69" i="5" s="1"/>
  <c r="M69" i="5" s="1"/>
  <c r="N65" i="6"/>
  <c r="I65" i="6"/>
  <c r="D65" i="6"/>
  <c r="D62" i="6"/>
  <c r="H62" i="6"/>
  <c r="L62" i="6"/>
  <c r="O62" i="12" s="1"/>
  <c r="O60" i="6"/>
  <c r="I60" i="6"/>
  <c r="Q60" i="12" s="1"/>
  <c r="D60" i="6"/>
  <c r="C57" i="6"/>
  <c r="G57" i="6"/>
  <c r="K57" i="6"/>
  <c r="N57" i="12" s="1"/>
  <c r="O57" i="6"/>
  <c r="N54" i="6"/>
  <c r="I54" i="6"/>
  <c r="Q54" i="12" s="1"/>
  <c r="C54" i="6"/>
  <c r="B52" i="6"/>
  <c r="F52" i="6"/>
  <c r="J52" i="6"/>
  <c r="N52" i="6"/>
  <c r="N49" i="6"/>
  <c r="I49" i="6"/>
  <c r="Q48" i="12" s="1"/>
  <c r="D49" i="6"/>
  <c r="Q46" i="12"/>
  <c r="D46" i="6"/>
  <c r="H46" i="6"/>
  <c r="P46" i="12" s="1"/>
  <c r="L46" i="6"/>
  <c r="O46" i="12" s="1"/>
  <c r="O44" i="6"/>
  <c r="I44" i="6"/>
  <c r="D44" i="6"/>
  <c r="C41" i="6"/>
  <c r="G41" i="6"/>
  <c r="K41" i="6"/>
  <c r="O41" i="6"/>
  <c r="N38" i="6"/>
  <c r="I38" i="6"/>
  <c r="M38" i="12" s="1"/>
  <c r="C38" i="6"/>
  <c r="L38" i="5" s="1"/>
  <c r="B36" i="6"/>
  <c r="F36" i="6"/>
  <c r="J36" i="6"/>
  <c r="N36" i="6"/>
  <c r="N33" i="6"/>
  <c r="I33" i="6"/>
  <c r="Q33" i="12" s="1"/>
  <c r="D33" i="6"/>
  <c r="Q30" i="12"/>
  <c r="B30" i="6"/>
  <c r="F30" i="6"/>
  <c r="J30" i="6"/>
  <c r="N30" i="6"/>
  <c r="D30" i="6"/>
  <c r="H30" i="6"/>
  <c r="L30" i="12" s="1"/>
  <c r="L30" i="6"/>
  <c r="O30" i="12" s="1"/>
  <c r="B26" i="6"/>
  <c r="F26" i="6"/>
  <c r="J26" i="6"/>
  <c r="N26" i="6"/>
  <c r="C26" i="6"/>
  <c r="L26" i="5" s="1"/>
  <c r="H26" i="6"/>
  <c r="M26" i="6"/>
  <c r="E26" i="6"/>
  <c r="K26" i="6"/>
  <c r="S26" i="12" s="1"/>
  <c r="F23" i="6"/>
  <c r="F20" i="6"/>
  <c r="B18" i="6"/>
  <c r="F18" i="6"/>
  <c r="J18" i="6"/>
  <c r="N18" i="6"/>
  <c r="E18" i="6"/>
  <c r="K18" i="6"/>
  <c r="S18" i="12" s="1"/>
  <c r="C18" i="6"/>
  <c r="H18" i="6"/>
  <c r="M18" i="6"/>
  <c r="F12" i="6"/>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47" i="12"/>
  <c r="O29" i="6"/>
  <c r="K29" i="6"/>
  <c r="G29" i="6"/>
  <c r="N24" i="6"/>
  <c r="I24" i="6"/>
  <c r="M24" i="12" s="1"/>
  <c r="B22" i="6"/>
  <c r="F22" i="6"/>
  <c r="J22" i="6"/>
  <c r="N22" i="6"/>
  <c r="N19" i="6"/>
  <c r="I19" i="6"/>
  <c r="D16" i="6"/>
  <c r="H16" i="6"/>
  <c r="P16" i="12" s="1"/>
  <c r="L16" i="6"/>
  <c r="O16" i="12" s="1"/>
  <c r="O14" i="6"/>
  <c r="I14" i="6"/>
  <c r="Q11" i="12"/>
  <c r="C11" i="6"/>
  <c r="G11" i="6"/>
  <c r="K11" i="6"/>
  <c r="N11" i="12" s="1"/>
  <c r="O11" i="6"/>
  <c r="N8" i="6"/>
  <c r="I8" i="6"/>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C19" i="6"/>
  <c r="G19" i="6"/>
  <c r="K19" i="6"/>
  <c r="N19" i="12" s="1"/>
  <c r="O19" i="6"/>
  <c r="B14" i="6"/>
  <c r="F14" i="6"/>
  <c r="J14" i="6"/>
  <c r="N14" i="6"/>
  <c r="D8" i="6"/>
  <c r="H8" i="6"/>
  <c r="L8" i="6"/>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Q13" i="12"/>
  <c r="R13" i="12"/>
  <c r="P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4" i="12"/>
  <c r="F184" i="12"/>
  <c r="N184" i="12"/>
  <c r="D184" i="12"/>
  <c r="B180" i="12"/>
  <c r="F180" i="12"/>
  <c r="D180" i="12"/>
  <c r="B176" i="12"/>
  <c r="F176" i="12"/>
  <c r="N176" i="12"/>
  <c r="D176" i="12"/>
  <c r="M172" i="12"/>
  <c r="E172" i="12"/>
  <c r="E168" i="12"/>
  <c r="E164" i="12"/>
  <c r="C162" i="12"/>
  <c r="G162" i="12"/>
  <c r="D162" i="12"/>
  <c r="B162" i="12"/>
  <c r="F162" i="12"/>
  <c r="C154" i="12"/>
  <c r="G154" i="12"/>
  <c r="D154" i="12"/>
  <c r="B154" i="12"/>
  <c r="F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G175" i="12"/>
  <c r="G171" i="12"/>
  <c r="O167" i="12"/>
  <c r="G167" i="12"/>
  <c r="G163" i="12"/>
  <c r="D160" i="12"/>
  <c r="G159" i="12"/>
  <c r="D156" i="12"/>
  <c r="O155" i="12"/>
  <c r="G155" i="12"/>
  <c r="D152" i="12"/>
  <c r="G151" i="12"/>
  <c r="F150" i="12"/>
  <c r="B150" i="12"/>
  <c r="D148" i="12"/>
  <c r="G147" i="12"/>
  <c r="F146" i="12"/>
  <c r="B146" i="12"/>
  <c r="P144" i="12"/>
  <c r="L144" i="12"/>
  <c r="D144"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B110" i="12"/>
  <c r="F110" i="12"/>
  <c r="R110" i="12"/>
  <c r="D110" i="12"/>
  <c r="S108" i="12"/>
  <c r="B106" i="12"/>
  <c r="F106" i="12"/>
  <c r="D106" i="12"/>
  <c r="B102" i="12"/>
  <c r="F102" i="12"/>
  <c r="D102" i="12"/>
  <c r="D142" i="12"/>
  <c r="B140" i="12"/>
  <c r="F140" i="12"/>
  <c r="C133" i="12"/>
  <c r="G133" i="12"/>
  <c r="D126" i="12"/>
  <c r="B124" i="12"/>
  <c r="F124" i="12"/>
  <c r="D120" i="12"/>
  <c r="P120" i="12"/>
  <c r="B120" i="12"/>
  <c r="F120" i="12"/>
  <c r="D116" i="12"/>
  <c r="B116" i="12"/>
  <c r="F116" i="12"/>
  <c r="D112" i="12"/>
  <c r="P112" i="12"/>
  <c r="B112" i="12"/>
  <c r="F112" i="12"/>
  <c r="R112" i="12"/>
  <c r="D108" i="12"/>
  <c r="B108" i="12"/>
  <c r="F108" i="12"/>
  <c r="D104" i="12"/>
  <c r="B104" i="12"/>
  <c r="F104" i="12"/>
  <c r="D100" i="12"/>
  <c r="B100" i="12"/>
  <c r="F100" i="12"/>
  <c r="F160" i="12"/>
  <c r="F156" i="12"/>
  <c r="F152" i="12"/>
  <c r="D150" i="12"/>
  <c r="F148" i="12"/>
  <c r="D146" i="12"/>
  <c r="F144" i="12"/>
  <c r="E142" i="12"/>
  <c r="E140" i="12"/>
  <c r="C137" i="12"/>
  <c r="G137" i="12"/>
  <c r="R134" i="12"/>
  <c r="G134" i="12"/>
  <c r="E133" i="12"/>
  <c r="D130" i="12"/>
  <c r="B128" i="12"/>
  <c r="F128" i="12"/>
  <c r="E126" i="12"/>
  <c r="E124" i="12"/>
  <c r="G120" i="12"/>
  <c r="G116" i="12"/>
  <c r="G112" i="12"/>
  <c r="G108" i="12"/>
  <c r="M106" i="12"/>
  <c r="E106" i="12"/>
  <c r="G104" i="12"/>
  <c r="M102" i="12"/>
  <c r="E102" i="12"/>
  <c r="G100" i="12"/>
  <c r="C96" i="12"/>
  <c r="G96" i="12"/>
  <c r="S96" i="12"/>
  <c r="D96" i="12"/>
  <c r="B96" i="12"/>
  <c r="F96" i="12"/>
  <c r="N96" i="12"/>
  <c r="R96" i="12"/>
  <c r="G150" i="12"/>
  <c r="G146" i="12"/>
  <c r="S142" i="12"/>
  <c r="N142" i="12"/>
  <c r="C142" i="12"/>
  <c r="C141" i="12"/>
  <c r="G141" i="12"/>
  <c r="D140" i="12"/>
  <c r="D134" i="12"/>
  <c r="D133" i="12"/>
  <c r="B132" i="12"/>
  <c r="F132" i="12"/>
  <c r="C126" i="12"/>
  <c r="C125" i="12"/>
  <c r="G125" i="12"/>
  <c r="D124" i="12"/>
  <c r="E120" i="12"/>
  <c r="E116" i="12"/>
  <c r="M112" i="12"/>
  <c r="E112" i="12"/>
  <c r="E108" i="12"/>
  <c r="E104" i="12"/>
  <c r="E100" i="12"/>
  <c r="G121" i="12"/>
  <c r="G117" i="12"/>
  <c r="G113" i="12"/>
  <c r="G109" i="12"/>
  <c r="G105" i="12"/>
  <c r="O101" i="12"/>
  <c r="G101" i="12"/>
  <c r="D98" i="12"/>
  <c r="G97" i="12"/>
  <c r="D94" i="12"/>
  <c r="G93" i="12"/>
  <c r="R92" i="12"/>
  <c r="N92" i="12"/>
  <c r="F92" i="12"/>
  <c r="B92" i="12"/>
  <c r="D90" i="12"/>
  <c r="G89" i="12"/>
  <c r="N88" i="12"/>
  <c r="F88" i="12"/>
  <c r="B88" i="12"/>
  <c r="D86" i="12"/>
  <c r="G85" i="12"/>
  <c r="F84" i="12"/>
  <c r="B84" i="12"/>
  <c r="C80" i="12"/>
  <c r="G80" i="12"/>
  <c r="S80" i="12"/>
  <c r="M77" i="12"/>
  <c r="G77" i="12"/>
  <c r="E76" i="12"/>
  <c r="D73" i="12"/>
  <c r="B71" i="12"/>
  <c r="F71" i="12"/>
  <c r="D71" i="12"/>
  <c r="G69" i="12"/>
  <c r="R68" i="12"/>
  <c r="D60" i="12"/>
  <c r="L60" i="12"/>
  <c r="P60" i="12"/>
  <c r="B60" i="12"/>
  <c r="G60" i="12"/>
  <c r="E60" i="12"/>
  <c r="Q52" i="12"/>
  <c r="N51" i="12"/>
  <c r="D77" i="12"/>
  <c r="P77" i="12"/>
  <c r="B75" i="12"/>
  <c r="F75" i="12"/>
  <c r="B66" i="12"/>
  <c r="F66" i="12"/>
  <c r="E66" i="12"/>
  <c r="C66" i="12"/>
  <c r="C51" i="12"/>
  <c r="G51" i="12"/>
  <c r="S51" i="12"/>
  <c r="B51" i="12"/>
  <c r="R51" i="12"/>
  <c r="E51" i="12"/>
  <c r="B50" i="12"/>
  <c r="F50" i="12"/>
  <c r="N50" i="12"/>
  <c r="R50" i="12"/>
  <c r="D50" i="12"/>
  <c r="E50" i="12"/>
  <c r="C50" i="12"/>
  <c r="S50" i="12"/>
  <c r="F98" i="12"/>
  <c r="F94" i="12"/>
  <c r="D92" i="12"/>
  <c r="F90" i="12"/>
  <c r="D88" i="12"/>
  <c r="F86" i="12"/>
  <c r="D84" i="12"/>
  <c r="D81" i="12"/>
  <c r="B79" i="12"/>
  <c r="F79" i="12"/>
  <c r="E77" i="12"/>
  <c r="E75" i="12"/>
  <c r="N68" i="12"/>
  <c r="C67" i="12"/>
  <c r="G67" i="12"/>
  <c r="S67" i="12"/>
  <c r="B67" i="12"/>
  <c r="E67" i="12"/>
  <c r="N59" i="12"/>
  <c r="B58" i="12"/>
  <c r="F58" i="12"/>
  <c r="N58" i="12"/>
  <c r="R58" i="12"/>
  <c r="C58" i="12"/>
  <c r="S58" i="12"/>
  <c r="E58" i="12"/>
  <c r="D52" i="12"/>
  <c r="L52" i="12"/>
  <c r="P52" i="12"/>
  <c r="E52" i="12"/>
  <c r="B52" i="12"/>
  <c r="G52" i="12"/>
  <c r="M52" i="12"/>
  <c r="G92" i="12"/>
  <c r="G88" i="12"/>
  <c r="G84" i="12"/>
  <c r="C77" i="12"/>
  <c r="C76" i="12"/>
  <c r="G76" i="12"/>
  <c r="D75" i="12"/>
  <c r="D69" i="12"/>
  <c r="B69" i="12"/>
  <c r="F69" i="12"/>
  <c r="D68" i="12"/>
  <c r="E68" i="12"/>
  <c r="S68" i="12"/>
  <c r="B68" i="12"/>
  <c r="G68" i="12"/>
  <c r="M68" i="12"/>
  <c r="Q68" i="12"/>
  <c r="G66" i="12"/>
  <c r="C59" i="12"/>
  <c r="G59" i="12"/>
  <c r="S59" i="12"/>
  <c r="E59" i="12"/>
  <c r="B59" i="12"/>
  <c r="R59" i="12"/>
  <c r="Q51" i="12"/>
  <c r="F51" i="12"/>
  <c r="D64" i="12"/>
  <c r="B62" i="12"/>
  <c r="F62" i="12"/>
  <c r="R62" i="12"/>
  <c r="C55" i="12"/>
  <c r="G55" i="12"/>
  <c r="S55" i="12"/>
  <c r="D48" i="12"/>
  <c r="B46" i="12"/>
  <c r="F46" i="12"/>
  <c r="O44" i="12"/>
  <c r="E44" i="12"/>
  <c r="R43" i="12"/>
  <c r="E42" i="12"/>
  <c r="C39" i="12"/>
  <c r="G39" i="12"/>
  <c r="O39" i="12"/>
  <c r="R36" i="12"/>
  <c r="G36" i="12"/>
  <c r="D34" i="12"/>
  <c r="B34" i="12"/>
  <c r="F34" i="12"/>
  <c r="O32" i="12"/>
  <c r="G32" i="12"/>
  <c r="D30" i="12"/>
  <c r="B30" i="12"/>
  <c r="F30" i="12"/>
  <c r="G28" i="12"/>
  <c r="D26" i="12"/>
  <c r="B26" i="12"/>
  <c r="F26" i="12"/>
  <c r="G24" i="12"/>
  <c r="D22" i="12"/>
  <c r="L22" i="12"/>
  <c r="P22" i="12"/>
  <c r="B22" i="12"/>
  <c r="F22" i="12"/>
  <c r="G20" i="12"/>
  <c r="D18" i="12"/>
  <c r="B18" i="12"/>
  <c r="F18" i="12"/>
  <c r="G16" i="12"/>
  <c r="D14" i="12"/>
  <c r="B14" i="12"/>
  <c r="F14" i="12"/>
  <c r="G12" i="12"/>
  <c r="D10" i="12"/>
  <c r="B10" i="12"/>
  <c r="F10" i="12"/>
  <c r="G8" i="12"/>
  <c r="C43" i="12"/>
  <c r="G43" i="12"/>
  <c r="S43" i="12"/>
  <c r="D36" i="12"/>
  <c r="L36" i="12"/>
  <c r="P36" i="12"/>
  <c r="E8" i="12"/>
  <c r="F183" i="13"/>
  <c r="F179" i="13"/>
  <c r="G72" i="12"/>
  <c r="C64" i="12"/>
  <c r="C63" i="12"/>
  <c r="G63" i="12"/>
  <c r="O63" i="12"/>
  <c r="D62" i="12"/>
  <c r="D56" i="12"/>
  <c r="N55" i="12"/>
  <c r="D55" i="12"/>
  <c r="B54" i="12"/>
  <c r="F54" i="12"/>
  <c r="C48" i="12"/>
  <c r="C47" i="12"/>
  <c r="G47" i="12"/>
  <c r="O47" i="12"/>
  <c r="D46" i="12"/>
  <c r="R44" i="12"/>
  <c r="G44" i="12"/>
  <c r="E43" i="12"/>
  <c r="D40" i="12"/>
  <c r="D39" i="12"/>
  <c r="B38" i="12"/>
  <c r="F38" i="12"/>
  <c r="O36" i="12"/>
  <c r="E36" i="12"/>
  <c r="E34" i="12"/>
  <c r="M30" i="12"/>
  <c r="E30" i="12"/>
  <c r="E26" i="12"/>
  <c r="E22" i="12"/>
  <c r="E18" i="12"/>
  <c r="E14" i="12"/>
  <c r="E10" i="12"/>
  <c r="F185" i="13"/>
  <c r="G183" i="13"/>
  <c r="F181" i="13"/>
  <c r="G179" i="13"/>
  <c r="G172" i="13"/>
  <c r="E172" i="13"/>
  <c r="D44" i="12"/>
  <c r="L44" i="12"/>
  <c r="P44" i="12"/>
  <c r="N43" i="12"/>
  <c r="D43" i="12"/>
  <c r="B42" i="12"/>
  <c r="F42" i="12"/>
  <c r="S36" i="12"/>
  <c r="N36" i="12"/>
  <c r="C36" i="12"/>
  <c r="B32" i="12"/>
  <c r="F32" i="12"/>
  <c r="D32" i="12"/>
  <c r="B28" i="12"/>
  <c r="F28" i="12"/>
  <c r="D28" i="12"/>
  <c r="B24" i="12"/>
  <c r="F24" i="12"/>
  <c r="D24" i="12"/>
  <c r="B20" i="12"/>
  <c r="F20" i="12"/>
  <c r="D20" i="12"/>
  <c r="B16" i="12"/>
  <c r="F16" i="12"/>
  <c r="D16" i="12"/>
  <c r="B12" i="12"/>
  <c r="F12" i="12"/>
  <c r="D12" i="12"/>
  <c r="B8" i="12"/>
  <c r="F8" i="12"/>
  <c r="D8" i="12"/>
  <c r="O35" i="12"/>
  <c r="G35" i="12"/>
  <c r="G31" i="12"/>
  <c r="G27" i="12"/>
  <c r="G23" i="12"/>
  <c r="G19" i="12"/>
  <c r="O15" i="12"/>
  <c r="G15" i="12"/>
  <c r="G11" i="12"/>
  <c r="G7" i="12"/>
  <c r="G186" i="13"/>
  <c r="G182" i="13"/>
  <c r="G178" i="13"/>
  <c r="F177" i="13"/>
  <c r="F171" i="13"/>
  <c r="G169" i="13"/>
  <c r="E167" i="13"/>
  <c r="E161" i="13"/>
  <c r="G160" i="13"/>
  <c r="E156" i="13"/>
  <c r="F155" i="13"/>
  <c r="G153" i="13"/>
  <c r="E151" i="13"/>
  <c r="E145" i="13"/>
  <c r="G144" i="13"/>
  <c r="E140" i="13"/>
  <c r="F139" i="13"/>
  <c r="G137" i="13"/>
  <c r="E135" i="13"/>
  <c r="E129" i="13"/>
  <c r="G128" i="13"/>
  <c r="E124" i="13"/>
  <c r="F123" i="13"/>
  <c r="G121" i="13"/>
  <c r="E119" i="13"/>
  <c r="G115" i="13"/>
  <c r="G111" i="13"/>
  <c r="G107" i="13"/>
  <c r="G103" i="13"/>
  <c r="G99" i="13"/>
  <c r="G95" i="13"/>
  <c r="G91" i="13"/>
  <c r="G87" i="13"/>
  <c r="F82" i="13"/>
  <c r="E82" i="13"/>
  <c r="G79" i="13"/>
  <c r="E79" i="13"/>
  <c r="E68" i="13"/>
  <c r="G68" i="13"/>
  <c r="F175" i="13"/>
  <c r="G164" i="13"/>
  <c r="F159" i="13"/>
  <c r="G148" i="13"/>
  <c r="F143" i="13"/>
  <c r="G132" i="13"/>
  <c r="F127" i="13"/>
  <c r="E115" i="13"/>
  <c r="E111" i="13"/>
  <c r="E107" i="13"/>
  <c r="E103" i="13"/>
  <c r="E99" i="13"/>
  <c r="E95" i="13"/>
  <c r="E91" i="13"/>
  <c r="E87" i="13"/>
  <c r="E84" i="13"/>
  <c r="G84" i="13"/>
  <c r="G71" i="13"/>
  <c r="E71" i="13"/>
  <c r="G66" i="13"/>
  <c r="E175" i="13"/>
  <c r="E169" i="13"/>
  <c r="G168" i="13"/>
  <c r="E164" i="13"/>
  <c r="F163" i="13"/>
  <c r="G161" i="13"/>
  <c r="E159" i="13"/>
  <c r="E153" i="13"/>
  <c r="G152" i="13"/>
  <c r="E148" i="13"/>
  <c r="F147" i="13"/>
  <c r="G145" i="13"/>
  <c r="E143" i="13"/>
  <c r="E137" i="13"/>
  <c r="G136" i="13"/>
  <c r="E132" i="13"/>
  <c r="F131" i="13"/>
  <c r="G129" i="13"/>
  <c r="E127" i="13"/>
  <c r="E121" i="13"/>
  <c r="G120" i="13"/>
  <c r="F117" i="13"/>
  <c r="F113" i="13"/>
  <c r="F109" i="13"/>
  <c r="F105" i="13"/>
  <c r="F101" i="13"/>
  <c r="F97" i="13"/>
  <c r="F93" i="13"/>
  <c r="F89" i="13"/>
  <c r="F85" i="13"/>
  <c r="G76" i="13"/>
  <c r="E76" i="13"/>
  <c r="F74" i="13"/>
  <c r="E74" i="13"/>
  <c r="G63" i="13"/>
  <c r="E63" i="13"/>
  <c r="F167" i="13"/>
  <c r="G156" i="13"/>
  <c r="F151" i="13"/>
  <c r="G140" i="13"/>
  <c r="F135" i="13"/>
  <c r="G124" i="13"/>
  <c r="F119" i="13"/>
  <c r="F115" i="13"/>
  <c r="F111" i="13"/>
  <c r="F107" i="13"/>
  <c r="F103" i="13"/>
  <c r="F99" i="13"/>
  <c r="F95" i="13"/>
  <c r="F91" i="13"/>
  <c r="F87" i="13"/>
  <c r="F66" i="13"/>
  <c r="E66" i="13"/>
  <c r="F58" i="13"/>
  <c r="E58" i="13"/>
  <c r="G116" i="13"/>
  <c r="G112" i="13"/>
  <c r="G108" i="13"/>
  <c r="G104" i="13"/>
  <c r="G100" i="13"/>
  <c r="G96" i="13"/>
  <c r="G92" i="13"/>
  <c r="G88" i="13"/>
  <c r="G75" i="13"/>
  <c r="F70" i="13"/>
  <c r="E60" i="13"/>
  <c r="G59" i="13"/>
  <c r="E55" i="13"/>
  <c r="F54" i="13"/>
  <c r="G52" i="13"/>
  <c r="E50" i="13"/>
  <c r="E44" i="13"/>
  <c r="G43" i="13"/>
  <c r="E39" i="13"/>
  <c r="F38" i="13"/>
  <c r="G36" i="13"/>
  <c r="E34" i="13"/>
  <c r="G30" i="13"/>
  <c r="G26" i="13"/>
  <c r="G22" i="13"/>
  <c r="G18" i="13"/>
  <c r="G14" i="13"/>
  <c r="G10" i="13"/>
  <c r="G6" i="13"/>
  <c r="B184" i="14"/>
  <c r="F184" i="14"/>
  <c r="D184" i="14"/>
  <c r="G47" i="13"/>
  <c r="F42" i="13"/>
  <c r="D178" i="14"/>
  <c r="B178" i="14"/>
  <c r="F178" i="14"/>
  <c r="D168" i="14"/>
  <c r="C168" i="14"/>
  <c r="E168" i="14"/>
  <c r="B168" i="14"/>
  <c r="G83" i="13"/>
  <c r="F78" i="13"/>
  <c r="G67" i="13"/>
  <c r="F62" i="13"/>
  <c r="G60" i="13"/>
  <c r="E52" i="13"/>
  <c r="G51" i="13"/>
  <c r="E47" i="13"/>
  <c r="F46" i="13"/>
  <c r="G44" i="13"/>
  <c r="E42" i="13"/>
  <c r="E36" i="13"/>
  <c r="G35" i="13"/>
  <c r="F32" i="13"/>
  <c r="F28" i="13"/>
  <c r="F24" i="13"/>
  <c r="F20" i="13"/>
  <c r="F16" i="13"/>
  <c r="F12" i="13"/>
  <c r="F8" i="13"/>
  <c r="D182" i="14"/>
  <c r="B182" i="14"/>
  <c r="G182" i="14" s="1"/>
  <c r="F182" i="14"/>
  <c r="C174" i="14"/>
  <c r="D174" i="14"/>
  <c r="B174" i="14"/>
  <c r="G174" i="14" s="1"/>
  <c r="F174" i="14"/>
  <c r="G55" i="13"/>
  <c r="F50" i="13"/>
  <c r="G39" i="13"/>
  <c r="F34" i="13"/>
  <c r="F30" i="13"/>
  <c r="F26" i="13"/>
  <c r="F22" i="13"/>
  <c r="F18" i="13"/>
  <c r="F14" i="13"/>
  <c r="F10" i="13"/>
  <c r="F6" i="13"/>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F122" i="14"/>
  <c r="E120" i="14"/>
  <c r="E114" i="14"/>
  <c r="B112" i="14"/>
  <c r="F112" i="14"/>
  <c r="D112" i="14"/>
  <c r="D106" i="14"/>
  <c r="B106" i="14"/>
  <c r="F106" i="14"/>
  <c r="E104" i="14"/>
  <c r="E98" i="14"/>
  <c r="B96" i="14"/>
  <c r="F96" i="14"/>
  <c r="D96" i="14"/>
  <c r="D90" i="14"/>
  <c r="B90" i="14"/>
  <c r="F90" i="14"/>
  <c r="E88" i="14"/>
  <c r="C82" i="14"/>
  <c r="D82" i="14"/>
  <c r="B82" i="14"/>
  <c r="G82" i="14" s="1"/>
  <c r="F82" i="14"/>
  <c r="B166" i="14"/>
  <c r="F166" i="14"/>
  <c r="D163" i="14"/>
  <c r="D158" i="14"/>
  <c r="C152" i="14"/>
  <c r="B150" i="14"/>
  <c r="F150" i="14"/>
  <c r="D147"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F94" i="14"/>
  <c r="E92" i="14"/>
  <c r="E86" i="14"/>
  <c r="D84" i="14"/>
  <c r="D80" i="14"/>
  <c r="F78" i="14"/>
  <c r="B78" i="14"/>
  <c r="G78" i="14" s="1"/>
  <c r="D76" i="14"/>
  <c r="F74" i="14"/>
  <c r="B74" i="14"/>
  <c r="D72" i="14"/>
  <c r="F70" i="14"/>
  <c r="B70" i="14"/>
  <c r="D68" i="14"/>
  <c r="F66" i="14"/>
  <c r="B66" i="14"/>
  <c r="D64" i="14"/>
  <c r="E62" i="14"/>
  <c r="B59" i="14"/>
  <c r="E56" i="14"/>
  <c r="C52" i="14"/>
  <c r="E51" i="14"/>
  <c r="B50" i="14"/>
  <c r="G50" i="14" s="1"/>
  <c r="F50" i="14"/>
  <c r="B48" i="14"/>
  <c r="B44" i="14"/>
  <c r="G44" i="14" s="1"/>
  <c r="F44" i="14"/>
  <c r="D44" i="14"/>
  <c r="D38" i="14"/>
  <c r="B38" i="14"/>
  <c r="F38" i="14"/>
  <c r="B28" i="14"/>
  <c r="F28" i="14"/>
  <c r="D28" i="14"/>
  <c r="D22" i="14"/>
  <c r="B22" i="14"/>
  <c r="F22" i="14"/>
  <c r="B54" i="14"/>
  <c r="F54" i="14"/>
  <c r="D42" i="14"/>
  <c r="B42" i="14"/>
  <c r="F42" i="14"/>
  <c r="E40" i="14"/>
  <c r="B32" i="14"/>
  <c r="F32" i="14"/>
  <c r="D32" i="14"/>
  <c r="D26" i="14"/>
  <c r="B26" i="14"/>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G4" i="21" s="1"/>
  <c r="F34" i="14"/>
  <c r="E32" i="14"/>
  <c r="B24" i="14"/>
  <c r="F24" i="14"/>
  <c r="D24" i="14"/>
  <c r="D20" i="14"/>
  <c r="F18" i="14"/>
  <c r="B18" i="14"/>
  <c r="G18" i="14" s="1"/>
  <c r="D16" i="14"/>
  <c r="F14" i="14"/>
  <c r="B14" i="14"/>
  <c r="G14" i="14" s="1"/>
  <c r="D12" i="14"/>
  <c r="F10" i="14"/>
  <c r="B10" i="14"/>
  <c r="D8" i="14"/>
  <c r="F20" i="14"/>
  <c r="D18" i="14"/>
  <c r="F16" i="14"/>
  <c r="D14" i="14"/>
  <c r="F12" i="14"/>
  <c r="D10" i="14"/>
  <c r="F8" i="14"/>
  <c r="G38" i="14" l="1"/>
  <c r="G74" i="14"/>
  <c r="G184" i="14"/>
  <c r="R16" i="12"/>
  <c r="S27" i="12"/>
  <c r="R12" i="12"/>
  <c r="J158" i="2"/>
  <c r="K158" i="2" s="1"/>
  <c r="F144" i="2"/>
  <c r="K111" i="3"/>
  <c r="K130" i="3"/>
  <c r="K3" i="21"/>
  <c r="N152" i="2"/>
  <c r="O152" i="2" s="1"/>
  <c r="H114" i="3"/>
  <c r="J57" i="2"/>
  <c r="K57" i="2" s="1"/>
  <c r="E55" i="5"/>
  <c r="F55" i="5" s="1"/>
  <c r="G55" i="5" s="1"/>
  <c r="E77" i="5"/>
  <c r="L67" i="5"/>
  <c r="M67" i="5" s="1"/>
  <c r="E56" i="5"/>
  <c r="E92" i="5"/>
  <c r="F92" i="5" s="1"/>
  <c r="G92" i="5" s="1"/>
  <c r="L109" i="5"/>
  <c r="M109" i="5" s="1"/>
  <c r="E116" i="5"/>
  <c r="L75" i="5"/>
  <c r="M75" i="5" s="1"/>
  <c r="L72" i="5"/>
  <c r="M72" i="5" s="1"/>
  <c r="E72" i="5"/>
  <c r="E68" i="5"/>
  <c r="L92" i="5"/>
  <c r="E93" i="5"/>
  <c r="F93" i="5" s="1"/>
  <c r="G93" i="5" s="1"/>
  <c r="L56" i="5"/>
  <c r="M56" i="5" s="1"/>
  <c r="L54" i="5"/>
  <c r="M54" i="5" s="1"/>
  <c r="L64" i="5"/>
  <c r="M64" i="5" s="1"/>
  <c r="E33" i="5"/>
  <c r="F33" i="5" s="1"/>
  <c r="G33" i="5" s="1"/>
  <c r="B6" i="28"/>
  <c r="L22" i="5"/>
  <c r="M22" i="5" s="1"/>
  <c r="E123" i="5"/>
  <c r="F123" i="5" s="1"/>
  <c r="G123" i="5" s="1"/>
  <c r="E140" i="5"/>
  <c r="F140" i="5" s="1"/>
  <c r="G140" i="5" s="1"/>
  <c r="G143" i="14"/>
  <c r="F147" i="2"/>
  <c r="G147" i="2"/>
  <c r="G148" i="2"/>
  <c r="F148" i="2"/>
  <c r="E162" i="5"/>
  <c r="L118" i="5"/>
  <c r="M118" i="5" s="1"/>
  <c r="E157" i="5"/>
  <c r="F157" i="5" s="1"/>
  <c r="G157" i="5" s="1"/>
  <c r="E151" i="5"/>
  <c r="E145" i="5"/>
  <c r="G125" i="14"/>
  <c r="P107" i="5"/>
  <c r="P137" i="5"/>
  <c r="J13" i="2"/>
  <c r="K13" i="2" s="1"/>
  <c r="E101" i="5"/>
  <c r="F101" i="5" s="1"/>
  <c r="G101" i="5" s="1"/>
  <c r="P7" i="5"/>
  <c r="G172" i="14"/>
  <c r="P98" i="5"/>
  <c r="G79" i="14"/>
  <c r="G97" i="14"/>
  <c r="H108" i="3"/>
  <c r="P8" i="5"/>
  <c r="P20" i="5"/>
  <c r="P125" i="5"/>
  <c r="N86" i="12"/>
  <c r="L160" i="12"/>
  <c r="N102" i="12"/>
  <c r="J149" i="2"/>
  <c r="K149" i="2" s="1"/>
  <c r="K93" i="3"/>
  <c r="H58" i="3"/>
  <c r="E85" i="3"/>
  <c r="K109" i="3"/>
  <c r="K182" i="3"/>
  <c r="E153" i="3"/>
  <c r="H42" i="3"/>
  <c r="E101" i="3"/>
  <c r="K132" i="3"/>
  <c r="K112" i="3"/>
  <c r="J27" i="5"/>
  <c r="G57" i="2"/>
  <c r="P139" i="5"/>
  <c r="P149" i="5"/>
  <c r="E231" i="11"/>
  <c r="E232" i="11" s="1"/>
  <c r="J231" i="11"/>
  <c r="H231" i="11"/>
  <c r="H232" i="11" s="1"/>
  <c r="N120" i="2"/>
  <c r="O120" i="2" s="1"/>
  <c r="D231" i="11"/>
  <c r="G231" i="11"/>
  <c r="I241" i="2"/>
  <c r="H241" i="2"/>
  <c r="K231" i="11"/>
  <c r="K232" i="11" s="1"/>
  <c r="M231" i="11"/>
  <c r="N231" i="11"/>
  <c r="N232" i="11" s="1"/>
  <c r="I64" i="8"/>
  <c r="F64" i="8"/>
  <c r="F65" i="8" s="1"/>
  <c r="C8" i="28"/>
  <c r="E50" i="5"/>
  <c r="E64" i="8"/>
  <c r="E65" i="8" s="1"/>
  <c r="E64" i="5"/>
  <c r="H64" i="8"/>
  <c r="H13" i="3"/>
  <c r="H36" i="3"/>
  <c r="E7" i="5"/>
  <c r="F7" i="5" s="1"/>
  <c r="G7" i="5" s="1"/>
  <c r="G236" i="3"/>
  <c r="G237" i="3" s="1"/>
  <c r="E81" i="5"/>
  <c r="E84" i="5"/>
  <c r="E21" i="5"/>
  <c r="F21" i="5" s="1"/>
  <c r="G21" i="5" s="1"/>
  <c r="E51" i="5"/>
  <c r="F51" i="5" s="1"/>
  <c r="G51" i="5" s="1"/>
  <c r="E76" i="5"/>
  <c r="F76" i="5" s="1"/>
  <c r="G76" i="5" s="1"/>
  <c r="I236" i="3"/>
  <c r="J236" i="3"/>
  <c r="J237" i="3" s="1"/>
  <c r="E132" i="5"/>
  <c r="F132" i="5" s="1"/>
  <c r="G132" i="5" s="1"/>
  <c r="H43" i="3"/>
  <c r="F236" i="3"/>
  <c r="E149" i="5"/>
  <c r="F149" i="5" s="1"/>
  <c r="G149" i="5" s="1"/>
  <c r="E19" i="5"/>
  <c r="F19" i="5" s="1"/>
  <c r="G19" i="5" s="1"/>
  <c r="E233" i="6"/>
  <c r="C233" i="6"/>
  <c r="S7" i="12"/>
  <c r="L233" i="6"/>
  <c r="M7" i="12"/>
  <c r="I233" i="6"/>
  <c r="L7" i="12"/>
  <c r="H233" i="6"/>
  <c r="F233" i="6"/>
  <c r="G233" i="6" s="1"/>
  <c r="N233" i="6"/>
  <c r="O233" i="6" s="1"/>
  <c r="B233" i="6"/>
  <c r="K233" i="6"/>
  <c r="M18" i="12"/>
  <c r="P69" i="12"/>
  <c r="Q80" i="12"/>
  <c r="R86" i="12"/>
  <c r="P76" i="12"/>
  <c r="N112" i="12"/>
  <c r="Q55" i="12"/>
  <c r="P79" i="12"/>
  <c r="O177" i="12"/>
  <c r="M12" i="12"/>
  <c r="N22" i="12"/>
  <c r="M108" i="12"/>
  <c r="N12" i="12"/>
  <c r="L9" i="12"/>
  <c r="Q62" i="12"/>
  <c r="O181" i="12"/>
  <c r="R27" i="12"/>
  <c r="L162" i="12"/>
  <c r="H23" i="3"/>
  <c r="G78" i="2"/>
  <c r="J109" i="2"/>
  <c r="K109" i="2" s="1"/>
  <c r="K18" i="3"/>
  <c r="J23" i="2"/>
  <c r="K23" i="2" s="1"/>
  <c r="N57" i="2"/>
  <c r="O57" i="2" s="1"/>
  <c r="N89" i="2"/>
  <c r="O89" i="2" s="1"/>
  <c r="F42" i="2"/>
  <c r="N106" i="2"/>
  <c r="O106" i="2" s="1"/>
  <c r="E67" i="3"/>
  <c r="N46" i="2"/>
  <c r="O46" i="2" s="1"/>
  <c r="N142" i="2"/>
  <c r="O142" i="2" s="1"/>
  <c r="G138" i="2"/>
  <c r="H25" i="3"/>
  <c r="H38" i="3"/>
  <c r="E46" i="3"/>
  <c r="J119" i="2"/>
  <c r="K119" i="2" s="1"/>
  <c r="N143" i="2"/>
  <c r="O143" i="2" s="1"/>
  <c r="N157" i="2"/>
  <c r="O157" i="2" s="1"/>
  <c r="F78" i="2"/>
  <c r="N148" i="2"/>
  <c r="O148" i="2" s="1"/>
  <c r="J59" i="2"/>
  <c r="K59" i="2" s="1"/>
  <c r="J139" i="2"/>
  <c r="K139" i="2" s="1"/>
  <c r="F138" i="2"/>
  <c r="J128" i="2"/>
  <c r="K128" i="2" s="1"/>
  <c r="K21" i="3"/>
  <c r="P57" i="12"/>
  <c r="J38" i="5"/>
  <c r="N54" i="12"/>
  <c r="M88" i="12"/>
  <c r="R54" i="12"/>
  <c r="Q91" i="12"/>
  <c r="M26" i="12"/>
  <c r="R22" i="12"/>
  <c r="P134" i="12"/>
  <c r="P169" i="12"/>
  <c r="L175" i="12"/>
  <c r="N82" i="2"/>
  <c r="O82" i="2" s="1"/>
  <c r="N163" i="7"/>
  <c r="I177" i="7"/>
  <c r="B119" i="7"/>
  <c r="H162" i="3"/>
  <c r="F12" i="5"/>
  <c r="G12" i="5" s="1"/>
  <c r="E165" i="3"/>
  <c r="I64" i="12"/>
  <c r="K42" i="3"/>
  <c r="E110" i="3"/>
  <c r="F44" i="2"/>
  <c r="C163" i="7"/>
  <c r="M26" i="5"/>
  <c r="M38" i="5"/>
  <c r="M34" i="5"/>
  <c r="E21" i="3"/>
  <c r="K126" i="3"/>
  <c r="E177" i="3"/>
  <c r="P86" i="5"/>
  <c r="E143" i="3"/>
  <c r="G122" i="14"/>
  <c r="G22" i="14"/>
  <c r="G94" i="14"/>
  <c r="M10" i="5"/>
  <c r="J7" i="5"/>
  <c r="J39" i="5"/>
  <c r="H94" i="3"/>
  <c r="E149" i="3"/>
  <c r="J36" i="5"/>
  <c r="H41" i="3"/>
  <c r="K180" i="3"/>
  <c r="P126" i="5"/>
  <c r="C57" i="7"/>
  <c r="D49" i="7"/>
  <c r="M97" i="7"/>
  <c r="E183" i="7"/>
  <c r="P48" i="5"/>
  <c r="H163" i="7"/>
  <c r="H163" i="12" s="1"/>
  <c r="J163" i="7"/>
  <c r="J150" i="2"/>
  <c r="K150" i="2" s="1"/>
  <c r="G48" i="2"/>
  <c r="O158" i="12"/>
  <c r="O154" i="12"/>
  <c r="O162" i="12"/>
  <c r="O33" i="12"/>
  <c r="P55" i="12"/>
  <c r="L142" i="5"/>
  <c r="M142" i="5" s="1"/>
  <c r="O143" i="12"/>
  <c r="O53" i="12"/>
  <c r="E95" i="5"/>
  <c r="F95" i="5" s="1"/>
  <c r="G95" i="5" s="1"/>
  <c r="E138" i="5"/>
  <c r="F138" i="5" s="1"/>
  <c r="G138" i="5" s="1"/>
  <c r="L47" i="5"/>
  <c r="M47" i="5" s="1"/>
  <c r="L164" i="5"/>
  <c r="M164" i="5" s="1"/>
  <c r="E99" i="5"/>
  <c r="F99" i="5" s="1"/>
  <c r="G99" i="5" s="1"/>
  <c r="E142" i="5"/>
  <c r="F142" i="5" s="1"/>
  <c r="G142" i="5" s="1"/>
  <c r="M36" i="12"/>
  <c r="M51" i="12"/>
  <c r="M147" i="12"/>
  <c r="L95" i="5"/>
  <c r="M95" i="5" s="1"/>
  <c r="E85" i="5"/>
  <c r="F85" i="5" s="1"/>
  <c r="G85" i="5" s="1"/>
  <c r="R52" i="12"/>
  <c r="M169" i="12"/>
  <c r="L32" i="5"/>
  <c r="M32" i="5" s="1"/>
  <c r="S40" i="12"/>
  <c r="O150" i="12"/>
  <c r="L154" i="12"/>
  <c r="E159" i="5"/>
  <c r="F159" i="5" s="1"/>
  <c r="G159" i="5" s="1"/>
  <c r="E141" i="5"/>
  <c r="F141" i="5" s="1"/>
  <c r="G141" i="5" s="1"/>
  <c r="S39" i="12"/>
  <c r="L156" i="5"/>
  <c r="M156" i="5" s="1"/>
  <c r="E107" i="5"/>
  <c r="F107" i="5" s="1"/>
  <c r="G107" i="5" s="1"/>
  <c r="L99" i="12"/>
  <c r="N149" i="12"/>
  <c r="L143" i="5"/>
  <c r="M143" i="5" s="1"/>
  <c r="E53" i="5"/>
  <c r="F53" i="5" s="1"/>
  <c r="G53" i="5" s="1"/>
  <c r="E154" i="5"/>
  <c r="F154" i="5" s="1"/>
  <c r="G154" i="5" s="1"/>
  <c r="N88" i="2"/>
  <c r="O88" i="2" s="1"/>
  <c r="R35" i="12"/>
  <c r="M50" i="12"/>
  <c r="S31" i="12"/>
  <c r="M138" i="12"/>
  <c r="M175" i="12"/>
  <c r="F119" i="7"/>
  <c r="J120" i="2"/>
  <c r="K120" i="2" s="1"/>
  <c r="Q31" i="12"/>
  <c r="I100" i="7"/>
  <c r="I100" i="12" s="1"/>
  <c r="J40" i="2"/>
  <c r="K40" i="2" s="1"/>
  <c r="E108" i="5"/>
  <c r="F108" i="5" s="1"/>
  <c r="G108" i="5" s="1"/>
  <c r="M96" i="12"/>
  <c r="Q37" i="12"/>
  <c r="N28" i="12"/>
  <c r="L141" i="5"/>
  <c r="M141" i="5" s="1"/>
  <c r="L117" i="12"/>
  <c r="O131" i="12"/>
  <c r="M121" i="12"/>
  <c r="L31" i="12"/>
  <c r="O174" i="12"/>
  <c r="E133" i="5"/>
  <c r="F133" i="5" s="1"/>
  <c r="G133" i="5" s="1"/>
  <c r="N47" i="12"/>
  <c r="L39" i="12"/>
  <c r="S46" i="12"/>
  <c r="M100" i="12"/>
  <c r="L153" i="12"/>
  <c r="O123" i="12"/>
  <c r="O97" i="12"/>
  <c r="E158" i="5"/>
  <c r="F158" i="5" s="1"/>
  <c r="G158" i="5" s="1"/>
  <c r="M39" i="12"/>
  <c r="L55" i="5"/>
  <c r="M55" i="5" s="1"/>
  <c r="O85" i="12"/>
  <c r="O115" i="12"/>
  <c r="N180" i="12"/>
  <c r="O144" i="12"/>
  <c r="L119" i="12"/>
  <c r="L31" i="5"/>
  <c r="M31" i="5" s="1"/>
  <c r="M176" i="12"/>
  <c r="E48" i="5"/>
  <c r="F48" i="5" s="1"/>
  <c r="G48" i="5" s="1"/>
  <c r="E134" i="5"/>
  <c r="F134" i="5" s="1"/>
  <c r="G134" i="5" s="1"/>
  <c r="Q41" i="12"/>
  <c r="K21" i="7"/>
  <c r="J21" i="12" s="1"/>
  <c r="O112" i="12"/>
  <c r="M180" i="7"/>
  <c r="E32" i="5"/>
  <c r="F32" i="5" s="1"/>
  <c r="G32" i="5" s="1"/>
  <c r="E52" i="5"/>
  <c r="F52" i="5" s="1"/>
  <c r="G52" i="5" s="1"/>
  <c r="M44" i="12"/>
  <c r="L37" i="5"/>
  <c r="M37" i="5" s="1"/>
  <c r="O127" i="12"/>
  <c r="M115" i="12"/>
  <c r="O49" i="12"/>
  <c r="L47" i="12"/>
  <c r="O166" i="12"/>
  <c r="L174" i="12"/>
  <c r="L106" i="5"/>
  <c r="M106" i="5" s="1"/>
  <c r="L134" i="5"/>
  <c r="M134" i="5" s="1"/>
  <c r="L39" i="5"/>
  <c r="M39" i="5" s="1"/>
  <c r="L102" i="5"/>
  <c r="M102" i="5" s="1"/>
  <c r="L110" i="5"/>
  <c r="M110" i="5" s="1"/>
  <c r="L152" i="5"/>
  <c r="M152" i="5" s="1"/>
  <c r="E150" i="5"/>
  <c r="F150" i="5" s="1"/>
  <c r="G150" i="5" s="1"/>
  <c r="L46" i="5"/>
  <c r="M46" i="5" s="1"/>
  <c r="L126" i="5"/>
  <c r="M126" i="5" s="1"/>
  <c r="Q35" i="12"/>
  <c r="Q43" i="12"/>
  <c r="M93" i="12"/>
  <c r="L105" i="12"/>
  <c r="L160" i="5"/>
  <c r="M160" i="5" s="1"/>
  <c r="E35" i="5"/>
  <c r="F35" i="5" s="1"/>
  <c r="G35" i="5" s="1"/>
  <c r="E147" i="5"/>
  <c r="F147" i="5" s="1"/>
  <c r="G147" i="5" s="1"/>
  <c r="O141" i="12"/>
  <c r="O147" i="12"/>
  <c r="M180" i="12"/>
  <c r="O95" i="12"/>
  <c r="O52" i="12"/>
  <c r="J14" i="5"/>
  <c r="K41" i="3"/>
  <c r="E30" i="3"/>
  <c r="J26" i="5"/>
  <c r="P40" i="12"/>
  <c r="E60" i="3"/>
  <c r="K146" i="3"/>
  <c r="R90" i="12"/>
  <c r="O7" i="12"/>
  <c r="M80" i="5"/>
  <c r="P72" i="5"/>
  <c r="L96" i="12"/>
  <c r="N62" i="2"/>
  <c r="O62" i="2" s="1"/>
  <c r="P49" i="5"/>
  <c r="P130" i="5"/>
  <c r="R102" i="12"/>
  <c r="H65" i="3"/>
  <c r="H51" i="3"/>
  <c r="H167" i="3"/>
  <c r="K135" i="7"/>
  <c r="J135" i="12" s="1"/>
  <c r="C119" i="7"/>
  <c r="P10" i="5"/>
  <c r="D54" i="7"/>
  <c r="M83" i="5"/>
  <c r="E36" i="3"/>
  <c r="H171" i="3"/>
  <c r="P163" i="5"/>
  <c r="E155" i="7"/>
  <c r="R88" i="12"/>
  <c r="Q138" i="12"/>
  <c r="L89" i="12"/>
  <c r="L155" i="7"/>
  <c r="M54" i="7"/>
  <c r="O68" i="7"/>
  <c r="P105" i="12"/>
  <c r="O54" i="7"/>
  <c r="H155" i="7"/>
  <c r="F73" i="7"/>
  <c r="J55" i="2"/>
  <c r="K55" i="2" s="1"/>
  <c r="J67" i="2"/>
  <c r="K67" i="2" s="1"/>
  <c r="J60" i="2"/>
  <c r="K60" i="2" s="1"/>
  <c r="H54" i="7"/>
  <c r="H54" i="12" s="1"/>
  <c r="K54" i="7"/>
  <c r="J54" i="12" s="1"/>
  <c r="D155" i="7"/>
  <c r="H110" i="3"/>
  <c r="P119" i="5"/>
  <c r="B54" i="7"/>
  <c r="F158" i="7"/>
  <c r="C54" i="7"/>
  <c r="K158" i="7"/>
  <c r="P134" i="5"/>
  <c r="K64" i="3"/>
  <c r="D183" i="7"/>
  <c r="S35" i="12"/>
  <c r="L13" i="12"/>
  <c r="D158" i="7"/>
  <c r="G158" i="7"/>
  <c r="E117" i="3"/>
  <c r="H92" i="3"/>
  <c r="Q66" i="12"/>
  <c r="I158" i="7"/>
  <c r="J80" i="12"/>
  <c r="C158" i="7"/>
  <c r="J32" i="2"/>
  <c r="K32" i="2" s="1"/>
  <c r="M33" i="5"/>
  <c r="M49" i="5"/>
  <c r="N158" i="7"/>
  <c r="H39" i="3"/>
  <c r="O80" i="7"/>
  <c r="F183" i="7"/>
  <c r="P87" i="5"/>
  <c r="L80" i="7"/>
  <c r="K80" i="12" s="1"/>
  <c r="H20" i="3"/>
  <c r="O146" i="7"/>
  <c r="E146" i="7"/>
  <c r="H59" i="3"/>
  <c r="E57" i="3"/>
  <c r="N54" i="7"/>
  <c r="F68" i="7"/>
  <c r="J54" i="7"/>
  <c r="K72" i="12"/>
  <c r="N184" i="2"/>
  <c r="O184" i="2" s="1"/>
  <c r="N50" i="2"/>
  <c r="O50" i="2" s="1"/>
  <c r="H24" i="3"/>
  <c r="F155" i="7"/>
  <c r="P22" i="5"/>
  <c r="Q169" i="12"/>
  <c r="I53" i="7"/>
  <c r="I53" i="12" s="1"/>
  <c r="B33" i="7"/>
  <c r="H98" i="7"/>
  <c r="H98" i="12" s="1"/>
  <c r="N69" i="7"/>
  <c r="K95" i="12"/>
  <c r="F25" i="7"/>
  <c r="L35" i="7"/>
  <c r="M90" i="7"/>
  <c r="H160" i="7"/>
  <c r="H160" i="12" s="1"/>
  <c r="M88" i="5"/>
  <c r="E29" i="5"/>
  <c r="F29" i="5" s="1"/>
  <c r="G29" i="5" s="1"/>
  <c r="N33" i="2"/>
  <c r="O33" i="2" s="1"/>
  <c r="N94" i="2"/>
  <c r="O94" i="2" s="1"/>
  <c r="I98" i="7"/>
  <c r="I98" i="12" s="1"/>
  <c r="E80" i="7"/>
  <c r="G117" i="7"/>
  <c r="M164" i="7"/>
  <c r="O13" i="7"/>
  <c r="N68" i="7"/>
  <c r="L183" i="7"/>
  <c r="I13" i="7"/>
  <c r="I13" i="12" s="1"/>
  <c r="K91" i="7"/>
  <c r="G96" i="14"/>
  <c r="N62" i="12"/>
  <c r="Q27" i="12"/>
  <c r="K98" i="7"/>
  <c r="J98" i="12" s="1"/>
  <c r="I35" i="7"/>
  <c r="I35" i="12" s="1"/>
  <c r="J53" i="7"/>
  <c r="D35" i="7"/>
  <c r="E90" i="3"/>
  <c r="K122" i="3"/>
  <c r="K156" i="3"/>
  <c r="L25" i="7"/>
  <c r="K25" i="12" s="1"/>
  <c r="K20" i="3"/>
  <c r="K88" i="7"/>
  <c r="F134" i="7"/>
  <c r="M158" i="7"/>
  <c r="O155" i="7"/>
  <c r="B183" i="7"/>
  <c r="I96" i="7"/>
  <c r="I96" i="12" s="1"/>
  <c r="O88" i="7"/>
  <c r="H134" i="7"/>
  <c r="H134" i="12" s="1"/>
  <c r="G35" i="7"/>
  <c r="E28" i="3"/>
  <c r="D33" i="7"/>
  <c r="L104" i="12"/>
  <c r="R24" i="12"/>
  <c r="N156" i="12"/>
  <c r="L135" i="12"/>
  <c r="I90" i="7"/>
  <c r="I90" i="12" s="1"/>
  <c r="C98" i="7"/>
  <c r="H13" i="7"/>
  <c r="H13" i="12" s="1"/>
  <c r="O127" i="7"/>
  <c r="J160" i="7"/>
  <c r="B53" i="7"/>
  <c r="D170" i="7"/>
  <c r="G46" i="2"/>
  <c r="N134" i="2"/>
  <c r="O134" i="2" s="1"/>
  <c r="G69" i="7"/>
  <c r="M91" i="7"/>
  <c r="J88" i="7"/>
  <c r="M134" i="7"/>
  <c r="G155" i="7"/>
  <c r="J183" i="7"/>
  <c r="P111" i="5"/>
  <c r="O35" i="7"/>
  <c r="L158" i="7"/>
  <c r="B155" i="7"/>
  <c r="O33" i="7"/>
  <c r="H183" i="7"/>
  <c r="R46" i="12"/>
  <c r="R156" i="12"/>
  <c r="M168" i="12"/>
  <c r="N90" i="7"/>
  <c r="D13" i="7"/>
  <c r="N160" i="7"/>
  <c r="J47" i="5"/>
  <c r="E73" i="3"/>
  <c r="K145" i="3"/>
  <c r="K35" i="7"/>
  <c r="E88" i="7"/>
  <c r="M155" i="7"/>
  <c r="N183" i="7"/>
  <c r="F35" i="7"/>
  <c r="J134" i="7"/>
  <c r="E158" i="7"/>
  <c r="B52" i="7"/>
  <c r="L134" i="7"/>
  <c r="K134" i="12" s="1"/>
  <c r="N104" i="2"/>
  <c r="O104" i="2" s="1"/>
  <c r="N13" i="7"/>
  <c r="O134" i="7"/>
  <c r="H77" i="3"/>
  <c r="F46" i="2"/>
  <c r="J180" i="2"/>
  <c r="K180" i="2" s="1"/>
  <c r="M13" i="7"/>
  <c r="M51" i="7"/>
  <c r="D24" i="7"/>
  <c r="E73" i="7"/>
  <c r="N88" i="7"/>
  <c r="C183" i="7"/>
  <c r="E155" i="3"/>
  <c r="E35" i="7"/>
  <c r="K155" i="7"/>
  <c r="D61" i="7"/>
  <c r="R26" i="12"/>
  <c r="J13" i="7"/>
  <c r="H51" i="7"/>
  <c r="K50" i="3"/>
  <c r="K78" i="3"/>
  <c r="N145" i="2"/>
  <c r="O145" i="2" s="1"/>
  <c r="J51" i="7"/>
  <c r="K24" i="7"/>
  <c r="J24" i="12" s="1"/>
  <c r="F91" i="7"/>
  <c r="N96" i="7"/>
  <c r="G88" i="7"/>
  <c r="I88" i="7"/>
  <c r="I88" i="12" s="1"/>
  <c r="F88" i="7"/>
  <c r="G183" i="7"/>
  <c r="J52" i="7"/>
  <c r="M25" i="7"/>
  <c r="J158" i="7"/>
  <c r="C73" i="7"/>
  <c r="B158" i="7"/>
  <c r="G162" i="14"/>
  <c r="G26" i="14"/>
  <c r="M146" i="12"/>
  <c r="F13" i="7"/>
  <c r="D25" i="7"/>
  <c r="G134" i="7"/>
  <c r="O90" i="7"/>
  <c r="H53" i="7"/>
  <c r="M127" i="7"/>
  <c r="H182" i="12"/>
  <c r="J150" i="5"/>
  <c r="H57" i="3"/>
  <c r="F6" i="3"/>
  <c r="N30" i="2"/>
  <c r="O30" i="2" s="1"/>
  <c r="G53" i="7"/>
  <c r="J96" i="7"/>
  <c r="C88" i="7"/>
  <c r="C155" i="7"/>
  <c r="K183" i="7"/>
  <c r="J183" i="12" s="1"/>
  <c r="N52" i="7"/>
  <c r="K187" i="3"/>
  <c r="P34" i="5"/>
  <c r="O61" i="7"/>
  <c r="P65" i="5"/>
  <c r="L19" i="12"/>
  <c r="F160" i="7"/>
  <c r="K134" i="7"/>
  <c r="J134" i="12" s="1"/>
  <c r="S83" i="12"/>
  <c r="B13" i="7"/>
  <c r="I25" i="7"/>
  <c r="I25" i="12" s="1"/>
  <c r="I51" i="7"/>
  <c r="E90" i="7"/>
  <c r="C134" i="7"/>
  <c r="K90" i="7"/>
  <c r="J90" i="12" s="1"/>
  <c r="M53" i="7"/>
  <c r="E98" i="7"/>
  <c r="K158" i="3"/>
  <c r="L6" i="3"/>
  <c r="C53" i="7"/>
  <c r="E96" i="7"/>
  <c r="F96" i="7"/>
  <c r="L88" i="7"/>
  <c r="D134" i="7"/>
  <c r="I155" i="7"/>
  <c r="O183" i="7"/>
  <c r="K147" i="3"/>
  <c r="M35" i="7"/>
  <c r="H25" i="7"/>
  <c r="H25" i="12" s="1"/>
  <c r="I91" i="7"/>
  <c r="I91" i="12" s="1"/>
  <c r="B90" i="7"/>
  <c r="N190" i="2"/>
  <c r="O190" i="2" s="1"/>
  <c r="R47" i="12"/>
  <c r="O103" i="12"/>
  <c r="L101" i="12"/>
  <c r="I117" i="7"/>
  <c r="O25" i="7"/>
  <c r="E53" i="7"/>
  <c r="J90" i="7"/>
  <c r="G90" i="7"/>
  <c r="N25" i="7"/>
  <c r="J98" i="7"/>
  <c r="J157" i="5"/>
  <c r="K95" i="3"/>
  <c r="I6" i="3"/>
  <c r="N113" i="2"/>
  <c r="O113" i="2" s="1"/>
  <c r="K96" i="7"/>
  <c r="J96" i="12" s="1"/>
  <c r="B96" i="7"/>
  <c r="H88" i="7"/>
  <c r="H88" i="12" s="1"/>
  <c r="M88" i="7"/>
  <c r="I134" i="7"/>
  <c r="I134" i="12" s="1"/>
  <c r="N155" i="7"/>
  <c r="G25" i="7"/>
  <c r="M183" i="7"/>
  <c r="F52" i="2"/>
  <c r="P146" i="12"/>
  <c r="P172" i="12"/>
  <c r="R154" i="12"/>
  <c r="P124" i="12"/>
  <c r="N154" i="12"/>
  <c r="P30" i="12"/>
  <c r="S69" i="12"/>
  <c r="P159" i="5"/>
  <c r="O172" i="12"/>
  <c r="B249" i="2"/>
  <c r="L10" i="7"/>
  <c r="K10" i="12" s="1"/>
  <c r="L32" i="12"/>
  <c r="S137" i="12"/>
  <c r="L110" i="12"/>
  <c r="O104" i="12"/>
  <c r="P102" i="12"/>
  <c r="S116" i="12"/>
  <c r="L98" i="12"/>
  <c r="N137" i="12"/>
  <c r="S155" i="12"/>
  <c r="H48" i="3"/>
  <c r="L109" i="12"/>
  <c r="O107" i="12"/>
  <c r="S150" i="12"/>
  <c r="Q124" i="12"/>
  <c r="S162" i="12"/>
  <c r="R145" i="12"/>
  <c r="L108" i="5"/>
  <c r="M108" i="5" s="1"/>
  <c r="O105" i="12"/>
  <c r="R100" i="12"/>
  <c r="L107" i="12"/>
  <c r="O153" i="12"/>
  <c r="P157" i="12"/>
  <c r="P123" i="12"/>
  <c r="L100" i="5"/>
  <c r="M100" i="5" s="1"/>
  <c r="R131" i="12"/>
  <c r="O121" i="12"/>
  <c r="R148" i="12"/>
  <c r="M173" i="12"/>
  <c r="O151" i="12"/>
  <c r="N160" i="12"/>
  <c r="E117" i="5"/>
  <c r="F117" i="5" s="1"/>
  <c r="G117" i="5" s="1"/>
  <c r="O135" i="12"/>
  <c r="M122" i="12"/>
  <c r="Q112" i="12"/>
  <c r="O109" i="12"/>
  <c r="L121" i="12"/>
  <c r="S124" i="12"/>
  <c r="L124" i="5"/>
  <c r="M124" i="5" s="1"/>
  <c r="L146" i="5"/>
  <c r="M146" i="5" s="1"/>
  <c r="R170" i="12"/>
  <c r="E128" i="5"/>
  <c r="F128" i="5" s="1"/>
  <c r="G128" i="5" s="1"/>
  <c r="O117" i="12"/>
  <c r="L116" i="5"/>
  <c r="M116" i="5" s="1"/>
  <c r="Q128" i="12"/>
  <c r="O157" i="12"/>
  <c r="R115" i="12"/>
  <c r="N152" i="12"/>
  <c r="E139" i="5"/>
  <c r="F139" i="5" s="1"/>
  <c r="G139" i="5" s="1"/>
  <c r="E115" i="5"/>
  <c r="F115" i="5" s="1"/>
  <c r="G115" i="5" s="1"/>
  <c r="O137" i="12"/>
  <c r="N126" i="12"/>
  <c r="P141" i="12"/>
  <c r="M153" i="12"/>
  <c r="M143" i="12"/>
  <c r="M157" i="12"/>
  <c r="S110" i="12"/>
  <c r="Q152" i="12"/>
  <c r="P125" i="12"/>
  <c r="Q109" i="12"/>
  <c r="N169" i="12"/>
  <c r="N128" i="12"/>
  <c r="S104" i="12"/>
  <c r="R119" i="12"/>
  <c r="Q140" i="12"/>
  <c r="L150" i="5"/>
  <c r="M150" i="5" s="1"/>
  <c r="Q113" i="12"/>
  <c r="L113" i="5"/>
  <c r="M113" i="5" s="1"/>
  <c r="P145" i="12"/>
  <c r="L145" i="5"/>
  <c r="M145" i="5" s="1"/>
  <c r="N120" i="12"/>
  <c r="P139" i="12"/>
  <c r="R165" i="12"/>
  <c r="Q117" i="12"/>
  <c r="S114" i="12"/>
  <c r="L151" i="12"/>
  <c r="E119" i="5"/>
  <c r="F119" i="5" s="1"/>
  <c r="G119" i="5" s="1"/>
  <c r="S123" i="12"/>
  <c r="P155" i="12"/>
  <c r="L128" i="5"/>
  <c r="M128" i="5" s="1"/>
  <c r="L137" i="12"/>
  <c r="S140" i="12"/>
  <c r="L140" i="5"/>
  <c r="M140" i="5" s="1"/>
  <c r="S158" i="12"/>
  <c r="L129" i="5"/>
  <c r="M129" i="5" s="1"/>
  <c r="E124" i="5"/>
  <c r="F124" i="5" s="1"/>
  <c r="G124" i="5" s="1"/>
  <c r="Q123" i="12"/>
  <c r="N157" i="12"/>
  <c r="P153" i="12"/>
  <c r="Q104" i="12"/>
  <c r="O139" i="12"/>
  <c r="O116" i="12"/>
  <c r="O125" i="12"/>
  <c r="R149" i="12"/>
  <c r="L157" i="5"/>
  <c r="M157" i="5" s="1"/>
  <c r="M149" i="12"/>
  <c r="O163" i="12"/>
  <c r="Q135" i="12"/>
  <c r="N108" i="12"/>
  <c r="P128" i="12"/>
  <c r="O120" i="12"/>
  <c r="C11" i="28"/>
  <c r="B8" i="28"/>
  <c r="E248" i="2"/>
  <c r="K10" i="3"/>
  <c r="N182" i="12"/>
  <c r="M177" i="12"/>
  <c r="N174" i="12"/>
  <c r="N178" i="12"/>
  <c r="N185" i="12"/>
  <c r="N177" i="12"/>
  <c r="E29" i="3"/>
  <c r="N96" i="2"/>
  <c r="O96" i="2" s="1"/>
  <c r="G163" i="2"/>
  <c r="L146" i="7"/>
  <c r="K146" i="12" s="1"/>
  <c r="F193" i="2"/>
  <c r="P165" i="5"/>
  <c r="P13" i="5"/>
  <c r="P37" i="5"/>
  <c r="P73" i="5"/>
  <c r="P71" i="12"/>
  <c r="S89" i="12"/>
  <c r="M97" i="5"/>
  <c r="S115" i="12"/>
  <c r="O132" i="12"/>
  <c r="L51" i="12"/>
  <c r="M20" i="12"/>
  <c r="L15" i="7"/>
  <c r="K15" i="12" s="1"/>
  <c r="D117" i="7"/>
  <c r="C51" i="7"/>
  <c r="D91" i="7"/>
  <c r="J127" i="7"/>
  <c r="E15" i="7"/>
  <c r="L127" i="7"/>
  <c r="K127" i="12" s="1"/>
  <c r="D51" i="7"/>
  <c r="C62" i="7"/>
  <c r="B188" i="7"/>
  <c r="H170" i="7"/>
  <c r="J49" i="2"/>
  <c r="K49" i="2" s="1"/>
  <c r="F89" i="2"/>
  <c r="N105" i="2"/>
  <c r="O105" i="2" s="1"/>
  <c r="P108" i="5"/>
  <c r="I15" i="7"/>
  <c r="I15" i="12" s="1"/>
  <c r="O8" i="7"/>
  <c r="F51" i="7"/>
  <c r="D16" i="7"/>
  <c r="O24" i="7"/>
  <c r="N91" i="7"/>
  <c r="E60" i="7"/>
  <c r="C84" i="7"/>
  <c r="I118" i="7"/>
  <c r="I118" i="12" s="1"/>
  <c r="I170" i="7"/>
  <c r="P36" i="5"/>
  <c r="M16" i="7"/>
  <c r="E52" i="7"/>
  <c r="M38" i="7"/>
  <c r="F38" i="7"/>
  <c r="H65" i="7"/>
  <c r="H65" i="12" s="1"/>
  <c r="C65" i="7"/>
  <c r="I33" i="7"/>
  <c r="I33" i="12" s="1"/>
  <c r="C8" i="7"/>
  <c r="N181" i="7"/>
  <c r="J69" i="7"/>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R123" i="12"/>
  <c r="S128" i="12"/>
  <c r="P159" i="12"/>
  <c r="K117" i="7"/>
  <c r="J117" i="12" s="1"/>
  <c r="F69" i="7"/>
  <c r="J86" i="5"/>
  <c r="K13" i="3"/>
  <c r="H74" i="3"/>
  <c r="K170" i="7"/>
  <c r="G61" i="2"/>
  <c r="C24" i="7"/>
  <c r="J43" i="7"/>
  <c r="B91" i="7"/>
  <c r="G187" i="2"/>
  <c r="G123" i="14"/>
  <c r="E38" i="7"/>
  <c r="D52" i="7"/>
  <c r="I60" i="7"/>
  <c r="I60" i="12" s="1"/>
  <c r="F62" i="7"/>
  <c r="J118" i="7"/>
  <c r="L52" i="7"/>
  <c r="K52" i="12" s="1"/>
  <c r="H86" i="7"/>
  <c r="H86" i="12" s="1"/>
  <c r="J169" i="7"/>
  <c r="G33" i="7"/>
  <c r="F127" i="7"/>
  <c r="E117" i="7"/>
  <c r="S34" i="12"/>
  <c r="S152" i="12"/>
  <c r="O118" i="7"/>
  <c r="B69" i="7"/>
  <c r="H181" i="12"/>
  <c r="K78" i="7"/>
  <c r="J78" i="12" s="1"/>
  <c r="H31" i="3"/>
  <c r="E74" i="3"/>
  <c r="G170" i="7"/>
  <c r="E25" i="3"/>
  <c r="F121" i="2"/>
  <c r="G167" i="14"/>
  <c r="P66" i="5"/>
  <c r="G52" i="7"/>
  <c r="K11" i="7"/>
  <c r="J11" i="12" s="1"/>
  <c r="N60" i="7"/>
  <c r="K60" i="7"/>
  <c r="J60" i="12" s="1"/>
  <c r="N123" i="7"/>
  <c r="K129" i="3"/>
  <c r="N38" i="7"/>
  <c r="C52" i="7"/>
  <c r="C60" i="7"/>
  <c r="E62" i="7"/>
  <c r="E86" i="7"/>
  <c r="F167" i="7"/>
  <c r="I188" i="7"/>
  <c r="I188" i="12" s="1"/>
  <c r="N136" i="2"/>
  <c r="O136" i="2" s="1"/>
  <c r="F86" i="7"/>
  <c r="M170" i="7"/>
  <c r="M52" i="7"/>
  <c r="K127" i="7"/>
  <c r="J127" i="12" s="1"/>
  <c r="E33" i="7"/>
  <c r="L33" i="7"/>
  <c r="K33" i="12" s="1"/>
  <c r="Q97" i="12"/>
  <c r="R69" i="12"/>
  <c r="R128" i="12"/>
  <c r="R152" i="12"/>
  <c r="R25" i="12"/>
  <c r="K15" i="7"/>
  <c r="J15" i="12" s="1"/>
  <c r="O38" i="7"/>
  <c r="K118" i="7"/>
  <c r="J118" i="12" s="1"/>
  <c r="H117" i="7"/>
  <c r="H117" i="12" s="1"/>
  <c r="G188" i="7"/>
  <c r="C170" i="7"/>
  <c r="E27" i="3"/>
  <c r="K164" i="3"/>
  <c r="N85" i="2"/>
  <c r="O85" i="2" s="1"/>
  <c r="F106" i="2"/>
  <c r="P84" i="5"/>
  <c r="K52" i="7"/>
  <c r="J52" i="12" s="1"/>
  <c r="C11" i="7"/>
  <c r="G60" i="7"/>
  <c r="N24" i="7"/>
  <c r="J60" i="7"/>
  <c r="D129" i="7"/>
  <c r="K56" i="3"/>
  <c r="E170" i="3"/>
  <c r="I38" i="7"/>
  <c r="I38" i="12" s="1"/>
  <c r="L65" i="7"/>
  <c r="K65" i="12" s="1"/>
  <c r="O164" i="7"/>
  <c r="H38" i="7"/>
  <c r="H38" i="12" s="1"/>
  <c r="J86" i="7"/>
  <c r="I169" i="7"/>
  <c r="I169" i="12" s="1"/>
  <c r="C188" i="7"/>
  <c r="J68" i="2"/>
  <c r="K68" i="2" s="1"/>
  <c r="J177" i="2"/>
  <c r="K177" i="2" s="1"/>
  <c r="K65" i="7"/>
  <c r="J65" i="12" s="1"/>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K188" i="12" s="1"/>
  <c r="L178" i="7"/>
  <c r="N102" i="2"/>
  <c r="O102" i="2" s="1"/>
  <c r="O52" i="7"/>
  <c r="O11" i="7"/>
  <c r="O60" i="7"/>
  <c r="J24" i="7"/>
  <c r="F60" i="7"/>
  <c r="I24" i="7"/>
  <c r="I24" i="12" s="1"/>
  <c r="I129" i="7"/>
  <c r="P99" i="5"/>
  <c r="D38" i="7"/>
  <c r="E65" i="7"/>
  <c r="L181" i="7"/>
  <c r="K181" i="12" s="1"/>
  <c r="N175" i="2"/>
  <c r="O175" i="2" s="1"/>
  <c r="B86" i="7"/>
  <c r="M181" i="7"/>
  <c r="E178" i="3"/>
  <c r="M65" i="7"/>
  <c r="D15" i="7"/>
  <c r="R98" i="12"/>
  <c r="I127" i="7"/>
  <c r="G38" i="7"/>
  <c r="I62" i="7"/>
  <c r="I62" i="12" s="1"/>
  <c r="E69" i="7"/>
  <c r="C118" i="7"/>
  <c r="J63" i="12"/>
  <c r="N117" i="7"/>
  <c r="M69" i="7"/>
  <c r="K77" i="3"/>
  <c r="H188" i="7"/>
  <c r="H188" i="12" s="1"/>
  <c r="N170" i="7"/>
  <c r="K188" i="7"/>
  <c r="J188" i="12" s="1"/>
  <c r="F61" i="2"/>
  <c r="N169" i="2"/>
  <c r="O169" i="2" s="1"/>
  <c r="G157" i="14"/>
  <c r="F24" i="7"/>
  <c r="E181" i="7"/>
  <c r="M8" i="7"/>
  <c r="D65" i="7"/>
  <c r="E129" i="7"/>
  <c r="O51" i="7"/>
  <c r="D181" i="7"/>
  <c r="H33" i="7"/>
  <c r="H33" i="12" s="1"/>
  <c r="D86" i="7"/>
  <c r="O117" i="7"/>
  <c r="D127" i="7"/>
  <c r="R126" i="12"/>
  <c r="R106" i="12"/>
  <c r="N15" i="7"/>
  <c r="D69" i="7"/>
  <c r="N127" i="7"/>
  <c r="N33" i="7"/>
  <c r="C38" i="7"/>
  <c r="N62" i="7"/>
  <c r="K69" i="7"/>
  <c r="J69" i="12" s="1"/>
  <c r="G181" i="7"/>
  <c r="J117" i="7"/>
  <c r="G15" i="7"/>
  <c r="H95" i="3"/>
  <c r="D188" i="7"/>
  <c r="J170" i="7"/>
  <c r="E161" i="3"/>
  <c r="J113" i="2"/>
  <c r="K113" i="2" s="1"/>
  <c r="N176" i="2"/>
  <c r="O176" i="2" s="1"/>
  <c r="J75" i="2"/>
  <c r="K75" i="2" s="1"/>
  <c r="J123" i="2"/>
  <c r="K123" i="2" s="1"/>
  <c r="N130" i="2"/>
  <c r="O130" i="2" s="1"/>
  <c r="E249" i="2"/>
  <c r="O65" i="7"/>
  <c r="M11" i="7"/>
  <c r="B24" i="7"/>
  <c r="L60" i="7"/>
  <c r="K60" i="12" s="1"/>
  <c r="J99" i="7"/>
  <c r="J181" i="7"/>
  <c r="P143" i="5"/>
  <c r="I86" i="7"/>
  <c r="E51" i="7"/>
  <c r="H64" i="3"/>
  <c r="K28" i="3"/>
  <c r="I181" i="7"/>
  <c r="I180" i="12" s="1"/>
  <c r="M33" i="7"/>
  <c r="K129" i="7"/>
  <c r="J129" i="12" s="1"/>
  <c r="E91" i="7"/>
  <c r="K33" i="7"/>
  <c r="J91" i="7"/>
  <c r="P152" i="12"/>
  <c r="N51" i="7"/>
  <c r="Q103" i="12"/>
  <c r="J15" i="7"/>
  <c r="I69" i="7"/>
  <c r="I69" i="12" s="1"/>
  <c r="J33" i="7"/>
  <c r="M55" i="7"/>
  <c r="K181" i="7"/>
  <c r="J181" i="12" s="1"/>
  <c r="F117" i="7"/>
  <c r="O15" i="7"/>
  <c r="O62" i="7"/>
  <c r="H172" i="12"/>
  <c r="J152" i="5"/>
  <c r="K162" i="3"/>
  <c r="N188" i="7"/>
  <c r="F170" i="7"/>
  <c r="H30" i="3"/>
  <c r="N45" i="2"/>
  <c r="O45" i="2" s="1"/>
  <c r="N117" i="2"/>
  <c r="O117" i="2" s="1"/>
  <c r="E11" i="7"/>
  <c r="L24" i="7"/>
  <c r="K24" i="12" s="1"/>
  <c r="H60" i="7"/>
  <c r="H60" i="12" s="1"/>
  <c r="K51" i="7"/>
  <c r="J51" i="12" s="1"/>
  <c r="B99" i="7"/>
  <c r="N86" i="7"/>
  <c r="G51" i="7"/>
  <c r="B181" i="7"/>
  <c r="L38" i="7"/>
  <c r="G31" i="14"/>
  <c r="O91" i="7"/>
  <c r="K69" i="12"/>
  <c r="M56" i="12"/>
  <c r="L55" i="12"/>
  <c r="F15" i="7"/>
  <c r="O69" i="7"/>
  <c r="F33" i="7"/>
  <c r="L91" i="7"/>
  <c r="K91" i="12" s="1"/>
  <c r="L123" i="7"/>
  <c r="O181" i="7"/>
  <c r="B117" i="7"/>
  <c r="J89" i="7"/>
  <c r="G127" i="7"/>
  <c r="K172" i="12"/>
  <c r="K182" i="12"/>
  <c r="M84" i="5"/>
  <c r="E53" i="3"/>
  <c r="J188" i="7"/>
  <c r="N161" i="2"/>
  <c r="O161" i="2" s="1"/>
  <c r="D11" i="7"/>
  <c r="H24" i="7"/>
  <c r="H24" i="12" s="1"/>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H96" i="12" s="1"/>
  <c r="M96" i="7"/>
  <c r="E183" i="3"/>
  <c r="O96" i="7"/>
  <c r="J95" i="12"/>
  <c r="R125" i="12"/>
  <c r="H68" i="3"/>
  <c r="G122" i="2"/>
  <c r="H100" i="7"/>
  <c r="H100" i="12" s="1"/>
  <c r="F98" i="7"/>
  <c r="E132" i="7"/>
  <c r="B136" i="7"/>
  <c r="K132" i="7"/>
  <c r="L144" i="7"/>
  <c r="K144" i="12" s="1"/>
  <c r="E13" i="7"/>
  <c r="N136" i="7"/>
  <c r="N92" i="2"/>
  <c r="O92" i="2" s="1"/>
  <c r="J100" i="7"/>
  <c r="M188" i="7"/>
  <c r="P69" i="5"/>
  <c r="L96" i="7"/>
  <c r="K96" i="12" s="1"/>
  <c r="K100" i="7"/>
  <c r="D100" i="7"/>
  <c r="K171" i="3"/>
  <c r="L90" i="7"/>
  <c r="G100" i="7"/>
  <c r="M100" i="7"/>
  <c r="P131" i="5"/>
  <c r="L100" i="7"/>
  <c r="J35" i="7"/>
  <c r="C107" i="7"/>
  <c r="D132" i="7"/>
  <c r="J136" i="7"/>
  <c r="L121" i="7"/>
  <c r="I136" i="7"/>
  <c r="I136" i="12" s="1"/>
  <c r="P42" i="5"/>
  <c r="O100" i="7"/>
  <c r="D96" i="7"/>
  <c r="C100" i="7"/>
  <c r="L113" i="7"/>
  <c r="K113" i="12" s="1"/>
  <c r="N100" i="7"/>
  <c r="C25" i="7"/>
  <c r="N24" i="12"/>
  <c r="S28" i="12"/>
  <c r="N110" i="12"/>
  <c r="P63" i="12"/>
  <c r="Q157" i="12"/>
  <c r="M128" i="12"/>
  <c r="L43" i="7"/>
  <c r="H123" i="7"/>
  <c r="H123" i="12" s="1"/>
  <c r="G78" i="7"/>
  <c r="F89" i="7"/>
  <c r="H178" i="7"/>
  <c r="G137" i="2"/>
  <c r="F134" i="2"/>
  <c r="O16" i="7"/>
  <c r="E43" i="7"/>
  <c r="K55" i="7"/>
  <c r="E16" i="7"/>
  <c r="C121" i="7"/>
  <c r="C89" i="7"/>
  <c r="E89" i="7"/>
  <c r="F123" i="7"/>
  <c r="M77" i="5"/>
  <c r="H43" i="7"/>
  <c r="G87" i="7"/>
  <c r="D123" i="7"/>
  <c r="C78" i="7"/>
  <c r="B89" i="7"/>
  <c r="N121" i="7"/>
  <c r="D178" i="7"/>
  <c r="K16" i="7"/>
  <c r="J16" i="12" s="1"/>
  <c r="M43" i="7"/>
  <c r="F78" i="7"/>
  <c r="H121" i="7"/>
  <c r="H121" i="12" s="1"/>
  <c r="K87" i="7"/>
  <c r="J87" i="12" s="1"/>
  <c r="M178" i="7"/>
  <c r="M121" i="7"/>
  <c r="L89" i="7"/>
  <c r="K89" i="12" s="1"/>
  <c r="O123" i="7"/>
  <c r="S131" i="12"/>
  <c r="Q93" i="12"/>
  <c r="N122" i="12"/>
  <c r="D43" i="7"/>
  <c r="M87" i="7"/>
  <c r="I126" i="7"/>
  <c r="N133" i="7"/>
  <c r="J121" i="7"/>
  <c r="O178" i="7"/>
  <c r="E133" i="3"/>
  <c r="K148" i="3"/>
  <c r="J122" i="2"/>
  <c r="K122" i="2" s="1"/>
  <c r="G16" i="7"/>
  <c r="G43" i="7"/>
  <c r="M78" i="7"/>
  <c r="G123" i="7"/>
  <c r="I87" i="7"/>
  <c r="I87" i="12" s="1"/>
  <c r="I178" i="7"/>
  <c r="I178" i="12" s="1"/>
  <c r="I43" i="7"/>
  <c r="E123" i="7"/>
  <c r="P97" i="5"/>
  <c r="N66" i="2"/>
  <c r="O66" i="2" s="1"/>
  <c r="C16" i="7"/>
  <c r="B43" i="7"/>
  <c r="B78" i="7"/>
  <c r="M123" i="7"/>
  <c r="N87" i="7"/>
  <c r="E178" i="7"/>
  <c r="F43" i="7"/>
  <c r="M89" i="7"/>
  <c r="B123" i="7"/>
  <c r="H89" i="7"/>
  <c r="H89" i="12" s="1"/>
  <c r="G66" i="14"/>
  <c r="R28" i="12"/>
  <c r="L56" i="12"/>
  <c r="L123" i="12"/>
  <c r="H55" i="7"/>
  <c r="H55" i="12" s="1"/>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K126" i="12" s="1"/>
  <c r="R20" i="12"/>
  <c r="O9" i="12"/>
  <c r="O133" i="7"/>
  <c r="D78" i="7"/>
  <c r="E55" i="7"/>
  <c r="N186" i="7"/>
  <c r="F21" i="2"/>
  <c r="J25" i="2"/>
  <c r="K25" i="2" s="1"/>
  <c r="N160" i="2"/>
  <c r="O160" i="2" s="1"/>
  <c r="J16" i="7"/>
  <c r="I16" i="7"/>
  <c r="I16" i="12" s="1"/>
  <c r="E78" i="7"/>
  <c r="G191" i="2"/>
  <c r="G133" i="7"/>
  <c r="K123" i="7"/>
  <c r="J123" i="12" s="1"/>
  <c r="L55" i="7"/>
  <c r="N20" i="12"/>
  <c r="P168" i="12"/>
  <c r="Q143" i="12"/>
  <c r="I78" i="7"/>
  <c r="I78" i="12" s="1"/>
  <c r="E133" i="7"/>
  <c r="J55" i="7"/>
  <c r="E87" i="7"/>
  <c r="J128" i="5"/>
  <c r="N178" i="7"/>
  <c r="F16" i="7"/>
  <c r="N55" i="7"/>
  <c r="N170" i="12"/>
  <c r="L168" i="12"/>
  <c r="Q107" i="12"/>
  <c r="N78" i="7"/>
  <c r="D121" i="7"/>
  <c r="K133" i="7"/>
  <c r="J133" i="12" s="1"/>
  <c r="O55" i="7"/>
  <c r="J87" i="7"/>
  <c r="H133" i="7"/>
  <c r="H133" i="12" s="1"/>
  <c r="J140" i="5"/>
  <c r="J178" i="7"/>
  <c r="F81" i="2"/>
  <c r="B16" i="7"/>
  <c r="C55" i="7"/>
  <c r="K121" i="7"/>
  <c r="J121" i="12" s="1"/>
  <c r="S113" i="12"/>
  <c r="R124" i="12"/>
  <c r="L87" i="7"/>
  <c r="K87" i="12" s="1"/>
  <c r="I121" i="7"/>
  <c r="O87" i="7"/>
  <c r="M133" i="7"/>
  <c r="F178" i="7"/>
  <c r="J174" i="2"/>
  <c r="K174" i="2" s="1"/>
  <c r="L16" i="7"/>
  <c r="K16" i="12" s="1"/>
  <c r="I55" i="7"/>
  <c r="C123" i="7"/>
  <c r="L133" i="7"/>
  <c r="K133" i="12" s="1"/>
  <c r="M186" i="7"/>
  <c r="N124" i="12"/>
  <c r="H87" i="7"/>
  <c r="H87" i="12" s="1"/>
  <c r="G55" i="7"/>
  <c r="O121" i="7"/>
  <c r="O78" i="7"/>
  <c r="N89" i="7"/>
  <c r="G81" i="2"/>
  <c r="F137" i="2"/>
  <c r="G134" i="2"/>
  <c r="B55" i="7"/>
  <c r="O43" i="7"/>
  <c r="N43" i="7"/>
  <c r="I123" i="7"/>
  <c r="G21" i="7"/>
  <c r="S11" i="12"/>
  <c r="O168" i="12"/>
  <c r="N90" i="12"/>
  <c r="M134" i="12"/>
  <c r="L116" i="12"/>
  <c r="E97" i="5"/>
  <c r="F97" i="5" s="1"/>
  <c r="G97" i="5" s="1"/>
  <c r="N98" i="7"/>
  <c r="M49" i="7"/>
  <c r="D163" i="7"/>
  <c r="H97" i="7"/>
  <c r="H97" i="12" s="1"/>
  <c r="J180" i="12"/>
  <c r="L97" i="7"/>
  <c r="K97" i="12" s="1"/>
  <c r="N106" i="12"/>
  <c r="H121" i="3"/>
  <c r="H49" i="7"/>
  <c r="G49" i="7"/>
  <c r="O163" i="7"/>
  <c r="O175" i="7"/>
  <c r="P81" i="5"/>
  <c r="G116" i="7"/>
  <c r="P107" i="12"/>
  <c r="L111" i="12"/>
  <c r="O97" i="7"/>
  <c r="C49" i="7"/>
  <c r="K163" i="7"/>
  <c r="J163" i="12" s="1"/>
  <c r="E182" i="7"/>
  <c r="L109" i="7"/>
  <c r="J175" i="7"/>
  <c r="F111" i="7"/>
  <c r="P80" i="5"/>
  <c r="G37" i="7"/>
  <c r="I97" i="7"/>
  <c r="I97" i="12" s="1"/>
  <c r="D177" i="7"/>
  <c r="G163" i="7"/>
  <c r="I182" i="7"/>
  <c r="I182" i="12" s="1"/>
  <c r="E175" i="7"/>
  <c r="K97" i="7"/>
  <c r="J97" i="12" s="1"/>
  <c r="G175" i="7"/>
  <c r="I116" i="7"/>
  <c r="I116" i="12" s="1"/>
  <c r="D175" i="7"/>
  <c r="E116" i="7"/>
  <c r="N116" i="7"/>
  <c r="P154" i="12"/>
  <c r="B177" i="7"/>
  <c r="N177" i="7"/>
  <c r="G100" i="2"/>
  <c r="H116" i="7"/>
  <c r="J140" i="2"/>
  <c r="K140" i="2" s="1"/>
  <c r="I109" i="7"/>
  <c r="I109" i="12" s="1"/>
  <c r="J177" i="7"/>
  <c r="E118" i="7"/>
  <c r="B118" i="7"/>
  <c r="G69" i="2"/>
  <c r="H177" i="7"/>
  <c r="L116" i="7"/>
  <c r="G57" i="7"/>
  <c r="C177" i="7"/>
  <c r="M118" i="7"/>
  <c r="J73" i="2"/>
  <c r="K73" i="2" s="1"/>
  <c r="M177" i="7"/>
  <c r="E151" i="3"/>
  <c r="K49" i="7"/>
  <c r="M57" i="7"/>
  <c r="L37" i="7"/>
  <c r="K37" i="12" s="1"/>
  <c r="F175" i="7"/>
  <c r="F154" i="7"/>
  <c r="F116" i="7"/>
  <c r="M171" i="12"/>
  <c r="L57" i="7"/>
  <c r="K57" i="12" s="1"/>
  <c r="E163" i="7"/>
  <c r="I37" i="7"/>
  <c r="I37" i="12" s="1"/>
  <c r="G109" i="7"/>
  <c r="L118" i="7"/>
  <c r="K118" i="12" s="1"/>
  <c r="M175" i="7"/>
  <c r="F177" i="7"/>
  <c r="S167" i="12"/>
  <c r="J162" i="5"/>
  <c r="N49" i="2"/>
  <c r="O49" i="2" s="1"/>
  <c r="P104" i="5"/>
  <c r="E57" i="7"/>
  <c r="O49" i="7"/>
  <c r="H175" i="7"/>
  <c r="M163" i="7"/>
  <c r="D37" i="7"/>
  <c r="I163" i="7"/>
  <c r="O109" i="7"/>
  <c r="K175" i="7"/>
  <c r="B175" i="7"/>
  <c r="C97" i="7"/>
  <c r="L20" i="12"/>
  <c r="J31" i="5"/>
  <c r="F69" i="2"/>
  <c r="K57" i="7"/>
  <c r="J57" i="12" s="1"/>
  <c r="I49" i="7"/>
  <c r="I49" i="12" s="1"/>
  <c r="L175" i="7"/>
  <c r="F163" i="7"/>
  <c r="L163" i="7"/>
  <c r="K163" i="12" s="1"/>
  <c r="C37" i="7"/>
  <c r="L177" i="7"/>
  <c r="E97" i="7"/>
  <c r="D13" i="28"/>
  <c r="D12" i="28"/>
  <c r="G153" i="2"/>
  <c r="E158" i="3"/>
  <c r="F179" i="2"/>
  <c r="K53" i="3"/>
  <c r="E142" i="3"/>
  <c r="F153" i="2"/>
  <c r="S85" i="12"/>
  <c r="J153" i="2"/>
  <c r="K153" i="2" s="1"/>
  <c r="P155" i="5"/>
  <c r="B10" i="28"/>
  <c r="J171" i="2"/>
  <c r="K171" i="2" s="1"/>
  <c r="D10" i="28"/>
  <c r="E250" i="2"/>
  <c r="D11" i="28"/>
  <c r="I171" i="12"/>
  <c r="P151" i="5"/>
  <c r="G74" i="2"/>
  <c r="N75" i="12"/>
  <c r="M158" i="12"/>
  <c r="J66" i="5"/>
  <c r="K170" i="3"/>
  <c r="K172" i="3"/>
  <c r="B82" i="7"/>
  <c r="C179" i="7"/>
  <c r="B10" i="7"/>
  <c r="N26" i="7"/>
  <c r="E10" i="7"/>
  <c r="J58" i="12"/>
  <c r="L90" i="12"/>
  <c r="S141" i="12"/>
  <c r="O161" i="7"/>
  <c r="K26" i="7"/>
  <c r="J26" i="12" s="1"/>
  <c r="I179" i="12"/>
  <c r="H131" i="7"/>
  <c r="J74" i="2"/>
  <c r="K74" i="2" s="1"/>
  <c r="P68" i="5"/>
  <c r="N70" i="7"/>
  <c r="N179" i="7"/>
  <c r="E131" i="7"/>
  <c r="F161" i="7"/>
  <c r="F131" i="7"/>
  <c r="H10" i="7"/>
  <c r="H10" i="12" s="1"/>
  <c r="H161" i="7"/>
  <c r="H161" i="12" s="1"/>
  <c r="J10" i="7"/>
  <c r="Q149" i="12"/>
  <c r="G26" i="7"/>
  <c r="D131" i="7"/>
  <c r="I70" i="7"/>
  <c r="I70" i="12" s="1"/>
  <c r="E161" i="7"/>
  <c r="J179" i="7"/>
  <c r="H44" i="3"/>
  <c r="K131" i="7"/>
  <c r="J131" i="12" s="1"/>
  <c r="M161" i="7"/>
  <c r="M131" i="7"/>
  <c r="M10" i="7"/>
  <c r="C161" i="7"/>
  <c r="O131" i="7"/>
  <c r="K116" i="7"/>
  <c r="C26" i="7"/>
  <c r="G18" i="2"/>
  <c r="J83" i="2"/>
  <c r="K83" i="2" s="1"/>
  <c r="D70" i="7"/>
  <c r="J161" i="7"/>
  <c r="F179" i="7"/>
  <c r="I26" i="7"/>
  <c r="I26" i="12" s="1"/>
  <c r="J70" i="7"/>
  <c r="E165" i="7"/>
  <c r="L26" i="7"/>
  <c r="K26" i="12" s="1"/>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I131" i="7"/>
  <c r="O165" i="7"/>
  <c r="M16" i="5"/>
  <c r="E82" i="7"/>
  <c r="F73" i="2"/>
  <c r="P92" i="5"/>
  <c r="H165" i="7"/>
  <c r="H165" i="12" s="1"/>
  <c r="D165" i="7"/>
  <c r="H179" i="7"/>
  <c r="H179" i="12" s="1"/>
  <c r="D26" i="7"/>
  <c r="D161" i="7"/>
  <c r="M70" i="7"/>
  <c r="F10" i="7"/>
  <c r="C116" i="7"/>
  <c r="L8" i="12"/>
  <c r="R169" i="12"/>
  <c r="N35" i="12"/>
  <c r="O70" i="7"/>
  <c r="J83" i="12"/>
  <c r="J82" i="7"/>
  <c r="N34" i="2"/>
  <c r="O34" i="2" s="1"/>
  <c r="F26" i="7"/>
  <c r="L82" i="7"/>
  <c r="K82" i="12" s="1"/>
  <c r="M165" i="7"/>
  <c r="I165" i="7"/>
  <c r="I165" i="12" s="1"/>
  <c r="D179" i="7"/>
  <c r="F32" i="2"/>
  <c r="F165" i="7"/>
  <c r="L165" i="7"/>
  <c r="K165" i="12" s="1"/>
  <c r="O116" i="7"/>
  <c r="L130" i="12"/>
  <c r="R141" i="12"/>
  <c r="M150" i="12"/>
  <c r="K70" i="7"/>
  <c r="J70" i="12" s="1"/>
  <c r="K83" i="12"/>
  <c r="K79" i="3"/>
  <c r="E188" i="3"/>
  <c r="I82" i="7"/>
  <c r="I82" i="12" s="1"/>
  <c r="O179" i="7"/>
  <c r="D10" i="7"/>
  <c r="H70" i="7"/>
  <c r="H70" i="12" s="1"/>
  <c r="M34" i="12"/>
  <c r="G70" i="7"/>
  <c r="H83" i="12"/>
  <c r="H164" i="12"/>
  <c r="F18" i="2"/>
  <c r="F98" i="2"/>
  <c r="N82" i="7"/>
  <c r="M150" i="7"/>
  <c r="I10" i="7"/>
  <c r="I10" i="12" s="1"/>
  <c r="B116" i="7"/>
  <c r="L70" i="7"/>
  <c r="K70" i="12" s="1"/>
  <c r="G19" i="14"/>
  <c r="H22" i="12"/>
  <c r="H135" i="3"/>
  <c r="H52" i="3"/>
  <c r="J116" i="7"/>
  <c r="K40" i="3"/>
  <c r="H131" i="3"/>
  <c r="H96" i="3"/>
  <c r="K119" i="3"/>
  <c r="P79" i="5"/>
  <c r="P123" i="5"/>
  <c r="K32" i="3"/>
  <c r="H112" i="3"/>
  <c r="L64" i="12"/>
  <c r="D47" i="7"/>
  <c r="N73" i="2"/>
  <c r="O73" i="2" s="1"/>
  <c r="G152" i="2"/>
  <c r="O156" i="7"/>
  <c r="D187" i="7"/>
  <c r="J187" i="7"/>
  <c r="I47" i="7"/>
  <c r="I47" i="12" s="1"/>
  <c r="N47" i="7"/>
  <c r="M29" i="5"/>
  <c r="C6" i="28"/>
  <c r="N164" i="2"/>
  <c r="O164" i="2" s="1"/>
  <c r="J125" i="2"/>
  <c r="K125" i="2" s="1"/>
  <c r="J59" i="7"/>
  <c r="N120" i="7"/>
  <c r="D130" i="7"/>
  <c r="G75" i="14"/>
  <c r="G85" i="7"/>
  <c r="N16" i="12"/>
  <c r="P39" i="12"/>
  <c r="E47" i="7"/>
  <c r="J10" i="5"/>
  <c r="J172" i="2"/>
  <c r="K172" i="2" s="1"/>
  <c r="O172" i="7"/>
  <c r="P103" i="5"/>
  <c r="M75" i="7"/>
  <c r="L126" i="12"/>
  <c r="P118" i="12"/>
  <c r="J47" i="7"/>
  <c r="J11" i="5"/>
  <c r="E185" i="3"/>
  <c r="J48" i="7"/>
  <c r="E76" i="7"/>
  <c r="G172" i="7"/>
  <c r="L130" i="7"/>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E172" i="7"/>
  <c r="H88" i="3"/>
  <c r="K59" i="7"/>
  <c r="J59" i="12" s="1"/>
  <c r="B47" i="7"/>
  <c r="J116" i="2"/>
  <c r="K116" i="2" s="1"/>
  <c r="R71" i="12"/>
  <c r="P166" i="12"/>
  <c r="O130" i="7"/>
  <c r="H130" i="7"/>
  <c r="J34" i="5"/>
  <c r="G49" i="2"/>
  <c r="J26" i="2"/>
  <c r="K26" i="2" s="1"/>
  <c r="P19" i="5"/>
  <c r="K172" i="7"/>
  <c r="J172" i="12" s="1"/>
  <c r="E159" i="3"/>
  <c r="F59" i="7"/>
  <c r="G112" i="14"/>
  <c r="O8" i="12"/>
  <c r="N71" i="12"/>
  <c r="K130" i="7"/>
  <c r="M130" i="7"/>
  <c r="J25" i="5"/>
  <c r="E143" i="5"/>
  <c r="F143" i="5" s="1"/>
  <c r="G143" i="5" s="1"/>
  <c r="N141" i="2"/>
  <c r="O141" i="2" s="1"/>
  <c r="D247" i="2"/>
  <c r="K47" i="7"/>
  <c r="J47" i="12" s="1"/>
  <c r="C172" i="7"/>
  <c r="P129" i="5"/>
  <c r="B176" i="7"/>
  <c r="K144" i="3"/>
  <c r="S143" i="12"/>
  <c r="M45" i="5"/>
  <c r="G130" i="7"/>
  <c r="G47" i="7"/>
  <c r="H85" i="7"/>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I187" i="12" s="1"/>
  <c r="N143" i="12"/>
  <c r="M113" i="12"/>
  <c r="C47" i="7"/>
  <c r="J130" i="7"/>
  <c r="H87" i="3"/>
  <c r="J178" i="2"/>
  <c r="K178" i="2" s="1"/>
  <c r="J66" i="2"/>
  <c r="K66" i="2" s="1"/>
  <c r="F130" i="2"/>
  <c r="B59" i="7"/>
  <c r="N155" i="2"/>
  <c r="O155" i="2" s="1"/>
  <c r="E96" i="3"/>
  <c r="P45" i="5"/>
  <c r="P46" i="5"/>
  <c r="J173" i="2"/>
  <c r="K173" i="2" s="1"/>
  <c r="K121" i="3"/>
  <c r="P28" i="5"/>
  <c r="G55" i="14"/>
  <c r="M9" i="5"/>
  <c r="F108" i="2"/>
  <c r="G107" i="14"/>
  <c r="P91" i="5"/>
  <c r="P77" i="5"/>
  <c r="E150" i="3"/>
  <c r="P43" i="5"/>
  <c r="N191" i="2"/>
  <c r="O191" i="2" s="1"/>
  <c r="P94" i="12"/>
  <c r="L94" i="12"/>
  <c r="P170" i="12"/>
  <c r="L170" i="12"/>
  <c r="N162" i="12"/>
  <c r="N146" i="12"/>
  <c r="R146" i="12"/>
  <c r="S146" i="12"/>
  <c r="H28" i="3"/>
  <c r="P87" i="12"/>
  <c r="L87" i="12"/>
  <c r="S160" i="12"/>
  <c r="R160" i="12"/>
  <c r="Q125" i="12"/>
  <c r="M125" i="12"/>
  <c r="L125" i="7"/>
  <c r="M125" i="7"/>
  <c r="K125" i="7"/>
  <c r="H125" i="7"/>
  <c r="H126" i="12" s="1"/>
  <c r="B125" i="7"/>
  <c r="E125" i="7"/>
  <c r="F125" i="7"/>
  <c r="J125" i="7"/>
  <c r="O125" i="7"/>
  <c r="N125" i="7"/>
  <c r="D125" i="7"/>
  <c r="G125" i="7"/>
  <c r="B122" i="7"/>
  <c r="L122" i="7"/>
  <c r="K122" i="12" s="1"/>
  <c r="O122" i="7"/>
  <c r="M122" i="7"/>
  <c r="H122" i="7"/>
  <c r="H122" i="12" s="1"/>
  <c r="J122" i="7"/>
  <c r="N122" i="7"/>
  <c r="E122" i="7"/>
  <c r="I122" i="7"/>
  <c r="I122" i="12" s="1"/>
  <c r="F122" i="7"/>
  <c r="G122" i="7"/>
  <c r="B48" i="7"/>
  <c r="H72" i="3"/>
  <c r="D102" i="7"/>
  <c r="I102" i="7"/>
  <c r="I102" i="12" s="1"/>
  <c r="N102" i="7"/>
  <c r="L102" i="7"/>
  <c r="K102" i="12" s="1"/>
  <c r="F102" i="7"/>
  <c r="M102" i="7"/>
  <c r="C102" i="7"/>
  <c r="G102" i="7"/>
  <c r="K102" i="7"/>
  <c r="J102" i="12" s="1"/>
  <c r="O102" i="7"/>
  <c r="G137" i="7"/>
  <c r="O137" i="7"/>
  <c r="E137" i="7"/>
  <c r="I157" i="12"/>
  <c r="I137" i="7"/>
  <c r="I137" i="12" s="1"/>
  <c r="K154" i="12"/>
  <c r="D137" i="7"/>
  <c r="H162" i="12"/>
  <c r="M137" i="7"/>
  <c r="K112" i="12"/>
  <c r="H154" i="12"/>
  <c r="C137" i="7"/>
  <c r="H112" i="12"/>
  <c r="H132" i="12"/>
  <c r="H137" i="7"/>
  <c r="H137" i="12" s="1"/>
  <c r="H144" i="12"/>
  <c r="K162"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J56" i="12" s="1"/>
  <c r="H56" i="7"/>
  <c r="H56" i="12" s="1"/>
  <c r="C56" i="7"/>
  <c r="L56" i="7"/>
  <c r="K56" i="12" s="1"/>
  <c r="I56" i="7"/>
  <c r="I56" i="12" s="1"/>
  <c r="O56" i="7"/>
  <c r="G56" i="7"/>
  <c r="L114" i="12"/>
  <c r="P114" i="12"/>
  <c r="K34" i="7"/>
  <c r="J34" i="12" s="1"/>
  <c r="P129" i="12"/>
  <c r="L129" i="12"/>
  <c r="M76" i="12"/>
  <c r="Q76" i="12"/>
  <c r="P131" i="12"/>
  <c r="L131" i="12"/>
  <c r="M71" i="12"/>
  <c r="Q71" i="12"/>
  <c r="L49" i="12"/>
  <c r="P49" i="12"/>
  <c r="S76" i="12"/>
  <c r="R76" i="12"/>
  <c r="N76" i="12"/>
  <c r="R144" i="12"/>
  <c r="N144" i="12"/>
  <c r="S144" i="12"/>
  <c r="G17" i="7"/>
  <c r="I17" i="7"/>
  <c r="I17" i="12" s="1"/>
  <c r="B17" i="7"/>
  <c r="M17" i="7"/>
  <c r="F17" i="7"/>
  <c r="E17" i="7"/>
  <c r="J17" i="7"/>
  <c r="N17" i="7"/>
  <c r="D17" i="7"/>
  <c r="H17" i="7"/>
  <c r="H17" i="12" s="1"/>
  <c r="L17" i="7"/>
  <c r="K17" i="12" s="1"/>
  <c r="K17" i="7"/>
  <c r="J17" i="12" s="1"/>
  <c r="C17" i="7"/>
  <c r="O17" i="7"/>
  <c r="C122" i="7"/>
  <c r="L48"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K48" i="12" s="1"/>
  <c r="E48" i="7"/>
  <c r="O48" i="7"/>
  <c r="I48" i="7"/>
  <c r="I48" i="12" s="1"/>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93" i="12"/>
  <c r="L11" i="12"/>
  <c r="Q151" i="12"/>
  <c r="H50" i="7"/>
  <c r="H50" i="12" s="1"/>
  <c r="N99" i="7"/>
  <c r="E106" i="7"/>
  <c r="J45" i="5"/>
  <c r="H95"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K129" i="12" s="1"/>
  <c r="G137" i="14"/>
  <c r="F84" i="7"/>
  <c r="D169" i="7"/>
  <c r="C129" i="7"/>
  <c r="H84" i="7"/>
  <c r="H84" i="12" s="1"/>
  <c r="K31" i="3"/>
  <c r="K150" i="3"/>
  <c r="H81" i="12"/>
  <c r="H92" i="12"/>
  <c r="H90" i="12"/>
  <c r="H94" i="12"/>
  <c r="M116" i="12"/>
  <c r="Q57" i="12"/>
  <c r="S149" i="12"/>
  <c r="K50" i="7"/>
  <c r="J50" i="12" s="1"/>
  <c r="N61" i="7"/>
  <c r="K146" i="7"/>
  <c r="J148"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K169" i="12" s="1"/>
  <c r="M73" i="7"/>
  <c r="P94" i="5"/>
  <c r="N8" i="12"/>
  <c r="R14" i="12"/>
  <c r="M59" i="12"/>
  <c r="C50" i="7"/>
  <c r="F61" i="7"/>
  <c r="C146" i="7"/>
  <c r="F129" i="7"/>
  <c r="H146" i="7"/>
  <c r="H148" i="12" s="1"/>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K61" i="7"/>
  <c r="J61" i="12" s="1"/>
  <c r="J102" i="5"/>
  <c r="F25" i="2"/>
  <c r="F105" i="2"/>
  <c r="J138" i="2"/>
  <c r="K138" i="2" s="1"/>
  <c r="D50" i="7"/>
  <c r="I80" i="7"/>
  <c r="I80" i="12" s="1"/>
  <c r="H129" i="7"/>
  <c r="K99" i="7"/>
  <c r="J99" i="12" s="1"/>
  <c r="G44" i="2"/>
  <c r="H68" i="7"/>
  <c r="H68" i="12" s="1"/>
  <c r="I167" i="7"/>
  <c r="C169" i="7"/>
  <c r="N108" i="2"/>
  <c r="O108" i="2" s="1"/>
  <c r="F8" i="7"/>
  <c r="B146" i="7"/>
  <c r="I176" i="7"/>
  <c r="I175" i="12" s="1"/>
  <c r="N84" i="7"/>
  <c r="K173" i="3"/>
  <c r="G100" i="14"/>
  <c r="G132" i="14"/>
  <c r="K63" i="12"/>
  <c r="J62" i="12"/>
  <c r="J67" i="12"/>
  <c r="J94" i="12"/>
  <c r="H77" i="12"/>
  <c r="M89" i="5"/>
  <c r="L181" i="12"/>
  <c r="I106" i="7"/>
  <c r="I106" i="12" s="1"/>
  <c r="H151" i="12"/>
  <c r="H59" i="12"/>
  <c r="G169" i="7"/>
  <c r="K106" i="7"/>
  <c r="J106" i="12" s="1"/>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N106" i="7"/>
  <c r="D73" i="7"/>
  <c r="H93" i="12"/>
  <c r="K169" i="7"/>
  <c r="J42" i="5"/>
  <c r="G106" i="7"/>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M104"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K92" i="12"/>
  <c r="J92" i="12"/>
  <c r="R79" i="12"/>
  <c r="M61" i="7"/>
  <c r="I67" i="12"/>
  <c r="O73" i="7"/>
  <c r="D126" i="7"/>
  <c r="J43" i="5"/>
  <c r="I92" i="12"/>
  <c r="J73" i="7"/>
  <c r="D176" i="7"/>
  <c r="J126" i="5"/>
  <c r="E11" i="5"/>
  <c r="F11" i="5" s="1"/>
  <c r="G11" i="5" s="1"/>
  <c r="K94" i="3"/>
  <c r="G21" i="14"/>
  <c r="P146" i="5"/>
  <c r="B80" i="7"/>
  <c r="F163" i="2"/>
  <c r="G57" i="14"/>
  <c r="H8" i="7"/>
  <c r="H8" i="12" s="1"/>
  <c r="B68" i="7"/>
  <c r="M126" i="7"/>
  <c r="K68" i="7"/>
  <c r="J68" i="12" s="1"/>
  <c r="B167" i="7"/>
  <c r="D8" i="7"/>
  <c r="K167" i="7"/>
  <c r="J167" i="12" s="1"/>
  <c r="G103" i="14"/>
  <c r="H147" i="3"/>
  <c r="N24" i="2"/>
  <c r="O24" i="2" s="1"/>
  <c r="F72" i="5"/>
  <c r="G72" i="5" s="1"/>
  <c r="J191" i="2"/>
  <c r="K191" i="2" s="1"/>
  <c r="F84" i="2"/>
  <c r="F60" i="2"/>
  <c r="G29" i="14"/>
  <c r="G148" i="14"/>
  <c r="K88" i="3"/>
  <c r="C248" i="2"/>
  <c r="E65" i="5"/>
  <c r="F65" i="5" s="1"/>
  <c r="G65" i="5" s="1"/>
  <c r="N26" i="12"/>
  <c r="H81" i="3"/>
  <c r="H164" i="3"/>
  <c r="K44" i="3"/>
  <c r="G27" i="14"/>
  <c r="L187" i="12"/>
  <c r="L171" i="12"/>
  <c r="L159" i="12"/>
  <c r="L162" i="5"/>
  <c r="M162" i="5" s="1"/>
  <c r="N186" i="12"/>
  <c r="N161" i="12"/>
  <c r="O169" i="12"/>
  <c r="E104" i="3"/>
  <c r="O161" i="12"/>
  <c r="K36" i="3"/>
  <c r="G173" i="2"/>
  <c r="P163" i="12"/>
  <c r="P167" i="12"/>
  <c r="P171" i="12"/>
  <c r="S166" i="12"/>
  <c r="E163" i="5"/>
  <c r="F163" i="5" s="1"/>
  <c r="G163" i="5" s="1"/>
  <c r="O159" i="12"/>
  <c r="N112" i="2"/>
  <c r="O112" i="2" s="1"/>
  <c r="L173" i="12"/>
  <c r="Q165" i="12"/>
  <c r="B248" i="2"/>
  <c r="L179" i="12"/>
  <c r="S170" i="12"/>
  <c r="L161" i="5"/>
  <c r="M161" i="5" s="1"/>
  <c r="J112" i="12"/>
  <c r="P95" i="5"/>
  <c r="F166" i="5"/>
  <c r="G166" i="5" s="1"/>
  <c r="E102" i="5"/>
  <c r="F102" i="5" s="1"/>
  <c r="G102" i="5" s="1"/>
  <c r="J120" i="5"/>
  <c r="E118" i="5"/>
  <c r="F118" i="5" s="1"/>
  <c r="G118" i="5" s="1"/>
  <c r="F137" i="5"/>
  <c r="G137" i="5" s="1"/>
  <c r="H18" i="3"/>
  <c r="P63" i="5"/>
  <c r="E171" i="3"/>
  <c r="J132" i="5"/>
  <c r="J144" i="5"/>
  <c r="H183" i="3"/>
  <c r="K117" i="3"/>
  <c r="G15" i="14"/>
  <c r="J35" i="5"/>
  <c r="K179" i="3"/>
  <c r="G90" i="14"/>
  <c r="P27" i="5"/>
  <c r="K131" i="3"/>
  <c r="E119" i="3"/>
  <c r="J90" i="5"/>
  <c r="H111" i="3"/>
  <c r="K37" i="3"/>
  <c r="E70" i="3"/>
  <c r="H93" i="3"/>
  <c r="E88" i="3"/>
  <c r="E98" i="5"/>
  <c r="F98" i="5" s="1"/>
  <c r="G98" i="5" s="1"/>
  <c r="M12" i="5"/>
  <c r="K16" i="3"/>
  <c r="H139" i="3"/>
  <c r="F71" i="5"/>
  <c r="G71" i="5" s="1"/>
  <c r="K52" i="3"/>
  <c r="K159" i="3"/>
  <c r="H20" i="12"/>
  <c r="H18" i="12"/>
  <c r="N46" i="12"/>
  <c r="J84" i="12"/>
  <c r="N114" i="12"/>
  <c r="S120" i="12"/>
  <c r="Q96" i="12"/>
  <c r="Q147" i="12"/>
  <c r="L75" i="7"/>
  <c r="K75" i="12" s="1"/>
  <c r="N85" i="7"/>
  <c r="K74" i="12"/>
  <c r="M85" i="7"/>
  <c r="F165" i="5"/>
  <c r="G165" i="5" s="1"/>
  <c r="E181" i="3"/>
  <c r="J76" i="7"/>
  <c r="J120" i="7"/>
  <c r="H120" i="7"/>
  <c r="H120" i="12" s="1"/>
  <c r="G60" i="2"/>
  <c r="M108" i="7"/>
  <c r="C76" i="7"/>
  <c r="N139" i="7"/>
  <c r="J14" i="12"/>
  <c r="H75" i="7"/>
  <c r="J85" i="7"/>
  <c r="M166" i="5"/>
  <c r="H117" i="3"/>
  <c r="N93" i="2"/>
  <c r="O93" i="2" s="1"/>
  <c r="O76" i="7"/>
  <c r="F120" i="7"/>
  <c r="M120" i="7"/>
  <c r="K76" i="7"/>
  <c r="J76" i="12" s="1"/>
  <c r="J12" i="12"/>
  <c r="J46" i="12"/>
  <c r="K27" i="12"/>
  <c r="R10" i="12"/>
  <c r="L84" i="12"/>
  <c r="L155" i="12"/>
  <c r="D75" i="7"/>
  <c r="F85" i="7"/>
  <c r="J112" i="5"/>
  <c r="E55" i="3"/>
  <c r="E126" i="3"/>
  <c r="D248" i="2"/>
  <c r="B120" i="7"/>
  <c r="N75" i="7"/>
  <c r="C128" i="7"/>
  <c r="K20" i="12"/>
  <c r="N10" i="12"/>
  <c r="P84" i="12"/>
  <c r="P106" i="12"/>
  <c r="M152" i="12"/>
  <c r="M87" i="12"/>
  <c r="M117" i="12"/>
  <c r="N60" i="12"/>
  <c r="D85" i="7"/>
  <c r="B85" i="7"/>
  <c r="J124" i="5"/>
  <c r="J129" i="5"/>
  <c r="F90" i="2"/>
  <c r="D120" i="7"/>
  <c r="K108" i="3"/>
  <c r="J20" i="2"/>
  <c r="K20" i="2" s="1"/>
  <c r="L156" i="7"/>
  <c r="K156" i="12" s="1"/>
  <c r="M156" i="7"/>
  <c r="J20" i="12"/>
  <c r="P14" i="12"/>
  <c r="P99" i="12"/>
  <c r="I85" i="7"/>
  <c r="I85" i="12" s="1"/>
  <c r="H86" i="3"/>
  <c r="B2" i="28"/>
  <c r="J35" i="2"/>
  <c r="K35" i="2" s="1"/>
  <c r="N108" i="7"/>
  <c r="I120" i="7"/>
  <c r="I120" i="12" s="1"/>
  <c r="L85" i="7"/>
  <c r="K85" i="12" s="1"/>
  <c r="H16" i="12"/>
  <c r="J8" i="12"/>
  <c r="P140" i="12"/>
  <c r="M85" i="5"/>
  <c r="R107" i="12"/>
  <c r="S161" i="12"/>
  <c r="N63" i="12"/>
  <c r="O85" i="7"/>
  <c r="K86" i="12"/>
  <c r="H85" i="3"/>
  <c r="H70" i="3"/>
  <c r="N53" i="2"/>
  <c r="O53" i="2" s="1"/>
  <c r="P82" i="5"/>
  <c r="I108" i="7"/>
  <c r="I108" i="12" s="1"/>
  <c r="O120" i="7"/>
  <c r="E179" i="3"/>
  <c r="I156" i="7"/>
  <c r="I156" i="12" s="1"/>
  <c r="L120" i="7"/>
  <c r="K120" i="12" s="1"/>
  <c r="H14" i="12"/>
  <c r="J22" i="12"/>
  <c r="R120" i="12"/>
  <c r="H118" i="12"/>
  <c r="R31" i="12"/>
  <c r="R63" i="12"/>
  <c r="Q72" i="12"/>
  <c r="R161" i="12"/>
  <c r="J136" i="5"/>
  <c r="H62" i="3"/>
  <c r="J53" i="2"/>
  <c r="K53" i="2" s="1"/>
  <c r="C108" i="7"/>
  <c r="B156" i="7"/>
  <c r="G120" i="7"/>
  <c r="K19" i="12"/>
  <c r="H26" i="12"/>
  <c r="N129" i="12"/>
  <c r="E26" i="3"/>
  <c r="N22" i="2"/>
  <c r="O22" i="2" s="1"/>
  <c r="G37" i="2"/>
  <c r="L76" i="7"/>
  <c r="K76" i="12" s="1"/>
  <c r="L108" i="7"/>
  <c r="K108" i="12" s="1"/>
  <c r="J108" i="7"/>
  <c r="E108" i="7"/>
  <c r="E120" i="7"/>
  <c r="G71" i="14"/>
  <c r="K75" i="7"/>
  <c r="J75" i="12" s="1"/>
  <c r="I75" i="7"/>
  <c r="I75" i="12" s="1"/>
  <c r="C120" i="7"/>
  <c r="K7" i="12"/>
  <c r="K12" i="12"/>
  <c r="O76" i="12"/>
  <c r="J120" i="12"/>
  <c r="M43" i="5"/>
  <c r="E85" i="7"/>
  <c r="F142" i="2"/>
  <c r="O75" i="7"/>
  <c r="H76" i="7"/>
  <c r="H76" i="12" s="1"/>
  <c r="H108" i="7"/>
  <c r="F156" i="7"/>
  <c r="K108" i="7"/>
  <c r="J108" i="12" s="1"/>
  <c r="C156" i="7"/>
  <c r="B76" i="7"/>
  <c r="G108" i="7"/>
  <c r="G75" i="7"/>
  <c r="O108" i="7"/>
  <c r="K51" i="12"/>
  <c r="R60" i="12"/>
  <c r="S52" i="12"/>
  <c r="K85" i="7"/>
  <c r="J85" i="12" s="1"/>
  <c r="J49" i="5"/>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M86" i="5" s="1"/>
  <c r="L101" i="5"/>
  <c r="M101" i="5" s="1"/>
  <c r="L107" i="5"/>
  <c r="M107" i="5" s="1"/>
  <c r="L105" i="5"/>
  <c r="M105" i="5" s="1"/>
  <c r="L111" i="5"/>
  <c r="M111" i="5" s="1"/>
  <c r="L65" i="5"/>
  <c r="M65" i="5" s="1"/>
  <c r="L70" i="5"/>
  <c r="M70" i="5" s="1"/>
  <c r="N15" i="12"/>
  <c r="N17" i="12"/>
  <c r="O42" i="12"/>
  <c r="O45" i="12"/>
  <c r="Q45" i="12"/>
  <c r="M48" i="12"/>
  <c r="L82" i="5"/>
  <c r="M82" i="5" s="1"/>
  <c r="L87" i="5"/>
  <c r="M87" i="5" s="1"/>
  <c r="L98" i="5"/>
  <c r="M98" i="5" s="1"/>
  <c r="L104" i="5"/>
  <c r="M104" i="5" s="1"/>
  <c r="N117" i="12"/>
  <c r="N123" i="12"/>
  <c r="L156" i="12"/>
  <c r="L159" i="5"/>
  <c r="M159" i="5" s="1"/>
  <c r="D249" i="2"/>
  <c r="O164" i="12"/>
  <c r="N171" i="12"/>
  <c r="L176" i="12"/>
  <c r="L185" i="12"/>
  <c r="B247" i="2"/>
  <c r="P142" i="12"/>
  <c r="L149" i="12"/>
  <c r="O24" i="12"/>
  <c r="O26" i="12"/>
  <c r="L11" i="5"/>
  <c r="M11" i="5" s="1"/>
  <c r="L13" i="5"/>
  <c r="M13" i="5" s="1"/>
  <c r="L18" i="5"/>
  <c r="M18" i="5" s="1"/>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49" i="2"/>
  <c r="P78" i="12"/>
  <c r="L83" i="12"/>
  <c r="L121" i="5"/>
  <c r="M121" i="5" s="1"/>
  <c r="L127" i="5"/>
  <c r="M127" i="5" s="1"/>
  <c r="Q10" i="12"/>
  <c r="M11" i="12"/>
  <c r="M19" i="12"/>
  <c r="M21" i="12"/>
  <c r="L26" i="12"/>
  <c r="Q44" i="12"/>
  <c r="M47" i="12"/>
  <c r="Q49" i="12"/>
  <c r="M53" i="12"/>
  <c r="P62" i="12"/>
  <c r="L67" i="12"/>
  <c r="L73" i="5"/>
  <c r="M73" i="5" s="1"/>
  <c r="L78" i="5"/>
  <c r="M78" i="5" s="1"/>
  <c r="L93" i="5"/>
  <c r="M93" i="5" s="1"/>
  <c r="L99" i="5"/>
  <c r="M99" i="5" s="1"/>
  <c r="R101" i="12"/>
  <c r="N107" i="12"/>
  <c r="N105" i="12"/>
  <c r="N111" i="12"/>
  <c r="N109" i="12"/>
  <c r="N115" i="12"/>
  <c r="L23" i="12"/>
  <c r="L25" i="12"/>
  <c r="L15" i="5"/>
  <c r="M15" i="5" s="1"/>
  <c r="L17" i="5"/>
  <c r="M17" i="5" s="1"/>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L28" i="5"/>
  <c r="M28" i="5" s="1"/>
  <c r="L30" i="5"/>
  <c r="M30" i="5" s="1"/>
  <c r="C247" i="2"/>
  <c r="L45" i="12"/>
  <c r="O86" i="12"/>
  <c r="O91" i="12"/>
  <c r="O102" i="12"/>
  <c r="O110" i="12"/>
  <c r="L137" i="5"/>
  <c r="M137" i="5" s="1"/>
  <c r="L144" i="5"/>
  <c r="M144" i="5" s="1"/>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47" i="2"/>
  <c r="O34" i="12"/>
  <c r="O37" i="12"/>
  <c r="P86" i="12"/>
  <c r="L91" i="12"/>
  <c r="L102" i="12"/>
  <c r="N121" i="12"/>
  <c r="N127" i="12"/>
  <c r="Q32" i="12"/>
  <c r="M35" i="12"/>
  <c r="N70" i="12"/>
  <c r="N78" i="12"/>
  <c r="L100" i="12"/>
  <c r="L127" i="12"/>
  <c r="I58" i="12"/>
  <c r="O145" i="12"/>
  <c r="L131" i="5"/>
  <c r="M131" i="5" s="1"/>
  <c r="E45" i="5"/>
  <c r="F45" i="5" s="1"/>
  <c r="G45" i="5" s="1"/>
  <c r="E91" i="5"/>
  <c r="F91" i="5" s="1"/>
  <c r="G91" i="5" s="1"/>
  <c r="J154" i="12"/>
  <c r="E24" i="5"/>
  <c r="F24" i="5" s="1"/>
  <c r="G24" i="5" s="1"/>
  <c r="L94" i="5"/>
  <c r="O185" i="12"/>
  <c r="M28" i="12"/>
  <c r="O21" i="12"/>
  <c r="L59" i="5"/>
  <c r="M59" i="5" s="1"/>
  <c r="L79" i="5"/>
  <c r="M79" i="5" s="1"/>
  <c r="O89" i="12"/>
  <c r="L103" i="5"/>
  <c r="M103" i="5" s="1"/>
  <c r="L161" i="12"/>
  <c r="O149" i="12"/>
  <c r="L177" i="12"/>
  <c r="E16" i="5"/>
  <c r="F16" i="5" s="1"/>
  <c r="G16" i="5" s="1"/>
  <c r="E75" i="5"/>
  <c r="F75" i="5" s="1"/>
  <c r="G75" i="5" s="1"/>
  <c r="E122" i="5"/>
  <c r="F122" i="5" s="1"/>
  <c r="G122" i="5" s="1"/>
  <c r="E112" i="5"/>
  <c r="F112" i="5" s="1"/>
  <c r="G112" i="5" s="1"/>
  <c r="L36" i="5"/>
  <c r="M36" i="5" s="1"/>
  <c r="O119" i="12"/>
  <c r="O93" i="12"/>
  <c r="O18" i="12"/>
  <c r="O56" i="12"/>
  <c r="M119" i="12"/>
  <c r="K127" i="3"/>
  <c r="I81" i="12"/>
  <c r="G116" i="2"/>
  <c r="K104" i="3"/>
  <c r="N173" i="2"/>
  <c r="O173" i="2" s="1"/>
  <c r="P31" i="5"/>
  <c r="P153" i="5"/>
  <c r="N128" i="2"/>
  <c r="O128" i="2" s="1"/>
  <c r="O114" i="12"/>
  <c r="N91" i="12"/>
  <c r="I74" i="12"/>
  <c r="I83" i="12"/>
  <c r="J74" i="12"/>
  <c r="I72" i="12"/>
  <c r="H74"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50" i="2"/>
  <c r="L24" i="5"/>
  <c r="M24" i="5" s="1"/>
  <c r="L115" i="5"/>
  <c r="M115" i="5" s="1"/>
  <c r="C7" i="28"/>
  <c r="G42" i="2"/>
  <c r="L25" i="5"/>
  <c r="M25" i="5" s="1"/>
  <c r="N139" i="12"/>
  <c r="L59" i="12"/>
  <c r="L149" i="5"/>
  <c r="M149" i="5" s="1"/>
  <c r="N173" i="12"/>
  <c r="K8" i="3"/>
  <c r="B7" i="28"/>
  <c r="E146" i="5"/>
  <c r="F146" i="5" s="1"/>
  <c r="G146" i="5" s="1"/>
  <c r="P121" i="5"/>
  <c r="P40" i="5"/>
  <c r="L27" i="5"/>
  <c r="M27" i="5" s="1"/>
  <c r="O29" i="12"/>
  <c r="N181" i="12"/>
  <c r="L120" i="12"/>
  <c r="L51" i="5"/>
  <c r="M51" i="5" s="1"/>
  <c r="O99" i="12"/>
  <c r="M183"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J72" i="12"/>
  <c r="J179" i="12"/>
  <c r="E130" i="5"/>
  <c r="F130" i="5" s="1"/>
  <c r="G130" i="5" s="1"/>
  <c r="E100" i="3"/>
  <c r="K84" i="3"/>
  <c r="F159" i="2"/>
  <c r="P17" i="5"/>
  <c r="P29" i="5"/>
  <c r="P41" i="5"/>
  <c r="O14" i="12"/>
  <c r="M131" i="12"/>
  <c r="M67" i="12"/>
  <c r="L81" i="12"/>
  <c r="L112" i="12"/>
  <c r="L183"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J104" i="7"/>
  <c r="L104" i="7"/>
  <c r="K104" i="12" s="1"/>
  <c r="N104" i="7"/>
  <c r="E104" i="7"/>
  <c r="D104" i="7"/>
  <c r="M104" i="7"/>
  <c r="I104" i="7"/>
  <c r="I104" i="12" s="1"/>
  <c r="G104" i="7"/>
  <c r="K104" i="7"/>
  <c r="J104" i="12" s="1"/>
  <c r="O104" i="7"/>
  <c r="I103" i="12"/>
  <c r="I107" i="12"/>
  <c r="K98" i="12"/>
  <c r="R159" i="12"/>
  <c r="S159" i="12"/>
  <c r="E129" i="3"/>
  <c r="G131" i="14"/>
  <c r="E37" i="5"/>
  <c r="F37" i="5" s="1"/>
  <c r="G37" i="5" s="1"/>
  <c r="H37" i="3"/>
  <c r="B142" i="7"/>
  <c r="N142" i="7"/>
  <c r="I142" i="7"/>
  <c r="D142" i="7"/>
  <c r="L142" i="7"/>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N81" i="12"/>
  <c r="K105" i="12"/>
  <c r="N39" i="7"/>
  <c r="J142" i="5"/>
  <c r="H44" i="7"/>
  <c r="H44" i="12" s="1"/>
  <c r="P29" i="12"/>
  <c r="L29" i="12"/>
  <c r="M155" i="12"/>
  <c r="Q155" i="12"/>
  <c r="M110" i="12"/>
  <c r="Q110" i="12"/>
  <c r="H104" i="7"/>
  <c r="H104" i="12" s="1"/>
  <c r="R139" i="12"/>
  <c r="S139" i="12"/>
  <c r="Q99" i="12"/>
  <c r="M99" i="12"/>
  <c r="M43" i="12"/>
  <c r="S81" i="12"/>
  <c r="J101" i="12"/>
  <c r="K107" i="12"/>
  <c r="P113" i="12"/>
  <c r="L113" i="12"/>
  <c r="O142" i="7"/>
  <c r="N98" i="2"/>
  <c r="O98" i="2" s="1"/>
  <c r="N100" i="12"/>
  <c r="S100" i="12"/>
  <c r="P115" i="12"/>
  <c r="L115" i="12"/>
  <c r="S136" i="12"/>
  <c r="N136" i="12"/>
  <c r="R136" i="12"/>
  <c r="D44" i="7"/>
  <c r="H104" i="3"/>
  <c r="P74" i="5"/>
  <c r="Q58" i="12"/>
  <c r="R21" i="12"/>
  <c r="Q129" i="12"/>
  <c r="M129" i="12"/>
  <c r="K142" i="7"/>
  <c r="J142" i="12" s="1"/>
  <c r="F50" i="2"/>
  <c r="N9" i="12"/>
  <c r="S9" i="12"/>
  <c r="Q126" i="12"/>
  <c r="M126" i="12"/>
  <c r="N172" i="12"/>
  <c r="S172" i="12"/>
  <c r="R172" i="12"/>
  <c r="R95" i="12"/>
  <c r="N95" i="12"/>
  <c r="Q167" i="12"/>
  <c r="M167" i="12"/>
  <c r="J167" i="2"/>
  <c r="K167" i="2" s="1"/>
  <c r="F167" i="2"/>
  <c r="M139" i="12"/>
  <c r="Q139" i="12"/>
  <c r="R80" i="12"/>
  <c r="N80" i="12"/>
  <c r="R138" i="12"/>
  <c r="S138" i="12"/>
  <c r="B12" i="28"/>
  <c r="I168" i="7"/>
  <c r="G168" i="7"/>
  <c r="C168" i="7"/>
  <c r="J168" i="7"/>
  <c r="K168" i="7"/>
  <c r="F168" i="7"/>
  <c r="O168" i="7"/>
  <c r="E168" i="7"/>
  <c r="M168" i="7"/>
  <c r="H167" i="12"/>
  <c r="L168" i="7"/>
  <c r="K170" i="12" s="1"/>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Q131" i="12"/>
  <c r="J105" i="12"/>
  <c r="H105" i="12"/>
  <c r="P114" i="5"/>
  <c r="B104" i="7"/>
  <c r="B168" i="7"/>
  <c r="G82" i="2"/>
  <c r="H179" i="3"/>
  <c r="E134" i="3"/>
  <c r="H128" i="7"/>
  <c r="H128" i="12" s="1"/>
  <c r="K39" i="7"/>
  <c r="J42" i="12" s="1"/>
  <c r="B39" i="7"/>
  <c r="J39" i="7"/>
  <c r="I39" i="7"/>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J103" i="12"/>
  <c r="J139" i="7"/>
  <c r="G92" i="2"/>
  <c r="F92" i="2"/>
  <c r="F115" i="7"/>
  <c r="L115" i="7"/>
  <c r="G115" i="7"/>
  <c r="E115" i="7"/>
  <c r="M115" i="7"/>
  <c r="O115" i="7"/>
  <c r="B115" i="7"/>
  <c r="N115" i="7"/>
  <c r="J115" i="7"/>
  <c r="I115" i="7"/>
  <c r="I115" i="12" s="1"/>
  <c r="C115" i="7"/>
  <c r="M8" i="12"/>
  <c r="S19" i="12"/>
  <c r="Q39" i="12"/>
  <c r="S119" i="12"/>
  <c r="N147" i="12"/>
  <c r="S147" i="12"/>
  <c r="N168" i="7"/>
  <c r="E80" i="5"/>
  <c r="F80" i="5" s="1"/>
  <c r="G80" i="5" s="1"/>
  <c r="O139" i="7"/>
  <c r="S148" i="12"/>
  <c r="N148" i="12"/>
  <c r="I44" i="7"/>
  <c r="I44" i="12" s="1"/>
  <c r="R99" i="12"/>
  <c r="M61" i="5"/>
  <c r="H107" i="12"/>
  <c r="N126" i="7"/>
  <c r="J20" i="5"/>
  <c r="I145" i="12"/>
  <c r="I159" i="12"/>
  <c r="O126" i="7"/>
  <c r="G174" i="7"/>
  <c r="K61" i="3"/>
  <c r="H17" i="3"/>
  <c r="H34" i="3"/>
  <c r="K89" i="3"/>
  <c r="N15" i="2"/>
  <c r="O15" i="2" s="1"/>
  <c r="K177" i="3"/>
  <c r="N81" i="2"/>
  <c r="O81" i="2" s="1"/>
  <c r="G149" i="2"/>
  <c r="J161" i="2"/>
  <c r="K161" i="2" s="1"/>
  <c r="F34" i="2"/>
  <c r="F116" i="2"/>
  <c r="N144" i="2"/>
  <c r="O144" i="2" s="1"/>
  <c r="P78" i="5"/>
  <c r="P23" i="5"/>
  <c r="P39" i="5"/>
  <c r="D56" i="7"/>
  <c r="M56" i="7"/>
  <c r="L137" i="7"/>
  <c r="K137" i="12" s="1"/>
  <c r="E24" i="3"/>
  <c r="E56" i="7"/>
  <c r="H127" i="3"/>
  <c r="B126" i="7"/>
  <c r="L153" i="7"/>
  <c r="K161" i="12" s="1"/>
  <c r="J13" i="5"/>
  <c r="K157" i="12"/>
  <c r="I160" i="12"/>
  <c r="H99" i="12"/>
  <c r="K126" i="7"/>
  <c r="J157" i="12"/>
  <c r="C174" i="7"/>
  <c r="J138" i="5"/>
  <c r="H146" i="3"/>
  <c r="H178" i="3"/>
  <c r="J143" i="12"/>
  <c r="E75" i="3"/>
  <c r="J71" i="2"/>
  <c r="K71" i="2" s="1"/>
  <c r="G66" i="2"/>
  <c r="N74" i="2"/>
  <c r="O74" i="2" s="1"/>
  <c r="J160" i="2"/>
  <c r="K160" i="2" s="1"/>
  <c r="P118" i="5"/>
  <c r="N56" i="7"/>
  <c r="K137" i="7"/>
  <c r="K139" i="3"/>
  <c r="H150" i="7"/>
  <c r="F126" i="7"/>
  <c r="G149" i="14"/>
  <c r="M23" i="5"/>
  <c r="O150" i="7"/>
  <c r="H157" i="12"/>
  <c r="J44" i="5"/>
  <c r="H159" i="12"/>
  <c r="G126" i="7"/>
  <c r="K98" i="3"/>
  <c r="H49" i="3"/>
  <c r="K9" i="3"/>
  <c r="E14" i="3"/>
  <c r="K35" i="3"/>
  <c r="H115" i="3"/>
  <c r="K137" i="3"/>
  <c r="G21" i="2"/>
  <c r="F129" i="2"/>
  <c r="F149" i="2"/>
  <c r="N29" i="2"/>
  <c r="O29" i="2" s="1"/>
  <c r="N77" i="2"/>
  <c r="O77" i="2" s="1"/>
  <c r="N101" i="2"/>
  <c r="O101" i="2" s="1"/>
  <c r="J56" i="7"/>
  <c r="G63" i="14"/>
  <c r="J16" i="2"/>
  <c r="K16" i="2" s="1"/>
  <c r="K153" i="7"/>
  <c r="J161" i="12" s="1"/>
  <c r="S99" i="12"/>
  <c r="M31" i="12"/>
  <c r="I101" i="12"/>
  <c r="K150" i="7"/>
  <c r="J151" i="12"/>
  <c r="C126" i="7"/>
  <c r="N174" i="7"/>
  <c r="M92" i="5"/>
  <c r="H122" i="3"/>
  <c r="H35" i="3"/>
  <c r="E145" i="3"/>
  <c r="N110" i="2"/>
  <c r="O110" i="2" s="1"/>
  <c r="J77" i="2"/>
  <c r="K77" i="2" s="1"/>
  <c r="G130" i="2"/>
  <c r="F56" i="7"/>
  <c r="N28" i="2"/>
  <c r="O28" i="2" s="1"/>
  <c r="G193" i="2"/>
  <c r="C175" i="7"/>
  <c r="N175" i="7"/>
  <c r="G150" i="7"/>
  <c r="J22" i="5"/>
  <c r="I162" i="12"/>
  <c r="I150" i="12"/>
  <c r="I151" i="12"/>
  <c r="N137" i="7"/>
  <c r="J174" i="7"/>
  <c r="J74" i="5"/>
  <c r="K15" i="3"/>
  <c r="H150" i="3"/>
  <c r="H55" i="3"/>
  <c r="H99" i="3"/>
  <c r="K140" i="3"/>
  <c r="G129" i="2"/>
  <c r="F82" i="2"/>
  <c r="G141" i="14"/>
  <c r="B56" i="7"/>
  <c r="J28" i="2"/>
  <c r="K28" i="2" s="1"/>
  <c r="G67" i="14"/>
  <c r="E153" i="7"/>
  <c r="N140" i="2"/>
  <c r="O140" i="2" s="1"/>
  <c r="K103"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J16" i="5"/>
  <c r="H145" i="12"/>
  <c r="K145" i="12"/>
  <c r="I148" i="12"/>
  <c r="F137" i="7"/>
  <c r="B174" i="7"/>
  <c r="J70" i="5"/>
  <c r="J98" i="5"/>
  <c r="M165" i="5"/>
  <c r="E122" i="3"/>
  <c r="E78" i="3"/>
  <c r="N156" i="2"/>
  <c r="O156" i="2" s="1"/>
  <c r="N61" i="2"/>
  <c r="O61" i="2" s="1"/>
  <c r="N109" i="2"/>
  <c r="O109" i="2" s="1"/>
  <c r="G34" i="2"/>
  <c r="P70" i="5"/>
  <c r="K72" i="3"/>
  <c r="N56" i="2"/>
  <c r="O56" i="2" s="1"/>
  <c r="G159" i="2"/>
  <c r="G169" i="14"/>
  <c r="E150" i="7"/>
  <c r="I105" i="12"/>
  <c r="J24" i="5"/>
  <c r="I143" i="12"/>
  <c r="I144" i="12"/>
  <c r="B137" i="7"/>
  <c r="L174" i="7"/>
  <c r="K173" i="12" s="1"/>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J126" i="7"/>
  <c r="K151" i="12"/>
  <c r="I99" i="12"/>
  <c r="D153" i="7"/>
  <c r="J17" i="5"/>
  <c r="J48" i="5"/>
  <c r="I173" i="12"/>
  <c r="H143" i="12"/>
  <c r="N153" i="7"/>
  <c r="K160" i="12"/>
  <c r="H174" i="7"/>
  <c r="H173" i="12" s="1"/>
  <c r="J94" i="5"/>
  <c r="J146" i="5"/>
  <c r="E10" i="3"/>
  <c r="K47" i="3"/>
  <c r="E77" i="3"/>
  <c r="H126" i="3"/>
  <c r="H75" i="3"/>
  <c r="I154" i="12"/>
  <c r="N149" i="2"/>
  <c r="O149" i="2" s="1"/>
  <c r="J168" i="2"/>
  <c r="K168" i="2" s="1"/>
  <c r="G53" i="14"/>
  <c r="J145" i="12"/>
  <c r="H56" i="3"/>
  <c r="M60" i="12"/>
  <c r="G132" i="2"/>
  <c r="J64" i="2"/>
  <c r="K64" i="2" s="1"/>
  <c r="N12" i="2"/>
  <c r="O12" i="2" s="1"/>
  <c r="J155" i="2"/>
  <c r="K155" i="2" s="1"/>
  <c r="G35" i="14"/>
  <c r="N36" i="2"/>
  <c r="O36" i="2" s="1"/>
  <c r="K128" i="3"/>
  <c r="G80" i="14"/>
  <c r="E167" i="3"/>
  <c r="G39" i="14"/>
  <c r="K101" i="3"/>
  <c r="F40" i="2"/>
  <c r="G99" i="14"/>
  <c r="G33" i="14"/>
  <c r="G51" i="14"/>
  <c r="H151" i="3"/>
  <c r="G68" i="2"/>
  <c r="H12" i="12"/>
  <c r="G52" i="2"/>
  <c r="H101" i="3"/>
  <c r="E40" i="3"/>
  <c r="F13" i="2"/>
  <c r="E125" i="3"/>
  <c r="F36" i="2"/>
  <c r="P113" i="5"/>
  <c r="P127" i="5"/>
  <c r="P145" i="5"/>
  <c r="P11" i="5"/>
  <c r="P24" i="5"/>
  <c r="P35" i="5"/>
  <c r="P147" i="5"/>
  <c r="I161" i="12"/>
  <c r="P122" i="5"/>
  <c r="F173" i="2"/>
  <c r="P47" i="5"/>
  <c r="E186" i="3"/>
  <c r="P141" i="5"/>
  <c r="P109" i="5"/>
  <c r="F68" i="2"/>
  <c r="N32" i="12"/>
  <c r="M22" i="12"/>
  <c r="S47" i="12"/>
  <c r="R158" i="12"/>
  <c r="M164" i="12"/>
  <c r="Q119" i="12"/>
  <c r="R157" i="12"/>
  <c r="N52" i="12"/>
  <c r="K66" i="7"/>
  <c r="J71" i="12" s="1"/>
  <c r="D110" i="7"/>
  <c r="L9" i="7"/>
  <c r="K9" i="12" s="1"/>
  <c r="H147" i="7"/>
  <c r="K174" i="3"/>
  <c r="J186" i="7"/>
  <c r="E44" i="5"/>
  <c r="F44" i="5" s="1"/>
  <c r="G44" i="5" s="1"/>
  <c r="K19" i="3"/>
  <c r="E173" i="3"/>
  <c r="N121" i="2"/>
  <c r="O121" i="2" s="1"/>
  <c r="L66" i="7"/>
  <c r="K71" i="12" s="1"/>
  <c r="J147" i="7"/>
  <c r="E147" i="7"/>
  <c r="E12" i="3"/>
  <c r="M147" i="7"/>
  <c r="C186" i="7"/>
  <c r="I186" i="7"/>
  <c r="I186" i="12" s="1"/>
  <c r="L88" i="12"/>
  <c r="N158" i="12"/>
  <c r="M135" i="12"/>
  <c r="G66" i="7"/>
  <c r="I110" i="7"/>
  <c r="I110" i="12" s="1"/>
  <c r="C147" i="7"/>
  <c r="J19" i="5"/>
  <c r="H9" i="7"/>
  <c r="H9" i="12" s="1"/>
  <c r="E66" i="7"/>
  <c r="D147" i="7"/>
  <c r="J106" i="5"/>
  <c r="F186" i="7"/>
  <c r="E105" i="3"/>
  <c r="H163" i="3"/>
  <c r="F66" i="7"/>
  <c r="K147" i="7"/>
  <c r="J155" i="12" s="1"/>
  <c r="E146" i="3"/>
  <c r="N193" i="2"/>
  <c r="O193" i="2" s="1"/>
  <c r="G186" i="7"/>
  <c r="S171" i="12"/>
  <c r="Q29" i="12"/>
  <c r="L141" i="12"/>
  <c r="C66" i="7"/>
  <c r="N110" i="7"/>
  <c r="I147" i="7"/>
  <c r="D9" i="7"/>
  <c r="J66" i="7"/>
  <c r="B186" i="7"/>
  <c r="I66" i="7"/>
  <c r="I71" i="12" s="1"/>
  <c r="O186" i="7"/>
  <c r="Q28" i="12"/>
  <c r="L139" i="12"/>
  <c r="L65" i="12"/>
  <c r="N87" i="12"/>
  <c r="N147" i="7"/>
  <c r="O9" i="7"/>
  <c r="K178" i="3"/>
  <c r="L186" i="7"/>
  <c r="K186" i="12" s="1"/>
  <c r="G26" i="2"/>
  <c r="P110" i="5"/>
  <c r="H16" i="3"/>
  <c r="I65" i="12"/>
  <c r="N66" i="7"/>
  <c r="G119" i="14"/>
  <c r="P24" i="12"/>
  <c r="Q50" i="12"/>
  <c r="R66" i="12"/>
  <c r="N150" i="12"/>
  <c r="S87" i="12"/>
  <c r="L95" i="12"/>
  <c r="I184" i="12"/>
  <c r="K9" i="7"/>
  <c r="J10" i="12" s="1"/>
  <c r="H186" i="7"/>
  <c r="H186" i="12" s="1"/>
  <c r="E62" i="3"/>
  <c r="G13" i="2"/>
  <c r="D66" i="7"/>
  <c r="M9" i="7"/>
  <c r="I7" i="12"/>
  <c r="M165"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68" i="5"/>
  <c r="Q24" i="12"/>
  <c r="J18" i="12"/>
  <c r="H33" i="3"/>
  <c r="E66" i="5"/>
  <c r="F66" i="5" s="1"/>
  <c r="G66" i="5" s="1"/>
  <c r="E80" i="3"/>
  <c r="K176" i="3"/>
  <c r="K69" i="3"/>
  <c r="J23" i="5"/>
  <c r="F162" i="5"/>
  <c r="G162" i="5" s="1"/>
  <c r="E11" i="3"/>
  <c r="F97" i="2"/>
  <c r="N153" i="2"/>
  <c r="O153" i="2" s="1"/>
  <c r="N177" i="2"/>
  <c r="O177" i="2" s="1"/>
  <c r="N145" i="12"/>
  <c r="N113" i="12"/>
  <c r="J80" i="2"/>
  <c r="K80" i="2" s="1"/>
  <c r="G91" i="14"/>
  <c r="N133" i="12"/>
  <c r="G144" i="14"/>
  <c r="P34" i="12"/>
  <c r="S133" i="12"/>
  <c r="S165" i="12"/>
  <c r="M163" i="12"/>
  <c r="G73" i="2"/>
  <c r="G97" i="2"/>
  <c r="G121" i="2"/>
  <c r="F29" i="2"/>
  <c r="O191" i="5"/>
  <c r="O192" i="5" s="1"/>
  <c r="J183" i="2"/>
  <c r="K183" i="2" s="1"/>
  <c r="N68" i="2"/>
  <c r="O68" i="2" s="1"/>
  <c r="P137" i="12"/>
  <c r="E61" i="3"/>
  <c r="H107" i="3"/>
  <c r="K124" i="3"/>
  <c r="G167" i="2"/>
  <c r="G60" i="14"/>
  <c r="P76" i="5"/>
  <c r="P100" i="5"/>
  <c r="K92" i="3"/>
  <c r="L142" i="12"/>
  <c r="G134" i="14"/>
  <c r="P42" i="12"/>
  <c r="M140" i="12"/>
  <c r="K103" i="3"/>
  <c r="E62" i="5"/>
  <c r="F62" i="5" s="1"/>
  <c r="E22" i="3"/>
  <c r="E86" i="3"/>
  <c r="E110" i="5"/>
  <c r="F110" i="5" s="1"/>
  <c r="G110" i="5" s="1"/>
  <c r="H148" i="3"/>
  <c r="E261" i="2"/>
  <c r="J14" i="2"/>
  <c r="K14" i="2" s="1"/>
  <c r="N58" i="2"/>
  <c r="O58" i="2" s="1"/>
  <c r="F100" i="2"/>
  <c r="G127" i="14"/>
  <c r="P18" i="12"/>
  <c r="M120" i="12"/>
  <c r="L82" i="12"/>
  <c r="F103" i="5"/>
  <c r="G103" i="5" s="1"/>
  <c r="F145" i="5"/>
  <c r="G145" i="5" s="1"/>
  <c r="J160" i="5"/>
  <c r="G171" i="14"/>
  <c r="P50" i="12"/>
  <c r="M123" i="12"/>
  <c r="L74" i="12"/>
  <c r="R40" i="12"/>
  <c r="M132" i="5"/>
  <c r="H21" i="3"/>
  <c r="H79" i="3"/>
  <c r="H130" i="3"/>
  <c r="E169" i="3"/>
  <c r="H261" i="2"/>
  <c r="N64" i="2"/>
  <c r="O64" i="2" s="1"/>
  <c r="J36" i="2"/>
  <c r="K36" i="2" s="1"/>
  <c r="N40" i="12"/>
  <c r="F81" i="5"/>
  <c r="G81" i="5" s="1"/>
  <c r="J156" i="5"/>
  <c r="H10" i="3"/>
  <c r="E114" i="5"/>
  <c r="F114" i="5" s="1"/>
  <c r="G114" i="5" s="1"/>
  <c r="N77" i="12"/>
  <c r="R77" i="12"/>
  <c r="R78" i="12"/>
  <c r="F77" i="5"/>
  <c r="G77" i="5" s="1"/>
  <c r="J82" i="5"/>
  <c r="F156" i="5"/>
  <c r="G156" i="5" s="1"/>
  <c r="E93" i="3"/>
  <c r="E97" i="3"/>
  <c r="N70" i="2"/>
  <c r="O70" i="2" s="1"/>
  <c r="J17" i="2"/>
  <c r="K17" i="2" s="1"/>
  <c r="G43" i="14"/>
  <c r="N100" i="2"/>
  <c r="O100" i="2" s="1"/>
  <c r="P122" i="12"/>
  <c r="P132" i="12"/>
  <c r="R70" i="12"/>
  <c r="S78" i="12"/>
  <c r="E46" i="5"/>
  <c r="F46" i="5" s="1"/>
  <c r="G46" i="5" s="1"/>
  <c r="N25" i="2"/>
  <c r="O25" i="2" s="1"/>
  <c r="G29" i="2"/>
  <c r="J114" i="2"/>
  <c r="K114" i="2" s="1"/>
  <c r="G76" i="14"/>
  <c r="N48" i="12"/>
  <c r="Q19" i="12"/>
  <c r="P121" i="12"/>
  <c r="K23" i="3"/>
  <c r="J63" i="2"/>
  <c r="K63" i="2" s="1"/>
  <c r="F185" i="2"/>
  <c r="J187" i="2"/>
  <c r="K187" i="2" s="1"/>
  <c r="F68" i="5"/>
  <c r="G68" i="5" s="1"/>
  <c r="K71" i="3"/>
  <c r="G166" i="14"/>
  <c r="F88" i="5"/>
  <c r="G88" i="5" s="1"/>
  <c r="F64" i="5"/>
  <c r="G64" i="5" s="1"/>
  <c r="F116" i="5"/>
  <c r="G116" i="5" s="1"/>
  <c r="F151" i="5"/>
  <c r="G151" i="5" s="1"/>
  <c r="K39" i="3"/>
  <c r="E82" i="5"/>
  <c r="F82" i="5" s="1"/>
  <c r="G82" i="5" s="1"/>
  <c r="G47" i="14"/>
  <c r="G88" i="14"/>
  <c r="G120" i="14"/>
  <c r="G93" i="14"/>
  <c r="G179" i="2"/>
  <c r="N47" i="2"/>
  <c r="O47" i="2" s="1"/>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B164" i="7"/>
  <c r="G164" i="7"/>
  <c r="I164" i="7"/>
  <c r="G151" i="14"/>
  <c r="G92" i="14"/>
  <c r="G124" i="14"/>
  <c r="G181" i="14"/>
  <c r="S70" i="12"/>
  <c r="N79" i="2"/>
  <c r="O79" i="2" s="1"/>
  <c r="P154" i="5"/>
  <c r="K100" i="3"/>
  <c r="G171" i="2"/>
  <c r="N183" i="2"/>
  <c r="O183" i="2" s="1"/>
  <c r="G84" i="2"/>
  <c r="D232" i="10"/>
  <c r="S29" i="12"/>
  <c r="S41" i="12"/>
  <c r="P53" i="12"/>
  <c r="N84" i="2"/>
  <c r="O84" i="2" s="1"/>
  <c r="G232" i="10"/>
  <c r="R57" i="12"/>
  <c r="S61" i="12"/>
  <c r="N158" i="2"/>
  <c r="O158" i="2" s="1"/>
  <c r="J108" i="2"/>
  <c r="K108" i="2" s="1"/>
  <c r="E164" i="3"/>
  <c r="H177" i="3"/>
  <c r="G185" i="14"/>
  <c r="G65" i="14"/>
  <c r="G73" i="14"/>
  <c r="K97" i="3"/>
  <c r="G133" i="14"/>
  <c r="H132" i="3"/>
  <c r="K116" i="3"/>
  <c r="G61" i="14"/>
  <c r="G69" i="14"/>
  <c r="G77" i="14"/>
  <c r="G49" i="14"/>
  <c r="H23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32" i="10"/>
  <c r="M232" i="10"/>
  <c r="E23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G114" i="14"/>
  <c r="K119" i="12"/>
  <c r="K113" i="3"/>
  <c r="E120" i="3"/>
  <c r="H157" i="3"/>
  <c r="E128" i="3"/>
  <c r="E148" i="3"/>
  <c r="H161" i="3"/>
  <c r="G64" i="14"/>
  <c r="G117" i="14"/>
  <c r="G164" i="14"/>
  <c r="G45" i="14"/>
  <c r="G158" i="14"/>
  <c r="G145" i="14"/>
  <c r="E54" i="5"/>
  <c r="F54" i="5" s="1"/>
  <c r="G54" i="5" s="1"/>
  <c r="E132" i="3"/>
  <c r="E180" i="3"/>
  <c r="G72" i="14"/>
  <c r="G140" i="14"/>
  <c r="G121" i="14"/>
  <c r="G179" i="14"/>
  <c r="P148" i="5"/>
  <c r="P164" i="5"/>
  <c r="G68" i="14"/>
  <c r="G83" i="14"/>
  <c r="G40" i="14"/>
  <c r="G42" i="14"/>
  <c r="G48" i="14"/>
  <c r="G150" i="14"/>
  <c r="G102" i="14"/>
  <c r="G108" i="14"/>
  <c r="G142" i="14"/>
  <c r="G147" i="14"/>
  <c r="G168" i="14"/>
  <c r="N232" i="10"/>
  <c r="Q38" i="12"/>
  <c r="P54" i="12"/>
  <c r="R65" i="12"/>
  <c r="R97" i="12"/>
  <c r="Q15" i="12"/>
  <c r="R117" i="12"/>
  <c r="Q114" i="12"/>
  <c r="N167" i="12"/>
  <c r="N101" i="12"/>
  <c r="L78" i="12"/>
  <c r="N53" i="12"/>
  <c r="N82" i="12"/>
  <c r="N74" i="12"/>
  <c r="M54" i="12"/>
  <c r="M40" i="12"/>
  <c r="M32" i="12"/>
  <c r="P7" i="12"/>
  <c r="L38" i="12"/>
  <c r="L15" i="12"/>
  <c r="M37" i="12"/>
  <c r="C12" i="28"/>
  <c r="S82" i="12"/>
  <c r="I114" i="12"/>
  <c r="I132" i="12"/>
  <c r="J113" i="12"/>
  <c r="J119" i="12"/>
  <c r="H136" i="12"/>
  <c r="H119" i="12"/>
  <c r="K53" i="12"/>
  <c r="H53" i="12"/>
  <c r="K49" i="12"/>
  <c r="H41" i="12"/>
  <c r="I18" i="12"/>
  <c r="H27" i="12"/>
  <c r="H19" i="12"/>
  <c r="H11" i="12"/>
  <c r="K30" i="12"/>
  <c r="K22" i="12"/>
  <c r="K14"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J54" i="5"/>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41" i="2"/>
  <c r="G150" i="2"/>
  <c r="F150" i="2"/>
  <c r="N166" i="2"/>
  <c r="O166" i="2" s="1"/>
  <c r="J192" i="2"/>
  <c r="K192" i="2" s="1"/>
  <c r="F170" i="2"/>
  <c r="G170" i="2"/>
  <c r="G142" i="2"/>
  <c r="G178" i="14"/>
  <c r="J232" i="10"/>
  <c r="R19" i="12"/>
  <c r="R41" i="12"/>
  <c r="S57" i="12"/>
  <c r="R23" i="12"/>
  <c r="S49" i="12"/>
  <c r="R93" i="12"/>
  <c r="R109" i="12"/>
  <c r="P80" i="12"/>
  <c r="R45" i="12"/>
  <c r="R121" i="12"/>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36" i="12"/>
  <c r="I112" i="12"/>
  <c r="K131" i="12"/>
  <c r="K135" i="12"/>
  <c r="I135" i="12"/>
  <c r="I119" i="12"/>
  <c r="H57" i="12"/>
  <c r="J23" i="12"/>
  <c r="J7" i="12"/>
  <c r="J25" i="12"/>
  <c r="J53" i="12"/>
  <c r="J37" i="12"/>
  <c r="H21" i="12"/>
  <c r="J41" i="12"/>
  <c r="H37" i="12"/>
  <c r="I20" i="12"/>
  <c r="I12" i="12"/>
  <c r="I45" i="12"/>
  <c r="I29" i="12"/>
  <c r="I23" i="12"/>
  <c r="P53" i="5"/>
  <c r="N191" i="5"/>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41" i="2"/>
  <c r="J11" i="2"/>
  <c r="K11" i="2" s="1"/>
  <c r="B3" i="28"/>
  <c r="F192" i="2"/>
  <c r="G192" i="2"/>
  <c r="G59" i="14"/>
  <c r="G86" i="14"/>
  <c r="G118" i="14"/>
  <c r="G152" i="14"/>
  <c r="S73" i="12"/>
  <c r="R89" i="12"/>
  <c r="R105" i="12"/>
  <c r="P72" i="12"/>
  <c r="E32" i="7"/>
  <c r="I32" i="7"/>
  <c r="I31" i="12" s="1"/>
  <c r="M32" i="7"/>
  <c r="D32" i="7"/>
  <c r="J32" i="7"/>
  <c r="O32" i="7"/>
  <c r="F32" i="7"/>
  <c r="K32" i="7"/>
  <c r="J32" i="12" s="1"/>
  <c r="B32" i="7"/>
  <c r="G32" i="7"/>
  <c r="L32" i="7"/>
  <c r="K31" i="12" s="1"/>
  <c r="C32" i="7"/>
  <c r="H32" i="7"/>
  <c r="H32" i="12" s="1"/>
  <c r="N32" i="7"/>
  <c r="P45" i="12"/>
  <c r="N151" i="12"/>
  <c r="L61" i="12"/>
  <c r="M45" i="12"/>
  <c r="H191" i="5"/>
  <c r="H192" i="5" s="1"/>
  <c r="J37" i="5"/>
  <c r="K138" i="12"/>
  <c r="H135" i="12"/>
  <c r="J48" i="12"/>
  <c r="H45" i="12"/>
  <c r="I30" i="12"/>
  <c r="I22" i="12"/>
  <c r="I14" i="12"/>
  <c r="H31" i="12"/>
  <c r="H23" i="12"/>
  <c r="H15" i="12"/>
  <c r="H7" i="12"/>
  <c r="H46" i="12"/>
  <c r="K18" i="12"/>
  <c r="I57" i="12"/>
  <c r="I41" i="12"/>
  <c r="K29" i="12"/>
  <c r="K21" i="12"/>
  <c r="K13" i="12"/>
  <c r="K7" i="3"/>
  <c r="E9" i="5"/>
  <c r="F9" i="5" s="1"/>
  <c r="G9" i="5" s="1"/>
  <c r="E25" i="5"/>
  <c r="F25" i="5" s="1"/>
  <c r="G25" i="5" s="1"/>
  <c r="E41" i="5"/>
  <c r="F41" i="5" s="1"/>
  <c r="G41" i="5" s="1"/>
  <c r="E57" i="5"/>
  <c r="F57" i="5" s="1"/>
  <c r="G57" i="5" s="1"/>
  <c r="H7" i="3"/>
  <c r="E18" i="3"/>
  <c r="E50" i="3"/>
  <c r="E82" i="3"/>
  <c r="E98" i="3"/>
  <c r="J52" i="5"/>
  <c r="D191" i="5"/>
  <c r="D192" i="5" s="1"/>
  <c r="J56"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S33" i="12"/>
  <c r="R85" i="12"/>
  <c r="E40" i="7"/>
  <c r="I40" i="7"/>
  <c r="I40" i="12" s="1"/>
  <c r="M40" i="7"/>
  <c r="B40" i="7"/>
  <c r="G40" i="7"/>
  <c r="L40" i="7"/>
  <c r="C40" i="7"/>
  <c r="H40" i="7"/>
  <c r="H40" i="12" s="1"/>
  <c r="N40" i="7"/>
  <c r="D40" i="7"/>
  <c r="J40" i="7"/>
  <c r="O40" i="7"/>
  <c r="F40" i="7"/>
  <c r="K40" i="7"/>
  <c r="J40" i="12" s="1"/>
  <c r="P37" i="12"/>
  <c r="Q64" i="12"/>
  <c r="L37" i="12"/>
  <c r="R7" i="12"/>
  <c r="E140" i="7"/>
  <c r="I140" i="7"/>
  <c r="I140" i="12" s="1"/>
  <c r="M140" i="7"/>
  <c r="F140" i="7"/>
  <c r="K140" i="7"/>
  <c r="J140" i="12" s="1"/>
  <c r="B140" i="7"/>
  <c r="G140" i="7"/>
  <c r="L140" i="7"/>
  <c r="K140" i="12" s="1"/>
  <c r="D140" i="7"/>
  <c r="J140" i="7"/>
  <c r="O140" i="7"/>
  <c r="C140" i="7"/>
  <c r="H140" i="7"/>
  <c r="H140" i="12" s="1"/>
  <c r="N140" i="7"/>
  <c r="L7" i="5"/>
  <c r="M7" i="5" s="1"/>
  <c r="J138" i="12"/>
  <c r="J122" i="12"/>
  <c r="I138" i="12"/>
  <c r="I129" i="12"/>
  <c r="H113" i="12"/>
  <c r="H127" i="12"/>
  <c r="K114" i="12"/>
  <c r="I127" i="12"/>
  <c r="H47" i="12"/>
  <c r="I113" i="12"/>
  <c r="K46" i="12"/>
  <c r="I54" i="12"/>
  <c r="J45" i="12"/>
  <c r="J27" i="12"/>
  <c r="J19" i="12"/>
  <c r="I42" i="12"/>
  <c r="J29" i="12"/>
  <c r="J13" i="12"/>
  <c r="K41" i="12"/>
  <c r="H29" i="12"/>
  <c r="K45" i="12"/>
  <c r="I8" i="12"/>
  <c r="I21" i="12"/>
  <c r="I27" i="12"/>
  <c r="I19" i="12"/>
  <c r="I11" i="12"/>
  <c r="E58" i="5"/>
  <c r="F58" i="5" s="1"/>
  <c r="K191" i="5"/>
  <c r="K192" i="5" s="1"/>
  <c r="E121" i="5"/>
  <c r="F121" i="5" s="1"/>
  <c r="G121" i="5" s="1"/>
  <c r="E125" i="5"/>
  <c r="F125" i="5" s="1"/>
  <c r="G125" i="5" s="1"/>
  <c r="E129" i="5"/>
  <c r="F129" i="5" s="1"/>
  <c r="G129" i="5" s="1"/>
  <c r="M50" i="5"/>
  <c r="J51" i="5"/>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6" i="28" l="1"/>
  <c r="H155" i="12"/>
  <c r="J136" i="12"/>
  <c r="D18" i="28"/>
  <c r="B16" i="28"/>
  <c r="C16" i="28"/>
  <c r="B15" i="28"/>
  <c r="I163" i="12"/>
  <c r="D8" i="28"/>
  <c r="J241" i="2"/>
  <c r="K241" i="2" s="1"/>
  <c r="D233" i="6" s="1"/>
  <c r="F234" i="7"/>
  <c r="F235" i="7" s="1"/>
  <c r="C245" i="7" s="1"/>
  <c r="E234" i="7"/>
  <c r="E235" i="7" s="1"/>
  <c r="B245" i="7" s="1"/>
  <c r="N234" i="7"/>
  <c r="N241" i="12"/>
  <c r="N242" i="12" s="1"/>
  <c r="J64" i="8"/>
  <c r="C73" i="8" s="1"/>
  <c r="H234" i="7"/>
  <c r="H235" i="7" s="1"/>
  <c r="B246" i="7" s="1"/>
  <c r="O241" i="12"/>
  <c r="O242" i="12" s="1"/>
  <c r="L241" i="12"/>
  <c r="L242" i="12" s="1"/>
  <c r="L234" i="7"/>
  <c r="C234" i="7"/>
  <c r="C235" i="7" s="1"/>
  <c r="I234" i="7"/>
  <c r="M241" i="12"/>
  <c r="M242" i="12" s="1"/>
  <c r="K234" i="7"/>
  <c r="K235" i="7" s="1"/>
  <c r="B247" i="7" s="1"/>
  <c r="H65" i="8"/>
  <c r="A73" i="8"/>
  <c r="M233" i="6"/>
  <c r="B234" i="7"/>
  <c r="B235" i="7" s="1"/>
  <c r="I177" i="12"/>
  <c r="C17" i="28"/>
  <c r="I125" i="12"/>
  <c r="J149" i="12"/>
  <c r="H149" i="12"/>
  <c r="K152" i="12"/>
  <c r="B18" i="28"/>
  <c r="H141" i="12"/>
  <c r="J169" i="12"/>
  <c r="I141" i="12"/>
  <c r="J162" i="12"/>
  <c r="K187" i="12"/>
  <c r="K130" i="12"/>
  <c r="H175" i="12"/>
  <c r="H49" i="12"/>
  <c r="K100" i="12"/>
  <c r="K90" i="12"/>
  <c r="J170" i="12"/>
  <c r="H171" i="12"/>
  <c r="J141" i="12"/>
  <c r="B17" i="28"/>
  <c r="K142" i="12"/>
  <c r="J86" i="12"/>
  <c r="I166" i="12"/>
  <c r="H129" i="12"/>
  <c r="H85" i="12"/>
  <c r="I131" i="12"/>
  <c r="J49" i="12"/>
  <c r="I55" i="12"/>
  <c r="K55" i="12"/>
  <c r="K38" i="12"/>
  <c r="H170" i="12"/>
  <c r="J111" i="12"/>
  <c r="K111" i="12"/>
  <c r="I117" i="12"/>
  <c r="I51" i="12"/>
  <c r="H51" i="12"/>
  <c r="J88" i="12"/>
  <c r="J31" i="12"/>
  <c r="K141" i="12"/>
  <c r="H187" i="12"/>
  <c r="D16" i="28"/>
  <c r="D15" i="28"/>
  <c r="C15" i="28"/>
  <c r="D17" i="28"/>
  <c r="K125" i="12"/>
  <c r="H131" i="12"/>
  <c r="J38" i="12"/>
  <c r="K171" i="12"/>
  <c r="H111" i="12"/>
  <c r="H180" i="12"/>
  <c r="K88" i="12"/>
  <c r="J91" i="12"/>
  <c r="I158" i="12"/>
  <c r="H103" i="12"/>
  <c r="I39" i="12"/>
  <c r="I149" i="12"/>
  <c r="H125" i="12"/>
  <c r="K175" i="12"/>
  <c r="I126" i="12"/>
  <c r="J55" i="12"/>
  <c r="J100" i="12"/>
  <c r="J33" i="12"/>
  <c r="I86" i="12"/>
  <c r="J182" i="12"/>
  <c r="I170" i="12"/>
  <c r="I183" i="12"/>
  <c r="I111" i="12"/>
  <c r="K121" i="12"/>
  <c r="I176" i="12"/>
  <c r="J9" i="12"/>
  <c r="K167" i="12"/>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50" i="2"/>
  <c r="D250" i="2"/>
  <c r="K54" i="12"/>
  <c r="D7" i="28"/>
  <c r="J66" i="12"/>
  <c r="L191" i="5"/>
  <c r="L192" i="5" s="1"/>
  <c r="M192" i="5" s="1"/>
  <c r="H80" i="12"/>
  <c r="H75" i="12"/>
  <c r="M94" i="5"/>
  <c r="I232" i="10"/>
  <c r="J159" i="12"/>
  <c r="I167" i="12"/>
  <c r="J186" i="12"/>
  <c r="H39" i="12"/>
  <c r="I66" i="12"/>
  <c r="J39" i="12"/>
  <c r="L232" i="10"/>
  <c r="K66" i="12"/>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32" i="10"/>
  <c r="O232" i="10"/>
  <c r="N241" i="2"/>
  <c r="O241" i="2" s="1"/>
  <c r="O234" i="7"/>
  <c r="O235" i="7" s="1"/>
  <c r="I235" i="7"/>
  <c r="C246" i="7" s="1"/>
  <c r="G58" i="5"/>
  <c r="F191" i="5"/>
  <c r="C241" i="6"/>
  <c r="J233" i="6"/>
  <c r="D232" i="11"/>
  <c r="F232" i="11" s="1"/>
  <c r="F231" i="11"/>
  <c r="N192" i="5"/>
  <c r="P192" i="5" s="1"/>
  <c r="P191" i="5"/>
  <c r="C240" i="6"/>
  <c r="G65" i="8"/>
  <c r="H6" i="6"/>
  <c r="K6" i="6"/>
  <c r="I32" i="12"/>
  <c r="M232" i="11"/>
  <c r="O232" i="11" s="1"/>
  <c r="O231" i="11"/>
  <c r="H236" i="3"/>
  <c r="F237" i="3"/>
  <c r="H237" i="3" s="1"/>
  <c r="B240" i="6"/>
  <c r="G247" i="2"/>
  <c r="C242" i="6"/>
  <c r="G64" i="8"/>
  <c r="B73" i="8"/>
  <c r="I65" i="8"/>
  <c r="K236" i="3"/>
  <c r="I237" i="3"/>
  <c r="K237" i="3" s="1"/>
  <c r="J191" i="5"/>
  <c r="I192" i="5"/>
  <c r="J192" i="5" s="1"/>
  <c r="B6" i="8"/>
  <c r="K6" i="7"/>
  <c r="E6" i="7"/>
  <c r="H6" i="7"/>
  <c r="B241" i="6"/>
  <c r="G248" i="2"/>
  <c r="F248" i="2" s="1"/>
  <c r="I231" i="11"/>
  <c r="G232" i="11"/>
  <c r="I232" i="11" s="1"/>
  <c r="L231" i="11"/>
  <c r="J232" i="11"/>
  <c r="L232" i="11" s="1"/>
  <c r="B242" i="6"/>
  <c r="G249" i="2"/>
  <c r="F249" i="2" s="1"/>
  <c r="D234" i="7" l="1"/>
  <c r="D235" i="7" s="1"/>
  <c r="I241" i="12"/>
  <c r="I242" i="12" s="1"/>
  <c r="J241" i="12"/>
  <c r="J242" i="12" s="1"/>
  <c r="H241" i="12"/>
  <c r="H242" i="12" s="1"/>
  <c r="K241" i="12"/>
  <c r="K242" i="12" s="1"/>
  <c r="J65" i="8"/>
  <c r="M191" i="5"/>
  <c r="N235" i="7"/>
  <c r="B248" i="7"/>
  <c r="G234" i="7"/>
  <c r="G235" i="7" s="1"/>
  <c r="B6" i="10"/>
  <c r="C6" i="8"/>
  <c r="E6" i="8"/>
  <c r="H6" i="8" s="1"/>
  <c r="G250" i="2"/>
  <c r="F247" i="2"/>
  <c r="F250" i="2" s="1"/>
  <c r="D245" i="7"/>
  <c r="J234" i="7"/>
  <c r="J235" i="7" s="1"/>
  <c r="G191" i="5"/>
  <c r="F192" i="5"/>
  <c r="G192" i="5" s="1"/>
  <c r="M234" i="7"/>
  <c r="M235" i="7" s="1"/>
  <c r="L235" i="7"/>
  <c r="C247" i="7" s="1"/>
  <c r="D247" i="7" s="1"/>
  <c r="H249" i="2" s="1"/>
  <c r="D240" i="6"/>
  <c r="H247" i="2" s="1"/>
  <c r="C243" i="6"/>
  <c r="D242" i="6"/>
  <c r="B243" i="6"/>
  <c r="D241" i="6"/>
  <c r="H248" i="2" s="1"/>
  <c r="D246" i="7"/>
  <c r="C248" i="7" l="1"/>
  <c r="D248" i="7" s="1"/>
  <c r="D243" i="6"/>
  <c r="H250"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6" background="1" saveData="1">
    <webPr consecutive="1" xl2000="1" url="https://myfno.com/api/stats?&amp;days=1d&amp;units=shares&amp;data=z,d,9,p,o,v,b,r,l,i,h,j,g,a,5,6,7,8,w,n,s,f,c,u,e,k,1,2,3,4,0,m" htmlFormat="all"/>
  </connection>
  <connection id="2" odcFile="C:\Users\Ambujkumar\Downloads\Expry Roll  (20).iqy" name="Expry Roll  (20)" type="4" refreshedVersion="6" background="1" saveData="1">
    <webPr consecutive="1" xl2000="1" url="https://myfno.com/api/stats?&amp;list=NIFTY_&amp;days=1d&amp;data=z,d,p,o,v,b,r,l,i,h,j,a,5,6,7,8,w,n,s,f,c,u,1,2,3,4,0,m" htmlFormat="all"/>
  </connection>
  <connection id="3" odcFile="C:\Users\Ambujkumar\Downloads\fii.iqy" name="fii" type="4" refreshedVersion="6" background="1" saveData="1">
    <webPr consecutive="1" xl2000="1" url="https://myfno.com/api/fii?&amp;days=1d" htmlTables="1" htmlFormat="all"/>
  </connection>
  <connection id="4" odcFile="C:\Users\Ambujkumar\Downloads\stats (2).iqy" name="stats (2)" type="4" refreshedVersion="6"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<sst xmlns="http://schemas.openxmlformats.org/spreadsheetml/2006/main" count="3491" uniqueCount="702">
  <si>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</si>
  <si>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</si>
  <si>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</si>
  <si>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</si>
  <si>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</si>
  <si>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</si>
  <si>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</si>
  <si>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</si>
  <si>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</si>
  <si>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</si>
  <si>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</si>
  <si>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</si>
  <si>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</si>
  <si>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</si>
  <si>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</si>
  <si>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</si>
  <si>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</si>
  <si>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</si>
  <si>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</si>
  <si>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</si>
  <si>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</si>
  <si>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</si>
  <si>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</si>
  <si>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</si>
  <si>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</si>
  <si>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</si>
  <si>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</si>
  <si>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</si>
  <si>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</si>
  <si>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</si>
  <si>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</si>
  <si>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</si>
  <si>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</si>
  <si>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</si>
  <si>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</si>
  <si>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</si>
  <si>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</si>
  <si>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</si>
  <si>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</si>
  <si>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</si>
  <si>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</si>
  <si>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</si>
  <si>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</si>
  <si>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</si>
  <si>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</si>
  <si>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</si>
  <si>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</si>
  <si>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</si>
  <si>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</si>
  <si>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</si>
  <si>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</si>
  <si>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</si>
  <si>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</si>
  <si>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</si>
  <si>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</si>
  <si>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</si>
  <si>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</si>
  <si>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</si>
  <si>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</si>
  <si>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</si>
  <si>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</si>
  <si>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</si>
  <si>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</si>
  <si>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</si>
  <si>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</si>
  <si>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</si>
  <si>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</si>
  <si>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</si>
  <si>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</si>
  <si>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</si>
  <si>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</si>
  <si>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</si>
  <si>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</si>
  <si>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</si>
  <si>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</si>
  <si>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</si>
  <si>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</si>
  <si>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</si>
  <si>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</si>
  <si>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</si>
  <si>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</si>
  <si>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</si>
  <si>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</si>
  <si>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</si>
  <si>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</si>
  <si>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</si>
  <si>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</si>
  <si>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</si>
  <si>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</si>
  <si>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</si>
  <si>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</si>
  <si>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</si>
  <si>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</si>
  <si>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</si>
  <si>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</si>
  <si>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</si>
  <si>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</si>
  <si>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</si>
  <si>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</si>
  <si>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</si>
  <si>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</si>
  <si>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</si>
  <si>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</si>
  <si>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</si>
  <si>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</si>
  <si>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</si>
  <si>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</si>
  <si>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</si>
  <si>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</si>
  <si>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</si>
  <si>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</si>
  <si>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</si>
  <si>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</si>
  <si>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</si>
  <si>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</si>
  <si>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</si>
  <si>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</si>
  <si>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</si>
  <si>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</si>
  <si>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</si>
  <si>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</si>
  <si>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</si>
  <si>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</si>
  <si>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</si>
  <si>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</si>
  <si>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</si>
  <si>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</si>
  <si>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</si>
  <si>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</si>
  <si>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</si>
  <si>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</si>
  <si>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</si>
  <si>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</si>
  <si>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</si>
  <si>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</si>
  <si>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</si>
  <si>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</si>
  <si>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</si>
  <si>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</si>
  <si>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</si>
  <si>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</si>
  <si>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</si>
  <si>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</si>
  <si>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</si>
  <si>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</si>
  <si>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</si>
  <si>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</si>
  <si>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</si>
  <si>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</si>
  <si>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</si>
  <si>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</si>
  <si>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</si>
  <si>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</si>
  <si>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</si>
  <si>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</si>
  <si>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</si>
  <si>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</si>
  <si>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</si>
  <si>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</si>
  <si>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</si>
  <si>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</si>
  <si>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</si>
  <si>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</si>
  <si>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</si>
  <si>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</si>
  <si>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</si>
  <si>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</si>
  <si>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</si>
  <si>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</si>
  <si>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</si>
  <si>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</si>
  <si>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</si>
  <si>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</si>
  <si>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</si>
  <si>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</si>
  <si>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</si>
  <si>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</si>
  <si>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</si>
  <si>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</si>
  <si>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</si>
  <si>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</si>
  <si>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</si>
  <si>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</si>
  <si>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</si>
  <si>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</si>
  <si>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</si>
  <si>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</si>
  <si>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</si>
  <si>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</si>
  <si>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</si>
  <si>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</si>
  <si>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</si>
  <si>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</si>
  <si>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</si>
  <si>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</si>
  <si>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</si>
  <si>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</si>
  <si>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</si>
  <si>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</si>
  <si>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</si>
  <si>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</si>
  <si>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</si>
  <si>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</si>
  <si>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</si>
  <si>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</si>
  <si>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</si>
  <si>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</si>
  <si>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</si>
  <si>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</si>
  <si>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</si>
  <si>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</si>
  <si>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</si>
  <si>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</si>
  <si>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</si>
  <si>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</si>
  <si>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</si>
  <si>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</si>
  <si>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</si>
  <si>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</si>
  <si>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</si>
  <si>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</si>
  <si>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</si>
  <si>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</si>
  <si>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</si>
  <si>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</si>
  <si>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</si>
  <si>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</si>
  <si>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</si>
  <si>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</si>
  <si>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</si>
  <si>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</si>
  <si>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</si>
  <si>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</si>
  <si>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</si>
  <si>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</si>
  <si>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</si>
  <si>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</si>
  <si>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</si>
  <si>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</si>
  <si>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</si>
  <si>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</si>
  <si>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</si>
  <si>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</si>
  <si>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</si>
  <si>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</si>
  <si>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</si>
  <si>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</si>
  <si>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</si>
  <si>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</si>
  <si>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</si>
  <si>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</si>
  <si>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</si>
  <si>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</si>
  <si>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</si>
  <si>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</si>
  <si>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</si>
  <si>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</si>
  <si>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</si>
  <si>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</si>
  <si>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</si>
  <si>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</si>
  <si>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</si>
  <si>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</si>
  <si>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</si>
  <si>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</si>
  <si>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</si>
  <si>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</si>
  <si>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</si>
  <si>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</si>
  <si>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</si>
  <si>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</si>
  <si>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</si>
  <si>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</si>
  <si>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</si>
  <si>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</si>
  <si>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</si>
  <si>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</si>
  <si>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</si>
  <si>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</si>
  <si>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</si>
  <si>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</si>
  <si>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</si>
  <si>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</si>
  <si>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</si>
  <si>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</si>
  <si>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</si>
  <si>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</si>
  <si>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</si>
  <si>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</si>
  <si>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</si>
  <si>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</si>
  <si>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</si>
  <si>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</si>
  <si>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</si>
  <si>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</si>
  <si>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</si>
  <si>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</si>
  <si>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</si>
  <si>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</si>
  <si>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</si>
  <si>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</si>
  <si>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</si>
  <si>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</si>
  <si>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</si>
  <si>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</si>
  <si>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</si>
  <si>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</si>
  <si>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</si>
  <si>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</si>
  <si>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</si>
  <si>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</si>
  <si>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</si>
  <si>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</si>
  <si>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</si>
  <si>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</si>
  <si>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</si>
  <si>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</si>
  <si>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</si>
  <si>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</si>
  <si>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</si>
  <si>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</si>
  <si>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</si>
  <si>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</si>
  <si>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</si>
  <si>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</si>
  <si>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</si>
  <si>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</si>
  <si>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</si>
  <si>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</si>
  <si>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</si>
  <si>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</si>
  <si>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</si>
  <si>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</si>
  <si>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</si>
  <si>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</si>
  <si>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</si>
  <si>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</si>
  <si>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</si>
  <si>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</si>
  <si>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</si>
  <si>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</si>
  <si>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</si>
  <si>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</si>
  <si>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</si>
  <si>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</si>
  <si>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</si>
  <si>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</si>
  <si>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</si>
  <si>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</si>
  <si>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</si>
  <si>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</si>
  <si>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</si>
  <si>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</si>
  <si>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</si>
  <si>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</si>
  <si>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</si>
  <si>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</si>
  <si>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</si>
  <si>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</si>
  <si>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</si>
  <si>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</si>
  <si>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</si>
  <si>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</si>
  <si>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</si>
  <si>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</si>
  <si>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</si>
  <si>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</si>
  <si>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</si>
  <si>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</si>
  <si>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</si>
  <si>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</si>
  <si>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</si>
  <si>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</si>
  <si>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</si>
  <si>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</si>
  <si>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</si>
  <si>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</si>
  <si>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</si>
  <si>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</si>
  <si>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</si>
  <si>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</si>
  <si>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</si>
  <si>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</si>
  <si>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</si>
  <si>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</si>
  <si>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</si>
  <si>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</si>
  <si>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</si>
  <si>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</si>
  <si>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</si>
  <si>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</si>
  <si>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</si>
  <si>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</si>
  <si>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</si>
  <si>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</si>
  <si>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</si>
  <si>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</si>
  <si>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</si>
  <si>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</si>
  <si>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</si>
  <si>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</si>
  <si>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</si>
  <si>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</si>
  <si>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</si>
  <si>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</si>
  <si>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</si>
  <si>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</si>
  <si>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</si>
  <si>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</si>
  <si>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</si>
  <si>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</si>
  <si>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</si>
  <si>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</si>
  <si>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</si>
  <si>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</si>
  <si>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</si>
  <si>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</si>
  <si>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</si>
  <si>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</si>
  <si>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</si>
  <si>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</si>
  <si>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</si>
  <si>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</si>
  <si>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</si>
  <si>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</si>
  <si>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</si>
  <si>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</si>
  <si>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</si>
  <si>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</si>
  <si>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</si>
  <si>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</si>
  <si>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</si>
  <si>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</si>
  <si>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</si>
  <si>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</si>
  <si>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</si>
  <si>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</si>
  <si>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</si>
  <si>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</si>
  <si>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</si>
  <si>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</si>
  <si>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</si>
  <si>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</si>
  <si>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</si>
  <si>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</si>
  <si>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</si>
  <si>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</si>
  <si>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</si>
  <si>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</si>
  <si>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</si>
  <si>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</si>
  <si>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</si>
  <si>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</si>
  <si>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</si>
  <si>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</si>
  <si>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</si>
  <si>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</si>
  <si>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</si>
  <si>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</si>
  <si>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</si>
  <si>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</si>
  <si>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</si>
  <si>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</si>
  <si>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</si>
  <si>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</si>
  <si>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</si>
  <si>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</si>
  <si>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</si>
  <si>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</si>
  <si>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</si>
  <si>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</si>
  <si>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</si>
  <si>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</si>
  <si>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</si>
  <si>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</si>
  <si>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</si>
  <si>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</si>
  <si>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</si>
  <si>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</si>
  <si>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</si>
  <si>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</si>
  <si>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</si>
  <si>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</si>
  <si>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</si>
  <si>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</si>
  <si>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</si>
  <si>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</si>
  <si>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</si>
  <si>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</si>
  <si>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</si>
  <si>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</si>
  <si>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</si>
  <si>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</si>
  <si>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</si>
  <si>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</si>
  <si>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</si>
  <si>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</si>
  <si>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</si>
  <si>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</si>
  <si>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</si>
  <si>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</si>
  <si>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</si>
  <si>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</si>
  <si>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</si>
  <si>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</si>
  <si>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</si>
  <si>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</si>
  <si>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</si>
  <si>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</si>
  <si>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</si>
  <si>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</si>
  <si>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</si>
  <si>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</si>
  <si>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</si>
  <si>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</si>
  <si>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</si>
  <si>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</si>
  <si>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</si>
  <si>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</si>
  <si>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</si>
  <si>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</si>
  <si>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</si>
  <si>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</si>
  <si>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</si>
  <si>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</si>
  <si>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</si>
  <si>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</si>
  <si>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</si>
  <si>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</si>
  <si>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</si>
  <si>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</si>
  <si>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</si>
  <si>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</si>
  <si>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</si>
  <si>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</si>
  <si>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</si>
  <si>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</si>
  <si>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</si>
  <si>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</si>
  <si>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</si>
  <si>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</si>
  <si>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</si>
  <si>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</si>
  <si>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</si>
  <si>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</si>
  <si>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</si>
  <si>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</si>
  <si>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</si>
  <si>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</si>
  <si>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</si>
  <si>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</si>
  <si>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</si>
  <si>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</si>
  <si>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</si>
  <si>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</si>
  <si>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</si>
  <si>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</si>
  <si>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</si>
  <si>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</si>
  <si>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</si>
  <si>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</si>
  <si>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</si>
  <si>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</si>
  <si>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</si>
  <si>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</si>
  <si>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</si>
  <si>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</si>
  <si>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</si>
  <si>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</si>
  <si>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</si>
  <si>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</si>
  <si>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</si>
  <si>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</si>
  <si>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</si>
  <si>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</si>
  <si>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</si>
  <si>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</si>
  <si>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</si>
  <si>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</si>
  <si>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</si>
  <si>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</si>
  <si>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</si>
  <si>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</si>
  <si>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</si>
  <si>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</si>
  <si>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</si>
  <si>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</si>
  <si>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</si>
  <si>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</si>
  <si>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</si>
  <si>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</si>
  <si>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</si>
  <si>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</si>
  <si>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</si>
  <si>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</si>
  <si>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</si>
  <si>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</si>
  <si>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</si>
  <si>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</si>
  <si>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</si>
  <si>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</si>
  <si>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</si>
  <si>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</si>
  <si>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</si>
  <si>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</si>
  <si>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</si>
  <si>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</si>
  <si>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</si>
  <si>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</si>
  <si>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</si>
  <si>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</si>
  <si>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</si>
  <si>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</si>
  <si>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</si>
  <si>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</si>
  <si>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</si>
  <si>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</si>
  <si>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</si>
  <si>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</si>
  <si>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</si>
  <si>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</si>
  <si>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</si>
  <si>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</si>
  <si>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</si>
  <si>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</si>
  <si>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</si>
  <si>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</si>
  <si>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</si>
  <si>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</si>
  <si>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</si>
  <si>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</si>
  <si>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</si>
  <si>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</si>
  <si>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</si>
  <si>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</si>
  <si>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</si>
  <si>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</si>
  <si>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</si>
  <si>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</si>
  <si>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</si>
  <si>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</si>
  <si>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</si>
  <si>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</si>
  <si>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</si>
  <si>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</si>
  <si>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</si>
  <si>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</si>
  <si>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</si>
  <si>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</si>
  <si>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</si>
  <si>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</si>
  <si>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</si>
  <si>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</si>
  <si>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</si>
  <si>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</si>
  <si>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</si>
  <si>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</si>
  <si>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</si>
  <si>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</si>
  <si>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</si>
  <si>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</si>
  <si>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</si>
  <si>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TATATECH</t>
  </si>
  <si>
    <t>IREDA</t>
  </si>
  <si>
    <t>PATANJALI</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</si>
  <si>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</si>
  <si>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</si>
  <si>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</si>
  <si>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</si>
  <si>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</si>
  <si>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</si>
  <si>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</si>
  <si>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</si>
  <si>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</si>
  <si>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</si>
  <si>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</si>
  <si>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</si>
  <si>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</si>
  <si>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</si>
  <si>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</si>
  <si>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</si>
  <si>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</si>
  <si>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</si>
  <si>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</si>
  <si>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</si>
  <si>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</si>
  <si>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</si>
  <si>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</si>
  <si>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PREMIERENE</t>
  </si>
  <si>
    <t>BAJAJHLDNG</t>
  </si>
  <si>
    <t>WAAREEENER</t>
  </si>
  <si>
    <t>SWIGGY</t>
  </si>
  <si>
    <t>LTM</t>
  </si>
  <si>
    <t>Short_Covering</t>
  </si>
  <si>
    <t>HYUNDAI</t>
  </si>
  <si>
    <t>ADANIPOWER</t>
  </si>
  <si>
    <t>COCHINSHIP</t>
  </si>
  <si>
    <t>VMM</t>
  </si>
  <si>
    <t>MOTILALOFS</t>
  </si>
  <si>
    <t>GODFRYPHLP</t>
  </si>
  <si>
    <t>FORCEMOT</t>
  </si>
  <si>
    <t>F&amp;O Market Trading Kit for 21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</si>
</sst>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2">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2" fontId="31" fillId="40" borderId="1" xfId="0" applyNumberFormat="1" applyFont="1" applyFill="1" applyBorder="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1"/>
  <sheetViews>
    <sheetView tabSelected="1" zoomScale="85" zoomScaleNormal="85" workbookViewId="0">
      <pane ySplit="10" topLeftCell="A242" activePane="bottomLeft" state="frozen"/>
      <selection activeCell="Q163" sqref="Q163"/>
      <selection pane="bottomLeft" activeCell="X267" sqref="X267"/>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4" t="s">
        <v>701</v>
      </c>
      <c r="B6" s="245"/>
      <c r="C6" s="245"/>
      <c r="D6" s="245"/>
      <c r="E6" s="245"/>
      <c r="F6" s="245"/>
      <c r="G6" s="245"/>
      <c r="H6" s="245"/>
      <c r="I6" s="245"/>
      <c r="J6" s="245"/>
      <c r="K6" s="245"/>
      <c r="L6" s="245"/>
      <c r="M6" s="245"/>
      <c r="N6" s="245"/>
      <c r="O6" s="245"/>
      <c r="P6" s="245"/>
      <c r="Q6" s="245"/>
      <c r="R6" s="245"/>
      <c r="S6" s="246"/>
    </row>
    <row r="7" spans="1:19" x14ac:dyDescent="0.25">
      <c r="A7" s="247"/>
      <c r="B7" s="248"/>
      <c r="C7" s="248"/>
      <c r="D7" s="248"/>
      <c r="E7" s="248"/>
      <c r="F7" s="248"/>
      <c r="G7" s="248"/>
      <c r="H7" s="248"/>
      <c r="I7" s="248"/>
      <c r="J7" s="248"/>
      <c r="K7" s="248"/>
      <c r="L7" s="248"/>
      <c r="M7" s="248"/>
      <c r="N7" s="248"/>
      <c r="O7" s="248"/>
      <c r="P7" s="248"/>
      <c r="Q7" s="248"/>
      <c r="R7" s="248"/>
      <c r="S7" s="249"/>
    </row>
    <row r="8" spans="1:19" s="64" customFormat="1" ht="15" customHeight="1" x14ac:dyDescent="0.25">
      <c r="A8" s="250"/>
      <c r="B8" s="2"/>
      <c r="C8" s="252" t="s">
        <v>308</v>
      </c>
      <c r="D8" s="253"/>
      <c r="E8" s="253"/>
      <c r="F8" s="253"/>
      <c r="G8" s="254"/>
      <c r="H8" s="252" t="s">
        <v>309</v>
      </c>
      <c r="I8" s="253"/>
      <c r="J8" s="253"/>
      <c r="K8" s="254"/>
      <c r="L8" s="255" t="s">
        <v>310</v>
      </c>
      <c r="M8" s="256"/>
      <c r="N8" s="256"/>
      <c r="O8" s="257"/>
      <c r="P8" s="252" t="s">
        <v>311</v>
      </c>
      <c r="Q8" s="253"/>
      <c r="R8" s="253"/>
      <c r="S8" s="254"/>
    </row>
    <row r="9" spans="1:19" s="64" customFormat="1" x14ac:dyDescent="0.25">
      <c r="A9" s="251"/>
      <c r="B9" s="2"/>
      <c r="C9" s="2" t="s">
        <v>312</v>
      </c>
      <c r="D9" s="252" t="s">
        <v>313</v>
      </c>
      <c r="E9" s="253"/>
      <c r="F9" s="253"/>
      <c r="G9" s="254"/>
      <c r="H9" s="252" t="s">
        <v>314</v>
      </c>
      <c r="I9" s="253"/>
      <c r="J9" s="253"/>
      <c r="K9" s="254"/>
      <c r="L9" s="252" t="s">
        <v>315</v>
      </c>
      <c r="M9" s="253"/>
      <c r="N9" s="253"/>
      <c r="O9" s="254"/>
      <c r="P9" s="252" t="s">
        <v>316</v>
      </c>
      <c r="Q9" s="254"/>
      <c r="R9" s="252" t="s">
        <v>317</v>
      </c>
      <c r="S9" s="254"/>
    </row>
    <row r="10" spans="1:19" s="67" customFormat="1" ht="27" customHeight="1" x14ac:dyDescent="0.25">
      <c r="A10" s="65" t="s">
        <v>318</v>
      </c>
      <c r="B10" s="65" t="s">
        <v>319</v>
      </c>
      <c r="C10" s="66">
        <f>'Data Vlaue (Cr)'!A2</f>
        <v>46132</v>
      </c>
      <c r="D10" s="66">
        <f>'Data Vlaue (Cr)'!A2</f>
        <v>46132</v>
      </c>
      <c r="E10" s="65" t="s">
        <v>322</v>
      </c>
      <c r="F10" s="65" t="s">
        <v>320</v>
      </c>
      <c r="G10" s="65" t="s">
        <v>321</v>
      </c>
      <c r="H10" s="66">
        <f>D10</f>
        <v>46132</v>
      </c>
      <c r="I10" s="65" t="s">
        <v>322</v>
      </c>
      <c r="J10" s="65" t="s">
        <v>323</v>
      </c>
      <c r="K10" s="65" t="s">
        <v>324</v>
      </c>
      <c r="L10" s="66">
        <f>D10</f>
        <v>46132</v>
      </c>
      <c r="M10" s="65" t="s">
        <v>322</v>
      </c>
      <c r="N10" s="65" t="s">
        <v>323</v>
      </c>
      <c r="O10" s="65" t="s">
        <v>324</v>
      </c>
      <c r="P10" s="66">
        <f>D10</f>
        <v>46132</v>
      </c>
      <c r="Q10" s="65" t="s">
        <v>324</v>
      </c>
      <c r="R10" s="66">
        <f>D10</f>
        <v>46132</v>
      </c>
      <c r="S10" s="65" t="s">
        <v>324</v>
      </c>
    </row>
    <row r="11" spans="1:19" x14ac:dyDescent="0.25">
      <c r="A11" s="96" t="str">
        <f>'Data Vlaue (Cr)'!C2</f>
        <v>360ONE</v>
      </c>
      <c r="B11" s="75">
        <f>VLOOKUP($A11,'Data Vlaue (Cr)'!$C:$FB,2)</f>
        <v>500</v>
      </c>
      <c r="C11" s="75">
        <f>VLOOKUP($A11,'Data Vlaue (Cr)'!$C:$FB,8)</f>
        <v>1109.25</v>
      </c>
      <c r="D11" s="75">
        <f>VLOOKUP($A11,'Data Vlaue (Cr)'!$C:$FB,4)</f>
        <v>1101.6500000000001</v>
      </c>
      <c r="E11" s="75">
        <f>VLOOKUP($A11,'Data Vlaue (Cr)'!$C:$FB,5)</f>
        <v>1114.6500000000001</v>
      </c>
      <c r="F11" s="75">
        <f>D11-C11</f>
        <v>-7.5999999999999091</v>
      </c>
      <c r="G11" s="75">
        <f>(D11-E11)/D11*100</f>
        <v>-1.180048109653701</v>
      </c>
      <c r="H11" s="75">
        <f>VLOOKUP($A11,'Data Vlaue (Cr)'!$C:$FB,99)</f>
        <v>1090</v>
      </c>
      <c r="I11" s="75">
        <f>VLOOKUP($A11,'Data Vlaue (Cr)'!$C:$FB,100)</f>
        <v>1087</v>
      </c>
      <c r="J11" s="75">
        <f>H11-I11</f>
        <v>3</v>
      </c>
      <c r="K11" s="75">
        <f>J11/H11*100</f>
        <v>0.27522935779816515</v>
      </c>
      <c r="L11" s="75">
        <f>VLOOKUP($A11,'Data Vlaue (Cr)'!$C:$FB,67)</f>
        <v>588</v>
      </c>
      <c r="M11" s="75">
        <f>VLOOKUP($A11,'Data Vlaue (Cr)'!$C:$FB,68)</f>
        <v>1153</v>
      </c>
      <c r="N11" s="75">
        <f>L11-M11</f>
        <v>-565</v>
      </c>
      <c r="O11" s="75">
        <f>N11/L11*100</f>
        <v>-96.088435374149668</v>
      </c>
      <c r="P11" s="75">
        <f>VLOOKUP($A11,'Data Vlaue (Cr)'!$C:$FB,119)</f>
        <v>1.1299999999999999</v>
      </c>
      <c r="Q11" s="75">
        <f>VLOOKUP($A11,'Data Vlaue (Cr)'!$C:$FB,122)*100</f>
        <v>-8.129999999999999</v>
      </c>
      <c r="R11" s="75">
        <f>VLOOKUP($A11,'Data Vlaue (Cr)'!$C:$FB,125)</f>
        <v>0.4</v>
      </c>
      <c r="S11" s="75">
        <f>VLOOKUP($A11,'Data Vlaue (Cr)'!$C:$FB,128)*100</f>
        <v>-25.929999999999996</v>
      </c>
    </row>
    <row r="12" spans="1:19" x14ac:dyDescent="0.25">
      <c r="A12" s="96" t="str">
        <f>'Data Vlaue (Cr)'!C3</f>
        <v>ABB</v>
      </c>
      <c r="B12" s="75">
        <f>VLOOKUP($A12,'Data Vlaue (Cr)'!$C:$FB,2)</f>
        <v>125</v>
      </c>
      <c r="C12" s="75">
        <f>VLOOKUP($A12,'Data Vlaue (Cr)'!$C:$FB,8)</f>
        <v>7158</v>
      </c>
      <c r="D12" s="75">
        <f>VLOOKUP($A12,'Data Vlaue (Cr)'!$C:$FB,4)</f>
        <v>7150.5</v>
      </c>
      <c r="E12" s="75">
        <f>VLOOKUP($A12,'Data Vlaue (Cr)'!$C:$FB,5)</f>
        <v>7037</v>
      </c>
      <c r="F12" s="75">
        <f t="shared" ref="F12:F75" si="0">D12-C12</f>
        <v>-7.5</v>
      </c>
      <c r="G12" s="75">
        <f t="shared" ref="G12:G74" si="1">(D12-E12)/D12*100</f>
        <v>1.5873015873015872</v>
      </c>
      <c r="H12" s="75">
        <f>VLOOKUP($A12,'Data Vlaue (Cr)'!$C:$FB,99)</f>
        <v>3678</v>
      </c>
      <c r="I12" s="75">
        <f>VLOOKUP($A12,'Data Vlaue (Cr)'!$C:$FB,100)</f>
        <v>3242</v>
      </c>
      <c r="J12" s="75">
        <f t="shared" ref="J12:J75" si="2">H12-I12</f>
        <v>436</v>
      </c>
      <c r="K12" s="75">
        <f t="shared" ref="K12:K75" si="3">J12/H12*100</f>
        <v>11.854268624252311</v>
      </c>
      <c r="L12" s="75">
        <f>VLOOKUP($A12,'Data Vlaue (Cr)'!$C:$FB,67)</f>
        <v>9089</v>
      </c>
      <c r="M12" s="75">
        <f>VLOOKUP($A12,'Data Vlaue (Cr)'!$C:$FB,68)</f>
        <v>4871</v>
      </c>
      <c r="N12" s="75">
        <f t="shared" ref="N12:N75" si="4">L12-M12</f>
        <v>4218</v>
      </c>
      <c r="O12" s="75">
        <f t="shared" ref="O12:O75" si="5">N12/L12*100</f>
        <v>46.40774562658158</v>
      </c>
      <c r="P12" s="75">
        <f>VLOOKUP($A12,'Data Vlaue (Cr)'!$C:$FB,119)</f>
        <v>0.91</v>
      </c>
      <c r="Q12" s="75">
        <f>VLOOKUP($A12,'Data Vlaue (Cr)'!$C:$FB,122)*100</f>
        <v>-19.470000000000002</v>
      </c>
      <c r="R12" s="75">
        <f>VLOOKUP($A12,'Data Vlaue (Cr)'!$C:$FB,125)</f>
        <v>0.36</v>
      </c>
      <c r="S12" s="75">
        <f>VLOOKUP($A12,'Data Vlaue (Cr)'!$C:$FB,128)*100</f>
        <v>-25</v>
      </c>
    </row>
    <row r="13" spans="1:19" x14ac:dyDescent="0.25">
      <c r="A13" s="96" t="str">
        <f>'Data Vlaue (Cr)'!C4</f>
        <v>ABCAPITAL</v>
      </c>
      <c r="B13" s="75">
        <f>VLOOKUP($A13,'Data Vlaue (Cr)'!$C:$FB,2)</f>
        <v>3100</v>
      </c>
      <c r="C13" s="75">
        <f>VLOOKUP($A13,'Data Vlaue (Cr)'!$C:$FB,8)</f>
        <v>341.6</v>
      </c>
      <c r="D13" s="75">
        <f>VLOOKUP($A13,'Data Vlaue (Cr)'!$C:$FB,4)</f>
        <v>341</v>
      </c>
      <c r="E13" s="75">
        <f>VLOOKUP($A13,'Data Vlaue (Cr)'!$C:$FB,5)</f>
        <v>340.8</v>
      </c>
      <c r="F13" s="75">
        <f t="shared" si="0"/>
        <v>-0.60000000000002274</v>
      </c>
      <c r="G13" s="75">
        <f t="shared" si="1"/>
        <v>5.865102639295855E-2</v>
      </c>
      <c r="H13" s="75">
        <f>VLOOKUP($A13,'Data Vlaue (Cr)'!$C:$FB,99)</f>
        <v>2251</v>
      </c>
      <c r="I13" s="75">
        <f>VLOOKUP($A13,'Data Vlaue (Cr)'!$C:$FB,100)</f>
        <v>2390</v>
      </c>
      <c r="J13" s="75">
        <f t="shared" si="2"/>
        <v>-139</v>
      </c>
      <c r="K13" s="75">
        <f t="shared" si="3"/>
        <v>-6.1750333185250996</v>
      </c>
      <c r="L13" s="75">
        <f>VLOOKUP($A13,'Data Vlaue (Cr)'!$C:$FB,67)</f>
        <v>1325</v>
      </c>
      <c r="M13" s="75">
        <f>VLOOKUP($A13,'Data Vlaue (Cr)'!$C:$FB,68)</f>
        <v>2483</v>
      </c>
      <c r="N13" s="75">
        <f t="shared" si="4"/>
        <v>-1158</v>
      </c>
      <c r="O13" s="75">
        <f t="shared" si="5"/>
        <v>-87.396226415094333</v>
      </c>
      <c r="P13" s="75">
        <f>VLOOKUP($A13,'Data Vlaue (Cr)'!$C:$FB,119)</f>
        <v>0.67</v>
      </c>
      <c r="Q13" s="75">
        <f>VLOOKUP($A13,'Data Vlaue (Cr)'!$C:$FB,122)*100</f>
        <v>9.84</v>
      </c>
      <c r="R13" s="75">
        <f>VLOOKUP($A13,'Data Vlaue (Cr)'!$C:$FB,125)</f>
        <v>0.45</v>
      </c>
      <c r="S13" s="75">
        <f>VLOOKUP($A13,'Data Vlaue (Cr)'!$C:$FB,128)*100</f>
        <v>87.5</v>
      </c>
    </row>
    <row r="14" spans="1:19" x14ac:dyDescent="0.25">
      <c r="A14" s="96" t="str">
        <f>'Data Vlaue (Cr)'!C5</f>
        <v>ADANIENSOL</v>
      </c>
      <c r="B14" s="75">
        <f>VLOOKUP($A14,'Data Vlaue (Cr)'!$C:$FB,2)</f>
        <v>675</v>
      </c>
      <c r="C14" s="75">
        <f>VLOOKUP($A14,'Data Vlaue (Cr)'!$C:$FB,8)</f>
        <v>1259.4000000000001</v>
      </c>
      <c r="D14" s="75">
        <f>VLOOKUP($A14,'Data Vlaue (Cr)'!$C:$FB,4)</f>
        <v>1258.3</v>
      </c>
      <c r="E14" s="75">
        <f>VLOOKUP($A14,'Data Vlaue (Cr)'!$C:$FB,5)</f>
        <v>1261.7</v>
      </c>
      <c r="F14" s="75">
        <f t="shared" si="0"/>
        <v>-1.1000000000001364</v>
      </c>
      <c r="G14" s="75">
        <f t="shared" si="1"/>
        <v>-0.27020583326711367</v>
      </c>
      <c r="H14" s="75">
        <f>VLOOKUP($A14,'Data Vlaue (Cr)'!$C:$FB,99)</f>
        <v>3707</v>
      </c>
      <c r="I14" s="75">
        <f>VLOOKUP($A14,'Data Vlaue (Cr)'!$C:$FB,100)</f>
        <v>3771</v>
      </c>
      <c r="J14" s="75">
        <f t="shared" si="2"/>
        <v>-64</v>
      </c>
      <c r="K14" s="75">
        <f t="shared" si="3"/>
        <v>-1.7264634475316967</v>
      </c>
      <c r="L14" s="75">
        <f>VLOOKUP($A14,'Data Vlaue (Cr)'!$C:$FB,67)</f>
        <v>1994</v>
      </c>
      <c r="M14" s="75">
        <f>VLOOKUP($A14,'Data Vlaue (Cr)'!$C:$FB,68)</f>
        <v>3313</v>
      </c>
      <c r="N14" s="75">
        <f t="shared" si="4"/>
        <v>-1319</v>
      </c>
      <c r="O14" s="75">
        <f>N14/L14*100</f>
        <v>-66.148445336008024</v>
      </c>
      <c r="P14" s="75">
        <f>VLOOKUP($A14,'Data Vlaue (Cr)'!$C:$FB,119)</f>
        <v>0.64</v>
      </c>
      <c r="Q14" s="75">
        <f>VLOOKUP($A14,'Data Vlaue (Cr)'!$C:$FB,122)*100</f>
        <v>-7.2499999999999991</v>
      </c>
      <c r="R14" s="75">
        <f>VLOOKUP($A14,'Data Vlaue (Cr)'!$C:$FB,125)</f>
        <v>0.38</v>
      </c>
      <c r="S14" s="75">
        <f>VLOOKUP($A14,'Data Vlaue (Cr)'!$C:$FB,128)*100</f>
        <v>-30.91</v>
      </c>
    </row>
    <row r="15" spans="1:19" x14ac:dyDescent="0.25">
      <c r="A15" s="96" t="str">
        <f>'Data Vlaue (Cr)'!C6</f>
        <v>ADANIENT</v>
      </c>
      <c r="B15" s="75">
        <f>VLOOKUP($A15,'Data Vlaue (Cr)'!$C:$FB,2)</f>
        <v>309</v>
      </c>
      <c r="C15" s="75">
        <f>VLOOKUP($A15,'Data Vlaue (Cr)'!$C:$FB,8)</f>
        <v>2229.6</v>
      </c>
      <c r="D15" s="75">
        <f>VLOOKUP($A15,'Data Vlaue (Cr)'!$C:$FB,4)</f>
        <v>2230.5</v>
      </c>
      <c r="E15" s="75">
        <f>VLOOKUP($A15,'Data Vlaue (Cr)'!$C:$FB,5)</f>
        <v>2224.9</v>
      </c>
      <c r="F15" s="75">
        <f t="shared" si="0"/>
        <v>0.90000000000009095</v>
      </c>
      <c r="G15" s="75">
        <f t="shared" si="1"/>
        <v>0.251064783680785</v>
      </c>
      <c r="H15" s="75">
        <f>VLOOKUP($A15,'Data Vlaue (Cr)'!$C:$FB,99)</f>
        <v>7087</v>
      </c>
      <c r="I15" s="75">
        <f>VLOOKUP($A15,'Data Vlaue (Cr)'!$C:$FB,100)</f>
        <v>7002</v>
      </c>
      <c r="J15" s="75">
        <f t="shared" si="2"/>
        <v>85</v>
      </c>
      <c r="K15" s="75">
        <f t="shared" si="3"/>
        <v>1.1993791449132214</v>
      </c>
      <c r="L15" s="75">
        <f>VLOOKUP($A15,'Data Vlaue (Cr)'!$C:$FB,67)</f>
        <v>5621</v>
      </c>
      <c r="M15" s="75">
        <f>VLOOKUP($A15,'Data Vlaue (Cr)'!$C:$FB,68)</f>
        <v>5448</v>
      </c>
      <c r="N15" s="75">
        <f t="shared" si="4"/>
        <v>173</v>
      </c>
      <c r="O15" s="75">
        <f t="shared" si="5"/>
        <v>3.0777441736345845</v>
      </c>
      <c r="P15" s="75">
        <f>VLOOKUP($A15,'Data Vlaue (Cr)'!$C:$FB,119)</f>
        <v>1</v>
      </c>
      <c r="Q15" s="75">
        <f>VLOOKUP($A15,'Data Vlaue (Cr)'!$C:$FB,122)*100</f>
        <v>6.38</v>
      </c>
      <c r="R15" s="75">
        <f>VLOOKUP($A15,'Data Vlaue (Cr)'!$C:$FB,125)</f>
        <v>0.52</v>
      </c>
      <c r="S15" s="75">
        <f>VLOOKUP($A15,'Data Vlaue (Cr)'!$C:$FB,128)*100</f>
        <v>8.33</v>
      </c>
    </row>
    <row r="16" spans="1:19" x14ac:dyDescent="0.25">
      <c r="A16" s="96" t="str">
        <f>'Data Vlaue (Cr)'!C7</f>
        <v>ADANIGREEN</v>
      </c>
      <c r="B16" s="75">
        <f>VLOOKUP($A16,'Data Vlaue (Cr)'!$C:$FB,2)</f>
        <v>600</v>
      </c>
      <c r="C16" s="75">
        <f>VLOOKUP($A16,'Data Vlaue (Cr)'!$C:$FB,8)</f>
        <v>1152.7</v>
      </c>
      <c r="D16" s="75">
        <f>VLOOKUP($A16,'Data Vlaue (Cr)'!$C:$FB,4)</f>
        <v>1154.5</v>
      </c>
      <c r="E16" s="75">
        <f>VLOOKUP($A16,'Data Vlaue (Cr)'!$C:$FB,5)</f>
        <v>1129.1500000000001</v>
      </c>
      <c r="F16" s="75">
        <f t="shared" si="0"/>
        <v>1.7999999999999545</v>
      </c>
      <c r="G16" s="75">
        <f t="shared" si="1"/>
        <v>2.1957557384148902</v>
      </c>
      <c r="H16" s="75">
        <f>VLOOKUP($A16,'Data Vlaue (Cr)'!$C:$FB,99)</f>
        <v>4357</v>
      </c>
      <c r="I16" s="75">
        <f>VLOOKUP($A16,'Data Vlaue (Cr)'!$C:$FB,100)</f>
        <v>4173</v>
      </c>
      <c r="J16" s="75">
        <f t="shared" si="2"/>
        <v>184</v>
      </c>
      <c r="K16" s="75">
        <f t="shared" si="3"/>
        <v>4.2230892816157901</v>
      </c>
      <c r="L16" s="75">
        <f>VLOOKUP($A16,'Data Vlaue (Cr)'!$C:$FB,67)</f>
        <v>5782</v>
      </c>
      <c r="M16" s="75">
        <f>VLOOKUP($A16,'Data Vlaue (Cr)'!$C:$FB,68)</f>
        <v>2789</v>
      </c>
      <c r="N16" s="75">
        <f t="shared" si="4"/>
        <v>2993</v>
      </c>
      <c r="O16" s="75">
        <f t="shared" si="5"/>
        <v>51.764095468695949</v>
      </c>
      <c r="P16" s="75">
        <f>VLOOKUP($A16,'Data Vlaue (Cr)'!$C:$FB,119)</f>
        <v>0.76</v>
      </c>
      <c r="Q16" s="75">
        <f>VLOOKUP($A16,'Data Vlaue (Cr)'!$C:$FB,122)*100</f>
        <v>-9.5200000000000014</v>
      </c>
      <c r="R16" s="75">
        <f>VLOOKUP($A16,'Data Vlaue (Cr)'!$C:$FB,125)</f>
        <v>0.43</v>
      </c>
      <c r="S16" s="75">
        <f>VLOOKUP($A16,'Data Vlaue (Cr)'!$C:$FB,128)*100</f>
        <v>-14.000000000000002</v>
      </c>
    </row>
    <row r="17" spans="1:19" x14ac:dyDescent="0.25">
      <c r="A17" s="96" t="str">
        <f>'Data Vlaue (Cr)'!C8</f>
        <v>ADANIPORTS</v>
      </c>
      <c r="B17" s="75">
        <f>VLOOKUP($A17,'Data Vlaue (Cr)'!$C:$FB,2)</f>
        <v>475</v>
      </c>
      <c r="C17" s="75">
        <f>VLOOKUP($A17,'Data Vlaue (Cr)'!$C:$FB,8)</f>
        <v>1578.4</v>
      </c>
      <c r="D17" s="75">
        <f>VLOOKUP($A17,'Data Vlaue (Cr)'!$C:$FB,4)</f>
        <v>1581.1</v>
      </c>
      <c r="E17" s="75">
        <f>VLOOKUP($A17,'Data Vlaue (Cr)'!$C:$FB,5)</f>
        <v>1573.2</v>
      </c>
      <c r="F17" s="75">
        <f t="shared" si="0"/>
        <v>2.6999999999998181</v>
      </c>
      <c r="G17" s="75">
        <f t="shared" si="1"/>
        <v>0.49965214091454452</v>
      </c>
      <c r="H17" s="75">
        <f>VLOOKUP($A17,'Data Vlaue (Cr)'!$C:$FB,99)</f>
        <v>5928</v>
      </c>
      <c r="I17" s="75">
        <f>VLOOKUP($A17,'Data Vlaue (Cr)'!$C:$FB,100)</f>
        <v>5876</v>
      </c>
      <c r="J17" s="75">
        <f t="shared" si="2"/>
        <v>52</v>
      </c>
      <c r="K17" s="75">
        <f t="shared" si="3"/>
        <v>0.8771929824561403</v>
      </c>
      <c r="L17" s="75">
        <f>VLOOKUP($A17,'Data Vlaue (Cr)'!$C:$FB,67)</f>
        <v>4899</v>
      </c>
      <c r="M17" s="75">
        <f>VLOOKUP($A17,'Data Vlaue (Cr)'!$C:$FB,68)</f>
        <v>6542</v>
      </c>
      <c r="N17" s="75">
        <f t="shared" si="4"/>
        <v>-1643</v>
      </c>
      <c r="O17" s="75">
        <f t="shared" si="5"/>
        <v>-33.537456623800779</v>
      </c>
      <c r="P17" s="75">
        <f>VLOOKUP($A17,'Data Vlaue (Cr)'!$C:$FB,119)</f>
        <v>0.92</v>
      </c>
      <c r="Q17" s="75">
        <f>VLOOKUP($A17,'Data Vlaue (Cr)'!$C:$FB,122)*100</f>
        <v>9.5200000000000014</v>
      </c>
      <c r="R17" s="75">
        <f>VLOOKUP($A17,'Data Vlaue (Cr)'!$C:$FB,125)</f>
        <v>0.57999999999999996</v>
      </c>
      <c r="S17" s="75">
        <f>VLOOKUP($A17,'Data Vlaue (Cr)'!$C:$FB,128)*100</f>
        <v>20.830000000000002</v>
      </c>
    </row>
    <row r="18" spans="1:19" x14ac:dyDescent="0.25">
      <c r="A18" s="96" t="str">
        <f>'Data Vlaue (Cr)'!C9</f>
        <v>ADANIPOWER</v>
      </c>
      <c r="B18" s="75">
        <f>VLOOKUP($A18,'Data Vlaue (Cr)'!$C:$FB,2)</f>
        <v>3550</v>
      </c>
      <c r="C18" s="75">
        <f>VLOOKUP($A18,'Data Vlaue (Cr)'!$C:$FB,8)</f>
        <v>200.83</v>
      </c>
      <c r="D18" s="75">
        <f>VLOOKUP($A18,'Data Vlaue (Cr)'!$C:$FB,4)</f>
        <v>200.66</v>
      </c>
      <c r="E18" s="75">
        <f>VLOOKUP($A18,'Data Vlaue (Cr)'!$C:$FB,5)</f>
        <v>199.23</v>
      </c>
      <c r="F18" s="75">
        <f t="shared" si="0"/>
        <v>-0.17000000000001592</v>
      </c>
      <c r="G18" s="75">
        <f t="shared" si="1"/>
        <v>0.71264826073956289</v>
      </c>
      <c r="H18" s="75">
        <f>VLOOKUP($A18,'Data Vlaue (Cr)'!$C:$FB,99)</f>
        <v>2971</v>
      </c>
      <c r="I18" s="75">
        <f>VLOOKUP($A18,'Data Vlaue (Cr)'!$C:$FB,100)</f>
        <v>2705</v>
      </c>
      <c r="J18" s="75">
        <f t="shared" si="2"/>
        <v>266</v>
      </c>
      <c r="K18" s="75">
        <f t="shared" si="3"/>
        <v>8.9532144059239318</v>
      </c>
      <c r="L18" s="75">
        <f>VLOOKUP($A18,'Data Vlaue (Cr)'!$C:$FB,67)</f>
        <v>4837</v>
      </c>
      <c r="M18" s="75">
        <f>VLOOKUP($A18,'Data Vlaue (Cr)'!$C:$FB,68)</f>
        <v>4830</v>
      </c>
      <c r="N18" s="75">
        <f t="shared" si="4"/>
        <v>7</v>
      </c>
      <c r="O18" s="75">
        <f t="shared" si="5"/>
        <v>0.14471780028943559</v>
      </c>
      <c r="P18" s="75">
        <f>VLOOKUP($A18,'Data Vlaue (Cr)'!$C:$FB,119)</f>
        <v>0.69</v>
      </c>
      <c r="Q18" s="75">
        <f>VLOOKUP($A18,'Data Vlaue (Cr)'!$C:$FB,122)*100</f>
        <v>-6.76</v>
      </c>
      <c r="R18" s="75">
        <f>VLOOKUP($A18,'Data Vlaue (Cr)'!$C:$FB,125)</f>
        <v>0.34</v>
      </c>
      <c r="S18" s="75">
        <f>VLOOKUP($A18,'Data Vlaue (Cr)'!$C:$FB,128)*100</f>
        <v>-8.1100000000000012</v>
      </c>
    </row>
    <row r="19" spans="1:19" x14ac:dyDescent="0.25">
      <c r="A19" s="96" t="str">
        <f>'Data Vlaue (Cr)'!C10</f>
        <v>ALKEM</v>
      </c>
      <c r="B19" s="75">
        <f>VLOOKUP($A19,'Data Vlaue (Cr)'!$C:$FB,2)</f>
        <v>125</v>
      </c>
      <c r="C19" s="75">
        <f>VLOOKUP($A19,'Data Vlaue (Cr)'!$C:$FB,8)</f>
        <v>5642</v>
      </c>
      <c r="D19" s="75">
        <f>VLOOKUP($A19,'Data Vlaue (Cr)'!$C:$FB,4)</f>
        <v>5638</v>
      </c>
      <c r="E19" s="75">
        <f>VLOOKUP($A19,'Data Vlaue (Cr)'!$C:$FB,5)</f>
        <v>5579</v>
      </c>
      <c r="F19" s="75">
        <f t="shared" si="0"/>
        <v>-4</v>
      </c>
      <c r="G19" s="75">
        <f t="shared" si="1"/>
        <v>1.0464703795672226</v>
      </c>
      <c r="H19" s="75">
        <f>VLOOKUP($A19,'Data Vlaue (Cr)'!$C:$FB,99)</f>
        <v>1005</v>
      </c>
      <c r="I19" s="75">
        <f>VLOOKUP($A19,'Data Vlaue (Cr)'!$C:$FB,100)</f>
        <v>906</v>
      </c>
      <c r="J19" s="75">
        <f t="shared" si="2"/>
        <v>99</v>
      </c>
      <c r="K19" s="75">
        <f t="shared" si="3"/>
        <v>9.8507462686567173</v>
      </c>
      <c r="L19" s="75">
        <f>VLOOKUP($A19,'Data Vlaue (Cr)'!$C:$FB,67)</f>
        <v>862</v>
      </c>
      <c r="M19" s="75">
        <f>VLOOKUP($A19,'Data Vlaue (Cr)'!$C:$FB,68)</f>
        <v>270</v>
      </c>
      <c r="N19" s="75">
        <f t="shared" si="4"/>
        <v>592</v>
      </c>
      <c r="O19" s="75">
        <f t="shared" si="5"/>
        <v>68.677494199535957</v>
      </c>
      <c r="P19" s="75">
        <f>VLOOKUP($A19,'Data Vlaue (Cr)'!$C:$FB,119)</f>
        <v>0.53</v>
      </c>
      <c r="Q19" s="75">
        <f>VLOOKUP($A19,'Data Vlaue (Cr)'!$C:$FB,122)*100</f>
        <v>-1.8499999999999999</v>
      </c>
      <c r="R19" s="75">
        <f>VLOOKUP($A19,'Data Vlaue (Cr)'!$C:$FB,125)</f>
        <v>0.24</v>
      </c>
      <c r="S19" s="75">
        <f>VLOOKUP($A19,'Data Vlaue (Cr)'!$C:$FB,128)*100</f>
        <v>-27.27</v>
      </c>
    </row>
    <row r="20" spans="1:19" x14ac:dyDescent="0.25">
      <c r="A20" s="96" t="str">
        <f>'Data Vlaue (Cr)'!C11</f>
        <v>AMBER</v>
      </c>
      <c r="B20" s="75">
        <f>VLOOKUP($A20,'Data Vlaue (Cr)'!$C:$FB,2)</f>
        <v>100</v>
      </c>
      <c r="C20" s="75">
        <f>VLOOKUP($A20,'Data Vlaue (Cr)'!$C:$FB,8)</f>
        <v>7980.5</v>
      </c>
      <c r="D20" s="75">
        <f>VLOOKUP($A20,'Data Vlaue (Cr)'!$C:$FB,4)</f>
        <v>7944</v>
      </c>
      <c r="E20" s="75">
        <f>VLOOKUP($A20,'Data Vlaue (Cr)'!$C:$FB,5)</f>
        <v>7941.5</v>
      </c>
      <c r="F20" s="75">
        <f t="shared" si="0"/>
        <v>-36.5</v>
      </c>
      <c r="G20" s="75">
        <f t="shared" si="1"/>
        <v>3.1470292044310171E-2</v>
      </c>
      <c r="H20" s="75">
        <f>VLOOKUP($A20,'Data Vlaue (Cr)'!$C:$FB,99)</f>
        <v>2447</v>
      </c>
      <c r="I20" s="75">
        <f>VLOOKUP($A20,'Data Vlaue (Cr)'!$C:$FB,100)</f>
        <v>2434</v>
      </c>
      <c r="J20" s="75">
        <f t="shared" si="2"/>
        <v>13</v>
      </c>
      <c r="K20" s="75">
        <f t="shared" si="3"/>
        <v>0.5312627707396812</v>
      </c>
      <c r="L20" s="75">
        <f>VLOOKUP($A20,'Data Vlaue (Cr)'!$C:$FB,67)</f>
        <v>2649</v>
      </c>
      <c r="M20" s="75">
        <f>VLOOKUP($A20,'Data Vlaue (Cr)'!$C:$FB,68)</f>
        <v>3279</v>
      </c>
      <c r="N20" s="75">
        <f t="shared" si="4"/>
        <v>-630</v>
      </c>
      <c r="O20" s="75">
        <f t="shared" si="5"/>
        <v>-23.782559456398641</v>
      </c>
      <c r="P20" s="75">
        <f>VLOOKUP($A20,'Data Vlaue (Cr)'!$C:$FB,119)</f>
        <v>0.68</v>
      </c>
      <c r="Q20" s="75">
        <f>VLOOKUP($A20,'Data Vlaue (Cr)'!$C:$FB,122)*100</f>
        <v>-12.82</v>
      </c>
      <c r="R20" s="75">
        <f>VLOOKUP($A20,'Data Vlaue (Cr)'!$C:$FB,125)</f>
        <v>0.75</v>
      </c>
      <c r="S20" s="75">
        <f>VLOOKUP($A20,'Data Vlaue (Cr)'!$C:$FB,128)*100</f>
        <v>36.36</v>
      </c>
    </row>
    <row r="21" spans="1:19" x14ac:dyDescent="0.25">
      <c r="A21" s="96" t="str">
        <f>'Data Vlaue (Cr)'!C12</f>
        <v>AMBUJACEM</v>
      </c>
      <c r="B21" s="75">
        <f>VLOOKUP($A21,'Data Vlaue (Cr)'!$C:$FB,2)</f>
        <v>1050</v>
      </c>
      <c r="C21" s="75">
        <f>VLOOKUP($A21,'Data Vlaue (Cr)'!$C:$FB,8)</f>
        <v>454.9</v>
      </c>
      <c r="D21" s="75">
        <f>VLOOKUP($A21,'Data Vlaue (Cr)'!$C:$FB,4)</f>
        <v>454.95</v>
      </c>
      <c r="E21" s="75">
        <f>VLOOKUP($A21,'Data Vlaue (Cr)'!$C:$FB,5)</f>
        <v>458.8</v>
      </c>
      <c r="F21" s="75">
        <f t="shared" si="0"/>
        <v>5.0000000000011369E-2</v>
      </c>
      <c r="G21" s="75">
        <f t="shared" si="1"/>
        <v>-0.84624684031212716</v>
      </c>
      <c r="H21" s="75">
        <f>VLOOKUP($A21,'Data Vlaue (Cr)'!$C:$FB,99)</f>
        <v>3639</v>
      </c>
      <c r="I21" s="75">
        <f>VLOOKUP($A21,'Data Vlaue (Cr)'!$C:$FB,100)</f>
        <v>3652</v>
      </c>
      <c r="J21" s="75">
        <f t="shared" si="2"/>
        <v>-13</v>
      </c>
      <c r="K21" s="75">
        <f t="shared" si="3"/>
        <v>-0.35724100027480077</v>
      </c>
      <c r="L21" s="75">
        <f>VLOOKUP($A21,'Data Vlaue (Cr)'!$C:$FB,67)</f>
        <v>953</v>
      </c>
      <c r="M21" s="75">
        <f>VLOOKUP($A21,'Data Vlaue (Cr)'!$C:$FB,68)</f>
        <v>655</v>
      </c>
      <c r="N21" s="75">
        <f t="shared" si="4"/>
        <v>298</v>
      </c>
      <c r="O21" s="75">
        <f t="shared" si="5"/>
        <v>31.269674711437567</v>
      </c>
      <c r="P21" s="75">
        <f>VLOOKUP($A21,'Data Vlaue (Cr)'!$C:$FB,119)</f>
        <v>0.94</v>
      </c>
      <c r="Q21" s="75">
        <f>VLOOKUP($A21,'Data Vlaue (Cr)'!$C:$FB,122)*100</f>
        <v>0</v>
      </c>
      <c r="R21" s="75">
        <f>VLOOKUP($A21,'Data Vlaue (Cr)'!$C:$FB,125)</f>
        <v>0.35</v>
      </c>
      <c r="S21" s="75">
        <f>VLOOKUP($A21,'Data Vlaue (Cr)'!$C:$FB,128)*100</f>
        <v>-37.5</v>
      </c>
    </row>
    <row r="22" spans="1:19" x14ac:dyDescent="0.25">
      <c r="A22" s="96" t="str">
        <f>'Data Vlaue (Cr)'!C13</f>
        <v>ANGELONE</v>
      </c>
      <c r="B22" s="75">
        <f>VLOOKUP($A22,'Data Vlaue (Cr)'!$C:$FB,2)</f>
        <v>2500</v>
      </c>
      <c r="C22" s="75">
        <f>VLOOKUP($A22,'Data Vlaue (Cr)'!$C:$FB,8)</f>
        <v>319.16000000000003</v>
      </c>
      <c r="D22" s="75">
        <f>VLOOKUP($A22,'Data Vlaue (Cr)'!$C:$FB,4)</f>
        <v>319.7</v>
      </c>
      <c r="E22" s="75">
        <f>VLOOKUP($A22,'Data Vlaue (Cr)'!$C:$FB,5)</f>
        <v>322.60000000000002</v>
      </c>
      <c r="F22" s="75">
        <f t="shared" si="0"/>
        <v>0.53999999999996362</v>
      </c>
      <c r="G22" s="75">
        <f t="shared" si="1"/>
        <v>-0.90710040663122737</v>
      </c>
      <c r="H22" s="75">
        <f>VLOOKUP($A22,'Data Vlaue (Cr)'!$C:$FB,99)</f>
        <v>3235</v>
      </c>
      <c r="I22" s="75">
        <f>VLOOKUP($A22,'Data Vlaue (Cr)'!$C:$FB,100)</f>
        <v>3325</v>
      </c>
      <c r="J22" s="75">
        <f t="shared" si="2"/>
        <v>-90</v>
      </c>
      <c r="K22" s="75">
        <f t="shared" si="3"/>
        <v>-2.7820710973724885</v>
      </c>
      <c r="L22" s="75">
        <f>VLOOKUP($A22,'Data Vlaue (Cr)'!$C:$FB,67)</f>
        <v>6542</v>
      </c>
      <c r="M22" s="75">
        <f>VLOOKUP($A22,'Data Vlaue (Cr)'!$C:$FB,68)</f>
        <v>22015</v>
      </c>
      <c r="N22" s="75">
        <f t="shared" si="4"/>
        <v>-15473</v>
      </c>
      <c r="O22" s="75">
        <f t="shared" si="5"/>
        <v>-236.51788443900949</v>
      </c>
      <c r="P22" s="75">
        <f>VLOOKUP($A22,'Data Vlaue (Cr)'!$C:$FB,119)</f>
        <v>0.98</v>
      </c>
      <c r="Q22" s="75">
        <f>VLOOKUP($A22,'Data Vlaue (Cr)'!$C:$FB,122)*100</f>
        <v>-20.330000000000002</v>
      </c>
      <c r="R22" s="75">
        <f>VLOOKUP($A22,'Data Vlaue (Cr)'!$C:$FB,125)</f>
        <v>0.73</v>
      </c>
      <c r="S22" s="75">
        <f>VLOOKUP($A22,'Data Vlaue (Cr)'!$C:$FB,128)*100</f>
        <v>52.080000000000005</v>
      </c>
    </row>
    <row r="23" spans="1:19" x14ac:dyDescent="0.25">
      <c r="A23" s="96" t="str">
        <f>'Data Vlaue (Cr)'!C14</f>
        <v>APLAPOLLO</v>
      </c>
      <c r="B23" s="75">
        <f>VLOOKUP($A23,'Data Vlaue (Cr)'!$C:$FB,2)</f>
        <v>350</v>
      </c>
      <c r="C23" s="75">
        <f>VLOOKUP($A23,'Data Vlaue (Cr)'!$C:$FB,8)</f>
        <v>2143.9</v>
      </c>
      <c r="D23" s="75">
        <f>VLOOKUP($A23,'Data Vlaue (Cr)'!$C:$FB,4)</f>
        <v>2140.5</v>
      </c>
      <c r="E23" s="75">
        <f>VLOOKUP($A23,'Data Vlaue (Cr)'!$C:$FB,5)</f>
        <v>2105.9</v>
      </c>
      <c r="F23" s="75">
        <f t="shared" si="0"/>
        <v>-3.4000000000000909</v>
      </c>
      <c r="G23" s="75">
        <f t="shared" si="1"/>
        <v>1.6164447558981505</v>
      </c>
      <c r="H23" s="75">
        <f>VLOOKUP($A23,'Data Vlaue (Cr)'!$C:$FB,99)</f>
        <v>1488</v>
      </c>
      <c r="I23" s="75">
        <f>VLOOKUP($A23,'Data Vlaue (Cr)'!$C:$FB,100)</f>
        <v>1551</v>
      </c>
      <c r="J23" s="75">
        <f t="shared" si="2"/>
        <v>-63</v>
      </c>
      <c r="K23" s="75">
        <f t="shared" si="3"/>
        <v>-4.2338709677419351</v>
      </c>
      <c r="L23" s="75">
        <f>VLOOKUP($A23,'Data Vlaue (Cr)'!$C:$FB,67)</f>
        <v>978</v>
      </c>
      <c r="M23" s="75">
        <f>VLOOKUP($A23,'Data Vlaue (Cr)'!$C:$FB,68)</f>
        <v>1223</v>
      </c>
      <c r="N23" s="75">
        <f t="shared" si="4"/>
        <v>-245</v>
      </c>
      <c r="O23" s="75">
        <f t="shared" si="5"/>
        <v>-25.051124744376281</v>
      </c>
      <c r="P23" s="75">
        <f>VLOOKUP($A23,'Data Vlaue (Cr)'!$C:$FB,119)</f>
        <v>0.71</v>
      </c>
      <c r="Q23" s="75">
        <f>VLOOKUP($A23,'Data Vlaue (Cr)'!$C:$FB,122)*100</f>
        <v>5.9700000000000006</v>
      </c>
      <c r="R23" s="75">
        <f>VLOOKUP($A23,'Data Vlaue (Cr)'!$C:$FB,125)</f>
        <v>0.4</v>
      </c>
      <c r="S23" s="75">
        <f>VLOOKUP($A23,'Data Vlaue (Cr)'!$C:$FB,128)*100</f>
        <v>42.86</v>
      </c>
    </row>
    <row r="24" spans="1:19" x14ac:dyDescent="0.25">
      <c r="A24" s="96" t="str">
        <f>'Data Vlaue (Cr)'!C15</f>
        <v>APOLLOHOSP</v>
      </c>
      <c r="B24" s="75">
        <f>VLOOKUP($A24,'Data Vlaue (Cr)'!$C:$FB,2)</f>
        <v>125</v>
      </c>
      <c r="C24" s="75">
        <f>VLOOKUP($A24,'Data Vlaue (Cr)'!$C:$FB,8)</f>
        <v>7657</v>
      </c>
      <c r="D24" s="75">
        <f>VLOOKUP($A24,'Data Vlaue (Cr)'!$C:$FB,4)</f>
        <v>7650</v>
      </c>
      <c r="E24" s="75">
        <f>VLOOKUP($A24,'Data Vlaue (Cr)'!$C:$FB,5)</f>
        <v>7698</v>
      </c>
      <c r="F24" s="75">
        <f t="shared" si="0"/>
        <v>-7</v>
      </c>
      <c r="G24" s="75">
        <f t="shared" si="1"/>
        <v>-0.62745098039215685</v>
      </c>
      <c r="H24" s="75">
        <f>VLOOKUP($A24,'Data Vlaue (Cr)'!$C:$FB,99)</f>
        <v>3095</v>
      </c>
      <c r="I24" s="75">
        <f>VLOOKUP($A24,'Data Vlaue (Cr)'!$C:$FB,100)</f>
        <v>3110</v>
      </c>
      <c r="J24" s="75">
        <f t="shared" si="2"/>
        <v>-15</v>
      </c>
      <c r="K24" s="75">
        <f t="shared" si="3"/>
        <v>-0.48465266558966075</v>
      </c>
      <c r="L24" s="75">
        <f>VLOOKUP($A24,'Data Vlaue (Cr)'!$C:$FB,67)</f>
        <v>2039</v>
      </c>
      <c r="M24" s="75">
        <f>VLOOKUP($A24,'Data Vlaue (Cr)'!$C:$FB,68)</f>
        <v>3243</v>
      </c>
      <c r="N24" s="75">
        <f t="shared" si="4"/>
        <v>-1204</v>
      </c>
      <c r="O24" s="75">
        <f t="shared" si="5"/>
        <v>-59.048553212359003</v>
      </c>
      <c r="P24" s="75">
        <f>VLOOKUP($A24,'Data Vlaue (Cr)'!$C:$FB,119)</f>
        <v>0.87</v>
      </c>
      <c r="Q24" s="75">
        <f>VLOOKUP($A24,'Data Vlaue (Cr)'!$C:$FB,122)*100</f>
        <v>-4.3999999999999995</v>
      </c>
      <c r="R24" s="75">
        <f>VLOOKUP($A24,'Data Vlaue (Cr)'!$C:$FB,125)</f>
        <v>0.54</v>
      </c>
      <c r="S24" s="75">
        <f>VLOOKUP($A24,'Data Vlaue (Cr)'!$C:$FB,128)*100</f>
        <v>45.95</v>
      </c>
    </row>
    <row r="25" spans="1:19" x14ac:dyDescent="0.25">
      <c r="A25" s="96" t="str">
        <f>'Data Vlaue (Cr)'!C16</f>
        <v>ASHOKLEY</v>
      </c>
      <c r="B25" s="75">
        <f>VLOOKUP($A25,'Data Vlaue (Cr)'!$C:$FB,2)</f>
        <v>5000</v>
      </c>
      <c r="C25" s="75">
        <f>VLOOKUP($A25,'Data Vlaue (Cr)'!$C:$FB,8)</f>
        <v>175.96</v>
      </c>
      <c r="D25" s="75">
        <f>VLOOKUP($A25,'Data Vlaue (Cr)'!$C:$FB,4)</f>
        <v>176.18</v>
      </c>
      <c r="E25" s="75">
        <f>VLOOKUP($A25,'Data Vlaue (Cr)'!$C:$FB,5)</f>
        <v>174.97</v>
      </c>
      <c r="F25" s="75">
        <f t="shared" si="0"/>
        <v>0.21999999999999886</v>
      </c>
      <c r="G25" s="75">
        <f t="shared" si="1"/>
        <v>0.68679759337042112</v>
      </c>
      <c r="H25" s="75">
        <f>VLOOKUP($A25,'Data Vlaue (Cr)'!$C:$FB,99)</f>
        <v>5294</v>
      </c>
      <c r="I25" s="75">
        <f>VLOOKUP($A25,'Data Vlaue (Cr)'!$C:$FB,100)</f>
        <v>5258</v>
      </c>
      <c r="J25" s="75">
        <f t="shared" si="2"/>
        <v>36</v>
      </c>
      <c r="K25" s="75">
        <f t="shared" si="3"/>
        <v>0.68001511144692106</v>
      </c>
      <c r="L25" s="75">
        <f>VLOOKUP($A25,'Data Vlaue (Cr)'!$C:$FB,67)</f>
        <v>2866</v>
      </c>
      <c r="M25" s="75">
        <f>VLOOKUP($A25,'Data Vlaue (Cr)'!$C:$FB,68)</f>
        <v>2683</v>
      </c>
      <c r="N25" s="75">
        <f t="shared" si="4"/>
        <v>183</v>
      </c>
      <c r="O25" s="75">
        <f t="shared" si="5"/>
        <v>6.3852058618283314</v>
      </c>
      <c r="P25" s="75">
        <f>VLOOKUP($A25,'Data Vlaue (Cr)'!$C:$FB,119)</f>
        <v>0.72</v>
      </c>
      <c r="Q25" s="75">
        <f>VLOOKUP($A25,'Data Vlaue (Cr)'!$C:$FB,122)*100</f>
        <v>-2.7</v>
      </c>
      <c r="R25" s="75">
        <f>VLOOKUP($A25,'Data Vlaue (Cr)'!$C:$FB,125)</f>
        <v>0.46</v>
      </c>
      <c r="S25" s="75">
        <f>VLOOKUP($A25,'Data Vlaue (Cr)'!$C:$FB,128)*100</f>
        <v>-19.3</v>
      </c>
    </row>
    <row r="26" spans="1:19" x14ac:dyDescent="0.25">
      <c r="A26" s="96" t="str">
        <f>'Data Vlaue (Cr)'!C17</f>
        <v>ASIANPAINT</v>
      </c>
      <c r="B26" s="75">
        <f>VLOOKUP($A26,'Data Vlaue (Cr)'!$C:$FB,2)</f>
        <v>250</v>
      </c>
      <c r="C26" s="75">
        <f>VLOOKUP($A26,'Data Vlaue (Cr)'!$C:$FB,8)</f>
        <v>2516.8000000000002</v>
      </c>
      <c r="D26" s="75">
        <f>VLOOKUP($A26,'Data Vlaue (Cr)'!$C:$FB,4)</f>
        <v>2514.6</v>
      </c>
      <c r="E26" s="75">
        <f>VLOOKUP($A26,'Data Vlaue (Cr)'!$C:$FB,5)</f>
        <v>2464.3000000000002</v>
      </c>
      <c r="F26" s="75">
        <f t="shared" si="0"/>
        <v>-2.2000000000002728</v>
      </c>
      <c r="G26" s="75">
        <f t="shared" si="1"/>
        <v>2.0003181420504146</v>
      </c>
      <c r="H26" s="75">
        <f>VLOOKUP($A26,'Data Vlaue (Cr)'!$C:$FB,99)</f>
        <v>6353</v>
      </c>
      <c r="I26" s="75">
        <f>VLOOKUP($A26,'Data Vlaue (Cr)'!$C:$FB,100)</f>
        <v>6081</v>
      </c>
      <c r="J26" s="75">
        <f t="shared" si="2"/>
        <v>272</v>
      </c>
      <c r="K26" s="75">
        <f t="shared" si="3"/>
        <v>4.281441838501495</v>
      </c>
      <c r="L26" s="75">
        <f>VLOOKUP($A26,'Data Vlaue (Cr)'!$C:$FB,67)</f>
        <v>4674</v>
      </c>
      <c r="M26" s="75">
        <f>VLOOKUP($A26,'Data Vlaue (Cr)'!$C:$FB,68)</f>
        <v>4755</v>
      </c>
      <c r="N26" s="75">
        <f t="shared" si="4"/>
        <v>-81</v>
      </c>
      <c r="O26" s="75">
        <f t="shared" si="5"/>
        <v>-1.7329910141206675</v>
      </c>
      <c r="P26" s="75">
        <f>VLOOKUP($A26,'Data Vlaue (Cr)'!$C:$FB,119)</f>
        <v>1.23</v>
      </c>
      <c r="Q26" s="75">
        <f>VLOOKUP($A26,'Data Vlaue (Cr)'!$C:$FB,122)*100</f>
        <v>6.9599999999999991</v>
      </c>
      <c r="R26" s="75">
        <f>VLOOKUP($A26,'Data Vlaue (Cr)'!$C:$FB,125)</f>
        <v>0.79</v>
      </c>
      <c r="S26" s="75">
        <f>VLOOKUP($A26,'Data Vlaue (Cr)'!$C:$FB,128)*100</f>
        <v>12.86</v>
      </c>
    </row>
    <row r="27" spans="1:19" x14ac:dyDescent="0.25">
      <c r="A27" s="96" t="str">
        <f>'Data Vlaue (Cr)'!C18</f>
        <v>ASTRAL</v>
      </c>
      <c r="B27" s="75">
        <f>VLOOKUP($A27,'Data Vlaue (Cr)'!$C:$FB,2)</f>
        <v>425</v>
      </c>
      <c r="C27" s="75">
        <f>VLOOKUP($A27,'Data Vlaue (Cr)'!$C:$FB,8)</f>
        <v>1591.4</v>
      </c>
      <c r="D27" s="75">
        <f>VLOOKUP($A27,'Data Vlaue (Cr)'!$C:$FB,4)</f>
        <v>1542.6</v>
      </c>
      <c r="E27" s="75">
        <f>VLOOKUP($A27,'Data Vlaue (Cr)'!$C:$FB,5)</f>
        <v>1544.7</v>
      </c>
      <c r="F27" s="75">
        <f t="shared" si="0"/>
        <v>-48.800000000000182</v>
      </c>
      <c r="G27" s="75">
        <f t="shared" si="1"/>
        <v>-0.13613380007779957</v>
      </c>
      <c r="H27" s="75">
        <f>VLOOKUP($A27,'Data Vlaue (Cr)'!$C:$FB,99)</f>
        <v>3240</v>
      </c>
      <c r="I27" s="75">
        <f>VLOOKUP($A27,'Data Vlaue (Cr)'!$C:$FB,100)</f>
        <v>3217</v>
      </c>
      <c r="J27" s="75">
        <f t="shared" si="2"/>
        <v>23</v>
      </c>
      <c r="K27" s="75">
        <f t="shared" si="3"/>
        <v>0.70987654320987659</v>
      </c>
      <c r="L27" s="75">
        <f>VLOOKUP($A27,'Data Vlaue (Cr)'!$C:$FB,67)</f>
        <v>1433</v>
      </c>
      <c r="M27" s="75">
        <f>VLOOKUP($A27,'Data Vlaue (Cr)'!$C:$FB,68)</f>
        <v>2751</v>
      </c>
      <c r="N27" s="75">
        <f t="shared" si="4"/>
        <v>-1318</v>
      </c>
      <c r="O27" s="75">
        <f t="shared" si="5"/>
        <v>-91.974877878576407</v>
      </c>
      <c r="P27" s="75">
        <f>VLOOKUP($A27,'Data Vlaue (Cr)'!$C:$FB,119)</f>
        <v>0.61</v>
      </c>
      <c r="Q27" s="75">
        <f>VLOOKUP($A27,'Data Vlaue (Cr)'!$C:$FB,122)*100</f>
        <v>3.39</v>
      </c>
      <c r="R27" s="75">
        <f>VLOOKUP($A27,'Data Vlaue (Cr)'!$C:$FB,125)</f>
        <v>0.38</v>
      </c>
      <c r="S27" s="75">
        <f>VLOOKUP($A27,'Data Vlaue (Cr)'!$C:$FB,128)*100</f>
        <v>-22.45</v>
      </c>
    </row>
    <row r="28" spans="1:19" x14ac:dyDescent="0.25">
      <c r="A28" s="96" t="str">
        <f>'Data Vlaue (Cr)'!C19</f>
        <v>AUBANK</v>
      </c>
      <c r="B28" s="75">
        <f>VLOOKUP($A28,'Data Vlaue (Cr)'!$C:$FB,2)</f>
        <v>1000</v>
      </c>
      <c r="C28" s="75">
        <f>VLOOKUP($A28,'Data Vlaue (Cr)'!$C:$FB,8)</f>
        <v>997.65</v>
      </c>
      <c r="D28" s="75">
        <f>VLOOKUP($A28,'Data Vlaue (Cr)'!$C:$FB,4)</f>
        <v>998.65</v>
      </c>
      <c r="E28" s="75">
        <f>VLOOKUP($A28,'Data Vlaue (Cr)'!$C:$FB,5)</f>
        <v>993.2</v>
      </c>
      <c r="F28" s="75">
        <f t="shared" si="0"/>
        <v>1</v>
      </c>
      <c r="G28" s="75">
        <f t="shared" si="1"/>
        <v>0.54573674460521027</v>
      </c>
      <c r="H28" s="75">
        <f>VLOOKUP($A28,'Data Vlaue (Cr)'!$C:$FB,99)</f>
        <v>3762</v>
      </c>
      <c r="I28" s="75">
        <f>VLOOKUP($A28,'Data Vlaue (Cr)'!$C:$FB,100)</f>
        <v>3690</v>
      </c>
      <c r="J28" s="75">
        <f t="shared" si="2"/>
        <v>72</v>
      </c>
      <c r="K28" s="75">
        <f t="shared" si="3"/>
        <v>1.9138755980861244</v>
      </c>
      <c r="L28" s="75">
        <f>VLOOKUP($A28,'Data Vlaue (Cr)'!$C:$FB,67)</f>
        <v>2068</v>
      </c>
      <c r="M28" s="75">
        <f>VLOOKUP($A28,'Data Vlaue (Cr)'!$C:$FB,68)</f>
        <v>1167</v>
      </c>
      <c r="N28" s="75">
        <f t="shared" si="4"/>
        <v>901</v>
      </c>
      <c r="O28" s="75">
        <f t="shared" si="5"/>
        <v>43.568665377176011</v>
      </c>
      <c r="P28" s="75">
        <f>VLOOKUP($A28,'Data Vlaue (Cr)'!$C:$FB,119)</f>
        <v>0.8</v>
      </c>
      <c r="Q28" s="75">
        <f>VLOOKUP($A28,'Data Vlaue (Cr)'!$C:$FB,122)*100</f>
        <v>0</v>
      </c>
      <c r="R28" s="75">
        <f>VLOOKUP($A28,'Data Vlaue (Cr)'!$C:$FB,125)</f>
        <v>0.56999999999999995</v>
      </c>
      <c r="S28" s="75">
        <f>VLOOKUP($A28,'Data Vlaue (Cr)'!$C:$FB,128)*100</f>
        <v>-24</v>
      </c>
    </row>
    <row r="29" spans="1:19" x14ac:dyDescent="0.25">
      <c r="A29" s="96" t="str">
        <f>'Data Vlaue (Cr)'!C20</f>
        <v>AUROPHARMA</v>
      </c>
      <c r="B29" s="75">
        <f>VLOOKUP($A29,'Data Vlaue (Cr)'!$C:$FB,2)</f>
        <v>550</v>
      </c>
      <c r="C29" s="75">
        <f>VLOOKUP($A29,'Data Vlaue (Cr)'!$C:$FB,8)</f>
        <v>1367.8</v>
      </c>
      <c r="D29" s="75">
        <f>VLOOKUP($A29,'Data Vlaue (Cr)'!$C:$FB,4)</f>
        <v>1369.6</v>
      </c>
      <c r="E29" s="75">
        <f>VLOOKUP($A29,'Data Vlaue (Cr)'!$C:$FB,5)</f>
        <v>1388.6</v>
      </c>
      <c r="F29" s="75">
        <f t="shared" si="0"/>
        <v>1.7999999999999545</v>
      </c>
      <c r="G29" s="75">
        <f t="shared" si="1"/>
        <v>-1.3872663551401871</v>
      </c>
      <c r="H29" s="75">
        <f>VLOOKUP($A29,'Data Vlaue (Cr)'!$C:$FB,99)</f>
        <v>3866</v>
      </c>
      <c r="I29" s="75">
        <f>VLOOKUP($A29,'Data Vlaue (Cr)'!$C:$FB,100)</f>
        <v>3775</v>
      </c>
      <c r="J29" s="75">
        <f t="shared" si="2"/>
        <v>91</v>
      </c>
      <c r="K29" s="75">
        <f t="shared" si="3"/>
        <v>2.3538541127780652</v>
      </c>
      <c r="L29" s="75">
        <f>VLOOKUP($A29,'Data Vlaue (Cr)'!$C:$FB,67)</f>
        <v>2070</v>
      </c>
      <c r="M29" s="75">
        <f>VLOOKUP($A29,'Data Vlaue (Cr)'!$C:$FB,68)</f>
        <v>1049</v>
      </c>
      <c r="N29" s="75">
        <f t="shared" si="4"/>
        <v>1021</v>
      </c>
      <c r="O29" s="75">
        <f t="shared" si="5"/>
        <v>49.323671497584542</v>
      </c>
      <c r="P29" s="75">
        <f>VLOOKUP($A29,'Data Vlaue (Cr)'!$C:$FB,119)</f>
        <v>0.64</v>
      </c>
      <c r="Q29" s="75">
        <f>VLOOKUP($A29,'Data Vlaue (Cr)'!$C:$FB,122)*100</f>
        <v>-8.57</v>
      </c>
      <c r="R29" s="75">
        <f>VLOOKUP($A29,'Data Vlaue (Cr)'!$C:$FB,125)</f>
        <v>0.63</v>
      </c>
      <c r="S29" s="75">
        <f>VLOOKUP($A29,'Data Vlaue (Cr)'!$C:$FB,128)*100</f>
        <v>-5.9700000000000006</v>
      </c>
    </row>
    <row r="30" spans="1:19" x14ac:dyDescent="0.25">
      <c r="A30" s="96" t="str">
        <f>'Data Vlaue (Cr)'!C21</f>
        <v>AXISBANK</v>
      </c>
      <c r="B30" s="75">
        <f>VLOOKUP($A30,'Data Vlaue (Cr)'!$C:$FB,2)</f>
        <v>625</v>
      </c>
      <c r="C30" s="75">
        <f>VLOOKUP($A30,'Data Vlaue (Cr)'!$C:$FB,8)</f>
        <v>1354.7</v>
      </c>
      <c r="D30" s="75">
        <f>VLOOKUP($A30,'Data Vlaue (Cr)'!$C:$FB,4)</f>
        <v>1356.2</v>
      </c>
      <c r="E30" s="75">
        <f>VLOOKUP($A30,'Data Vlaue (Cr)'!$C:$FB,5)</f>
        <v>1363.3</v>
      </c>
      <c r="F30" s="75">
        <f t="shared" si="0"/>
        <v>1.5</v>
      </c>
      <c r="G30" s="75">
        <f t="shared" si="1"/>
        <v>-0.52352160448310792</v>
      </c>
      <c r="H30" s="75">
        <f>VLOOKUP($A30,'Data Vlaue (Cr)'!$C:$FB,99)</f>
        <v>12902</v>
      </c>
      <c r="I30" s="75">
        <f>VLOOKUP($A30,'Data Vlaue (Cr)'!$C:$FB,100)</f>
        <v>12916</v>
      </c>
      <c r="J30" s="75">
        <f t="shared" si="2"/>
        <v>-14</v>
      </c>
      <c r="K30" s="75">
        <f t="shared" si="3"/>
        <v>-0.10851030847930554</v>
      </c>
      <c r="L30" s="75">
        <f>VLOOKUP($A30,'Data Vlaue (Cr)'!$C:$FB,67)</f>
        <v>5349</v>
      </c>
      <c r="M30" s="75">
        <f>VLOOKUP($A30,'Data Vlaue (Cr)'!$C:$FB,68)</f>
        <v>4644</v>
      </c>
      <c r="N30" s="75">
        <f t="shared" si="4"/>
        <v>705</v>
      </c>
      <c r="O30" s="75">
        <f t="shared" si="5"/>
        <v>13.180033651149747</v>
      </c>
      <c r="P30" s="75">
        <f>VLOOKUP($A30,'Data Vlaue (Cr)'!$C:$FB,119)</f>
        <v>0.81</v>
      </c>
      <c r="Q30" s="75">
        <f>VLOOKUP($A30,'Data Vlaue (Cr)'!$C:$FB,122)*100</f>
        <v>-3.5700000000000003</v>
      </c>
      <c r="R30" s="75">
        <f>VLOOKUP($A30,'Data Vlaue (Cr)'!$C:$FB,125)</f>
        <v>0.69</v>
      </c>
      <c r="S30" s="75">
        <f>VLOOKUP($A30,'Data Vlaue (Cr)'!$C:$FB,128)*100</f>
        <v>0</v>
      </c>
    </row>
    <row r="31" spans="1:19" x14ac:dyDescent="0.25">
      <c r="A31" s="96" t="str">
        <f>'Data Vlaue (Cr)'!C22</f>
        <v>BAJAJ-AUTO</v>
      </c>
      <c r="B31" s="75">
        <f>VLOOKUP($A31,'Data Vlaue (Cr)'!$C:$FB,2)</f>
        <v>75</v>
      </c>
      <c r="C31" s="75">
        <f>VLOOKUP($A31,'Data Vlaue (Cr)'!$C:$FB,8)</f>
        <v>9803</v>
      </c>
      <c r="D31" s="75">
        <f>VLOOKUP($A31,'Data Vlaue (Cr)'!$C:$FB,4)</f>
        <v>9811</v>
      </c>
      <c r="E31" s="75">
        <f>VLOOKUP($A31,'Data Vlaue (Cr)'!$C:$FB,5)</f>
        <v>9761.5</v>
      </c>
      <c r="F31" s="75">
        <f t="shared" si="0"/>
        <v>8</v>
      </c>
      <c r="G31" s="75">
        <f t="shared" si="1"/>
        <v>0.504535725206401</v>
      </c>
      <c r="H31" s="75">
        <f>VLOOKUP($A31,'Data Vlaue (Cr)'!$C:$FB,99)</f>
        <v>5294</v>
      </c>
      <c r="I31" s="75">
        <f>VLOOKUP($A31,'Data Vlaue (Cr)'!$C:$FB,100)</f>
        <v>5383</v>
      </c>
      <c r="J31" s="75">
        <f t="shared" si="2"/>
        <v>-89</v>
      </c>
      <c r="K31" s="75">
        <f t="shared" si="3"/>
        <v>-1.6811484699659991</v>
      </c>
      <c r="L31" s="75">
        <f>VLOOKUP($A31,'Data Vlaue (Cr)'!$C:$FB,67)</f>
        <v>2912</v>
      </c>
      <c r="M31" s="75">
        <f>VLOOKUP($A31,'Data Vlaue (Cr)'!$C:$FB,68)</f>
        <v>2380</v>
      </c>
      <c r="N31" s="75">
        <f t="shared" si="4"/>
        <v>532</v>
      </c>
      <c r="O31" s="75">
        <f t="shared" si="5"/>
        <v>18.269230769230766</v>
      </c>
      <c r="P31" s="75">
        <f>VLOOKUP($A31,'Data Vlaue (Cr)'!$C:$FB,119)</f>
        <v>0.91</v>
      </c>
      <c r="Q31" s="75">
        <f>VLOOKUP($A31,'Data Vlaue (Cr)'!$C:$FB,122)*100</f>
        <v>2.25</v>
      </c>
      <c r="R31" s="75">
        <f>VLOOKUP($A31,'Data Vlaue (Cr)'!$C:$FB,125)</f>
        <v>0.51</v>
      </c>
      <c r="S31" s="75">
        <f>VLOOKUP($A31,'Data Vlaue (Cr)'!$C:$FB,128)*100</f>
        <v>-23.880000000000003</v>
      </c>
    </row>
    <row r="32" spans="1:19" x14ac:dyDescent="0.25">
      <c r="A32" s="96" t="str">
        <f>'Data Vlaue (Cr)'!C23</f>
        <v>BAJAJFINSV</v>
      </c>
      <c r="B32" s="75">
        <f>VLOOKUP($A32,'Data Vlaue (Cr)'!$C:$FB,2)</f>
        <v>250</v>
      </c>
      <c r="C32" s="75">
        <f>VLOOKUP($A32,'Data Vlaue (Cr)'!$C:$FB,8)</f>
        <v>1830.6</v>
      </c>
      <c r="D32" s="75">
        <f>VLOOKUP($A32,'Data Vlaue (Cr)'!$C:$FB,4)</f>
        <v>1828.1</v>
      </c>
      <c r="E32" s="75">
        <f>VLOOKUP($A32,'Data Vlaue (Cr)'!$C:$FB,5)</f>
        <v>1839.4</v>
      </c>
      <c r="F32" s="75">
        <f t="shared" si="0"/>
        <v>-2.5</v>
      </c>
      <c r="G32" s="75">
        <f t="shared" si="1"/>
        <v>-0.61812811115366684</v>
      </c>
      <c r="H32" s="75">
        <f>VLOOKUP($A32,'Data Vlaue (Cr)'!$C:$FB,99)</f>
        <v>3312</v>
      </c>
      <c r="I32" s="75">
        <f>VLOOKUP($A32,'Data Vlaue (Cr)'!$C:$FB,100)</f>
        <v>3342</v>
      </c>
      <c r="J32" s="75">
        <f t="shared" si="2"/>
        <v>-30</v>
      </c>
      <c r="K32" s="75">
        <f t="shared" si="3"/>
        <v>-0.90579710144927539</v>
      </c>
      <c r="L32" s="75">
        <f>VLOOKUP($A32,'Data Vlaue (Cr)'!$C:$FB,67)</f>
        <v>926</v>
      </c>
      <c r="M32" s="75">
        <f>VLOOKUP($A32,'Data Vlaue (Cr)'!$C:$FB,68)</f>
        <v>671</v>
      </c>
      <c r="N32" s="75">
        <f t="shared" si="4"/>
        <v>255</v>
      </c>
      <c r="O32" s="75">
        <f t="shared" si="5"/>
        <v>27.5377969762419</v>
      </c>
      <c r="P32" s="75">
        <f>VLOOKUP($A32,'Data Vlaue (Cr)'!$C:$FB,119)</f>
        <v>1.01</v>
      </c>
      <c r="Q32" s="75">
        <f>VLOOKUP($A32,'Data Vlaue (Cr)'!$C:$FB,122)*100</f>
        <v>-0.98</v>
      </c>
      <c r="R32" s="75">
        <f>VLOOKUP($A32,'Data Vlaue (Cr)'!$C:$FB,125)</f>
        <v>0.66</v>
      </c>
      <c r="S32" s="75">
        <f>VLOOKUP($A32,'Data Vlaue (Cr)'!$C:$FB,128)*100</f>
        <v>0</v>
      </c>
    </row>
    <row r="33" spans="1:19" x14ac:dyDescent="0.25">
      <c r="A33" s="96" t="str">
        <f>'Data Vlaue (Cr)'!C24</f>
        <v>BAJAJHLDNG</v>
      </c>
      <c r="B33" s="75">
        <f>VLOOKUP($A33,'Data Vlaue (Cr)'!$C:$FB,2)</f>
        <v>50</v>
      </c>
      <c r="C33" s="75">
        <f>VLOOKUP($A33,'Data Vlaue (Cr)'!$C:$FB,8)</f>
        <v>10388</v>
      </c>
      <c r="D33" s="75">
        <f>VLOOKUP($A33,'Data Vlaue (Cr)'!$C:$FB,4)</f>
        <v>10373</v>
      </c>
      <c r="E33" s="75">
        <f>VLOOKUP($A33,'Data Vlaue (Cr)'!$C:$FB,5)</f>
        <v>10358</v>
      </c>
      <c r="F33" s="75">
        <f t="shared" si="0"/>
        <v>-15</v>
      </c>
      <c r="G33" s="75">
        <f t="shared" si="1"/>
        <v>0.1446061891448954</v>
      </c>
      <c r="H33" s="75">
        <f>VLOOKUP($A33,'Data Vlaue (Cr)'!$C:$FB,99)</f>
        <v>442</v>
      </c>
      <c r="I33" s="75">
        <f>VLOOKUP($A33,'Data Vlaue (Cr)'!$C:$FB,100)</f>
        <v>442</v>
      </c>
      <c r="J33" s="75">
        <f t="shared" si="2"/>
        <v>0</v>
      </c>
      <c r="K33" s="75">
        <f t="shared" si="3"/>
        <v>0</v>
      </c>
      <c r="L33" s="75">
        <f>VLOOKUP($A33,'Data Vlaue (Cr)'!$C:$FB,67)</f>
        <v>556</v>
      </c>
      <c r="M33" s="75">
        <f>VLOOKUP($A33,'Data Vlaue (Cr)'!$C:$FB,68)</f>
        <v>262</v>
      </c>
      <c r="N33" s="75">
        <f t="shared" si="4"/>
        <v>294</v>
      </c>
      <c r="O33" s="75">
        <f t="shared" si="5"/>
        <v>52.877697841726622</v>
      </c>
      <c r="P33" s="75">
        <f>VLOOKUP($A33,'Data Vlaue (Cr)'!$C:$FB,119)</f>
        <v>0.75</v>
      </c>
      <c r="Q33" s="75">
        <f>VLOOKUP($A33,'Data Vlaue (Cr)'!$C:$FB,122)*100</f>
        <v>36.36</v>
      </c>
      <c r="R33" s="75">
        <f>VLOOKUP($A33,'Data Vlaue (Cr)'!$C:$FB,125)</f>
        <v>1.65</v>
      </c>
      <c r="S33" s="75">
        <f>VLOOKUP($A33,'Data Vlaue (Cr)'!$C:$FB,128)*100</f>
        <v>10</v>
      </c>
    </row>
    <row r="34" spans="1:19" x14ac:dyDescent="0.25">
      <c r="A34" s="96" t="str">
        <f>'Data Vlaue (Cr)'!C25</f>
        <v>BAJFINANCE</v>
      </c>
      <c r="B34" s="75">
        <f>VLOOKUP($A34,'Data Vlaue (Cr)'!$C:$FB,2)</f>
        <v>750</v>
      </c>
      <c r="C34" s="75">
        <f>VLOOKUP($A34,'Data Vlaue (Cr)'!$C:$FB,8)</f>
        <v>917.75</v>
      </c>
      <c r="D34" s="75">
        <f>VLOOKUP($A34,'Data Vlaue (Cr)'!$C:$FB,4)</f>
        <v>916.95</v>
      </c>
      <c r="E34" s="75">
        <f>VLOOKUP($A34,'Data Vlaue (Cr)'!$C:$FB,5)</f>
        <v>910.95</v>
      </c>
      <c r="F34" s="75">
        <f t="shared" si="0"/>
        <v>-0.79999999999995453</v>
      </c>
      <c r="G34" s="75">
        <f t="shared" si="1"/>
        <v>0.65434320300997872</v>
      </c>
      <c r="H34" s="180">
        <f>VLOOKUP($A34,'Data Vlaue (Cr)'!$C:$FB,99)</f>
        <v>9954</v>
      </c>
      <c r="I34" s="180">
        <f>VLOOKUP($A34,'Data Vlaue (Cr)'!$C:$FB,100)</f>
        <v>10086</v>
      </c>
      <c r="J34" s="180">
        <f t="shared" si="2"/>
        <v>-132</v>
      </c>
      <c r="K34" s="180">
        <f t="shared" si="3"/>
        <v>-1.3261000602772754</v>
      </c>
      <c r="L34" s="180">
        <f>VLOOKUP($A34,'Data Vlaue (Cr)'!$C:$FB,67)</f>
        <v>3510</v>
      </c>
      <c r="M34" s="180">
        <f>VLOOKUP($A34,'Data Vlaue (Cr)'!$C:$FB,68)</f>
        <v>2517</v>
      </c>
      <c r="N34" s="180">
        <f t="shared" si="4"/>
        <v>993</v>
      </c>
      <c r="O34" s="180">
        <f t="shared" si="5"/>
        <v>28.29059829059829</v>
      </c>
      <c r="P34" s="180">
        <f>VLOOKUP($A34,'Data Vlaue (Cr)'!$C:$FB,119)</f>
        <v>0.8</v>
      </c>
      <c r="Q34" s="180">
        <f>VLOOKUP($A34,'Data Vlaue (Cr)'!$C:$FB,122)*100</f>
        <v>2.56</v>
      </c>
      <c r="R34" s="180">
        <f>VLOOKUP($A34,'Data Vlaue (Cr)'!$C:$FB,125)</f>
        <v>0.56000000000000005</v>
      </c>
      <c r="S34" s="180">
        <f>VLOOKUP($A34,'Data Vlaue (Cr)'!$C:$FB,128)*100</f>
        <v>-11.110000000000001</v>
      </c>
    </row>
    <row r="35" spans="1:19" x14ac:dyDescent="0.25">
      <c r="A35" s="96" t="str">
        <f>'Data Vlaue (Cr)'!C26</f>
        <v>BANDHANBNK</v>
      </c>
      <c r="B35" s="75">
        <f>VLOOKUP($A35,'Data Vlaue (Cr)'!$C:$FB,2)</f>
        <v>3600</v>
      </c>
      <c r="C35" s="75">
        <f>VLOOKUP($A35,'Data Vlaue (Cr)'!$C:$FB,8)</f>
        <v>175.43</v>
      </c>
      <c r="D35" s="75">
        <f>VLOOKUP($A35,'Data Vlaue (Cr)'!$C:$FB,4)</f>
        <v>175.22</v>
      </c>
      <c r="E35" s="75">
        <f>VLOOKUP($A35,'Data Vlaue (Cr)'!$C:$FB,5)</f>
        <v>175.02</v>
      </c>
      <c r="F35" s="75">
        <f t="shared" si="0"/>
        <v>-0.21000000000000796</v>
      </c>
      <c r="G35" s="75">
        <f t="shared" si="1"/>
        <v>0.11414222120761822</v>
      </c>
      <c r="H35" s="75">
        <f>VLOOKUP($A35,'Data Vlaue (Cr)'!$C:$FB,99)</f>
        <v>2350</v>
      </c>
      <c r="I35" s="75">
        <f>VLOOKUP($A35,'Data Vlaue (Cr)'!$C:$FB,100)</f>
        <v>2374</v>
      </c>
      <c r="J35" s="75">
        <f t="shared" si="2"/>
        <v>-24</v>
      </c>
      <c r="K35" s="75">
        <f t="shared" si="3"/>
        <v>-1.0212765957446808</v>
      </c>
      <c r="L35" s="75">
        <f>VLOOKUP($A35,'Data Vlaue (Cr)'!$C:$FB,67)</f>
        <v>828</v>
      </c>
      <c r="M35" s="75">
        <f>VLOOKUP($A35,'Data Vlaue (Cr)'!$C:$FB,68)</f>
        <v>736</v>
      </c>
      <c r="N35" s="75">
        <f t="shared" si="4"/>
        <v>92</v>
      </c>
      <c r="O35" s="75">
        <f t="shared" si="5"/>
        <v>11.111111111111111</v>
      </c>
      <c r="P35" s="75">
        <f>VLOOKUP($A35,'Data Vlaue (Cr)'!$C:$FB,119)</f>
        <v>0.71</v>
      </c>
      <c r="Q35" s="75">
        <f>VLOOKUP($A35,'Data Vlaue (Cr)'!$C:$FB,122)*100</f>
        <v>-7.79</v>
      </c>
      <c r="R35" s="75">
        <f>VLOOKUP($A35,'Data Vlaue (Cr)'!$C:$FB,125)</f>
        <v>0.6</v>
      </c>
      <c r="S35" s="75">
        <f>VLOOKUP($A35,'Data Vlaue (Cr)'!$C:$FB,128)*100</f>
        <v>-18.920000000000002</v>
      </c>
    </row>
    <row r="36" spans="1:19" x14ac:dyDescent="0.25">
      <c r="A36" s="96" t="str">
        <f>'Data Vlaue (Cr)'!C27</f>
        <v>BANKBARODA</v>
      </c>
      <c r="B36" s="75">
        <f>VLOOKUP($A36,'Data Vlaue (Cr)'!$C:$FB,2)</f>
        <v>2925</v>
      </c>
      <c r="C36" s="75">
        <f>VLOOKUP($A36,'Data Vlaue (Cr)'!$C:$FB,8)</f>
        <v>281.01</v>
      </c>
      <c r="D36" s="75">
        <f>VLOOKUP($A36,'Data Vlaue (Cr)'!$C:$FB,4)</f>
        <v>281</v>
      </c>
      <c r="E36" s="75">
        <f>VLOOKUP($A36,'Data Vlaue (Cr)'!$C:$FB,5)</f>
        <v>281.16000000000003</v>
      </c>
      <c r="F36" s="75">
        <f t="shared" si="0"/>
        <v>-9.9999999999909051E-3</v>
      </c>
      <c r="G36" s="75">
        <f t="shared" si="1"/>
        <v>-5.693950177936833E-2</v>
      </c>
      <c r="H36" s="75">
        <f>VLOOKUP($A36,'Data Vlaue (Cr)'!$C:$FB,99)</f>
        <v>5287</v>
      </c>
      <c r="I36" s="75">
        <f>VLOOKUP($A36,'Data Vlaue (Cr)'!$C:$FB,100)</f>
        <v>5170</v>
      </c>
      <c r="J36" s="75">
        <f t="shared" si="2"/>
        <v>117</v>
      </c>
      <c r="K36" s="75">
        <f t="shared" si="3"/>
        <v>2.2129752222432382</v>
      </c>
      <c r="L36" s="75">
        <f>VLOOKUP($A36,'Data Vlaue (Cr)'!$C:$FB,67)</f>
        <v>3280</v>
      </c>
      <c r="M36" s="75">
        <f>VLOOKUP($A36,'Data Vlaue (Cr)'!$C:$FB,68)</f>
        <v>2370</v>
      </c>
      <c r="N36" s="75">
        <f t="shared" si="4"/>
        <v>910</v>
      </c>
      <c r="O36" s="75">
        <f t="shared" si="5"/>
        <v>27.743902439024392</v>
      </c>
      <c r="P36" s="75">
        <f>VLOOKUP($A36,'Data Vlaue (Cr)'!$C:$FB,119)</f>
        <v>0.95</v>
      </c>
      <c r="Q36" s="75">
        <f>VLOOKUP($A36,'Data Vlaue (Cr)'!$C:$FB,122)*100</f>
        <v>0</v>
      </c>
      <c r="R36" s="75">
        <f>VLOOKUP($A36,'Data Vlaue (Cr)'!$C:$FB,125)</f>
        <v>0.62</v>
      </c>
      <c r="S36" s="75">
        <f>VLOOKUP($A36,'Data Vlaue (Cr)'!$C:$FB,128)*100</f>
        <v>-12.68</v>
      </c>
    </row>
    <row r="37" spans="1:19" x14ac:dyDescent="0.25">
      <c r="A37" s="96" t="str">
        <f>'Data Vlaue (Cr)'!C28</f>
        <v>BANKINDIA</v>
      </c>
      <c r="B37" s="75">
        <f>VLOOKUP($A37,'Data Vlaue (Cr)'!$C:$FB,2)</f>
        <v>5200</v>
      </c>
      <c r="C37" s="75">
        <f>VLOOKUP($A37,'Data Vlaue (Cr)'!$C:$FB,8)</f>
        <v>148.31</v>
      </c>
      <c r="D37" s="75">
        <f>VLOOKUP($A37,'Data Vlaue (Cr)'!$C:$FB,4)</f>
        <v>148.55000000000001</v>
      </c>
      <c r="E37" s="75">
        <f>VLOOKUP($A37,'Data Vlaue (Cr)'!$C:$FB,5)</f>
        <v>148.28</v>
      </c>
      <c r="F37" s="75">
        <f t="shared" si="0"/>
        <v>0.24000000000000909</v>
      </c>
      <c r="G37" s="75">
        <f t="shared" si="1"/>
        <v>0.18175698418041752</v>
      </c>
      <c r="H37" s="75">
        <f>VLOOKUP($A37,'Data Vlaue (Cr)'!$C:$FB,99)</f>
        <v>1631</v>
      </c>
      <c r="I37" s="75">
        <f>VLOOKUP($A37,'Data Vlaue (Cr)'!$C:$FB,100)</f>
        <v>1552</v>
      </c>
      <c r="J37" s="75">
        <f t="shared" si="2"/>
        <v>79</v>
      </c>
      <c r="K37" s="75">
        <f t="shared" si="3"/>
        <v>4.8436541998773759</v>
      </c>
      <c r="L37" s="75">
        <f>VLOOKUP($A37,'Data Vlaue (Cr)'!$C:$FB,67)</f>
        <v>1065</v>
      </c>
      <c r="M37" s="75">
        <f>VLOOKUP($A37,'Data Vlaue (Cr)'!$C:$FB,68)</f>
        <v>731</v>
      </c>
      <c r="N37" s="75">
        <f t="shared" si="4"/>
        <v>334</v>
      </c>
      <c r="O37" s="75">
        <f t="shared" si="5"/>
        <v>31.36150234741784</v>
      </c>
      <c r="P37" s="75">
        <f>VLOOKUP($A37,'Data Vlaue (Cr)'!$C:$FB,119)</f>
        <v>0.75</v>
      </c>
      <c r="Q37" s="75">
        <f>VLOOKUP($A37,'Data Vlaue (Cr)'!$C:$FB,122)*100</f>
        <v>-13.79</v>
      </c>
      <c r="R37" s="75">
        <f>VLOOKUP($A37,'Data Vlaue (Cr)'!$C:$FB,125)</f>
        <v>0.26</v>
      </c>
      <c r="S37" s="75">
        <f>VLOOKUP($A37,'Data Vlaue (Cr)'!$C:$FB,128)*100</f>
        <v>-45.83</v>
      </c>
    </row>
    <row r="38" spans="1:19" x14ac:dyDescent="0.25">
      <c r="A38" s="96" t="str">
        <f>'Data Vlaue (Cr)'!C29</f>
        <v>BANKNIFTY</v>
      </c>
      <c r="B38" s="75">
        <f>VLOOKUP($A38,'Data Vlaue (Cr)'!$C:$FB,2)</f>
        <v>30</v>
      </c>
      <c r="C38" s="75">
        <f>VLOOKUP($A38,'Data Vlaue (Cr)'!$C:$FB,8)</f>
        <v>56582.35</v>
      </c>
      <c r="D38" s="75">
        <f>VLOOKUP($A38,'Data Vlaue (Cr)'!$C:$FB,4)</f>
        <v>56568.800000000003</v>
      </c>
      <c r="E38" s="75">
        <f>VLOOKUP($A38,'Data Vlaue (Cr)'!$C:$FB,5)</f>
        <v>56666.8</v>
      </c>
      <c r="F38" s="75">
        <f t="shared" si="0"/>
        <v>-13.549999999995634</v>
      </c>
      <c r="G38" s="75">
        <f t="shared" si="1"/>
        <v>-0.17324037278499807</v>
      </c>
      <c r="H38" s="75">
        <f>VLOOKUP($A38,'Data Vlaue (Cr)'!$C:$FB,99)</f>
        <v>236900</v>
      </c>
      <c r="I38" s="75">
        <f>VLOOKUP($A38,'Data Vlaue (Cr)'!$C:$FB,100)</f>
        <v>232578</v>
      </c>
      <c r="J38" s="75">
        <f t="shared" si="2"/>
        <v>4322</v>
      </c>
      <c r="K38" s="75">
        <f t="shared" si="3"/>
        <v>1.8243984803714648</v>
      </c>
      <c r="L38" s="75">
        <f>VLOOKUP($A38,'Data Vlaue (Cr)'!$C:$FB,67)</f>
        <v>619109</v>
      </c>
      <c r="M38" s="75">
        <f>VLOOKUP($A38,'Data Vlaue (Cr)'!$C:$FB,68)</f>
        <v>436410</v>
      </c>
      <c r="N38" s="75">
        <f t="shared" si="4"/>
        <v>182699</v>
      </c>
      <c r="O38" s="75">
        <f t="shared" si="5"/>
        <v>29.509989355670811</v>
      </c>
      <c r="P38" s="75">
        <f>VLOOKUP($A38,'Data Vlaue (Cr)'!$C:$FB,119)</f>
        <v>0.99</v>
      </c>
      <c r="Q38" s="75">
        <f>VLOOKUP($A38,'Data Vlaue (Cr)'!$C:$FB,122)*100</f>
        <v>6.45</v>
      </c>
      <c r="R38" s="75">
        <f>VLOOKUP($A38,'Data Vlaue (Cr)'!$C:$FB,125)</f>
        <v>0.94</v>
      </c>
      <c r="S38" s="75">
        <f>VLOOKUP($A38,'Data Vlaue (Cr)'!$C:$FB,128)*100</f>
        <v>6.8199999999999994</v>
      </c>
    </row>
    <row r="39" spans="1:19" x14ac:dyDescent="0.25">
      <c r="A39" s="96" t="str">
        <f>'Data Vlaue (Cr)'!C30</f>
        <v>BDL</v>
      </c>
      <c r="B39" s="75">
        <f>VLOOKUP($A39,'Data Vlaue (Cr)'!$C:$FB,2)</f>
        <v>350</v>
      </c>
      <c r="C39" s="75">
        <f>VLOOKUP($A39,'Data Vlaue (Cr)'!$C:$FB,8)</f>
        <v>1369.8</v>
      </c>
      <c r="D39" s="75">
        <f>VLOOKUP($A39,'Data Vlaue (Cr)'!$C:$FB,4)</f>
        <v>1370.2</v>
      </c>
      <c r="E39" s="75">
        <f>VLOOKUP($A39,'Data Vlaue (Cr)'!$C:$FB,5)</f>
        <v>1380.8</v>
      </c>
      <c r="F39" s="75">
        <f t="shared" si="0"/>
        <v>0.40000000000009095</v>
      </c>
      <c r="G39" s="75">
        <f t="shared" si="1"/>
        <v>-0.77360969201575747</v>
      </c>
      <c r="H39" s="75">
        <f>VLOOKUP($A39,'Data Vlaue (Cr)'!$C:$FB,99)</f>
        <v>1364</v>
      </c>
      <c r="I39" s="75">
        <f>VLOOKUP($A39,'Data Vlaue (Cr)'!$C:$FB,100)</f>
        <v>1360</v>
      </c>
      <c r="J39" s="75">
        <f t="shared" si="2"/>
        <v>4</v>
      </c>
      <c r="K39" s="75">
        <f t="shared" si="3"/>
        <v>0.2932551319648094</v>
      </c>
      <c r="L39" s="75">
        <f>VLOOKUP($A39,'Data Vlaue (Cr)'!$C:$FB,67)</f>
        <v>656</v>
      </c>
      <c r="M39" s="75">
        <f>VLOOKUP($A39,'Data Vlaue (Cr)'!$C:$FB,68)</f>
        <v>1415</v>
      </c>
      <c r="N39" s="75">
        <f t="shared" si="4"/>
        <v>-759</v>
      </c>
      <c r="O39" s="75">
        <f t="shared" si="5"/>
        <v>-115.70121951219512</v>
      </c>
      <c r="P39" s="75">
        <f>VLOOKUP($A39,'Data Vlaue (Cr)'!$C:$FB,119)</f>
        <v>0.84</v>
      </c>
      <c r="Q39" s="75">
        <f>VLOOKUP($A39,'Data Vlaue (Cr)'!$C:$FB,122)*100</f>
        <v>5</v>
      </c>
      <c r="R39" s="75">
        <f>VLOOKUP($A39,'Data Vlaue (Cr)'!$C:$FB,125)</f>
        <v>0.73</v>
      </c>
      <c r="S39" s="75">
        <f>VLOOKUP($A39,'Data Vlaue (Cr)'!$C:$FB,128)*100</f>
        <v>40.380000000000003</v>
      </c>
    </row>
    <row r="40" spans="1:19" x14ac:dyDescent="0.25">
      <c r="A40" s="96" t="str">
        <f>'Data Vlaue (Cr)'!C31</f>
        <v>BEL</v>
      </c>
      <c r="B40" s="75">
        <f>VLOOKUP($A40,'Data Vlaue (Cr)'!$C:$FB,2)</f>
        <v>1425</v>
      </c>
      <c r="C40" s="75">
        <f>VLOOKUP($A40,'Data Vlaue (Cr)'!$C:$FB,8)</f>
        <v>457.55</v>
      </c>
      <c r="D40" s="75">
        <f>VLOOKUP($A40,'Data Vlaue (Cr)'!$C:$FB,4)</f>
        <v>457.8</v>
      </c>
      <c r="E40" s="75">
        <f>VLOOKUP($A40,'Data Vlaue (Cr)'!$C:$FB,5)</f>
        <v>462.9</v>
      </c>
      <c r="F40" s="75">
        <f t="shared" si="0"/>
        <v>0.25</v>
      </c>
      <c r="G40" s="75">
        <f t="shared" si="1"/>
        <v>-1.1140235910878038</v>
      </c>
      <c r="H40" s="75">
        <f>VLOOKUP($A40,'Data Vlaue (Cr)'!$C:$FB,99)</f>
        <v>8223</v>
      </c>
      <c r="I40" s="75">
        <f>VLOOKUP($A40,'Data Vlaue (Cr)'!$C:$FB,100)</f>
        <v>8203</v>
      </c>
      <c r="J40" s="75">
        <f t="shared" si="2"/>
        <v>20</v>
      </c>
      <c r="K40" s="75">
        <f t="shared" si="3"/>
        <v>0.24322023592362885</v>
      </c>
      <c r="L40" s="75">
        <f>VLOOKUP($A40,'Data Vlaue (Cr)'!$C:$FB,67)</f>
        <v>3947</v>
      </c>
      <c r="M40" s="75">
        <f>VLOOKUP($A40,'Data Vlaue (Cr)'!$C:$FB,68)</f>
        <v>5897</v>
      </c>
      <c r="N40" s="75">
        <f t="shared" si="4"/>
        <v>-1950</v>
      </c>
      <c r="O40" s="75">
        <f t="shared" si="5"/>
        <v>-49.404611097035719</v>
      </c>
      <c r="P40" s="75">
        <f>VLOOKUP($A40,'Data Vlaue (Cr)'!$C:$FB,119)</f>
        <v>0.73</v>
      </c>
      <c r="Q40" s="75">
        <f>VLOOKUP($A40,'Data Vlaue (Cr)'!$C:$FB,122)*100</f>
        <v>-2.67</v>
      </c>
      <c r="R40" s="75">
        <f>VLOOKUP($A40,'Data Vlaue (Cr)'!$C:$FB,125)</f>
        <v>0.59</v>
      </c>
      <c r="S40" s="75">
        <f>VLOOKUP($A40,'Data Vlaue (Cr)'!$C:$FB,128)*100</f>
        <v>18</v>
      </c>
    </row>
    <row r="41" spans="1:19" x14ac:dyDescent="0.25">
      <c r="A41" s="96" t="str">
        <f>'Data Vlaue (Cr)'!C32</f>
        <v>BHARATFORG</v>
      </c>
      <c r="B41" s="75">
        <f>VLOOKUP($A41,'Data Vlaue (Cr)'!$C:$FB,2)</f>
        <v>500</v>
      </c>
      <c r="C41" s="75">
        <f>VLOOKUP($A41,'Data Vlaue (Cr)'!$C:$FB,8)</f>
        <v>1866.2</v>
      </c>
      <c r="D41" s="75">
        <f>VLOOKUP($A41,'Data Vlaue (Cr)'!$C:$FB,4)</f>
        <v>1869.6</v>
      </c>
      <c r="E41" s="75">
        <f>VLOOKUP($A41,'Data Vlaue (Cr)'!$C:$FB,5)</f>
        <v>1858.1</v>
      </c>
      <c r="F41" s="75">
        <f t="shared" si="0"/>
        <v>3.3999999999998636</v>
      </c>
      <c r="G41" s="75">
        <f t="shared" si="1"/>
        <v>0.61510483525887893</v>
      </c>
      <c r="H41" s="75">
        <f>VLOOKUP($A41,'Data Vlaue (Cr)'!$C:$FB,99)</f>
        <v>2504</v>
      </c>
      <c r="I41" s="75">
        <f>VLOOKUP($A41,'Data Vlaue (Cr)'!$C:$FB,100)</f>
        <v>2489</v>
      </c>
      <c r="J41" s="75">
        <f t="shared" si="2"/>
        <v>15</v>
      </c>
      <c r="K41" s="75">
        <f t="shared" si="3"/>
        <v>0.59904153354632583</v>
      </c>
      <c r="L41" s="75">
        <f>VLOOKUP($A41,'Data Vlaue (Cr)'!$C:$FB,67)</f>
        <v>1160</v>
      </c>
      <c r="M41" s="75">
        <f>VLOOKUP($A41,'Data Vlaue (Cr)'!$C:$FB,68)</f>
        <v>1441</v>
      </c>
      <c r="N41" s="75">
        <f t="shared" si="4"/>
        <v>-281</v>
      </c>
      <c r="O41" s="75">
        <f t="shared" si="5"/>
        <v>-24.224137931034484</v>
      </c>
      <c r="P41" s="75">
        <f>VLOOKUP($A41,'Data Vlaue (Cr)'!$C:$FB,119)</f>
        <v>0.66</v>
      </c>
      <c r="Q41" s="75">
        <f>VLOOKUP($A41,'Data Vlaue (Cr)'!$C:$FB,122)*100</f>
        <v>8.2000000000000011</v>
      </c>
      <c r="R41" s="75">
        <f>VLOOKUP($A41,'Data Vlaue (Cr)'!$C:$FB,125)</f>
        <v>0.61</v>
      </c>
      <c r="S41" s="75">
        <f>VLOOKUP($A41,'Data Vlaue (Cr)'!$C:$FB,128)*100</f>
        <v>-4.6899999999999995</v>
      </c>
    </row>
    <row r="42" spans="1:19" x14ac:dyDescent="0.25">
      <c r="A42" s="96" t="str">
        <f>'Data Vlaue (Cr)'!C33</f>
        <v>BHARTIARTL</v>
      </c>
      <c r="B42" s="75">
        <f>VLOOKUP($A42,'Data Vlaue (Cr)'!$C:$FB,2)</f>
        <v>475</v>
      </c>
      <c r="C42" s="75">
        <f>VLOOKUP($A42,'Data Vlaue (Cr)'!$C:$FB,8)</f>
        <v>1846.1</v>
      </c>
      <c r="D42" s="75">
        <f>VLOOKUP($A42,'Data Vlaue (Cr)'!$C:$FB,4)</f>
        <v>1845.6</v>
      </c>
      <c r="E42" s="75">
        <f>VLOOKUP($A42,'Data Vlaue (Cr)'!$C:$FB,5)</f>
        <v>1849</v>
      </c>
      <c r="F42" s="75">
        <f t="shared" si="0"/>
        <v>-0.5</v>
      </c>
      <c r="G42" s="75">
        <f t="shared" si="1"/>
        <v>-0.1842219332466456</v>
      </c>
      <c r="H42" s="75">
        <f>VLOOKUP($A42,'Data Vlaue (Cr)'!$C:$FB,99)</f>
        <v>15323</v>
      </c>
      <c r="I42" s="75">
        <f>VLOOKUP($A42,'Data Vlaue (Cr)'!$C:$FB,100)</f>
        <v>15269</v>
      </c>
      <c r="J42" s="75">
        <f t="shared" si="2"/>
        <v>54</v>
      </c>
      <c r="K42" s="75">
        <f t="shared" si="3"/>
        <v>0.35241140768778961</v>
      </c>
      <c r="L42" s="75">
        <f>VLOOKUP($A42,'Data Vlaue (Cr)'!$C:$FB,67)</f>
        <v>6664</v>
      </c>
      <c r="M42" s="75">
        <f>VLOOKUP($A42,'Data Vlaue (Cr)'!$C:$FB,68)</f>
        <v>4960</v>
      </c>
      <c r="N42" s="75">
        <f t="shared" si="4"/>
        <v>1704</v>
      </c>
      <c r="O42" s="75">
        <f t="shared" si="5"/>
        <v>25.570228091236498</v>
      </c>
      <c r="P42" s="75">
        <f>VLOOKUP($A42,'Data Vlaue (Cr)'!$C:$FB,119)</f>
        <v>0.6</v>
      </c>
      <c r="Q42" s="75">
        <f>VLOOKUP($A42,'Data Vlaue (Cr)'!$C:$FB,122)*100</f>
        <v>-1.6400000000000001</v>
      </c>
      <c r="R42" s="75">
        <f>VLOOKUP($A42,'Data Vlaue (Cr)'!$C:$FB,125)</f>
        <v>0.43</v>
      </c>
      <c r="S42" s="75">
        <f>VLOOKUP($A42,'Data Vlaue (Cr)'!$C:$FB,128)*100</f>
        <v>-8.51</v>
      </c>
    </row>
    <row r="43" spans="1:19" x14ac:dyDescent="0.25">
      <c r="A43" s="96" t="str">
        <f>'Data Vlaue (Cr)'!C34</f>
        <v>BHEL</v>
      </c>
      <c r="B43" s="75">
        <f>VLOOKUP($A43,'Data Vlaue (Cr)'!$C:$FB,2)</f>
        <v>2625</v>
      </c>
      <c r="C43" s="75">
        <f>VLOOKUP($A43,'Data Vlaue (Cr)'!$C:$FB,8)</f>
        <v>325.63</v>
      </c>
      <c r="D43" s="75">
        <f>VLOOKUP($A43,'Data Vlaue (Cr)'!$C:$FB,4)</f>
        <v>325.26</v>
      </c>
      <c r="E43" s="75">
        <f>VLOOKUP($A43,'Data Vlaue (Cr)'!$C:$FB,5)</f>
        <v>317.22000000000003</v>
      </c>
      <c r="F43" s="75">
        <f t="shared" si="0"/>
        <v>-0.37000000000000455</v>
      </c>
      <c r="G43" s="75">
        <f t="shared" si="1"/>
        <v>2.4718686589190075</v>
      </c>
      <c r="H43" s="75">
        <f>VLOOKUP($A43,'Data Vlaue (Cr)'!$C:$FB,99)</f>
        <v>6662</v>
      </c>
      <c r="I43" s="75">
        <f>VLOOKUP($A43,'Data Vlaue (Cr)'!$C:$FB,100)</f>
        <v>5930</v>
      </c>
      <c r="J43" s="75">
        <f t="shared" si="2"/>
        <v>732</v>
      </c>
      <c r="K43" s="75">
        <f t="shared" si="3"/>
        <v>10.987691383968778</v>
      </c>
      <c r="L43" s="75">
        <f>VLOOKUP($A43,'Data Vlaue (Cr)'!$C:$FB,67)</f>
        <v>13821</v>
      </c>
      <c r="M43" s="75">
        <f>VLOOKUP($A43,'Data Vlaue (Cr)'!$C:$FB,68)</f>
        <v>8939</v>
      </c>
      <c r="N43" s="75">
        <f t="shared" si="4"/>
        <v>4882</v>
      </c>
      <c r="O43" s="75">
        <f t="shared" si="5"/>
        <v>35.323059112944073</v>
      </c>
      <c r="P43" s="75">
        <f>VLOOKUP($A43,'Data Vlaue (Cr)'!$C:$FB,119)</f>
        <v>0.86</v>
      </c>
      <c r="Q43" s="75">
        <f>VLOOKUP($A43,'Data Vlaue (Cr)'!$C:$FB,122)*100</f>
        <v>-2.27</v>
      </c>
      <c r="R43" s="75">
        <f>VLOOKUP($A43,'Data Vlaue (Cr)'!$C:$FB,125)</f>
        <v>0.52</v>
      </c>
      <c r="S43" s="75">
        <f>VLOOKUP($A43,'Data Vlaue (Cr)'!$C:$FB,128)*100</f>
        <v>-13.33</v>
      </c>
    </row>
    <row r="44" spans="1:19" x14ac:dyDescent="0.25">
      <c r="A44" s="96" t="str">
        <f>'Data Vlaue (Cr)'!C35</f>
        <v>BIOCON</v>
      </c>
      <c r="B44" s="75">
        <f>VLOOKUP($A44,'Data Vlaue (Cr)'!$C:$FB,2)</f>
        <v>2500</v>
      </c>
      <c r="C44" s="75">
        <f>VLOOKUP($A44,'Data Vlaue (Cr)'!$C:$FB,8)</f>
        <v>359.05</v>
      </c>
      <c r="D44" s="75">
        <f>VLOOKUP($A44,'Data Vlaue (Cr)'!$C:$FB,4)</f>
        <v>358.7</v>
      </c>
      <c r="E44" s="75">
        <f>VLOOKUP($A44,'Data Vlaue (Cr)'!$C:$FB,5)</f>
        <v>358.45</v>
      </c>
      <c r="F44" s="75">
        <f t="shared" si="0"/>
        <v>-0.35000000000002274</v>
      </c>
      <c r="G44" s="75">
        <f t="shared" si="1"/>
        <v>6.9696124895455805E-2</v>
      </c>
      <c r="H44" s="75">
        <f>VLOOKUP($A44,'Data Vlaue (Cr)'!$C:$FB,99)</f>
        <v>2705</v>
      </c>
      <c r="I44" s="75">
        <f>VLOOKUP($A44,'Data Vlaue (Cr)'!$C:$FB,100)</f>
        <v>2750</v>
      </c>
      <c r="J44" s="75">
        <f t="shared" si="2"/>
        <v>-45</v>
      </c>
      <c r="K44" s="75">
        <f t="shared" si="3"/>
        <v>-1.6635859519408502</v>
      </c>
      <c r="L44" s="75">
        <f>VLOOKUP($A44,'Data Vlaue (Cr)'!$C:$FB,67)</f>
        <v>1372</v>
      </c>
      <c r="M44" s="75">
        <f>VLOOKUP($A44,'Data Vlaue (Cr)'!$C:$FB,68)</f>
        <v>2993</v>
      </c>
      <c r="N44" s="75">
        <f t="shared" si="4"/>
        <v>-1621</v>
      </c>
      <c r="O44" s="75">
        <f t="shared" si="5"/>
        <v>-118.14868804664722</v>
      </c>
      <c r="P44" s="75">
        <f>VLOOKUP($A44,'Data Vlaue (Cr)'!$C:$FB,119)</f>
        <v>0.68</v>
      </c>
      <c r="Q44" s="75">
        <f>VLOOKUP($A44,'Data Vlaue (Cr)'!$C:$FB,122)*100</f>
        <v>6.25</v>
      </c>
      <c r="R44" s="75">
        <f>VLOOKUP($A44,'Data Vlaue (Cr)'!$C:$FB,125)</f>
        <v>0.42</v>
      </c>
      <c r="S44" s="75">
        <f>VLOOKUP($A44,'Data Vlaue (Cr)'!$C:$FB,128)*100</f>
        <v>75</v>
      </c>
    </row>
    <row r="45" spans="1:19" x14ac:dyDescent="0.25">
      <c r="A45" s="96" t="str">
        <f>'Data Vlaue (Cr)'!C36</f>
        <v>BLUESTARCO</v>
      </c>
      <c r="B45" s="75">
        <f>VLOOKUP($A45,'Data Vlaue (Cr)'!$C:$FB,2)</f>
        <v>325</v>
      </c>
      <c r="C45" s="75">
        <f>VLOOKUP($A45,'Data Vlaue (Cr)'!$C:$FB,8)</f>
        <v>1889</v>
      </c>
      <c r="D45" s="75">
        <f>VLOOKUP($A45,'Data Vlaue (Cr)'!$C:$FB,4)</f>
        <v>1864.6</v>
      </c>
      <c r="E45" s="75">
        <f>VLOOKUP($A45,'Data Vlaue (Cr)'!$C:$FB,5)</f>
        <v>1856.5</v>
      </c>
      <c r="F45" s="75">
        <f t="shared" si="0"/>
        <v>-24.400000000000091</v>
      </c>
      <c r="G45" s="75">
        <f t="shared" si="1"/>
        <v>0.43440952483105816</v>
      </c>
      <c r="H45" s="75">
        <f>VLOOKUP($A45,'Data Vlaue (Cr)'!$C:$FB,99)</f>
        <v>1255</v>
      </c>
      <c r="I45" s="75">
        <f>VLOOKUP($A45,'Data Vlaue (Cr)'!$C:$FB,100)</f>
        <v>1135</v>
      </c>
      <c r="J45" s="75">
        <f t="shared" si="2"/>
        <v>120</v>
      </c>
      <c r="K45" s="75">
        <f t="shared" si="3"/>
        <v>9.5617529880478092</v>
      </c>
      <c r="L45" s="75">
        <f>VLOOKUP($A45,'Data Vlaue (Cr)'!$C:$FB,67)</f>
        <v>1265</v>
      </c>
      <c r="M45" s="75">
        <f>VLOOKUP($A45,'Data Vlaue (Cr)'!$C:$FB,68)</f>
        <v>754</v>
      </c>
      <c r="N45" s="75">
        <f t="shared" si="4"/>
        <v>511</v>
      </c>
      <c r="O45" s="75">
        <f t="shared" si="5"/>
        <v>40.395256916996047</v>
      </c>
      <c r="P45" s="75">
        <f>VLOOKUP($A45,'Data Vlaue (Cr)'!$C:$FB,119)</f>
        <v>0.69</v>
      </c>
      <c r="Q45" s="75">
        <f>VLOOKUP($A45,'Data Vlaue (Cr)'!$C:$FB,122)*100</f>
        <v>9.5200000000000014</v>
      </c>
      <c r="R45" s="75">
        <f>VLOOKUP($A45,'Data Vlaue (Cr)'!$C:$FB,125)</f>
        <v>0.37</v>
      </c>
      <c r="S45" s="75">
        <f>VLOOKUP($A45,'Data Vlaue (Cr)'!$C:$FB,128)*100</f>
        <v>-28.849999999999998</v>
      </c>
    </row>
    <row r="46" spans="1:19" x14ac:dyDescent="0.25">
      <c r="A46" s="96" t="str">
        <f>'Data Vlaue (Cr)'!C37</f>
        <v>BOSCHLTD</v>
      </c>
      <c r="B46" s="75">
        <f>VLOOKUP($A46,'Data Vlaue (Cr)'!$C:$FB,2)</f>
        <v>25</v>
      </c>
      <c r="C46" s="75">
        <f>VLOOKUP($A46,'Data Vlaue (Cr)'!$C:$FB,8)</f>
        <v>37790</v>
      </c>
      <c r="D46" s="75">
        <f>VLOOKUP($A46,'Data Vlaue (Cr)'!$C:$FB,4)</f>
        <v>37770</v>
      </c>
      <c r="E46" s="75">
        <f>VLOOKUP($A46,'Data Vlaue (Cr)'!$C:$FB,5)</f>
        <v>37580</v>
      </c>
      <c r="F46" s="75">
        <f t="shared" si="0"/>
        <v>-20</v>
      </c>
      <c r="G46" s="75">
        <f t="shared" si="1"/>
        <v>0.50304474450622183</v>
      </c>
      <c r="H46" s="75">
        <f>VLOOKUP($A46,'Data Vlaue (Cr)'!$C:$FB,99)</f>
        <v>2839</v>
      </c>
      <c r="I46" s="75">
        <f>VLOOKUP($A46,'Data Vlaue (Cr)'!$C:$FB,100)</f>
        <v>2844</v>
      </c>
      <c r="J46" s="75">
        <f t="shared" si="2"/>
        <v>-5</v>
      </c>
      <c r="K46" s="75">
        <f t="shared" si="3"/>
        <v>-0.17611835153222966</v>
      </c>
      <c r="L46" s="75">
        <f>VLOOKUP($A46,'Data Vlaue (Cr)'!$C:$FB,67)</f>
        <v>2219</v>
      </c>
      <c r="M46" s="75">
        <f>VLOOKUP($A46,'Data Vlaue (Cr)'!$C:$FB,68)</f>
        <v>3292</v>
      </c>
      <c r="N46" s="75">
        <f t="shared" si="4"/>
        <v>-1073</v>
      </c>
      <c r="O46" s="75">
        <f t="shared" si="5"/>
        <v>-48.355114916629113</v>
      </c>
      <c r="P46" s="75">
        <f>VLOOKUP($A46,'Data Vlaue (Cr)'!$C:$FB,119)</f>
        <v>0.86</v>
      </c>
      <c r="Q46" s="75">
        <f>VLOOKUP($A46,'Data Vlaue (Cr)'!$C:$FB,122)*100</f>
        <v>-3.37</v>
      </c>
      <c r="R46" s="75">
        <f>VLOOKUP($A46,'Data Vlaue (Cr)'!$C:$FB,125)</f>
        <v>1.1100000000000001</v>
      </c>
      <c r="S46" s="75">
        <f>VLOOKUP($A46,'Data Vlaue (Cr)'!$C:$FB,128)*100</f>
        <v>-70.48</v>
      </c>
    </row>
    <row r="47" spans="1:19" x14ac:dyDescent="0.25">
      <c r="A47" s="96" t="str">
        <f>'Data Vlaue (Cr)'!C38</f>
        <v>BPCL</v>
      </c>
      <c r="B47" s="75">
        <f>VLOOKUP($A47,'Data Vlaue (Cr)'!$C:$FB,2)</f>
        <v>1975</v>
      </c>
      <c r="C47" s="75">
        <f>VLOOKUP($A47,'Data Vlaue (Cr)'!$C:$FB,8)</f>
        <v>316.05</v>
      </c>
      <c r="D47" s="75">
        <f>VLOOKUP($A47,'Data Vlaue (Cr)'!$C:$FB,4)</f>
        <v>315.75</v>
      </c>
      <c r="E47" s="75">
        <f>VLOOKUP($A47,'Data Vlaue (Cr)'!$C:$FB,5)</f>
        <v>313.05</v>
      </c>
      <c r="F47" s="75">
        <f t="shared" si="0"/>
        <v>-0.30000000000001137</v>
      </c>
      <c r="G47" s="75">
        <f t="shared" si="1"/>
        <v>0.85510688836104154</v>
      </c>
      <c r="H47" s="75">
        <f>VLOOKUP($A47,'Data Vlaue (Cr)'!$C:$FB,99)</f>
        <v>3332</v>
      </c>
      <c r="I47" s="75">
        <f>VLOOKUP($A47,'Data Vlaue (Cr)'!$C:$FB,100)</f>
        <v>3080</v>
      </c>
      <c r="J47" s="75">
        <f t="shared" si="2"/>
        <v>252</v>
      </c>
      <c r="K47" s="75">
        <f t="shared" si="3"/>
        <v>7.5630252100840334</v>
      </c>
      <c r="L47" s="75">
        <f>VLOOKUP($A47,'Data Vlaue (Cr)'!$C:$FB,67)</f>
        <v>3287</v>
      </c>
      <c r="M47" s="75">
        <f>VLOOKUP($A47,'Data Vlaue (Cr)'!$C:$FB,68)</f>
        <v>1888</v>
      </c>
      <c r="N47" s="75">
        <f t="shared" si="4"/>
        <v>1399</v>
      </c>
      <c r="O47" s="75">
        <f t="shared" si="5"/>
        <v>42.561606327958621</v>
      </c>
      <c r="P47" s="75">
        <f>VLOOKUP($A47,'Data Vlaue (Cr)'!$C:$FB,119)</f>
        <v>0.83</v>
      </c>
      <c r="Q47" s="75">
        <f>VLOOKUP($A47,'Data Vlaue (Cr)'!$C:$FB,122)*100</f>
        <v>-5.6800000000000006</v>
      </c>
      <c r="R47" s="75">
        <f>VLOOKUP($A47,'Data Vlaue (Cr)'!$C:$FB,125)</f>
        <v>0.41</v>
      </c>
      <c r="S47" s="75">
        <f>VLOOKUP($A47,'Data Vlaue (Cr)'!$C:$FB,128)*100</f>
        <v>-14.580000000000002</v>
      </c>
    </row>
    <row r="48" spans="1:19" x14ac:dyDescent="0.25">
      <c r="A48" s="96" t="str">
        <f>'Data Vlaue (Cr)'!C39</f>
        <v>BRITANNIA</v>
      </c>
      <c r="B48" s="75">
        <f>VLOOKUP($A48,'Data Vlaue (Cr)'!$C:$FB,2)</f>
        <v>125</v>
      </c>
      <c r="C48" s="75">
        <f>VLOOKUP($A48,'Data Vlaue (Cr)'!$C:$FB,8)</f>
        <v>5700</v>
      </c>
      <c r="D48" s="75">
        <f>VLOOKUP($A48,'Data Vlaue (Cr)'!$C:$FB,4)</f>
        <v>5697.5</v>
      </c>
      <c r="E48" s="75">
        <f>VLOOKUP($A48,'Data Vlaue (Cr)'!$C:$FB,5)</f>
        <v>5737.5</v>
      </c>
      <c r="F48" s="75">
        <f t="shared" si="0"/>
        <v>-2.5</v>
      </c>
      <c r="G48" s="75">
        <f t="shared" si="1"/>
        <v>-0.70206230802983771</v>
      </c>
      <c r="H48" s="75">
        <f>VLOOKUP($A48,'Data Vlaue (Cr)'!$C:$FB,99)</f>
        <v>2220</v>
      </c>
      <c r="I48" s="75">
        <f>VLOOKUP($A48,'Data Vlaue (Cr)'!$C:$FB,100)</f>
        <v>2258</v>
      </c>
      <c r="J48" s="75">
        <f t="shared" si="2"/>
        <v>-38</v>
      </c>
      <c r="K48" s="75">
        <f t="shared" si="3"/>
        <v>-1.7117117117117115</v>
      </c>
      <c r="L48" s="75">
        <f>VLOOKUP($A48,'Data Vlaue (Cr)'!$C:$FB,67)</f>
        <v>802</v>
      </c>
      <c r="M48" s="75">
        <f>VLOOKUP($A48,'Data Vlaue (Cr)'!$C:$FB,68)</f>
        <v>2078</v>
      </c>
      <c r="N48" s="75">
        <f t="shared" si="4"/>
        <v>-1276</v>
      </c>
      <c r="O48" s="75">
        <f t="shared" si="5"/>
        <v>-159.10224438902742</v>
      </c>
      <c r="P48" s="75">
        <f>VLOOKUP($A48,'Data Vlaue (Cr)'!$C:$FB,119)</f>
        <v>1.06</v>
      </c>
      <c r="Q48" s="75">
        <f>VLOOKUP($A48,'Data Vlaue (Cr)'!$C:$FB,122)*100</f>
        <v>0</v>
      </c>
      <c r="R48" s="75">
        <f>VLOOKUP($A48,'Data Vlaue (Cr)'!$C:$FB,125)</f>
        <v>0.46</v>
      </c>
      <c r="S48" s="75">
        <f>VLOOKUP($A48,'Data Vlaue (Cr)'!$C:$FB,128)*100</f>
        <v>64.290000000000006</v>
      </c>
    </row>
    <row r="49" spans="1:19" x14ac:dyDescent="0.25">
      <c r="A49" s="96" t="str">
        <f>'Data Vlaue (Cr)'!C40</f>
        <v>BSE</v>
      </c>
      <c r="B49" s="75">
        <f>VLOOKUP($A49,'Data Vlaue (Cr)'!$C:$FB,2)</f>
        <v>375</v>
      </c>
      <c r="C49" s="75">
        <f>VLOOKUP($A49,'Data Vlaue (Cr)'!$C:$FB,8)</f>
        <v>3470.7</v>
      </c>
      <c r="D49" s="75">
        <f>VLOOKUP($A49,'Data Vlaue (Cr)'!$C:$FB,4)</f>
        <v>3477.8</v>
      </c>
      <c r="E49" s="75">
        <f>VLOOKUP($A49,'Data Vlaue (Cr)'!$C:$FB,5)</f>
        <v>3540.9</v>
      </c>
      <c r="F49" s="75">
        <f t="shared" si="0"/>
        <v>7.1000000000003638</v>
      </c>
      <c r="G49" s="75">
        <f t="shared" si="1"/>
        <v>-1.81436540341595</v>
      </c>
      <c r="H49" s="75">
        <f>VLOOKUP($A49,'Data Vlaue (Cr)'!$C:$FB,99)</f>
        <v>9291</v>
      </c>
      <c r="I49" s="75">
        <f>VLOOKUP($A49,'Data Vlaue (Cr)'!$C:$FB,100)</f>
        <v>9392</v>
      </c>
      <c r="J49" s="75">
        <f t="shared" si="2"/>
        <v>-101</v>
      </c>
      <c r="K49" s="75">
        <f t="shared" si="3"/>
        <v>-1.087073512000861</v>
      </c>
      <c r="L49" s="75">
        <f>VLOOKUP($A49,'Data Vlaue (Cr)'!$C:$FB,67)</f>
        <v>10320</v>
      </c>
      <c r="M49" s="75">
        <f>VLOOKUP($A49,'Data Vlaue (Cr)'!$C:$FB,68)</f>
        <v>22604</v>
      </c>
      <c r="N49" s="75">
        <f t="shared" si="4"/>
        <v>-12284</v>
      </c>
      <c r="O49" s="75">
        <f t="shared" si="5"/>
        <v>-119.03100775193798</v>
      </c>
      <c r="P49" s="75">
        <f>VLOOKUP($A49,'Data Vlaue (Cr)'!$C:$FB,119)</f>
        <v>1.21</v>
      </c>
      <c r="Q49" s="75">
        <f>VLOOKUP($A49,'Data Vlaue (Cr)'!$C:$FB,122)*100</f>
        <v>-8.33</v>
      </c>
      <c r="R49" s="75">
        <f>VLOOKUP($A49,'Data Vlaue (Cr)'!$C:$FB,125)</f>
        <v>1.3</v>
      </c>
      <c r="S49" s="75">
        <f>VLOOKUP($A49,'Data Vlaue (Cr)'!$C:$FB,128)*100</f>
        <v>68.83</v>
      </c>
    </row>
    <row r="50" spans="1:19" x14ac:dyDescent="0.25">
      <c r="A50" s="96" t="str">
        <f>'Data Vlaue (Cr)'!C41</f>
        <v>CAMS</v>
      </c>
      <c r="B50" s="75">
        <f>VLOOKUP($A50,'Data Vlaue (Cr)'!$C:$FB,2)</f>
        <v>750</v>
      </c>
      <c r="C50" s="75">
        <f>VLOOKUP($A50,'Data Vlaue (Cr)'!$C:$FB,8)</f>
        <v>749.25</v>
      </c>
      <c r="D50" s="75">
        <f>VLOOKUP($A50,'Data Vlaue (Cr)'!$C:$FB,4)</f>
        <v>747.55</v>
      </c>
      <c r="E50" s="75">
        <f>VLOOKUP($A50,'Data Vlaue (Cr)'!$C:$FB,5)</f>
        <v>752.35</v>
      </c>
      <c r="F50" s="75">
        <f t="shared" si="0"/>
        <v>-1.7000000000000455</v>
      </c>
      <c r="G50" s="75">
        <f t="shared" si="1"/>
        <v>-0.64209751856064057</v>
      </c>
      <c r="H50" s="75">
        <f>VLOOKUP($A50,'Data Vlaue (Cr)'!$C:$FB,99)</f>
        <v>984</v>
      </c>
      <c r="I50" s="75">
        <f>VLOOKUP($A50,'Data Vlaue (Cr)'!$C:$FB,100)</f>
        <v>981</v>
      </c>
      <c r="J50" s="75">
        <f t="shared" si="2"/>
        <v>3</v>
      </c>
      <c r="K50" s="75">
        <f t="shared" si="3"/>
        <v>0.3048780487804878</v>
      </c>
      <c r="L50" s="75">
        <f>VLOOKUP($A50,'Data Vlaue (Cr)'!$C:$FB,67)</f>
        <v>442</v>
      </c>
      <c r="M50" s="75">
        <f>VLOOKUP($A50,'Data Vlaue (Cr)'!$C:$FB,68)</f>
        <v>948</v>
      </c>
      <c r="N50" s="75">
        <f t="shared" si="4"/>
        <v>-506</v>
      </c>
      <c r="O50" s="75">
        <f t="shared" si="5"/>
        <v>-114.47963800904976</v>
      </c>
      <c r="P50" s="75">
        <f>VLOOKUP($A50,'Data Vlaue (Cr)'!$C:$FB,119)</f>
        <v>0.84</v>
      </c>
      <c r="Q50" s="75">
        <f>VLOOKUP($A50,'Data Vlaue (Cr)'!$C:$FB,122)*100</f>
        <v>-1.18</v>
      </c>
      <c r="R50" s="75">
        <f>VLOOKUP($A50,'Data Vlaue (Cr)'!$C:$FB,125)</f>
        <v>0.85</v>
      </c>
      <c r="S50" s="75">
        <f>VLOOKUP($A50,'Data Vlaue (Cr)'!$C:$FB,128)*100</f>
        <v>73.47</v>
      </c>
    </row>
    <row r="51" spans="1:19" x14ac:dyDescent="0.25">
      <c r="A51" s="96" t="str">
        <f>'Data Vlaue (Cr)'!C42</f>
        <v>CANBK</v>
      </c>
      <c r="B51" s="75">
        <f>VLOOKUP($A51,'Data Vlaue (Cr)'!$C:$FB,2)</f>
        <v>6750</v>
      </c>
      <c r="C51" s="75">
        <f>VLOOKUP($A51,'Data Vlaue (Cr)'!$C:$FB,8)</f>
        <v>142.74</v>
      </c>
      <c r="D51" s="75">
        <f>VLOOKUP($A51,'Data Vlaue (Cr)'!$C:$FB,4)</f>
        <v>143.07</v>
      </c>
      <c r="E51" s="75">
        <f>VLOOKUP($A51,'Data Vlaue (Cr)'!$C:$FB,5)</f>
        <v>142.61000000000001</v>
      </c>
      <c r="F51" s="75">
        <f t="shared" si="0"/>
        <v>0.32999999999998408</v>
      </c>
      <c r="G51" s="75">
        <f t="shared" si="1"/>
        <v>0.32152093380861085</v>
      </c>
      <c r="H51" s="75">
        <f>VLOOKUP($A51,'Data Vlaue (Cr)'!$C:$FB,99)</f>
        <v>5074</v>
      </c>
      <c r="I51" s="75">
        <f>VLOOKUP($A51,'Data Vlaue (Cr)'!$C:$FB,100)</f>
        <v>4916</v>
      </c>
      <c r="J51" s="75">
        <f t="shared" si="2"/>
        <v>158</v>
      </c>
      <c r="K51" s="75">
        <f t="shared" si="3"/>
        <v>3.1139140717382734</v>
      </c>
      <c r="L51" s="75">
        <f>VLOOKUP($A51,'Data Vlaue (Cr)'!$C:$FB,67)</f>
        <v>3212</v>
      </c>
      <c r="M51" s="75">
        <f>VLOOKUP($A51,'Data Vlaue (Cr)'!$C:$FB,68)</f>
        <v>2197</v>
      </c>
      <c r="N51" s="75">
        <f t="shared" si="4"/>
        <v>1015</v>
      </c>
      <c r="O51" s="75">
        <f t="shared" si="5"/>
        <v>31.60024906600249</v>
      </c>
      <c r="P51" s="75">
        <f>VLOOKUP($A51,'Data Vlaue (Cr)'!$C:$FB,119)</f>
        <v>0.93</v>
      </c>
      <c r="Q51" s="75">
        <f>VLOOKUP($A51,'Data Vlaue (Cr)'!$C:$FB,122)*100</f>
        <v>0</v>
      </c>
      <c r="R51" s="75">
        <f>VLOOKUP($A51,'Data Vlaue (Cr)'!$C:$FB,125)</f>
        <v>0.7</v>
      </c>
      <c r="S51" s="75">
        <f>VLOOKUP($A51,'Data Vlaue (Cr)'!$C:$FB,128)*100</f>
        <v>22.81</v>
      </c>
    </row>
    <row r="52" spans="1:19" x14ac:dyDescent="0.25">
      <c r="A52" s="96" t="str">
        <f>'Data Vlaue (Cr)'!C43</f>
        <v>CDSL</v>
      </c>
      <c r="B52" s="75">
        <f>VLOOKUP($A52,'Data Vlaue (Cr)'!$C:$FB,2)</f>
        <v>475</v>
      </c>
      <c r="C52" s="75">
        <f>VLOOKUP($A52,'Data Vlaue (Cr)'!$C:$FB,8)</f>
        <v>1370.3</v>
      </c>
      <c r="D52" s="75">
        <f>VLOOKUP($A52,'Data Vlaue (Cr)'!$C:$FB,4)</f>
        <v>1365.7</v>
      </c>
      <c r="E52" s="75">
        <f>VLOOKUP($A52,'Data Vlaue (Cr)'!$C:$FB,5)</f>
        <v>1396.1</v>
      </c>
      <c r="F52" s="75">
        <f t="shared" si="0"/>
        <v>-4.5999999999999091</v>
      </c>
      <c r="G52" s="75">
        <f t="shared" si="1"/>
        <v>-2.2259647067437842</v>
      </c>
      <c r="H52" s="75">
        <f>VLOOKUP($A52,'Data Vlaue (Cr)'!$C:$FB,99)</f>
        <v>2923</v>
      </c>
      <c r="I52" s="75">
        <f>VLOOKUP($A52,'Data Vlaue (Cr)'!$C:$FB,100)</f>
        <v>2765</v>
      </c>
      <c r="J52" s="75">
        <f t="shared" si="2"/>
        <v>158</v>
      </c>
      <c r="K52" s="75">
        <f t="shared" si="3"/>
        <v>5.4054054054054053</v>
      </c>
      <c r="L52" s="75">
        <f>VLOOKUP($A52,'Data Vlaue (Cr)'!$C:$FB,67)</f>
        <v>2066</v>
      </c>
      <c r="M52" s="75">
        <f>VLOOKUP($A52,'Data Vlaue (Cr)'!$C:$FB,68)</f>
        <v>2704</v>
      </c>
      <c r="N52" s="75">
        <f t="shared" si="4"/>
        <v>-638</v>
      </c>
      <c r="O52" s="75">
        <f t="shared" si="5"/>
        <v>-30.880929332042594</v>
      </c>
      <c r="P52" s="75">
        <f>VLOOKUP($A52,'Data Vlaue (Cr)'!$C:$FB,119)</f>
        <v>0.88</v>
      </c>
      <c r="Q52" s="75">
        <f>VLOOKUP($A52,'Data Vlaue (Cr)'!$C:$FB,122)*100</f>
        <v>-3.3000000000000003</v>
      </c>
      <c r="R52" s="75">
        <f>VLOOKUP($A52,'Data Vlaue (Cr)'!$C:$FB,125)</f>
        <v>0.68</v>
      </c>
      <c r="S52" s="75">
        <f>VLOOKUP($A52,'Data Vlaue (Cr)'!$C:$FB,128)*100</f>
        <v>19.3</v>
      </c>
    </row>
    <row r="53" spans="1:19" x14ac:dyDescent="0.25">
      <c r="A53" s="96" t="str">
        <f>'Data Vlaue (Cr)'!C44</f>
        <v>CGPOWER</v>
      </c>
      <c r="B53" s="75">
        <f>VLOOKUP($A53,'Data Vlaue (Cr)'!$C:$FB,2)</f>
        <v>850</v>
      </c>
      <c r="C53" s="75">
        <f>VLOOKUP($A53,'Data Vlaue (Cr)'!$C:$FB,8)</f>
        <v>795.7</v>
      </c>
      <c r="D53" s="75">
        <f>VLOOKUP($A53,'Data Vlaue (Cr)'!$C:$FB,4)</f>
        <v>795.55</v>
      </c>
      <c r="E53" s="75">
        <f>VLOOKUP($A53,'Data Vlaue (Cr)'!$C:$FB,5)</f>
        <v>774.65</v>
      </c>
      <c r="F53" s="75">
        <f t="shared" si="0"/>
        <v>-0.15000000000009095</v>
      </c>
      <c r="G53" s="75">
        <f t="shared" si="1"/>
        <v>2.6271133178304291</v>
      </c>
      <c r="H53" s="75">
        <f>VLOOKUP($A53,'Data Vlaue (Cr)'!$C:$FB,99)</f>
        <v>2316</v>
      </c>
      <c r="I53" s="75">
        <f>VLOOKUP($A53,'Data Vlaue (Cr)'!$C:$FB,100)</f>
        <v>2122</v>
      </c>
      <c r="J53" s="75">
        <f t="shared" si="2"/>
        <v>194</v>
      </c>
      <c r="K53" s="75">
        <f t="shared" si="3"/>
        <v>8.376511226252159</v>
      </c>
      <c r="L53" s="75">
        <f>VLOOKUP($A53,'Data Vlaue (Cr)'!$C:$FB,67)</f>
        <v>3297</v>
      </c>
      <c r="M53" s="75">
        <f>VLOOKUP($A53,'Data Vlaue (Cr)'!$C:$FB,68)</f>
        <v>1728</v>
      </c>
      <c r="N53" s="75">
        <f t="shared" si="4"/>
        <v>1569</v>
      </c>
      <c r="O53" s="75">
        <f t="shared" si="5"/>
        <v>47.588717015468603</v>
      </c>
      <c r="P53" s="75">
        <f>VLOOKUP($A53,'Data Vlaue (Cr)'!$C:$FB,119)</f>
        <v>0.7</v>
      </c>
      <c r="Q53" s="75">
        <f>VLOOKUP($A53,'Data Vlaue (Cr)'!$C:$FB,122)*100</f>
        <v>9.370000000000001</v>
      </c>
      <c r="R53" s="75">
        <f>VLOOKUP($A53,'Data Vlaue (Cr)'!$C:$FB,125)</f>
        <v>0.36</v>
      </c>
      <c r="S53" s="75">
        <f>VLOOKUP($A53,'Data Vlaue (Cr)'!$C:$FB,128)*100</f>
        <v>12.5</v>
      </c>
    </row>
    <row r="54" spans="1:19" x14ac:dyDescent="0.25">
      <c r="A54" s="96" t="str">
        <f>'Data Vlaue (Cr)'!C45</f>
        <v>CHOLAFIN</v>
      </c>
      <c r="B54" s="75">
        <f>VLOOKUP($A54,'Data Vlaue (Cr)'!$C:$FB,2)</f>
        <v>625</v>
      </c>
      <c r="C54" s="75">
        <f>VLOOKUP($A54,'Data Vlaue (Cr)'!$C:$FB,8)</f>
        <v>1569.3</v>
      </c>
      <c r="D54" s="75">
        <f>VLOOKUP($A54,'Data Vlaue (Cr)'!$C:$FB,4)</f>
        <v>1568.8</v>
      </c>
      <c r="E54" s="75">
        <f>VLOOKUP($A54,'Data Vlaue (Cr)'!$C:$FB,5)</f>
        <v>1578.4</v>
      </c>
      <c r="F54" s="75">
        <f t="shared" si="0"/>
        <v>-0.5</v>
      </c>
      <c r="G54" s="75">
        <f t="shared" si="1"/>
        <v>-0.61193268740439422</v>
      </c>
      <c r="H54" s="75">
        <f>VLOOKUP($A54,'Data Vlaue (Cr)'!$C:$FB,99)</f>
        <v>4551</v>
      </c>
      <c r="I54" s="75">
        <f>VLOOKUP($A54,'Data Vlaue (Cr)'!$C:$FB,100)</f>
        <v>4504</v>
      </c>
      <c r="J54" s="75">
        <f t="shared" si="2"/>
        <v>47</v>
      </c>
      <c r="K54" s="75">
        <f t="shared" si="3"/>
        <v>1.0327400571303011</v>
      </c>
      <c r="L54" s="75">
        <f>VLOOKUP($A54,'Data Vlaue (Cr)'!$C:$FB,67)</f>
        <v>1040</v>
      </c>
      <c r="M54" s="75">
        <f>VLOOKUP($A54,'Data Vlaue (Cr)'!$C:$FB,68)</f>
        <v>1775</v>
      </c>
      <c r="N54" s="75">
        <f t="shared" si="4"/>
        <v>-735</v>
      </c>
      <c r="O54" s="75">
        <f t="shared" si="5"/>
        <v>-70.673076923076934</v>
      </c>
      <c r="P54" s="75">
        <f>VLOOKUP($A54,'Data Vlaue (Cr)'!$C:$FB,119)</f>
        <v>0.86</v>
      </c>
      <c r="Q54" s="75">
        <f>VLOOKUP($A54,'Data Vlaue (Cr)'!$C:$FB,122)*100</f>
        <v>0</v>
      </c>
      <c r="R54" s="75">
        <f>VLOOKUP($A54,'Data Vlaue (Cr)'!$C:$FB,125)</f>
        <v>0.68</v>
      </c>
      <c r="S54" s="75">
        <f>VLOOKUP($A54,'Data Vlaue (Cr)'!$C:$FB,128)*100</f>
        <v>3.0300000000000002</v>
      </c>
    </row>
    <row r="55" spans="1:19" x14ac:dyDescent="0.25">
      <c r="A55" s="96" t="str">
        <f>'Data Vlaue (Cr)'!C46</f>
        <v>CIPLA</v>
      </c>
      <c r="B55" s="75">
        <f>VLOOKUP($A55,'Data Vlaue (Cr)'!$C:$FB,2)</f>
        <v>375</v>
      </c>
      <c r="C55" s="75">
        <f>VLOOKUP($A55,'Data Vlaue (Cr)'!$C:$FB,8)</f>
        <v>1229.5</v>
      </c>
      <c r="D55" s="75">
        <f>VLOOKUP($A55,'Data Vlaue (Cr)'!$C:$FB,4)</f>
        <v>1230.0999999999999</v>
      </c>
      <c r="E55" s="75">
        <f>VLOOKUP($A55,'Data Vlaue (Cr)'!$C:$FB,5)</f>
        <v>1245.0999999999999</v>
      </c>
      <c r="F55" s="75">
        <f t="shared" si="0"/>
        <v>0.59999999999990905</v>
      </c>
      <c r="G55" s="75">
        <f t="shared" si="1"/>
        <v>-1.2194130558491181</v>
      </c>
      <c r="H55" s="75">
        <f>VLOOKUP($A55,'Data Vlaue (Cr)'!$C:$FB,99)</f>
        <v>3019</v>
      </c>
      <c r="I55" s="75">
        <f>VLOOKUP($A55,'Data Vlaue (Cr)'!$C:$FB,100)</f>
        <v>2928</v>
      </c>
      <c r="J55" s="75">
        <f t="shared" si="2"/>
        <v>91</v>
      </c>
      <c r="K55" s="75">
        <f t="shared" si="3"/>
        <v>3.0142431268631995</v>
      </c>
      <c r="L55" s="75">
        <f>VLOOKUP($A55,'Data Vlaue (Cr)'!$C:$FB,67)</f>
        <v>1297</v>
      </c>
      <c r="M55" s="75">
        <f>VLOOKUP($A55,'Data Vlaue (Cr)'!$C:$FB,68)</f>
        <v>1196</v>
      </c>
      <c r="N55" s="75">
        <f t="shared" si="4"/>
        <v>101</v>
      </c>
      <c r="O55" s="75">
        <f t="shared" si="5"/>
        <v>7.7872012336160363</v>
      </c>
      <c r="P55" s="75">
        <f>VLOOKUP($A55,'Data Vlaue (Cr)'!$C:$FB,119)</f>
        <v>0.83</v>
      </c>
      <c r="Q55" s="75">
        <f>VLOOKUP($A55,'Data Vlaue (Cr)'!$C:$FB,122)*100</f>
        <v>-6.74</v>
      </c>
      <c r="R55" s="75">
        <f>VLOOKUP($A55,'Data Vlaue (Cr)'!$C:$FB,125)</f>
        <v>0.32</v>
      </c>
      <c r="S55" s="75">
        <f>VLOOKUP($A55,'Data Vlaue (Cr)'!$C:$FB,128)*100</f>
        <v>-13.51</v>
      </c>
    </row>
    <row r="56" spans="1:19" x14ac:dyDescent="0.25">
      <c r="A56" s="96" t="str">
        <f>'Data Vlaue (Cr)'!C47</f>
        <v>COALINDIA</v>
      </c>
      <c r="B56" s="75">
        <f>VLOOKUP($A56,'Data Vlaue (Cr)'!$C:$FB,2)</f>
        <v>1350</v>
      </c>
      <c r="C56" s="75">
        <f>VLOOKUP($A56,'Data Vlaue (Cr)'!$C:$FB,8)</f>
        <v>441.75</v>
      </c>
      <c r="D56" s="75">
        <f>VLOOKUP($A56,'Data Vlaue (Cr)'!$C:$FB,4)</f>
        <v>442.35</v>
      </c>
      <c r="E56" s="75">
        <f>VLOOKUP($A56,'Data Vlaue (Cr)'!$C:$FB,5)</f>
        <v>439.55</v>
      </c>
      <c r="F56" s="75">
        <f t="shared" si="0"/>
        <v>0.60000000000002274</v>
      </c>
      <c r="G56" s="75">
        <f t="shared" si="1"/>
        <v>0.63298293206737</v>
      </c>
      <c r="H56" s="75">
        <f>VLOOKUP($A56,'Data Vlaue (Cr)'!$C:$FB,99)</f>
        <v>6175</v>
      </c>
      <c r="I56" s="75">
        <f>VLOOKUP($A56,'Data Vlaue (Cr)'!$C:$FB,100)</f>
        <v>6317</v>
      </c>
      <c r="J56" s="75">
        <f t="shared" si="2"/>
        <v>-142</v>
      </c>
      <c r="K56" s="75">
        <f t="shared" si="3"/>
        <v>-2.2995951417004048</v>
      </c>
      <c r="L56" s="75">
        <f>VLOOKUP($A56,'Data Vlaue (Cr)'!$C:$FB,67)</f>
        <v>3687</v>
      </c>
      <c r="M56" s="75">
        <f>VLOOKUP($A56,'Data Vlaue (Cr)'!$C:$FB,68)</f>
        <v>4213</v>
      </c>
      <c r="N56" s="75">
        <f t="shared" si="4"/>
        <v>-526</v>
      </c>
      <c r="O56" s="75">
        <f t="shared" si="5"/>
        <v>-14.266341198806618</v>
      </c>
      <c r="P56" s="75">
        <f>VLOOKUP($A56,'Data Vlaue (Cr)'!$C:$FB,119)</f>
        <v>0.62</v>
      </c>
      <c r="Q56" s="75">
        <f>VLOOKUP($A56,'Data Vlaue (Cr)'!$C:$FB,122)*100</f>
        <v>-3.1300000000000003</v>
      </c>
      <c r="R56" s="75">
        <f>VLOOKUP($A56,'Data Vlaue (Cr)'!$C:$FB,125)</f>
        <v>0.54</v>
      </c>
      <c r="S56" s="75">
        <f>VLOOKUP($A56,'Data Vlaue (Cr)'!$C:$FB,128)*100</f>
        <v>-10</v>
      </c>
    </row>
    <row r="57" spans="1:19" x14ac:dyDescent="0.25">
      <c r="A57" s="96" t="str">
        <f>'Data Vlaue (Cr)'!C48</f>
        <v>COCHINSHIP</v>
      </c>
      <c r="B57" s="75">
        <f>VLOOKUP($A57,'Data Vlaue (Cr)'!$C:$FB,2)</f>
        <v>400</v>
      </c>
      <c r="C57" s="75">
        <f>VLOOKUP($A57,'Data Vlaue (Cr)'!$C:$FB,8)</f>
        <v>1544.9</v>
      </c>
      <c r="D57" s="75">
        <f>VLOOKUP($A57,'Data Vlaue (Cr)'!$C:$FB,4)</f>
        <v>1545.7</v>
      </c>
      <c r="E57" s="75">
        <f>VLOOKUP($A57,'Data Vlaue (Cr)'!$C:$FB,5)</f>
        <v>1566.2</v>
      </c>
      <c r="F57" s="75">
        <f t="shared" si="0"/>
        <v>0.79999999999995453</v>
      </c>
      <c r="G57" s="75">
        <f t="shared" si="1"/>
        <v>-1.3262599469496019</v>
      </c>
      <c r="H57" s="75">
        <f>VLOOKUP($A57,'Data Vlaue (Cr)'!$C:$FB,99)</f>
        <v>627</v>
      </c>
      <c r="I57" s="75">
        <f>VLOOKUP($A57,'Data Vlaue (Cr)'!$C:$FB,100)</f>
        <v>559</v>
      </c>
      <c r="J57" s="75">
        <f t="shared" si="2"/>
        <v>68</v>
      </c>
      <c r="K57" s="75">
        <f t="shared" si="3"/>
        <v>10.845295055821373</v>
      </c>
      <c r="L57" s="75">
        <f>VLOOKUP($A57,'Data Vlaue (Cr)'!$C:$FB,67)</f>
        <v>671</v>
      </c>
      <c r="M57" s="75">
        <f>VLOOKUP($A57,'Data Vlaue (Cr)'!$C:$FB,68)</f>
        <v>1884</v>
      </c>
      <c r="N57" s="75">
        <f t="shared" si="4"/>
        <v>-1213</v>
      </c>
      <c r="O57" s="75">
        <f t="shared" si="5"/>
        <v>-180.77496274217586</v>
      </c>
      <c r="P57" s="75">
        <f>VLOOKUP($A57,'Data Vlaue (Cr)'!$C:$FB,119)</f>
        <v>0.59</v>
      </c>
      <c r="Q57" s="75">
        <f>VLOOKUP($A57,'Data Vlaue (Cr)'!$C:$FB,122)*100</f>
        <v>-13.239999999999998</v>
      </c>
      <c r="R57" s="75">
        <f>VLOOKUP($A57,'Data Vlaue (Cr)'!$C:$FB,125)</f>
        <v>0.31</v>
      </c>
      <c r="S57" s="75">
        <f>VLOOKUP($A57,'Data Vlaue (Cr)'!$C:$FB,128)*100</f>
        <v>63.160000000000004</v>
      </c>
    </row>
    <row r="58" spans="1:19" x14ac:dyDescent="0.25">
      <c r="A58" s="96" t="str">
        <f>'Data Vlaue (Cr)'!C49</f>
        <v>COFORGE</v>
      </c>
      <c r="B58" s="75">
        <f>VLOOKUP($A58,'Data Vlaue (Cr)'!$C:$FB,2)</f>
        <v>375</v>
      </c>
      <c r="C58" s="75">
        <f>VLOOKUP($A58,'Data Vlaue (Cr)'!$C:$FB,8)</f>
        <v>1288.0999999999999</v>
      </c>
      <c r="D58" s="75">
        <f>VLOOKUP($A58,'Data Vlaue (Cr)'!$C:$FB,4)</f>
        <v>1284.7</v>
      </c>
      <c r="E58" s="75">
        <f>VLOOKUP($A58,'Data Vlaue (Cr)'!$C:$FB,5)</f>
        <v>1316.8</v>
      </c>
      <c r="F58" s="75">
        <f t="shared" si="0"/>
        <v>-3.3999999999998636</v>
      </c>
      <c r="G58" s="75">
        <f t="shared" si="1"/>
        <v>-2.4986378142756993</v>
      </c>
      <c r="H58" s="75">
        <f>VLOOKUP($A58,'Data Vlaue (Cr)'!$C:$FB,99)</f>
        <v>3965</v>
      </c>
      <c r="I58" s="75">
        <f>VLOOKUP($A58,'Data Vlaue (Cr)'!$C:$FB,100)</f>
        <v>3966</v>
      </c>
      <c r="J58" s="75">
        <f t="shared" si="2"/>
        <v>-1</v>
      </c>
      <c r="K58" s="75">
        <f t="shared" si="3"/>
        <v>-2.5220680958385876E-2</v>
      </c>
      <c r="L58" s="75">
        <f>VLOOKUP($A58,'Data Vlaue (Cr)'!$C:$FB,67)</f>
        <v>1387</v>
      </c>
      <c r="M58" s="75">
        <f>VLOOKUP($A58,'Data Vlaue (Cr)'!$C:$FB,68)</f>
        <v>1600</v>
      </c>
      <c r="N58" s="75">
        <f t="shared" si="4"/>
        <v>-213</v>
      </c>
      <c r="O58" s="75">
        <f t="shared" si="5"/>
        <v>-15.356885364095168</v>
      </c>
      <c r="P58" s="75">
        <f>VLOOKUP($A58,'Data Vlaue (Cr)'!$C:$FB,119)</f>
        <v>0.62</v>
      </c>
      <c r="Q58" s="75">
        <f>VLOOKUP($A58,'Data Vlaue (Cr)'!$C:$FB,122)*100</f>
        <v>-4.62</v>
      </c>
      <c r="R58" s="75">
        <f>VLOOKUP($A58,'Data Vlaue (Cr)'!$C:$FB,125)</f>
        <v>0.57999999999999996</v>
      </c>
      <c r="S58" s="75">
        <f>VLOOKUP($A58,'Data Vlaue (Cr)'!$C:$FB,128)*100</f>
        <v>5.45</v>
      </c>
    </row>
    <row r="59" spans="1:19" x14ac:dyDescent="0.25">
      <c r="A59" s="96" t="str">
        <f>'Data Vlaue (Cr)'!C50</f>
        <v>COLPAL</v>
      </c>
      <c r="B59" s="75">
        <f>VLOOKUP($A59,'Data Vlaue (Cr)'!$C:$FB,2)</f>
        <v>225</v>
      </c>
      <c r="C59" s="75">
        <f>VLOOKUP($A59,'Data Vlaue (Cr)'!$C:$FB,8)</f>
        <v>2129</v>
      </c>
      <c r="D59" s="75">
        <f>VLOOKUP($A59,'Data Vlaue (Cr)'!$C:$FB,4)</f>
        <v>2122.6</v>
      </c>
      <c r="E59" s="75">
        <f>VLOOKUP($A59,'Data Vlaue (Cr)'!$C:$FB,5)</f>
        <v>2109.1999999999998</v>
      </c>
      <c r="F59" s="75">
        <f t="shared" si="0"/>
        <v>-6.4000000000000909</v>
      </c>
      <c r="G59" s="75">
        <f t="shared" si="1"/>
        <v>0.63130123433525354</v>
      </c>
      <c r="H59" s="75">
        <f>VLOOKUP($A59,'Data Vlaue (Cr)'!$C:$FB,99)</f>
        <v>2100</v>
      </c>
      <c r="I59" s="75">
        <f>VLOOKUP($A59,'Data Vlaue (Cr)'!$C:$FB,100)</f>
        <v>2229</v>
      </c>
      <c r="J59" s="75">
        <f t="shared" si="2"/>
        <v>-129</v>
      </c>
      <c r="K59" s="75">
        <f t="shared" si="3"/>
        <v>-6.1428571428571432</v>
      </c>
      <c r="L59" s="75">
        <f>VLOOKUP($A59,'Data Vlaue (Cr)'!$C:$FB,67)</f>
        <v>1666</v>
      </c>
      <c r="M59" s="75">
        <f>VLOOKUP($A59,'Data Vlaue (Cr)'!$C:$FB,68)</f>
        <v>8798</v>
      </c>
      <c r="N59" s="75">
        <f t="shared" si="4"/>
        <v>-7132</v>
      </c>
      <c r="O59" s="75">
        <f t="shared" si="5"/>
        <v>-428.09123649459781</v>
      </c>
      <c r="P59" s="75">
        <f>VLOOKUP($A59,'Data Vlaue (Cr)'!$C:$FB,119)</f>
        <v>0.77</v>
      </c>
      <c r="Q59" s="75">
        <f>VLOOKUP($A59,'Data Vlaue (Cr)'!$C:$FB,122)*100</f>
        <v>5.48</v>
      </c>
      <c r="R59" s="75">
        <f>VLOOKUP($A59,'Data Vlaue (Cr)'!$C:$FB,125)</f>
        <v>0.42</v>
      </c>
      <c r="S59" s="75">
        <f>VLOOKUP($A59,'Data Vlaue (Cr)'!$C:$FB,128)*100</f>
        <v>10.530000000000001</v>
      </c>
    </row>
    <row r="60" spans="1:19" x14ac:dyDescent="0.25">
      <c r="A60" s="96" t="str">
        <f>'Data Vlaue (Cr)'!C51</f>
        <v>CONCOR</v>
      </c>
      <c r="B60" s="75">
        <f>VLOOKUP($A60,'Data Vlaue (Cr)'!$C:$FB,2)</f>
        <v>1250</v>
      </c>
      <c r="C60" s="75">
        <f>VLOOKUP($A60,'Data Vlaue (Cr)'!$C:$FB,8)</f>
        <v>501.05</v>
      </c>
      <c r="D60" s="75">
        <f>VLOOKUP($A60,'Data Vlaue (Cr)'!$C:$FB,4)</f>
        <v>501.95</v>
      </c>
      <c r="E60" s="75">
        <f>VLOOKUP($A60,'Data Vlaue (Cr)'!$C:$FB,5)</f>
        <v>504.5</v>
      </c>
      <c r="F60" s="75">
        <f t="shared" si="0"/>
        <v>0.89999999999997726</v>
      </c>
      <c r="G60" s="75">
        <f t="shared" si="1"/>
        <v>-0.50801872696483941</v>
      </c>
      <c r="H60" s="75">
        <f>VLOOKUP($A60,'Data Vlaue (Cr)'!$C:$FB,99)</f>
        <v>1849</v>
      </c>
      <c r="I60" s="75">
        <f>VLOOKUP($A60,'Data Vlaue (Cr)'!$C:$FB,100)</f>
        <v>1858</v>
      </c>
      <c r="J60" s="75">
        <f t="shared" si="2"/>
        <v>-9</v>
      </c>
      <c r="K60" s="75">
        <f t="shared" si="3"/>
        <v>-0.48674959437533805</v>
      </c>
      <c r="L60" s="75">
        <f>VLOOKUP($A60,'Data Vlaue (Cr)'!$C:$FB,67)</f>
        <v>514</v>
      </c>
      <c r="M60" s="75">
        <f>VLOOKUP($A60,'Data Vlaue (Cr)'!$C:$FB,68)</f>
        <v>721</v>
      </c>
      <c r="N60" s="75">
        <f t="shared" si="4"/>
        <v>-207</v>
      </c>
      <c r="O60" s="75">
        <f t="shared" si="5"/>
        <v>-40.27237354085603</v>
      </c>
      <c r="P60" s="75">
        <f>VLOOKUP($A60,'Data Vlaue (Cr)'!$C:$FB,119)</f>
        <v>0.8</v>
      </c>
      <c r="Q60" s="75">
        <f>VLOOKUP($A60,'Data Vlaue (Cr)'!$C:$FB,122)*100</f>
        <v>-1.23</v>
      </c>
      <c r="R60" s="75">
        <f>VLOOKUP($A60,'Data Vlaue (Cr)'!$C:$FB,125)</f>
        <v>0.39</v>
      </c>
      <c r="S60" s="75">
        <f>VLOOKUP($A60,'Data Vlaue (Cr)'!$C:$FB,128)*100</f>
        <v>-4.88</v>
      </c>
    </row>
    <row r="61" spans="1:19" x14ac:dyDescent="0.25">
      <c r="A61" s="96" t="str">
        <f>'Data Vlaue (Cr)'!C52</f>
        <v>CROMPTON</v>
      </c>
      <c r="B61" s="75">
        <f>VLOOKUP($A61,'Data Vlaue (Cr)'!$C:$FB,2)</f>
        <v>1800</v>
      </c>
      <c r="C61" s="75">
        <f>VLOOKUP($A61,'Data Vlaue (Cr)'!$C:$FB,8)</f>
        <v>261.22000000000003</v>
      </c>
      <c r="D61" s="75">
        <f>VLOOKUP($A61,'Data Vlaue (Cr)'!$C:$FB,4)</f>
        <v>260.98</v>
      </c>
      <c r="E61" s="75">
        <f>VLOOKUP($A61,'Data Vlaue (Cr)'!$C:$FB,5)</f>
        <v>261.39</v>
      </c>
      <c r="F61" s="75">
        <f t="shared" si="0"/>
        <v>-0.24000000000000909</v>
      </c>
      <c r="G61" s="75">
        <f t="shared" si="1"/>
        <v>-0.15710016093185997</v>
      </c>
      <c r="H61" s="75">
        <f>VLOOKUP($A61,'Data Vlaue (Cr)'!$C:$FB,99)</f>
        <v>1715</v>
      </c>
      <c r="I61" s="75">
        <f>VLOOKUP($A61,'Data Vlaue (Cr)'!$C:$FB,100)</f>
        <v>1712</v>
      </c>
      <c r="J61" s="75">
        <f t="shared" si="2"/>
        <v>3</v>
      </c>
      <c r="K61" s="75">
        <f t="shared" si="3"/>
        <v>0.1749271137026239</v>
      </c>
      <c r="L61" s="75">
        <f>VLOOKUP($A61,'Data Vlaue (Cr)'!$C:$FB,67)</f>
        <v>564</v>
      </c>
      <c r="M61" s="75">
        <f>VLOOKUP($A61,'Data Vlaue (Cr)'!$C:$FB,68)</f>
        <v>793</v>
      </c>
      <c r="N61" s="75">
        <f t="shared" si="4"/>
        <v>-229</v>
      </c>
      <c r="O61" s="75">
        <f t="shared" si="5"/>
        <v>-40.602836879432623</v>
      </c>
      <c r="P61" s="75">
        <f>VLOOKUP($A61,'Data Vlaue (Cr)'!$C:$FB,119)</f>
        <v>0.67</v>
      </c>
      <c r="Q61" s="75">
        <f>VLOOKUP($A61,'Data Vlaue (Cr)'!$C:$FB,122)*100</f>
        <v>-4.29</v>
      </c>
      <c r="R61" s="75">
        <f>VLOOKUP($A61,'Data Vlaue (Cr)'!$C:$FB,125)</f>
        <v>0.28999999999999998</v>
      </c>
      <c r="S61" s="75">
        <f>VLOOKUP($A61,'Data Vlaue (Cr)'!$C:$FB,128)*100</f>
        <v>-34.089999999999996</v>
      </c>
    </row>
    <row r="62" spans="1:19" x14ac:dyDescent="0.25">
      <c r="A62" s="96" t="str">
        <f>'Data Vlaue (Cr)'!C53</f>
        <v>CUMMINSIND</v>
      </c>
      <c r="B62" s="75">
        <f>VLOOKUP($A62,'Data Vlaue (Cr)'!$C:$FB,2)</f>
        <v>200</v>
      </c>
      <c r="C62" s="75">
        <f>VLOOKUP($A62,'Data Vlaue (Cr)'!$C:$FB,8)</f>
        <v>5200.3</v>
      </c>
      <c r="D62" s="75">
        <f>VLOOKUP($A62,'Data Vlaue (Cr)'!$C:$FB,4)</f>
        <v>5196</v>
      </c>
      <c r="E62" s="75">
        <f>VLOOKUP($A62,'Data Vlaue (Cr)'!$C:$FB,5)</f>
        <v>5151.7</v>
      </c>
      <c r="F62" s="75">
        <f t="shared" si="0"/>
        <v>-4.3000000000001819</v>
      </c>
      <c r="G62" s="75">
        <f t="shared" si="1"/>
        <v>0.85257890685142768</v>
      </c>
      <c r="H62" s="75">
        <f>VLOOKUP($A62,'Data Vlaue (Cr)'!$C:$FB,99)</f>
        <v>3286</v>
      </c>
      <c r="I62" s="75">
        <f>VLOOKUP($A62,'Data Vlaue (Cr)'!$C:$FB,100)</f>
        <v>3238</v>
      </c>
      <c r="J62" s="75">
        <f t="shared" si="2"/>
        <v>48</v>
      </c>
      <c r="K62" s="75">
        <f t="shared" si="3"/>
        <v>1.4607425441265978</v>
      </c>
      <c r="L62" s="75">
        <f>VLOOKUP($A62,'Data Vlaue (Cr)'!$C:$FB,67)</f>
        <v>3393</v>
      </c>
      <c r="M62" s="75">
        <f>VLOOKUP($A62,'Data Vlaue (Cr)'!$C:$FB,68)</f>
        <v>3917</v>
      </c>
      <c r="N62" s="75">
        <f t="shared" si="4"/>
        <v>-524</v>
      </c>
      <c r="O62" s="75">
        <f t="shared" si="5"/>
        <v>-15.443560271146477</v>
      </c>
      <c r="P62" s="75">
        <f>VLOOKUP($A62,'Data Vlaue (Cr)'!$C:$FB,119)</f>
        <v>0.67</v>
      </c>
      <c r="Q62" s="75">
        <f>VLOOKUP($A62,'Data Vlaue (Cr)'!$C:$FB,122)*100</f>
        <v>-2.9000000000000004</v>
      </c>
      <c r="R62" s="75">
        <f>VLOOKUP($A62,'Data Vlaue (Cr)'!$C:$FB,125)</f>
        <v>0.52</v>
      </c>
      <c r="S62" s="75">
        <f>VLOOKUP($A62,'Data Vlaue (Cr)'!$C:$FB,128)*100</f>
        <v>92.589999999999989</v>
      </c>
    </row>
    <row r="63" spans="1:19" x14ac:dyDescent="0.25">
      <c r="A63" s="96" t="str">
        <f>'Data Vlaue (Cr)'!C54</f>
        <v>DABUR</v>
      </c>
      <c r="B63" s="75">
        <f>VLOOKUP($A63,'Data Vlaue (Cr)'!$C:$FB,2)</f>
        <v>1250</v>
      </c>
      <c r="C63" s="75">
        <f>VLOOKUP($A63,'Data Vlaue (Cr)'!$C:$FB,8)</f>
        <v>441.7</v>
      </c>
      <c r="D63" s="75">
        <f>VLOOKUP($A63,'Data Vlaue (Cr)'!$C:$FB,4)</f>
        <v>441.8</v>
      </c>
      <c r="E63" s="75">
        <f>VLOOKUP($A63,'Data Vlaue (Cr)'!$C:$FB,5)</f>
        <v>442.75</v>
      </c>
      <c r="F63" s="75">
        <f t="shared" si="0"/>
        <v>0.10000000000002274</v>
      </c>
      <c r="G63" s="75">
        <f t="shared" si="1"/>
        <v>-0.21502942507921879</v>
      </c>
      <c r="H63" s="75">
        <f>VLOOKUP($A63,'Data Vlaue (Cr)'!$C:$FB,99)</f>
        <v>2193</v>
      </c>
      <c r="I63" s="75">
        <f>VLOOKUP($A63,'Data Vlaue (Cr)'!$C:$FB,100)</f>
        <v>2238</v>
      </c>
      <c r="J63" s="75">
        <f t="shared" si="2"/>
        <v>-45</v>
      </c>
      <c r="K63" s="75">
        <f t="shared" si="3"/>
        <v>-2.0519835841313268</v>
      </c>
      <c r="L63" s="75">
        <f>VLOOKUP($A63,'Data Vlaue (Cr)'!$C:$FB,67)</f>
        <v>1064</v>
      </c>
      <c r="M63" s="75">
        <f>VLOOKUP($A63,'Data Vlaue (Cr)'!$C:$FB,68)</f>
        <v>2583</v>
      </c>
      <c r="N63" s="75">
        <f t="shared" si="4"/>
        <v>-1519</v>
      </c>
      <c r="O63" s="75">
        <f t="shared" si="5"/>
        <v>-142.76315789473685</v>
      </c>
      <c r="P63" s="75">
        <f>VLOOKUP($A63,'Data Vlaue (Cr)'!$C:$FB,119)</f>
        <v>0.59</v>
      </c>
      <c r="Q63" s="75">
        <f>VLOOKUP($A63,'Data Vlaue (Cr)'!$C:$FB,122)*100</f>
        <v>-7.8100000000000005</v>
      </c>
      <c r="R63" s="75">
        <f>VLOOKUP($A63,'Data Vlaue (Cr)'!$C:$FB,125)</f>
        <v>0.31</v>
      </c>
      <c r="S63" s="75">
        <f>VLOOKUP($A63,'Data Vlaue (Cr)'!$C:$FB,128)*100</f>
        <v>3.3300000000000005</v>
      </c>
    </row>
    <row r="64" spans="1:19" x14ac:dyDescent="0.25">
      <c r="A64" s="96" t="str">
        <f>'Data Vlaue (Cr)'!C55</f>
        <v>DALBHARAT</v>
      </c>
      <c r="B64" s="75">
        <f>VLOOKUP($A64,'Data Vlaue (Cr)'!$C:$FB,2)</f>
        <v>325</v>
      </c>
      <c r="C64" s="75">
        <f>VLOOKUP($A64,'Data Vlaue (Cr)'!$C:$FB,8)</f>
        <v>1981.8</v>
      </c>
      <c r="D64" s="75">
        <f>VLOOKUP($A64,'Data Vlaue (Cr)'!$C:$FB,4)</f>
        <v>1982.2</v>
      </c>
      <c r="E64" s="75">
        <f>VLOOKUP($A64,'Data Vlaue (Cr)'!$C:$FB,5)</f>
        <v>1978.1</v>
      </c>
      <c r="F64" s="75">
        <f t="shared" si="0"/>
        <v>0.40000000000009095</v>
      </c>
      <c r="G64" s="75">
        <f t="shared" si="1"/>
        <v>0.20684088386641791</v>
      </c>
      <c r="H64" s="75">
        <f>VLOOKUP($A64,'Data Vlaue (Cr)'!$C:$FB,99)</f>
        <v>925</v>
      </c>
      <c r="I64" s="75">
        <f>VLOOKUP($A64,'Data Vlaue (Cr)'!$C:$FB,100)</f>
        <v>911</v>
      </c>
      <c r="J64" s="75">
        <f t="shared" si="2"/>
        <v>14</v>
      </c>
      <c r="K64" s="75">
        <f t="shared" si="3"/>
        <v>1.5135135135135136</v>
      </c>
      <c r="L64" s="75">
        <f>VLOOKUP($A64,'Data Vlaue (Cr)'!$C:$FB,67)</f>
        <v>326</v>
      </c>
      <c r="M64" s="75">
        <f>VLOOKUP($A64,'Data Vlaue (Cr)'!$C:$FB,68)</f>
        <v>387</v>
      </c>
      <c r="N64" s="75">
        <f t="shared" si="4"/>
        <v>-61</v>
      </c>
      <c r="O64" s="75">
        <f t="shared" si="5"/>
        <v>-18.711656441717793</v>
      </c>
      <c r="P64" s="75">
        <f>VLOOKUP($A64,'Data Vlaue (Cr)'!$C:$FB,119)</f>
        <v>0.91</v>
      </c>
      <c r="Q64" s="75">
        <f>VLOOKUP($A64,'Data Vlaue (Cr)'!$C:$FB,122)*100</f>
        <v>-8.08</v>
      </c>
      <c r="R64" s="75">
        <f>VLOOKUP($A64,'Data Vlaue (Cr)'!$C:$FB,125)</f>
        <v>0.32</v>
      </c>
      <c r="S64" s="75">
        <f>VLOOKUP($A64,'Data Vlaue (Cr)'!$C:$FB,128)*100</f>
        <v>-27.27</v>
      </c>
    </row>
    <row r="65" spans="1:19" x14ac:dyDescent="0.25">
      <c r="A65" s="96" t="str">
        <f>'Data Vlaue (Cr)'!C56</f>
        <v>DELHIVERY</v>
      </c>
      <c r="B65" s="75">
        <f>VLOOKUP($A65,'Data Vlaue (Cr)'!$C:$FB,2)</f>
        <v>2075</v>
      </c>
      <c r="C65" s="75">
        <f>VLOOKUP($A65,'Data Vlaue (Cr)'!$C:$FB,8)</f>
        <v>464.5</v>
      </c>
      <c r="D65" s="75">
        <f>VLOOKUP($A65,'Data Vlaue (Cr)'!$C:$FB,4)</f>
        <v>464.8</v>
      </c>
      <c r="E65" s="75">
        <f>VLOOKUP($A65,'Data Vlaue (Cr)'!$C:$FB,5)</f>
        <v>464.5</v>
      </c>
      <c r="F65" s="75">
        <f t="shared" si="0"/>
        <v>0.30000000000001137</v>
      </c>
      <c r="G65" s="75">
        <f t="shared" si="1"/>
        <v>6.454388984509711E-2</v>
      </c>
      <c r="H65" s="75">
        <f>VLOOKUP($A65,'Data Vlaue (Cr)'!$C:$FB,99)</f>
        <v>2325</v>
      </c>
      <c r="I65" s="75">
        <f>VLOOKUP($A65,'Data Vlaue (Cr)'!$C:$FB,100)</f>
        <v>2407</v>
      </c>
      <c r="J65" s="75">
        <f t="shared" si="2"/>
        <v>-82</v>
      </c>
      <c r="K65" s="75">
        <f t="shared" si="3"/>
        <v>-3.5268817204301075</v>
      </c>
      <c r="L65" s="75">
        <f>VLOOKUP($A65,'Data Vlaue (Cr)'!$C:$FB,67)</f>
        <v>2226</v>
      </c>
      <c r="M65" s="75">
        <f>VLOOKUP($A65,'Data Vlaue (Cr)'!$C:$FB,68)</f>
        <v>2096</v>
      </c>
      <c r="N65" s="75">
        <f t="shared" si="4"/>
        <v>130</v>
      </c>
      <c r="O65" s="75">
        <f t="shared" si="5"/>
        <v>5.840071877807727</v>
      </c>
      <c r="P65" s="75">
        <f>VLOOKUP($A65,'Data Vlaue (Cr)'!$C:$FB,119)</f>
        <v>0.4</v>
      </c>
      <c r="Q65" s="75">
        <f>VLOOKUP($A65,'Data Vlaue (Cr)'!$C:$FB,122)*100</f>
        <v>2.56</v>
      </c>
      <c r="R65" s="75">
        <f>VLOOKUP($A65,'Data Vlaue (Cr)'!$C:$FB,125)</f>
        <v>0.21</v>
      </c>
      <c r="S65" s="75">
        <f>VLOOKUP($A65,'Data Vlaue (Cr)'!$C:$FB,128)*100</f>
        <v>-4.55</v>
      </c>
    </row>
    <row r="66" spans="1:19" x14ac:dyDescent="0.25">
      <c r="A66" s="96" t="str">
        <f>'Data Vlaue (Cr)'!C57</f>
        <v>DIVISLAB</v>
      </c>
      <c r="B66" s="75">
        <f>VLOOKUP($A66,'Data Vlaue (Cr)'!$C:$FB,2)</f>
        <v>100</v>
      </c>
      <c r="C66" s="75">
        <f>VLOOKUP($A66,'Data Vlaue (Cr)'!$C:$FB,8)</f>
        <v>6280</v>
      </c>
      <c r="D66" s="75">
        <f>VLOOKUP($A66,'Data Vlaue (Cr)'!$C:$FB,4)</f>
        <v>6274.5</v>
      </c>
      <c r="E66" s="75">
        <f>VLOOKUP($A66,'Data Vlaue (Cr)'!$C:$FB,5)</f>
        <v>6238</v>
      </c>
      <c r="F66" s="75">
        <f t="shared" si="0"/>
        <v>-5.5</v>
      </c>
      <c r="G66" s="75">
        <f t="shared" si="1"/>
        <v>0.58171965893696709</v>
      </c>
      <c r="H66" s="75">
        <f>VLOOKUP($A66,'Data Vlaue (Cr)'!$C:$FB,99)</f>
        <v>2688</v>
      </c>
      <c r="I66" s="75">
        <f>VLOOKUP($A66,'Data Vlaue (Cr)'!$C:$FB,100)</f>
        <v>2635</v>
      </c>
      <c r="J66" s="75">
        <f t="shared" si="2"/>
        <v>53</v>
      </c>
      <c r="K66" s="75">
        <f t="shared" si="3"/>
        <v>1.9717261904761905</v>
      </c>
      <c r="L66" s="75">
        <f>VLOOKUP($A66,'Data Vlaue (Cr)'!$C:$FB,67)</f>
        <v>1178</v>
      </c>
      <c r="M66" s="75">
        <f>VLOOKUP($A66,'Data Vlaue (Cr)'!$C:$FB,68)</f>
        <v>1143</v>
      </c>
      <c r="N66" s="75">
        <f t="shared" si="4"/>
        <v>35</v>
      </c>
      <c r="O66" s="75">
        <f t="shared" si="5"/>
        <v>2.9711375212224107</v>
      </c>
      <c r="P66" s="75">
        <f>VLOOKUP($A66,'Data Vlaue (Cr)'!$C:$FB,119)</f>
        <v>1.01</v>
      </c>
      <c r="Q66" s="75">
        <f>VLOOKUP($A66,'Data Vlaue (Cr)'!$C:$FB,122)*100</f>
        <v>-3.81</v>
      </c>
      <c r="R66" s="75">
        <f>VLOOKUP($A66,'Data Vlaue (Cr)'!$C:$FB,125)</f>
        <v>0.36</v>
      </c>
      <c r="S66" s="75">
        <f>VLOOKUP($A66,'Data Vlaue (Cr)'!$C:$FB,128)*100</f>
        <v>-36.840000000000003</v>
      </c>
    </row>
    <row r="67" spans="1:19" x14ac:dyDescent="0.25">
      <c r="A67" s="96" t="str">
        <f>'Data Vlaue (Cr)'!C58</f>
        <v>DIXON</v>
      </c>
      <c r="B67" s="75">
        <f>VLOOKUP($A67,'Data Vlaue (Cr)'!$C:$FB,2)</f>
        <v>50</v>
      </c>
      <c r="C67" s="75">
        <f>VLOOKUP($A67,'Data Vlaue (Cr)'!$C:$FB,8)</f>
        <v>11211</v>
      </c>
      <c r="D67" s="75">
        <f>VLOOKUP($A67,'Data Vlaue (Cr)'!$C:$FB,4)</f>
        <v>11195.5</v>
      </c>
      <c r="E67" s="75">
        <f>VLOOKUP($A67,'Data Vlaue (Cr)'!$C:$FB,5)</f>
        <v>11377.5</v>
      </c>
      <c r="F67" s="75">
        <f t="shared" si="0"/>
        <v>-15.5</v>
      </c>
      <c r="G67" s="75">
        <f t="shared" si="1"/>
        <v>-1.6256531642177658</v>
      </c>
      <c r="H67" s="75">
        <f>VLOOKUP($A67,'Data Vlaue (Cr)'!$C:$FB,99)</f>
        <v>7543</v>
      </c>
      <c r="I67" s="75">
        <f>VLOOKUP($A67,'Data Vlaue (Cr)'!$C:$FB,100)</f>
        <v>7556</v>
      </c>
      <c r="J67" s="75">
        <f t="shared" si="2"/>
        <v>-13</v>
      </c>
      <c r="K67" s="75">
        <f t="shared" si="3"/>
        <v>-0.1723452207344558</v>
      </c>
      <c r="L67" s="75">
        <f>VLOOKUP($A67,'Data Vlaue (Cr)'!$C:$FB,67)</f>
        <v>6009</v>
      </c>
      <c r="M67" s="75">
        <f>VLOOKUP($A67,'Data Vlaue (Cr)'!$C:$FB,68)</f>
        <v>7100</v>
      </c>
      <c r="N67" s="75">
        <f t="shared" si="4"/>
        <v>-1091</v>
      </c>
      <c r="O67" s="75">
        <f t="shared" si="5"/>
        <v>-18.156099184556499</v>
      </c>
      <c r="P67" s="75">
        <f>VLOOKUP($A67,'Data Vlaue (Cr)'!$C:$FB,119)</f>
        <v>0.71</v>
      </c>
      <c r="Q67" s="75">
        <f>VLOOKUP($A67,'Data Vlaue (Cr)'!$C:$FB,122)*100</f>
        <v>-4.05</v>
      </c>
      <c r="R67" s="75">
        <f>VLOOKUP($A67,'Data Vlaue (Cr)'!$C:$FB,125)</f>
        <v>0.67</v>
      </c>
      <c r="S67" s="75">
        <f>VLOOKUP($A67,'Data Vlaue (Cr)'!$C:$FB,128)*100</f>
        <v>19.64</v>
      </c>
    </row>
    <row r="68" spans="1:19" x14ac:dyDescent="0.25">
      <c r="A68" s="96" t="str">
        <f>'Data Vlaue (Cr)'!C59</f>
        <v>DLF</v>
      </c>
      <c r="B68" s="75">
        <f>VLOOKUP($A68,'Data Vlaue (Cr)'!$C:$FB,2)</f>
        <v>825</v>
      </c>
      <c r="C68" s="75">
        <f>VLOOKUP($A68,'Data Vlaue (Cr)'!$C:$FB,8)</f>
        <v>596.4</v>
      </c>
      <c r="D68" s="75">
        <f>VLOOKUP($A68,'Data Vlaue (Cr)'!$C:$FB,4)</f>
        <v>595.54999999999995</v>
      </c>
      <c r="E68" s="75">
        <f>VLOOKUP($A68,'Data Vlaue (Cr)'!$C:$FB,5)</f>
        <v>601.54999999999995</v>
      </c>
      <c r="F68" s="75">
        <f t="shared" si="0"/>
        <v>-0.85000000000002274</v>
      </c>
      <c r="G68" s="75">
        <f t="shared" si="1"/>
        <v>-1.007472084627655</v>
      </c>
      <c r="H68" s="75">
        <f>VLOOKUP($A68,'Data Vlaue (Cr)'!$C:$FB,99)</f>
        <v>4340</v>
      </c>
      <c r="I68" s="75">
        <f>VLOOKUP($A68,'Data Vlaue (Cr)'!$C:$FB,100)</f>
        <v>4352</v>
      </c>
      <c r="J68" s="75">
        <f t="shared" si="2"/>
        <v>-12</v>
      </c>
      <c r="K68" s="75">
        <f t="shared" si="3"/>
        <v>-0.27649769585253459</v>
      </c>
      <c r="L68" s="75">
        <f>VLOOKUP($A68,'Data Vlaue (Cr)'!$C:$FB,67)</f>
        <v>1244</v>
      </c>
      <c r="M68" s="75">
        <f>VLOOKUP($A68,'Data Vlaue (Cr)'!$C:$FB,68)</f>
        <v>2455</v>
      </c>
      <c r="N68" s="75">
        <f t="shared" si="4"/>
        <v>-1211</v>
      </c>
      <c r="O68" s="75">
        <f t="shared" si="5"/>
        <v>-97.347266881028943</v>
      </c>
      <c r="P68" s="75">
        <f>VLOOKUP($A68,'Data Vlaue (Cr)'!$C:$FB,119)</f>
        <v>1.06</v>
      </c>
      <c r="Q68" s="75">
        <f>VLOOKUP($A68,'Data Vlaue (Cr)'!$C:$FB,122)*100</f>
        <v>-1.8499999999999999</v>
      </c>
      <c r="R68" s="75">
        <f>VLOOKUP($A68,'Data Vlaue (Cr)'!$C:$FB,125)</f>
        <v>0.67</v>
      </c>
      <c r="S68" s="75">
        <f>VLOOKUP($A68,'Data Vlaue (Cr)'!$C:$FB,128)*100</f>
        <v>-20.239999999999998</v>
      </c>
    </row>
    <row r="69" spans="1:19" x14ac:dyDescent="0.25">
      <c r="A69" s="96" t="str">
        <f>'Data Vlaue (Cr)'!C60</f>
        <v>DMART</v>
      </c>
      <c r="B69" s="75">
        <f>VLOOKUP($A69,'Data Vlaue (Cr)'!$C:$FB,2)</f>
        <v>150</v>
      </c>
      <c r="C69" s="75">
        <f>VLOOKUP($A69,'Data Vlaue (Cr)'!$C:$FB,8)</f>
        <v>4605.2</v>
      </c>
      <c r="D69" s="75">
        <f>VLOOKUP($A69,'Data Vlaue (Cr)'!$C:$FB,4)</f>
        <v>4607.8</v>
      </c>
      <c r="E69" s="75">
        <f>VLOOKUP($A69,'Data Vlaue (Cr)'!$C:$FB,5)</f>
        <v>4644.8999999999996</v>
      </c>
      <c r="F69" s="75">
        <f t="shared" si="0"/>
        <v>2.6000000000003638</v>
      </c>
      <c r="G69" s="75">
        <f t="shared" si="1"/>
        <v>-0.80515647380527477</v>
      </c>
      <c r="H69" s="75">
        <f>VLOOKUP($A69,'Data Vlaue (Cr)'!$C:$FB,99)</f>
        <v>3571</v>
      </c>
      <c r="I69" s="75">
        <f>VLOOKUP($A69,'Data Vlaue (Cr)'!$C:$FB,100)</f>
        <v>3623</v>
      </c>
      <c r="J69" s="75">
        <f t="shared" si="2"/>
        <v>-52</v>
      </c>
      <c r="K69" s="75">
        <f t="shared" si="3"/>
        <v>-1.4561747409689163</v>
      </c>
      <c r="L69" s="75">
        <f>VLOOKUP($A69,'Data Vlaue (Cr)'!$C:$FB,67)</f>
        <v>2327</v>
      </c>
      <c r="M69" s="75">
        <f>VLOOKUP($A69,'Data Vlaue (Cr)'!$C:$FB,68)</f>
        <v>7150</v>
      </c>
      <c r="N69" s="75">
        <f t="shared" si="4"/>
        <v>-4823</v>
      </c>
      <c r="O69" s="75">
        <f t="shared" si="5"/>
        <v>-207.26256983240225</v>
      </c>
      <c r="P69" s="75">
        <f>VLOOKUP($A69,'Data Vlaue (Cr)'!$C:$FB,119)</f>
        <v>0.94</v>
      </c>
      <c r="Q69" s="75">
        <f>VLOOKUP($A69,'Data Vlaue (Cr)'!$C:$FB,122)*100</f>
        <v>-2.08</v>
      </c>
      <c r="R69" s="75">
        <f>VLOOKUP($A69,'Data Vlaue (Cr)'!$C:$FB,125)</f>
        <v>0.81</v>
      </c>
      <c r="S69" s="75">
        <f>VLOOKUP($A69,'Data Vlaue (Cr)'!$C:$FB,128)*100</f>
        <v>80</v>
      </c>
    </row>
    <row r="70" spans="1:19" x14ac:dyDescent="0.25">
      <c r="A70" s="96" t="str">
        <f>'Data Vlaue (Cr)'!C61</f>
        <v>DRREDDY</v>
      </c>
      <c r="B70" s="75">
        <f>VLOOKUP($A70,'Data Vlaue (Cr)'!$C:$FB,2)</f>
        <v>625</v>
      </c>
      <c r="C70" s="75">
        <f>VLOOKUP($A70,'Data Vlaue (Cr)'!$C:$FB,8)</f>
        <v>1232.5999999999999</v>
      </c>
      <c r="D70" s="75">
        <f>VLOOKUP($A70,'Data Vlaue (Cr)'!$C:$FB,4)</f>
        <v>1224.0999999999999</v>
      </c>
      <c r="E70" s="75">
        <f>VLOOKUP($A70,'Data Vlaue (Cr)'!$C:$FB,5)</f>
        <v>1231.8</v>
      </c>
      <c r="F70" s="75">
        <f t="shared" si="0"/>
        <v>-8.5</v>
      </c>
      <c r="G70" s="75">
        <f t="shared" si="1"/>
        <v>-0.62903357568826457</v>
      </c>
      <c r="H70" s="75">
        <f>VLOOKUP($A70,'Data Vlaue (Cr)'!$C:$FB,99)</f>
        <v>3226</v>
      </c>
      <c r="I70" s="75">
        <f>VLOOKUP($A70,'Data Vlaue (Cr)'!$C:$FB,100)</f>
        <v>3211</v>
      </c>
      <c r="J70" s="75">
        <f t="shared" si="2"/>
        <v>15</v>
      </c>
      <c r="K70" s="75">
        <f t="shared" si="3"/>
        <v>0.46497210167389957</v>
      </c>
      <c r="L70" s="75">
        <f>VLOOKUP($A70,'Data Vlaue (Cr)'!$C:$FB,67)</f>
        <v>1447</v>
      </c>
      <c r="M70" s="75">
        <f>VLOOKUP($A70,'Data Vlaue (Cr)'!$C:$FB,68)</f>
        <v>1949</v>
      </c>
      <c r="N70" s="75">
        <f t="shared" si="4"/>
        <v>-502</v>
      </c>
      <c r="O70" s="75">
        <f t="shared" si="5"/>
        <v>-34.69246717346234</v>
      </c>
      <c r="P70" s="75">
        <f>VLOOKUP($A70,'Data Vlaue (Cr)'!$C:$FB,119)</f>
        <v>0.7</v>
      </c>
      <c r="Q70" s="75">
        <f>VLOOKUP($A70,'Data Vlaue (Cr)'!$C:$FB,122)*100</f>
        <v>-1.41</v>
      </c>
      <c r="R70" s="75">
        <f>VLOOKUP($A70,'Data Vlaue (Cr)'!$C:$FB,125)</f>
        <v>0.46</v>
      </c>
      <c r="S70" s="75">
        <f>VLOOKUP($A70,'Data Vlaue (Cr)'!$C:$FB,128)*100</f>
        <v>9.5200000000000014</v>
      </c>
    </row>
    <row r="71" spans="1:19" x14ac:dyDescent="0.25">
      <c r="A71" s="96" t="str">
        <f>'Data Vlaue (Cr)'!C62</f>
        <v>EICHERMOT</v>
      </c>
      <c r="B71" s="75">
        <f>VLOOKUP($A71,'Data Vlaue (Cr)'!$C:$FB,2)</f>
        <v>100</v>
      </c>
      <c r="C71" s="75">
        <f>VLOOKUP($A71,'Data Vlaue (Cr)'!$C:$FB,8)</f>
        <v>7243</v>
      </c>
      <c r="D71" s="75">
        <f>VLOOKUP($A71,'Data Vlaue (Cr)'!$C:$FB,4)</f>
        <v>7233</v>
      </c>
      <c r="E71" s="75">
        <f>VLOOKUP($A71,'Data Vlaue (Cr)'!$C:$FB,5)</f>
        <v>7189.5</v>
      </c>
      <c r="F71" s="75">
        <f t="shared" si="0"/>
        <v>-10</v>
      </c>
      <c r="G71" s="75">
        <f t="shared" si="1"/>
        <v>0.60141020323517214</v>
      </c>
      <c r="H71" s="75">
        <f>VLOOKUP($A71,'Data Vlaue (Cr)'!$C:$FB,99)</f>
        <v>5797</v>
      </c>
      <c r="I71" s="75">
        <f>VLOOKUP($A71,'Data Vlaue (Cr)'!$C:$FB,100)</f>
        <v>5928</v>
      </c>
      <c r="J71" s="75">
        <f t="shared" si="2"/>
        <v>-131</v>
      </c>
      <c r="K71" s="75">
        <f t="shared" si="3"/>
        <v>-2.2597895463170605</v>
      </c>
      <c r="L71" s="75">
        <f>VLOOKUP($A71,'Data Vlaue (Cr)'!$C:$FB,67)</f>
        <v>3754</v>
      </c>
      <c r="M71" s="75">
        <f>VLOOKUP($A71,'Data Vlaue (Cr)'!$C:$FB,68)</f>
        <v>3521</v>
      </c>
      <c r="N71" s="75">
        <f t="shared" si="4"/>
        <v>233</v>
      </c>
      <c r="O71" s="75">
        <f t="shared" si="5"/>
        <v>6.2067128396377198</v>
      </c>
      <c r="P71" s="75">
        <f>VLOOKUP($A71,'Data Vlaue (Cr)'!$C:$FB,119)</f>
        <v>0.77</v>
      </c>
      <c r="Q71" s="75">
        <f>VLOOKUP($A71,'Data Vlaue (Cr)'!$C:$FB,122)*100</f>
        <v>13.239999999999998</v>
      </c>
      <c r="R71" s="75">
        <f>VLOOKUP($A71,'Data Vlaue (Cr)'!$C:$FB,125)</f>
        <v>0.34</v>
      </c>
      <c r="S71" s="75">
        <f>VLOOKUP($A71,'Data Vlaue (Cr)'!$C:$FB,128)*100</f>
        <v>0</v>
      </c>
    </row>
    <row r="72" spans="1:19" x14ac:dyDescent="0.25">
      <c r="A72" s="96" t="str">
        <f>'Data Vlaue (Cr)'!C63</f>
        <v>ETERNAL</v>
      </c>
      <c r="B72" s="75">
        <f>VLOOKUP($A72,'Data Vlaue (Cr)'!$C:$FB,2)</f>
        <v>2425</v>
      </c>
      <c r="C72" s="75">
        <f>VLOOKUP($A72,'Data Vlaue (Cr)'!$C:$FB,8)</f>
        <v>254.88</v>
      </c>
      <c r="D72" s="75">
        <f>VLOOKUP($A72,'Data Vlaue (Cr)'!$C:$FB,4)</f>
        <v>254.72</v>
      </c>
      <c r="E72" s="75">
        <f>VLOOKUP($A72,'Data Vlaue (Cr)'!$C:$FB,5)</f>
        <v>252.59</v>
      </c>
      <c r="F72" s="75">
        <f t="shared" si="0"/>
        <v>-0.15999999999999659</v>
      </c>
      <c r="G72" s="75">
        <f t="shared" si="1"/>
        <v>0.83621231155778708</v>
      </c>
      <c r="H72" s="75">
        <f>VLOOKUP($A72,'Data Vlaue (Cr)'!$C:$FB,99)</f>
        <v>7815</v>
      </c>
      <c r="I72" s="75">
        <f>VLOOKUP($A72,'Data Vlaue (Cr)'!$C:$FB,100)</f>
        <v>7910</v>
      </c>
      <c r="J72" s="75">
        <f t="shared" si="2"/>
        <v>-95</v>
      </c>
      <c r="K72" s="75">
        <f t="shared" si="3"/>
        <v>-1.2156110044785668</v>
      </c>
      <c r="L72" s="75">
        <f>VLOOKUP($A72,'Data Vlaue (Cr)'!$C:$FB,67)</f>
        <v>4165</v>
      </c>
      <c r="M72" s="75">
        <f>VLOOKUP($A72,'Data Vlaue (Cr)'!$C:$FB,68)</f>
        <v>4178</v>
      </c>
      <c r="N72" s="75">
        <f t="shared" si="4"/>
        <v>-13</v>
      </c>
      <c r="O72" s="75">
        <f t="shared" si="5"/>
        <v>-0.31212484993997597</v>
      </c>
      <c r="P72" s="75">
        <f>VLOOKUP($A72,'Data Vlaue (Cr)'!$C:$FB,119)</f>
        <v>0.8</v>
      </c>
      <c r="Q72" s="75">
        <f>VLOOKUP($A72,'Data Vlaue (Cr)'!$C:$FB,122)*100</f>
        <v>2.56</v>
      </c>
      <c r="R72" s="75">
        <f>VLOOKUP($A72,'Data Vlaue (Cr)'!$C:$FB,125)</f>
        <v>0.61</v>
      </c>
      <c r="S72" s="75">
        <f>VLOOKUP($A72,'Data Vlaue (Cr)'!$C:$FB,128)*100</f>
        <v>24.490000000000002</v>
      </c>
    </row>
    <row r="73" spans="1:19" x14ac:dyDescent="0.25">
      <c r="A73" s="96" t="str">
        <f>'Data Vlaue (Cr)'!C64</f>
        <v>EXIDEIND</v>
      </c>
      <c r="B73" s="75">
        <f>VLOOKUP($A73,'Data Vlaue (Cr)'!$C:$FB,2)</f>
        <v>1800</v>
      </c>
      <c r="C73" s="75">
        <f>VLOOKUP($A73,'Data Vlaue (Cr)'!$C:$FB,8)</f>
        <v>329.7</v>
      </c>
      <c r="D73" s="75">
        <f>VLOOKUP($A73,'Data Vlaue (Cr)'!$C:$FB,4)</f>
        <v>329.75</v>
      </c>
      <c r="E73" s="75">
        <f>VLOOKUP($A73,'Data Vlaue (Cr)'!$C:$FB,5)</f>
        <v>330.25</v>
      </c>
      <c r="F73" s="75">
        <f t="shared" si="0"/>
        <v>5.0000000000011369E-2</v>
      </c>
      <c r="G73" s="75">
        <f t="shared" si="1"/>
        <v>-0.15163002274450341</v>
      </c>
      <c r="H73" s="75">
        <f>VLOOKUP($A73,'Data Vlaue (Cr)'!$C:$FB,99)</f>
        <v>1788</v>
      </c>
      <c r="I73" s="75">
        <f>VLOOKUP($A73,'Data Vlaue (Cr)'!$C:$FB,100)</f>
        <v>1792</v>
      </c>
      <c r="J73" s="75">
        <f t="shared" si="2"/>
        <v>-4</v>
      </c>
      <c r="K73" s="75">
        <f t="shared" si="3"/>
        <v>-0.22371364653243847</v>
      </c>
      <c r="L73" s="75">
        <f>VLOOKUP($A73,'Data Vlaue (Cr)'!$C:$FB,67)</f>
        <v>547</v>
      </c>
      <c r="M73" s="75">
        <f>VLOOKUP($A73,'Data Vlaue (Cr)'!$C:$FB,68)</f>
        <v>399</v>
      </c>
      <c r="N73" s="75">
        <f t="shared" si="4"/>
        <v>148</v>
      </c>
      <c r="O73" s="75">
        <f t="shared" si="5"/>
        <v>27.056672760511884</v>
      </c>
      <c r="P73" s="75">
        <f>VLOOKUP($A73,'Data Vlaue (Cr)'!$C:$FB,119)</f>
        <v>0.96</v>
      </c>
      <c r="Q73" s="75">
        <f>VLOOKUP($A73,'Data Vlaue (Cr)'!$C:$FB,122)*100</f>
        <v>-1.03</v>
      </c>
      <c r="R73" s="75">
        <f>VLOOKUP($A73,'Data Vlaue (Cr)'!$C:$FB,125)</f>
        <v>0.48</v>
      </c>
      <c r="S73" s="75">
        <f>VLOOKUP($A73,'Data Vlaue (Cr)'!$C:$FB,128)*100</f>
        <v>-7.6899999999999995</v>
      </c>
    </row>
    <row r="74" spans="1:19" x14ac:dyDescent="0.25">
      <c r="A74" s="96" t="str">
        <f>'Data Vlaue (Cr)'!C65</f>
        <v>FEDERALBNK</v>
      </c>
      <c r="B74" s="75">
        <f>VLOOKUP($A74,'Data Vlaue (Cr)'!$C:$FB,2)</f>
        <v>5000</v>
      </c>
      <c r="C74" s="75">
        <f>VLOOKUP($A74,'Data Vlaue (Cr)'!$C:$FB,8)</f>
        <v>294.35000000000002</v>
      </c>
      <c r="D74" s="75">
        <f>VLOOKUP($A74,'Data Vlaue (Cr)'!$C:$FB,4)</f>
        <v>294.75</v>
      </c>
      <c r="E74" s="75">
        <f>VLOOKUP($A74,'Data Vlaue (Cr)'!$C:$FB,5)</f>
        <v>293.60000000000002</v>
      </c>
      <c r="F74" s="75">
        <f t="shared" si="0"/>
        <v>0.39999999999997726</v>
      </c>
      <c r="G74" s="75">
        <f t="shared" si="1"/>
        <v>0.39016115351992442</v>
      </c>
      <c r="H74" s="75">
        <f>VLOOKUP($A74,'Data Vlaue (Cr)'!$C:$FB,99)</f>
        <v>4332</v>
      </c>
      <c r="I74" s="75">
        <f>VLOOKUP($A74,'Data Vlaue (Cr)'!$C:$FB,100)</f>
        <v>4355</v>
      </c>
      <c r="J74" s="75">
        <f t="shared" si="2"/>
        <v>-23</v>
      </c>
      <c r="K74" s="75">
        <f t="shared" si="3"/>
        <v>-0.53093259464450593</v>
      </c>
      <c r="L74" s="75">
        <f>VLOOKUP($A74,'Data Vlaue (Cr)'!$C:$FB,67)</f>
        <v>3235</v>
      </c>
      <c r="M74" s="75">
        <f>VLOOKUP($A74,'Data Vlaue (Cr)'!$C:$FB,68)</f>
        <v>3648</v>
      </c>
      <c r="N74" s="75">
        <f t="shared" si="4"/>
        <v>-413</v>
      </c>
      <c r="O74" s="75">
        <f t="shared" si="5"/>
        <v>-12.766615146831532</v>
      </c>
      <c r="P74" s="75">
        <f>VLOOKUP($A74,'Data Vlaue (Cr)'!$C:$FB,119)</f>
        <v>0.87</v>
      </c>
      <c r="Q74" s="75">
        <f>VLOOKUP($A74,'Data Vlaue (Cr)'!$C:$FB,122)*100</f>
        <v>3.5700000000000003</v>
      </c>
      <c r="R74" s="75">
        <f>VLOOKUP($A74,'Data Vlaue (Cr)'!$C:$FB,125)</f>
        <v>0.43</v>
      </c>
      <c r="S74" s="75">
        <f>VLOOKUP($A74,'Data Vlaue (Cr)'!$C:$FB,128)*100</f>
        <v>-21.82</v>
      </c>
    </row>
    <row r="75" spans="1:19" x14ac:dyDescent="0.25">
      <c r="A75" s="96" t="str">
        <f>'Data Vlaue (Cr)'!C66</f>
        <v>FINNIFTY</v>
      </c>
      <c r="B75" s="75">
        <f>VLOOKUP($A75,'Data Vlaue (Cr)'!$C:$FB,2)</f>
        <v>60</v>
      </c>
      <c r="C75" s="75">
        <f>VLOOKUP($A75,'Data Vlaue (Cr)'!$C:$FB,8)</f>
        <v>26537.1</v>
      </c>
      <c r="D75" s="75">
        <f>VLOOKUP($A75,'Data Vlaue (Cr)'!$C:$FB,4)</f>
        <v>26511.9</v>
      </c>
      <c r="E75" s="75">
        <f>VLOOKUP($A75,'Data Vlaue (Cr)'!$C:$FB,5)</f>
        <v>26566.3</v>
      </c>
      <c r="F75" s="75">
        <f t="shared" si="0"/>
        <v>-25.19999999999709</v>
      </c>
      <c r="G75" s="75">
        <f>(D75-E75)/D75*100</f>
        <v>-0.2051908765497675</v>
      </c>
      <c r="H75" s="75">
        <f>VLOOKUP($A75,'Data Vlaue (Cr)'!$C:$FB,99)</f>
        <v>1737</v>
      </c>
      <c r="I75" s="75">
        <f>VLOOKUP($A75,'Data Vlaue (Cr)'!$C:$FB,100)</f>
        <v>1835</v>
      </c>
      <c r="J75" s="75">
        <f t="shared" si="2"/>
        <v>-98</v>
      </c>
      <c r="K75" s="75">
        <f t="shared" si="3"/>
        <v>-5.6419113413932065</v>
      </c>
      <c r="L75" s="75">
        <f>VLOOKUP($A75,'Data Vlaue (Cr)'!$C:$FB,67)</f>
        <v>2828</v>
      </c>
      <c r="M75" s="75">
        <f>VLOOKUP($A75,'Data Vlaue (Cr)'!$C:$FB,68)</f>
        <v>2470</v>
      </c>
      <c r="N75" s="75">
        <f t="shared" si="4"/>
        <v>358</v>
      </c>
      <c r="O75" s="75">
        <f t="shared" si="5"/>
        <v>12.659123055162661</v>
      </c>
      <c r="P75" s="75">
        <f>VLOOKUP($A75,'Data Vlaue (Cr)'!$C:$FB,119)</f>
        <v>0.75</v>
      </c>
      <c r="Q75" s="75">
        <f>VLOOKUP($A75,'Data Vlaue (Cr)'!$C:$FB,122)*100</f>
        <v>10.290000000000001</v>
      </c>
      <c r="R75" s="75">
        <f>VLOOKUP($A75,'Data Vlaue (Cr)'!$C:$FB,125)</f>
        <v>0.86</v>
      </c>
      <c r="S75" s="75">
        <f>VLOOKUP($A75,'Data Vlaue (Cr)'!$C:$FB,128)*100</f>
        <v>72</v>
      </c>
    </row>
    <row r="76" spans="1:19" x14ac:dyDescent="0.25">
      <c r="A76" s="96" t="str">
        <f>'Data Vlaue (Cr)'!C67</f>
        <v>FORCEMOT</v>
      </c>
      <c r="B76" s="75">
        <f>VLOOKUP($A76,'Data Vlaue (Cr)'!$C:$FB,2)</f>
        <v>25</v>
      </c>
      <c r="C76" s="75">
        <f>VLOOKUP($A76,'Data Vlaue (Cr)'!$C:$FB,8)</f>
        <v>21925</v>
      </c>
      <c r="D76" s="75">
        <f>VLOOKUP($A76,'Data Vlaue (Cr)'!$C:$FB,4)</f>
        <v>21860</v>
      </c>
      <c r="E76" s="75">
        <f>VLOOKUP($A76,'Data Vlaue (Cr)'!$C:$FB,5)</f>
        <v>22371</v>
      </c>
      <c r="F76" s="75">
        <f t="shared" ref="F76:F139" si="6">D76-C76</f>
        <v>-65</v>
      </c>
      <c r="G76" s="75">
        <f t="shared" ref="G76:G139" si="7">(D76-E76)/D76*100</f>
        <v>-2.3376029277218664</v>
      </c>
      <c r="H76" s="75">
        <f>VLOOKUP($A76,'Data Vlaue (Cr)'!$C:$FB,99)</f>
        <v>561</v>
      </c>
      <c r="I76" s="75">
        <f>VLOOKUP($A76,'Data Vlaue (Cr)'!$C:$FB,100)</f>
        <v>517</v>
      </c>
      <c r="J76" s="75">
        <f t="shared" ref="J76:J139" si="8">H76-I76</f>
        <v>44</v>
      </c>
      <c r="K76" s="75">
        <f t="shared" ref="K76:K139" si="9">J76/H76*100</f>
        <v>7.8431372549019605</v>
      </c>
      <c r="L76" s="75">
        <f>VLOOKUP($A76,'Data Vlaue (Cr)'!$C:$FB,67)</f>
        <v>307</v>
      </c>
      <c r="M76" s="75">
        <f>VLOOKUP($A76,'Data Vlaue (Cr)'!$C:$FB,68)</f>
        <v>218</v>
      </c>
      <c r="N76" s="75">
        <f t="shared" ref="N76:N139" si="10">L76-M76</f>
        <v>89</v>
      </c>
      <c r="O76" s="75">
        <f t="shared" ref="O76:O139" si="11">N76/L76*100</f>
        <v>28.990228013029316</v>
      </c>
      <c r="P76" s="75">
        <f>VLOOKUP($A76,'Data Vlaue (Cr)'!$C:$FB,119)</f>
        <v>0.34</v>
      </c>
      <c r="Q76" s="75">
        <f>VLOOKUP($A76,'Data Vlaue (Cr)'!$C:$FB,122)*100</f>
        <v>0</v>
      </c>
      <c r="R76" s="75">
        <f>VLOOKUP($A76,'Data Vlaue (Cr)'!$C:$FB,125)</f>
        <v>0.26</v>
      </c>
      <c r="S76" s="75">
        <f>VLOOKUP($A76,'Data Vlaue (Cr)'!$C:$FB,128)*100</f>
        <v>8.33</v>
      </c>
    </row>
    <row r="77" spans="1:19" x14ac:dyDescent="0.25">
      <c r="A77" s="96" t="str">
        <f>'Data Vlaue (Cr)'!C68</f>
        <v>FORTIS</v>
      </c>
      <c r="B77" s="75">
        <f>VLOOKUP($A77,'Data Vlaue (Cr)'!$C:$FB,2)</f>
        <v>775</v>
      </c>
      <c r="C77" s="75">
        <f>VLOOKUP($A77,'Data Vlaue (Cr)'!$C:$FB,8)</f>
        <v>890.9</v>
      </c>
      <c r="D77" s="75">
        <f>VLOOKUP($A77,'Data Vlaue (Cr)'!$C:$FB,4)</f>
        <v>890.1</v>
      </c>
      <c r="E77" s="75">
        <f>VLOOKUP($A77,'Data Vlaue (Cr)'!$C:$FB,5)</f>
        <v>890.9</v>
      </c>
      <c r="F77" s="75">
        <f t="shared" si="6"/>
        <v>-0.79999999999995453</v>
      </c>
      <c r="G77" s="75">
        <f t="shared" si="7"/>
        <v>-8.9877541849225306E-2</v>
      </c>
      <c r="H77" s="75">
        <f>VLOOKUP($A77,'Data Vlaue (Cr)'!$C:$FB,99)</f>
        <v>1359</v>
      </c>
      <c r="I77" s="75">
        <f>VLOOKUP($A77,'Data Vlaue (Cr)'!$C:$FB,100)</f>
        <v>1353</v>
      </c>
      <c r="J77" s="75">
        <f t="shared" si="8"/>
        <v>6</v>
      </c>
      <c r="K77" s="75">
        <f t="shared" si="9"/>
        <v>0.44150110375275936</v>
      </c>
      <c r="L77" s="75">
        <f>VLOOKUP($A77,'Data Vlaue (Cr)'!$C:$FB,67)</f>
        <v>405</v>
      </c>
      <c r="M77" s="75">
        <f>VLOOKUP($A77,'Data Vlaue (Cr)'!$C:$FB,68)</f>
        <v>765</v>
      </c>
      <c r="N77" s="75">
        <f t="shared" si="10"/>
        <v>-360</v>
      </c>
      <c r="O77" s="75">
        <f t="shared" si="11"/>
        <v>-88.888888888888886</v>
      </c>
      <c r="P77" s="75">
        <f>VLOOKUP($A77,'Data Vlaue (Cr)'!$C:$FB,119)</f>
        <v>0.56000000000000005</v>
      </c>
      <c r="Q77" s="75">
        <f>VLOOKUP($A77,'Data Vlaue (Cr)'!$C:$FB,122)*100</f>
        <v>-11.110000000000001</v>
      </c>
      <c r="R77" s="75">
        <f>VLOOKUP($A77,'Data Vlaue (Cr)'!$C:$FB,125)</f>
        <v>0.56999999999999995</v>
      </c>
      <c r="S77" s="75">
        <f>VLOOKUP($A77,'Data Vlaue (Cr)'!$C:$FB,128)*100</f>
        <v>23.91</v>
      </c>
    </row>
    <row r="78" spans="1:19" x14ac:dyDescent="0.25">
      <c r="A78" s="96" t="str">
        <f>'Data Vlaue (Cr)'!C69</f>
        <v>GAIL</v>
      </c>
      <c r="B78" s="75">
        <f>VLOOKUP($A78,'Data Vlaue (Cr)'!$C:$FB,2)</f>
        <v>3150</v>
      </c>
      <c r="C78" s="75">
        <f>VLOOKUP($A78,'Data Vlaue (Cr)'!$C:$FB,8)</f>
        <v>157.69999999999999</v>
      </c>
      <c r="D78" s="75">
        <f>VLOOKUP($A78,'Data Vlaue (Cr)'!$C:$FB,4)</f>
        <v>157.66</v>
      </c>
      <c r="E78" s="75">
        <f>VLOOKUP($A78,'Data Vlaue (Cr)'!$C:$FB,5)</f>
        <v>158.33000000000001</v>
      </c>
      <c r="F78" s="75">
        <f t="shared" si="6"/>
        <v>-3.9999999999992042E-2</v>
      </c>
      <c r="G78" s="75">
        <f t="shared" si="7"/>
        <v>-0.42496511480401872</v>
      </c>
      <c r="H78" s="75">
        <f>VLOOKUP($A78,'Data Vlaue (Cr)'!$C:$FB,99)</f>
        <v>2202</v>
      </c>
      <c r="I78" s="75">
        <f>VLOOKUP($A78,'Data Vlaue (Cr)'!$C:$FB,100)</f>
        <v>2191</v>
      </c>
      <c r="J78" s="75">
        <f t="shared" si="8"/>
        <v>11</v>
      </c>
      <c r="K78" s="75">
        <f t="shared" si="9"/>
        <v>0.49954586739327883</v>
      </c>
      <c r="L78" s="75">
        <f>VLOOKUP($A78,'Data Vlaue (Cr)'!$C:$FB,67)</f>
        <v>469</v>
      </c>
      <c r="M78" s="75">
        <f>VLOOKUP($A78,'Data Vlaue (Cr)'!$C:$FB,68)</f>
        <v>556</v>
      </c>
      <c r="N78" s="75">
        <f t="shared" si="10"/>
        <v>-87</v>
      </c>
      <c r="O78" s="75">
        <f t="shared" si="11"/>
        <v>-18.550106609808104</v>
      </c>
      <c r="P78" s="75">
        <f>VLOOKUP($A78,'Data Vlaue (Cr)'!$C:$FB,119)</f>
        <v>1.18</v>
      </c>
      <c r="Q78" s="75">
        <f>VLOOKUP($A78,'Data Vlaue (Cr)'!$C:$FB,122)*100</f>
        <v>0</v>
      </c>
      <c r="R78" s="75">
        <f>VLOOKUP($A78,'Data Vlaue (Cr)'!$C:$FB,125)</f>
        <v>1.1000000000000001</v>
      </c>
      <c r="S78" s="75">
        <f>VLOOKUP($A78,'Data Vlaue (Cr)'!$C:$FB,128)*100</f>
        <v>32.53</v>
      </c>
    </row>
    <row r="79" spans="1:19" x14ac:dyDescent="0.25">
      <c r="A79" s="96" t="str">
        <f>'Data Vlaue (Cr)'!C70</f>
        <v>GLENMARK</v>
      </c>
      <c r="B79" s="75">
        <f>VLOOKUP($A79,'Data Vlaue (Cr)'!$C:$FB,2)</f>
        <v>375</v>
      </c>
      <c r="C79" s="75">
        <f>VLOOKUP($A79,'Data Vlaue (Cr)'!$C:$FB,8)</f>
        <v>2230.6999999999998</v>
      </c>
      <c r="D79" s="75">
        <f>VLOOKUP($A79,'Data Vlaue (Cr)'!$C:$FB,4)</f>
        <v>2229.1</v>
      </c>
      <c r="E79" s="75">
        <f>VLOOKUP($A79,'Data Vlaue (Cr)'!$C:$FB,5)</f>
        <v>2253.8000000000002</v>
      </c>
      <c r="F79" s="75">
        <f t="shared" si="6"/>
        <v>-1.5999999999999091</v>
      </c>
      <c r="G79" s="75">
        <f t="shared" si="7"/>
        <v>-1.1080705217352418</v>
      </c>
      <c r="H79" s="75">
        <f>VLOOKUP($A79,'Data Vlaue (Cr)'!$C:$FB,99)</f>
        <v>3045</v>
      </c>
      <c r="I79" s="75">
        <f>VLOOKUP($A79,'Data Vlaue (Cr)'!$C:$FB,100)</f>
        <v>3085</v>
      </c>
      <c r="J79" s="75">
        <f t="shared" si="8"/>
        <v>-40</v>
      </c>
      <c r="K79" s="75">
        <f t="shared" si="9"/>
        <v>-1.3136288998357963</v>
      </c>
      <c r="L79" s="75">
        <f>VLOOKUP($A79,'Data Vlaue (Cr)'!$C:$FB,67)</f>
        <v>1296</v>
      </c>
      <c r="M79" s="75">
        <f>VLOOKUP($A79,'Data Vlaue (Cr)'!$C:$FB,68)</f>
        <v>1465</v>
      </c>
      <c r="N79" s="75">
        <f t="shared" si="10"/>
        <v>-169</v>
      </c>
      <c r="O79" s="75">
        <f t="shared" si="11"/>
        <v>-13.040123456790123</v>
      </c>
      <c r="P79" s="75">
        <f>VLOOKUP($A79,'Data Vlaue (Cr)'!$C:$FB,119)</f>
        <v>0.52</v>
      </c>
      <c r="Q79" s="75">
        <f>VLOOKUP($A79,'Data Vlaue (Cr)'!$C:$FB,122)*100</f>
        <v>1.96</v>
      </c>
      <c r="R79" s="75">
        <f>VLOOKUP($A79,'Data Vlaue (Cr)'!$C:$FB,125)</f>
        <v>0.77</v>
      </c>
      <c r="S79" s="75">
        <f>VLOOKUP($A79,'Data Vlaue (Cr)'!$C:$FB,128)*100</f>
        <v>140.63000000000002</v>
      </c>
    </row>
    <row r="80" spans="1:19" x14ac:dyDescent="0.25">
      <c r="A80" s="96" t="str">
        <f>'Data Vlaue (Cr)'!C71</f>
        <v>GMRAIRPORT</v>
      </c>
      <c r="B80" s="75">
        <f>VLOOKUP($A80,'Data Vlaue (Cr)'!$C:$FB,2)</f>
        <v>6975</v>
      </c>
      <c r="C80" s="75">
        <f>VLOOKUP($A80,'Data Vlaue (Cr)'!$C:$FB,8)</f>
        <v>97.45</v>
      </c>
      <c r="D80" s="75">
        <f>VLOOKUP($A80,'Data Vlaue (Cr)'!$C:$FB,4)</f>
        <v>97.39</v>
      </c>
      <c r="E80" s="75">
        <f>VLOOKUP($A80,'Data Vlaue (Cr)'!$C:$FB,5)</f>
        <v>97.16</v>
      </c>
      <c r="F80" s="75">
        <f t="shared" si="6"/>
        <v>-6.0000000000002274E-2</v>
      </c>
      <c r="G80" s="75">
        <f t="shared" si="7"/>
        <v>0.23616387719478793</v>
      </c>
      <c r="H80" s="75">
        <f>VLOOKUP($A80,'Data Vlaue (Cr)'!$C:$FB,99)</f>
        <v>2063</v>
      </c>
      <c r="I80" s="75">
        <f>VLOOKUP($A80,'Data Vlaue (Cr)'!$C:$FB,100)</f>
        <v>1974</v>
      </c>
      <c r="J80" s="75">
        <f t="shared" si="8"/>
        <v>89</v>
      </c>
      <c r="K80" s="75">
        <f t="shared" si="9"/>
        <v>4.3141056713523991</v>
      </c>
      <c r="L80" s="75">
        <f>VLOOKUP($A80,'Data Vlaue (Cr)'!$C:$FB,67)</f>
        <v>965</v>
      </c>
      <c r="M80" s="75">
        <f>VLOOKUP($A80,'Data Vlaue (Cr)'!$C:$FB,68)</f>
        <v>600</v>
      </c>
      <c r="N80" s="75">
        <f t="shared" si="10"/>
        <v>365</v>
      </c>
      <c r="O80" s="75">
        <f t="shared" si="11"/>
        <v>37.823834196891191</v>
      </c>
      <c r="P80" s="75">
        <f>VLOOKUP($A80,'Data Vlaue (Cr)'!$C:$FB,119)</f>
        <v>0.67</v>
      </c>
      <c r="Q80" s="75">
        <f>VLOOKUP($A80,'Data Vlaue (Cr)'!$C:$FB,122)*100</f>
        <v>-10.67</v>
      </c>
      <c r="R80" s="75">
        <f>VLOOKUP($A80,'Data Vlaue (Cr)'!$C:$FB,125)</f>
        <v>0.36</v>
      </c>
      <c r="S80" s="75">
        <f>VLOOKUP($A80,'Data Vlaue (Cr)'!$C:$FB,128)*100</f>
        <v>-28.000000000000004</v>
      </c>
    </row>
    <row r="81" spans="1:19" x14ac:dyDescent="0.25">
      <c r="A81" s="96" t="str">
        <f>'Data Vlaue (Cr)'!C72</f>
        <v>GODFRYPHLP</v>
      </c>
      <c r="B81" s="75">
        <f>VLOOKUP($A81,'Data Vlaue (Cr)'!$C:$FB,2)</f>
        <v>275</v>
      </c>
      <c r="C81" s="75">
        <f>VLOOKUP($A81,'Data Vlaue (Cr)'!$C:$FB,8)</f>
        <v>2137.8000000000002</v>
      </c>
      <c r="D81" s="75">
        <f>VLOOKUP($A81,'Data Vlaue (Cr)'!$C:$FB,4)</f>
        <v>2130.8000000000002</v>
      </c>
      <c r="E81" s="75">
        <f>VLOOKUP($A81,'Data Vlaue (Cr)'!$C:$FB,5)</f>
        <v>2184.1999999999998</v>
      </c>
      <c r="F81" s="75">
        <f t="shared" si="6"/>
        <v>-7</v>
      </c>
      <c r="G81" s="75">
        <f t="shared" si="7"/>
        <v>-2.5061009949314639</v>
      </c>
      <c r="H81" s="75">
        <f>VLOOKUP($A81,'Data Vlaue (Cr)'!$C:$FB,99)</f>
        <v>570</v>
      </c>
      <c r="I81" s="75">
        <f>VLOOKUP($A81,'Data Vlaue (Cr)'!$C:$FB,100)</f>
        <v>557</v>
      </c>
      <c r="J81" s="75">
        <f t="shared" si="8"/>
        <v>13</v>
      </c>
      <c r="K81" s="75">
        <f t="shared" si="9"/>
        <v>2.2807017543859649</v>
      </c>
      <c r="L81" s="75">
        <f>VLOOKUP($A81,'Data Vlaue (Cr)'!$C:$FB,67)</f>
        <v>504</v>
      </c>
      <c r="M81" s="75">
        <f>VLOOKUP($A81,'Data Vlaue (Cr)'!$C:$FB,68)</f>
        <v>1978</v>
      </c>
      <c r="N81" s="75">
        <f t="shared" si="10"/>
        <v>-1474</v>
      </c>
      <c r="O81" s="75">
        <f t="shared" si="11"/>
        <v>-292.46031746031747</v>
      </c>
      <c r="P81" s="75">
        <f>VLOOKUP($A81,'Data Vlaue (Cr)'!$C:$FB,119)</f>
        <v>0.4</v>
      </c>
      <c r="Q81" s="75">
        <f>VLOOKUP($A81,'Data Vlaue (Cr)'!$C:$FB,122)*100</f>
        <v>-6.98</v>
      </c>
      <c r="R81" s="75">
        <f>VLOOKUP($A81,'Data Vlaue (Cr)'!$C:$FB,125)</f>
        <v>0.28999999999999998</v>
      </c>
      <c r="S81" s="75">
        <f>VLOOKUP($A81,'Data Vlaue (Cr)'!$C:$FB,128)*100</f>
        <v>20.830000000000002</v>
      </c>
    </row>
    <row r="82" spans="1:19" x14ac:dyDescent="0.25">
      <c r="A82" s="96" t="str">
        <f>'Data Vlaue (Cr)'!C73</f>
        <v>GODREJCP</v>
      </c>
      <c r="B82" s="75">
        <f>VLOOKUP($A82,'Data Vlaue (Cr)'!$C:$FB,2)</f>
        <v>500</v>
      </c>
      <c r="C82" s="75">
        <f>VLOOKUP($A82,'Data Vlaue (Cr)'!$C:$FB,8)</f>
        <v>1104.8</v>
      </c>
      <c r="D82" s="75">
        <f>VLOOKUP($A82,'Data Vlaue (Cr)'!$C:$FB,4)</f>
        <v>1105.5999999999999</v>
      </c>
      <c r="E82" s="75">
        <f>VLOOKUP($A82,'Data Vlaue (Cr)'!$C:$FB,5)</f>
        <v>1112.6500000000001</v>
      </c>
      <c r="F82" s="75">
        <f t="shared" si="6"/>
        <v>0.79999999999995453</v>
      </c>
      <c r="G82" s="75">
        <f t="shared" si="7"/>
        <v>-0.6376628075253421</v>
      </c>
      <c r="H82" s="75">
        <f>VLOOKUP($A82,'Data Vlaue (Cr)'!$C:$FB,99)</f>
        <v>1692</v>
      </c>
      <c r="I82" s="75">
        <f>VLOOKUP($A82,'Data Vlaue (Cr)'!$C:$FB,100)</f>
        <v>1684</v>
      </c>
      <c r="J82" s="75">
        <f t="shared" si="8"/>
        <v>8</v>
      </c>
      <c r="K82" s="75">
        <f t="shared" si="9"/>
        <v>0.4728132387706856</v>
      </c>
      <c r="L82" s="75">
        <f>VLOOKUP($A82,'Data Vlaue (Cr)'!$C:$FB,67)</f>
        <v>303</v>
      </c>
      <c r="M82" s="75">
        <f>VLOOKUP($A82,'Data Vlaue (Cr)'!$C:$FB,68)</f>
        <v>1100</v>
      </c>
      <c r="N82" s="75">
        <f t="shared" si="10"/>
        <v>-797</v>
      </c>
      <c r="O82" s="75">
        <f t="shared" si="11"/>
        <v>-263.03630363036302</v>
      </c>
      <c r="P82" s="75">
        <f>VLOOKUP($A82,'Data Vlaue (Cr)'!$C:$FB,119)</f>
        <v>0.76</v>
      </c>
      <c r="Q82" s="75">
        <f>VLOOKUP($A82,'Data Vlaue (Cr)'!$C:$FB,122)*100</f>
        <v>0</v>
      </c>
      <c r="R82" s="75">
        <f>VLOOKUP($A82,'Data Vlaue (Cr)'!$C:$FB,125)</f>
        <v>0.35</v>
      </c>
      <c r="S82" s="75">
        <f>VLOOKUP($A82,'Data Vlaue (Cr)'!$C:$FB,128)*100</f>
        <v>-2.78</v>
      </c>
    </row>
    <row r="83" spans="1:19" x14ac:dyDescent="0.25">
      <c r="A83" s="96" t="str">
        <f>'Data Vlaue (Cr)'!C74</f>
        <v>GODREJPROP</v>
      </c>
      <c r="B83" s="75">
        <f>VLOOKUP($A83,'Data Vlaue (Cr)'!$C:$FB,2)</f>
        <v>275</v>
      </c>
      <c r="C83" s="75">
        <f>VLOOKUP($A83,'Data Vlaue (Cr)'!$C:$FB,8)</f>
        <v>1759.7</v>
      </c>
      <c r="D83" s="75">
        <f>VLOOKUP($A83,'Data Vlaue (Cr)'!$C:$FB,4)</f>
        <v>1756.9</v>
      </c>
      <c r="E83" s="75">
        <f>VLOOKUP($A83,'Data Vlaue (Cr)'!$C:$FB,5)</f>
        <v>1764</v>
      </c>
      <c r="F83" s="75">
        <f t="shared" si="6"/>
        <v>-2.7999999999999545</v>
      </c>
      <c r="G83" s="75">
        <f t="shared" si="7"/>
        <v>-0.40412089475780683</v>
      </c>
      <c r="H83" s="75">
        <f>VLOOKUP($A83,'Data Vlaue (Cr)'!$C:$FB,99)</f>
        <v>2448</v>
      </c>
      <c r="I83" s="75">
        <f>VLOOKUP($A83,'Data Vlaue (Cr)'!$C:$FB,100)</f>
        <v>2404</v>
      </c>
      <c r="J83" s="75">
        <f t="shared" si="8"/>
        <v>44</v>
      </c>
      <c r="K83" s="75">
        <f t="shared" si="9"/>
        <v>1.7973856209150325</v>
      </c>
      <c r="L83" s="75">
        <f>VLOOKUP($A83,'Data Vlaue (Cr)'!$C:$FB,67)</f>
        <v>1105</v>
      </c>
      <c r="M83" s="75">
        <f>VLOOKUP($A83,'Data Vlaue (Cr)'!$C:$FB,68)</f>
        <v>925</v>
      </c>
      <c r="N83" s="75">
        <f t="shared" si="10"/>
        <v>180</v>
      </c>
      <c r="O83" s="75">
        <f t="shared" si="11"/>
        <v>16.289592760180994</v>
      </c>
      <c r="P83" s="75">
        <f>VLOOKUP($A83,'Data Vlaue (Cr)'!$C:$FB,119)</f>
        <v>1.03</v>
      </c>
      <c r="Q83" s="75">
        <f>VLOOKUP($A83,'Data Vlaue (Cr)'!$C:$FB,122)*100</f>
        <v>9.5699999999999985</v>
      </c>
      <c r="R83" s="75">
        <f>VLOOKUP($A83,'Data Vlaue (Cr)'!$C:$FB,125)</f>
        <v>0.75</v>
      </c>
      <c r="S83" s="75">
        <f>VLOOKUP($A83,'Data Vlaue (Cr)'!$C:$FB,128)*100</f>
        <v>-8.5400000000000009</v>
      </c>
    </row>
    <row r="84" spans="1:19" x14ac:dyDescent="0.25">
      <c r="A84" s="96" t="str">
        <f>'Data Vlaue (Cr)'!C75</f>
        <v>GRASIM</v>
      </c>
      <c r="B84" s="75">
        <f>VLOOKUP($A84,'Data Vlaue (Cr)'!$C:$FB,2)</f>
        <v>250</v>
      </c>
      <c r="C84" s="75">
        <f>VLOOKUP($A84,'Data Vlaue (Cr)'!$C:$FB,8)</f>
        <v>2760.1</v>
      </c>
      <c r="D84" s="75">
        <f>VLOOKUP($A84,'Data Vlaue (Cr)'!$C:$FB,4)</f>
        <v>2757</v>
      </c>
      <c r="E84" s="75">
        <f>VLOOKUP($A84,'Data Vlaue (Cr)'!$C:$FB,5)</f>
        <v>2726.6</v>
      </c>
      <c r="F84" s="75">
        <f t="shared" si="6"/>
        <v>-3.0999999999999091</v>
      </c>
      <c r="G84" s="75">
        <f t="shared" si="7"/>
        <v>1.1026478055857849</v>
      </c>
      <c r="H84" s="75">
        <f>VLOOKUP($A84,'Data Vlaue (Cr)'!$C:$FB,99)</f>
        <v>4662</v>
      </c>
      <c r="I84" s="75">
        <f>VLOOKUP($A84,'Data Vlaue (Cr)'!$C:$FB,100)</f>
        <v>4710</v>
      </c>
      <c r="J84" s="75">
        <f t="shared" si="8"/>
        <v>-48</v>
      </c>
      <c r="K84" s="75">
        <f t="shared" si="9"/>
        <v>-1.0296010296010296</v>
      </c>
      <c r="L84" s="75">
        <f>VLOOKUP($A84,'Data Vlaue (Cr)'!$C:$FB,67)</f>
        <v>1597</v>
      </c>
      <c r="M84" s="75">
        <f>VLOOKUP($A84,'Data Vlaue (Cr)'!$C:$FB,68)</f>
        <v>625</v>
      </c>
      <c r="N84" s="75">
        <f t="shared" si="10"/>
        <v>972</v>
      </c>
      <c r="O84" s="75">
        <f t="shared" si="11"/>
        <v>60.864120225422667</v>
      </c>
      <c r="P84" s="75">
        <f>VLOOKUP($A84,'Data Vlaue (Cr)'!$C:$FB,119)</f>
        <v>0.77</v>
      </c>
      <c r="Q84" s="75">
        <f>VLOOKUP($A84,'Data Vlaue (Cr)'!$C:$FB,122)*100</f>
        <v>5.48</v>
      </c>
      <c r="R84" s="75">
        <f>VLOOKUP($A84,'Data Vlaue (Cr)'!$C:$FB,125)</f>
        <v>0.39</v>
      </c>
      <c r="S84" s="75">
        <f>VLOOKUP($A84,'Data Vlaue (Cr)'!$C:$FB,128)*100</f>
        <v>-7.1400000000000006</v>
      </c>
    </row>
    <row r="85" spans="1:19" x14ac:dyDescent="0.25">
      <c r="A85" s="96" t="str">
        <f>'Data Vlaue (Cr)'!C76</f>
        <v>HAL</v>
      </c>
      <c r="B85" s="75">
        <f>VLOOKUP($A85,'Data Vlaue (Cr)'!$C:$FB,2)</f>
        <v>150</v>
      </c>
      <c r="C85" s="75">
        <f>VLOOKUP($A85,'Data Vlaue (Cr)'!$C:$FB,8)</f>
        <v>4344.5</v>
      </c>
      <c r="D85" s="75">
        <f>VLOOKUP($A85,'Data Vlaue (Cr)'!$C:$FB,4)</f>
        <v>4343</v>
      </c>
      <c r="E85" s="75">
        <f>VLOOKUP($A85,'Data Vlaue (Cr)'!$C:$FB,5)</f>
        <v>4393.3</v>
      </c>
      <c r="F85" s="75">
        <f t="shared" si="6"/>
        <v>-1.5</v>
      </c>
      <c r="G85" s="75">
        <f t="shared" si="7"/>
        <v>-1.1581855860004648</v>
      </c>
      <c r="H85" s="75">
        <f>VLOOKUP($A85,'Data Vlaue (Cr)'!$C:$FB,99)</f>
        <v>6219</v>
      </c>
      <c r="I85" s="75">
        <f>VLOOKUP($A85,'Data Vlaue (Cr)'!$C:$FB,100)</f>
        <v>6247</v>
      </c>
      <c r="J85" s="75">
        <f t="shared" si="8"/>
        <v>-28</v>
      </c>
      <c r="K85" s="75">
        <f t="shared" si="9"/>
        <v>-0.45023315645602191</v>
      </c>
      <c r="L85" s="75">
        <f>VLOOKUP($A85,'Data Vlaue (Cr)'!$C:$FB,67)</f>
        <v>2927</v>
      </c>
      <c r="M85" s="75">
        <f>VLOOKUP($A85,'Data Vlaue (Cr)'!$C:$FB,68)</f>
        <v>3800</v>
      </c>
      <c r="N85" s="75">
        <f t="shared" si="10"/>
        <v>-873</v>
      </c>
      <c r="O85" s="75">
        <f t="shared" si="11"/>
        <v>-29.825760163990434</v>
      </c>
      <c r="P85" s="75">
        <f>VLOOKUP($A85,'Data Vlaue (Cr)'!$C:$FB,119)</f>
        <v>0.93</v>
      </c>
      <c r="Q85" s="75">
        <f>VLOOKUP($A85,'Data Vlaue (Cr)'!$C:$FB,122)*100</f>
        <v>-2.11</v>
      </c>
      <c r="R85" s="75">
        <f>VLOOKUP($A85,'Data Vlaue (Cr)'!$C:$FB,125)</f>
        <v>0.7</v>
      </c>
      <c r="S85" s="75">
        <f>VLOOKUP($A85,'Data Vlaue (Cr)'!$C:$FB,128)*100</f>
        <v>7.6899999999999995</v>
      </c>
    </row>
    <row r="86" spans="1:19" x14ac:dyDescent="0.25">
      <c r="A86" s="96" t="str">
        <f>'Data Vlaue (Cr)'!C77</f>
        <v>HAVELLS</v>
      </c>
      <c r="B86" s="75">
        <f>VLOOKUP($A86,'Data Vlaue (Cr)'!$C:$FB,2)</f>
        <v>500</v>
      </c>
      <c r="C86" s="75">
        <f>VLOOKUP($A86,'Data Vlaue (Cr)'!$C:$FB,8)</f>
        <v>1302.0999999999999</v>
      </c>
      <c r="D86" s="75">
        <f>VLOOKUP($A86,'Data Vlaue (Cr)'!$C:$FB,4)</f>
        <v>1305.7</v>
      </c>
      <c r="E86" s="75">
        <f>VLOOKUP($A86,'Data Vlaue (Cr)'!$C:$FB,5)</f>
        <v>1309.8</v>
      </c>
      <c r="F86" s="75">
        <f t="shared" si="6"/>
        <v>3.6000000000001364</v>
      </c>
      <c r="G86" s="75">
        <f t="shared" si="7"/>
        <v>-0.314007811901655</v>
      </c>
      <c r="H86" s="75">
        <f>VLOOKUP($A86,'Data Vlaue (Cr)'!$C:$FB,99)</f>
        <v>1911</v>
      </c>
      <c r="I86" s="75">
        <f>VLOOKUP($A86,'Data Vlaue (Cr)'!$C:$FB,100)</f>
        <v>1886</v>
      </c>
      <c r="J86" s="75">
        <f t="shared" si="8"/>
        <v>25</v>
      </c>
      <c r="K86" s="75">
        <f t="shared" si="9"/>
        <v>1.3082155939298796</v>
      </c>
      <c r="L86" s="75">
        <f>VLOOKUP($A86,'Data Vlaue (Cr)'!$C:$FB,67)</f>
        <v>601</v>
      </c>
      <c r="M86" s="75">
        <f>VLOOKUP($A86,'Data Vlaue (Cr)'!$C:$FB,68)</f>
        <v>991</v>
      </c>
      <c r="N86" s="75">
        <f t="shared" si="10"/>
        <v>-390</v>
      </c>
      <c r="O86" s="75">
        <f t="shared" si="11"/>
        <v>-64.891846921796997</v>
      </c>
      <c r="P86" s="75">
        <f>VLOOKUP($A86,'Data Vlaue (Cr)'!$C:$FB,119)</f>
        <v>0.73</v>
      </c>
      <c r="Q86" s="75">
        <f>VLOOKUP($A86,'Data Vlaue (Cr)'!$C:$FB,122)*100</f>
        <v>-1.35</v>
      </c>
      <c r="R86" s="75">
        <f>VLOOKUP($A86,'Data Vlaue (Cr)'!$C:$FB,125)</f>
        <v>0.46</v>
      </c>
      <c r="S86" s="75">
        <f>VLOOKUP($A86,'Data Vlaue (Cr)'!$C:$FB,128)*100</f>
        <v>39.39</v>
      </c>
    </row>
    <row r="87" spans="1:19" x14ac:dyDescent="0.25">
      <c r="A87" s="96" t="str">
        <f>'Data Vlaue (Cr)'!C78</f>
        <v>HCLTECH</v>
      </c>
      <c r="B87" s="75">
        <f>VLOOKUP($A87,'Data Vlaue (Cr)'!$C:$FB,2)</f>
        <v>350</v>
      </c>
      <c r="C87" s="75">
        <f>VLOOKUP($A87,'Data Vlaue (Cr)'!$C:$FB,8)</f>
        <v>1428.3</v>
      </c>
      <c r="D87" s="75">
        <f>VLOOKUP($A87,'Data Vlaue (Cr)'!$C:$FB,4)</f>
        <v>1407.1</v>
      </c>
      <c r="E87" s="75">
        <f>VLOOKUP($A87,'Data Vlaue (Cr)'!$C:$FB,5)</f>
        <v>1415.3</v>
      </c>
      <c r="F87" s="75">
        <f t="shared" si="6"/>
        <v>-21.200000000000045</v>
      </c>
      <c r="G87" s="75">
        <f t="shared" si="7"/>
        <v>-0.58275886575225966</v>
      </c>
      <c r="H87" s="75">
        <f>VLOOKUP($A87,'Data Vlaue (Cr)'!$C:$FB,99)</f>
        <v>8217</v>
      </c>
      <c r="I87" s="75">
        <f>VLOOKUP($A87,'Data Vlaue (Cr)'!$C:$FB,100)</f>
        <v>7868</v>
      </c>
      <c r="J87" s="75">
        <f t="shared" si="8"/>
        <v>349</v>
      </c>
      <c r="K87" s="75">
        <f t="shared" si="9"/>
        <v>4.2472921990994283</v>
      </c>
      <c r="L87" s="75">
        <f>VLOOKUP($A87,'Data Vlaue (Cr)'!$C:$FB,67)</f>
        <v>2919</v>
      </c>
      <c r="M87" s="75">
        <f>VLOOKUP($A87,'Data Vlaue (Cr)'!$C:$FB,68)</f>
        <v>3249</v>
      </c>
      <c r="N87" s="75">
        <f t="shared" si="10"/>
        <v>-330</v>
      </c>
      <c r="O87" s="75">
        <f t="shared" si="11"/>
        <v>-11.30524152106886</v>
      </c>
      <c r="P87" s="75">
        <f>VLOOKUP($A87,'Data Vlaue (Cr)'!$C:$FB,119)</f>
        <v>0.84</v>
      </c>
      <c r="Q87" s="75">
        <f>VLOOKUP($A87,'Data Vlaue (Cr)'!$C:$FB,122)*100</f>
        <v>1.2</v>
      </c>
      <c r="R87" s="75">
        <f>VLOOKUP($A87,'Data Vlaue (Cr)'!$C:$FB,125)</f>
        <v>0.55000000000000004</v>
      </c>
      <c r="S87" s="75">
        <f>VLOOKUP($A87,'Data Vlaue (Cr)'!$C:$FB,128)*100</f>
        <v>-1.79</v>
      </c>
    </row>
    <row r="88" spans="1:19" x14ac:dyDescent="0.25">
      <c r="A88" s="96" t="str">
        <f>'Data Vlaue (Cr)'!C79</f>
        <v>HDFCAMC</v>
      </c>
      <c r="B88" s="75">
        <f>VLOOKUP($A88,'Data Vlaue (Cr)'!$C:$FB,2)</f>
        <v>300</v>
      </c>
      <c r="C88" s="75">
        <f>VLOOKUP($A88,'Data Vlaue (Cr)'!$C:$FB,8)</f>
        <v>2768.2</v>
      </c>
      <c r="D88" s="75">
        <f>VLOOKUP($A88,'Data Vlaue (Cr)'!$C:$FB,4)</f>
        <v>2763.8</v>
      </c>
      <c r="E88" s="75">
        <f>VLOOKUP($A88,'Data Vlaue (Cr)'!$C:$FB,5)</f>
        <v>2791.6</v>
      </c>
      <c r="F88" s="75">
        <f t="shared" si="6"/>
        <v>-4.3999999999996362</v>
      </c>
      <c r="G88" s="75">
        <f t="shared" si="7"/>
        <v>-1.0058614950430467</v>
      </c>
      <c r="H88" s="75">
        <f>VLOOKUP($A88,'Data Vlaue (Cr)'!$C:$FB,99)</f>
        <v>2771</v>
      </c>
      <c r="I88" s="75">
        <f>VLOOKUP($A88,'Data Vlaue (Cr)'!$C:$FB,100)</f>
        <v>2962</v>
      </c>
      <c r="J88" s="75">
        <f t="shared" si="8"/>
        <v>-191</v>
      </c>
      <c r="K88" s="75">
        <f t="shared" si="9"/>
        <v>-6.8928184770840852</v>
      </c>
      <c r="L88" s="75">
        <f>VLOOKUP($A88,'Data Vlaue (Cr)'!$C:$FB,67)</f>
        <v>1879</v>
      </c>
      <c r="M88" s="75">
        <f>VLOOKUP($A88,'Data Vlaue (Cr)'!$C:$FB,68)</f>
        <v>8880</v>
      </c>
      <c r="N88" s="75">
        <f t="shared" si="10"/>
        <v>-7001</v>
      </c>
      <c r="O88" s="75">
        <f t="shared" si="11"/>
        <v>-372.59180415114423</v>
      </c>
      <c r="P88" s="75">
        <f>VLOOKUP($A88,'Data Vlaue (Cr)'!$C:$FB,119)</f>
        <v>0.96</v>
      </c>
      <c r="Q88" s="75">
        <f>VLOOKUP($A88,'Data Vlaue (Cr)'!$C:$FB,122)*100</f>
        <v>-1.03</v>
      </c>
      <c r="R88" s="75">
        <f>VLOOKUP($A88,'Data Vlaue (Cr)'!$C:$FB,125)</f>
        <v>0.8</v>
      </c>
      <c r="S88" s="75">
        <f>VLOOKUP($A88,'Data Vlaue (Cr)'!$C:$FB,128)*100</f>
        <v>81.820000000000007</v>
      </c>
    </row>
    <row r="89" spans="1:19" x14ac:dyDescent="0.25">
      <c r="A89" s="96" t="str">
        <f>'Data Vlaue (Cr)'!C80</f>
        <v>HDFCBANK</v>
      </c>
      <c r="B89" s="75">
        <f>VLOOKUP($A89,'Data Vlaue (Cr)'!$C:$FB,2)</f>
        <v>550</v>
      </c>
      <c r="C89" s="75">
        <f>VLOOKUP($A89,'Data Vlaue (Cr)'!$C:$FB,8)</f>
        <v>795.45</v>
      </c>
      <c r="D89" s="75">
        <f>VLOOKUP($A89,'Data Vlaue (Cr)'!$C:$FB,4)</f>
        <v>794.9</v>
      </c>
      <c r="E89" s="75">
        <f>VLOOKUP($A89,'Data Vlaue (Cr)'!$C:$FB,5)</f>
        <v>801.6</v>
      </c>
      <c r="F89" s="75">
        <f t="shared" si="6"/>
        <v>-0.55000000000006821</v>
      </c>
      <c r="G89" s="75">
        <f t="shared" si="7"/>
        <v>-0.84287331739842064</v>
      </c>
      <c r="H89" s="75">
        <f>VLOOKUP($A89,'Data Vlaue (Cr)'!$C:$FB,99)</f>
        <v>38824</v>
      </c>
      <c r="I89" s="75">
        <f>VLOOKUP($A89,'Data Vlaue (Cr)'!$C:$FB,100)</f>
        <v>38486</v>
      </c>
      <c r="J89" s="75">
        <f t="shared" si="8"/>
        <v>338</v>
      </c>
      <c r="K89" s="75">
        <f t="shared" si="9"/>
        <v>0.87059550793323714</v>
      </c>
      <c r="L89" s="75">
        <f>VLOOKUP($A89,'Data Vlaue (Cr)'!$C:$FB,67)</f>
        <v>32439</v>
      </c>
      <c r="M89" s="75">
        <f>VLOOKUP($A89,'Data Vlaue (Cr)'!$C:$FB,68)</f>
        <v>15648</v>
      </c>
      <c r="N89" s="75">
        <f t="shared" si="10"/>
        <v>16791</v>
      </c>
      <c r="O89" s="75">
        <f t="shared" si="11"/>
        <v>51.761768241931009</v>
      </c>
      <c r="P89" s="75">
        <f>VLOOKUP($A89,'Data Vlaue (Cr)'!$C:$FB,119)</f>
        <v>0.53</v>
      </c>
      <c r="Q89" s="75">
        <f>VLOOKUP($A89,'Data Vlaue (Cr)'!$C:$FB,122)*100</f>
        <v>-7.02</v>
      </c>
      <c r="R89" s="75">
        <f>VLOOKUP($A89,'Data Vlaue (Cr)'!$C:$FB,125)</f>
        <v>0.46</v>
      </c>
      <c r="S89" s="75">
        <f>VLOOKUP($A89,'Data Vlaue (Cr)'!$C:$FB,128)*100</f>
        <v>-16.36</v>
      </c>
    </row>
    <row r="90" spans="1:19" x14ac:dyDescent="0.25">
      <c r="A90" s="96" t="str">
        <f>'Data Vlaue (Cr)'!C81</f>
        <v>HDFCLIFE</v>
      </c>
      <c r="B90" s="75">
        <f>VLOOKUP($A90,'Data Vlaue (Cr)'!$C:$FB,2)</f>
        <v>1100</v>
      </c>
      <c r="C90" s="75">
        <f>VLOOKUP($A90,'Data Vlaue (Cr)'!$C:$FB,8)</f>
        <v>609.75</v>
      </c>
      <c r="D90" s="75">
        <f>VLOOKUP($A90,'Data Vlaue (Cr)'!$C:$FB,4)</f>
        <v>611</v>
      </c>
      <c r="E90" s="75">
        <f>VLOOKUP($A90,'Data Vlaue (Cr)'!$C:$FB,5)</f>
        <v>616.29999999999995</v>
      </c>
      <c r="F90" s="75">
        <f t="shared" si="6"/>
        <v>1.25</v>
      </c>
      <c r="G90" s="75">
        <f t="shared" si="7"/>
        <v>-0.86743044189851959</v>
      </c>
      <c r="H90" s="75">
        <f>VLOOKUP($A90,'Data Vlaue (Cr)'!$C:$FB,99)</f>
        <v>4602</v>
      </c>
      <c r="I90" s="75">
        <f>VLOOKUP($A90,'Data Vlaue (Cr)'!$C:$FB,100)</f>
        <v>4694</v>
      </c>
      <c r="J90" s="75">
        <f t="shared" si="8"/>
        <v>-92</v>
      </c>
      <c r="K90" s="75">
        <f t="shared" si="9"/>
        <v>-1.9991308126901346</v>
      </c>
      <c r="L90" s="75">
        <f>VLOOKUP($A90,'Data Vlaue (Cr)'!$C:$FB,67)</f>
        <v>2551</v>
      </c>
      <c r="M90" s="75">
        <f>VLOOKUP($A90,'Data Vlaue (Cr)'!$C:$FB,68)</f>
        <v>6897</v>
      </c>
      <c r="N90" s="75">
        <f t="shared" si="10"/>
        <v>-4346</v>
      </c>
      <c r="O90" s="75">
        <f t="shared" si="11"/>
        <v>-170.36456291650333</v>
      </c>
      <c r="P90" s="75">
        <f>VLOOKUP($A90,'Data Vlaue (Cr)'!$C:$FB,119)</f>
        <v>0.65</v>
      </c>
      <c r="Q90" s="75">
        <f>VLOOKUP($A90,'Data Vlaue (Cr)'!$C:$FB,122)*100</f>
        <v>-1.52</v>
      </c>
      <c r="R90" s="75">
        <f>VLOOKUP($A90,'Data Vlaue (Cr)'!$C:$FB,125)</f>
        <v>0.56999999999999995</v>
      </c>
      <c r="S90" s="75">
        <f>VLOOKUP($A90,'Data Vlaue (Cr)'!$C:$FB,128)*100</f>
        <v>-17.39</v>
      </c>
    </row>
    <row r="91" spans="1:19" x14ac:dyDescent="0.25">
      <c r="A91" s="96" t="str">
        <f>'Data Vlaue (Cr)'!C82</f>
        <v>HEROMOTOCO</v>
      </c>
      <c r="B91" s="75">
        <f>VLOOKUP($A91,'Data Vlaue (Cr)'!$C:$FB,2)</f>
        <v>150</v>
      </c>
      <c r="C91" s="75">
        <f>VLOOKUP($A91,'Data Vlaue (Cr)'!$C:$FB,8)</f>
        <v>5282.5</v>
      </c>
      <c r="D91" s="75">
        <f>VLOOKUP($A91,'Data Vlaue (Cr)'!$C:$FB,4)</f>
        <v>5288</v>
      </c>
      <c r="E91" s="75">
        <f>VLOOKUP($A91,'Data Vlaue (Cr)'!$C:$FB,5)</f>
        <v>5244.5</v>
      </c>
      <c r="F91" s="75">
        <f t="shared" si="6"/>
        <v>5.5</v>
      </c>
      <c r="G91" s="75">
        <f t="shared" si="7"/>
        <v>0.82261724659606661</v>
      </c>
      <c r="H91" s="75">
        <f>VLOOKUP($A91,'Data Vlaue (Cr)'!$C:$FB,99)</f>
        <v>4197</v>
      </c>
      <c r="I91" s="75">
        <f>VLOOKUP($A91,'Data Vlaue (Cr)'!$C:$FB,100)</f>
        <v>4384</v>
      </c>
      <c r="J91" s="75">
        <f t="shared" si="8"/>
        <v>-187</v>
      </c>
      <c r="K91" s="75">
        <f t="shared" si="9"/>
        <v>-4.4555634977364784</v>
      </c>
      <c r="L91" s="75">
        <f>VLOOKUP($A91,'Data Vlaue (Cr)'!$C:$FB,67)</f>
        <v>3642</v>
      </c>
      <c r="M91" s="75">
        <f>VLOOKUP($A91,'Data Vlaue (Cr)'!$C:$FB,68)</f>
        <v>3958</v>
      </c>
      <c r="N91" s="75">
        <f t="shared" si="10"/>
        <v>-316</v>
      </c>
      <c r="O91" s="75">
        <f t="shared" si="11"/>
        <v>-8.676551345414607</v>
      </c>
      <c r="P91" s="75">
        <f>VLOOKUP($A91,'Data Vlaue (Cr)'!$C:$FB,119)</f>
        <v>0.67</v>
      </c>
      <c r="Q91" s="75">
        <f>VLOOKUP($A91,'Data Vlaue (Cr)'!$C:$FB,122)*100</f>
        <v>11.67</v>
      </c>
      <c r="R91" s="75">
        <f>VLOOKUP($A91,'Data Vlaue (Cr)'!$C:$FB,125)</f>
        <v>0.37</v>
      </c>
      <c r="S91" s="75">
        <f>VLOOKUP($A91,'Data Vlaue (Cr)'!$C:$FB,128)*100</f>
        <v>-5.13</v>
      </c>
    </row>
    <row r="92" spans="1:19" x14ac:dyDescent="0.25">
      <c r="A92" s="96" t="str">
        <f>'Data Vlaue (Cr)'!C83</f>
        <v>HINDALCO</v>
      </c>
      <c r="B92" s="75">
        <f>VLOOKUP($A92,'Data Vlaue (Cr)'!$C:$FB,2)</f>
        <v>700</v>
      </c>
      <c r="C92" s="75">
        <f>VLOOKUP($A92,'Data Vlaue (Cr)'!$C:$FB,8)</f>
        <v>1015.25</v>
      </c>
      <c r="D92" s="75">
        <f>VLOOKUP($A92,'Data Vlaue (Cr)'!$C:$FB,4)</f>
        <v>1015.8</v>
      </c>
      <c r="E92" s="75">
        <f>VLOOKUP($A92,'Data Vlaue (Cr)'!$C:$FB,5)</f>
        <v>1040.95</v>
      </c>
      <c r="F92" s="75">
        <f t="shared" si="6"/>
        <v>0.54999999999995453</v>
      </c>
      <c r="G92" s="75">
        <f t="shared" si="7"/>
        <v>-2.4758810789525585</v>
      </c>
      <c r="H92" s="75">
        <f>VLOOKUP($A92,'Data Vlaue (Cr)'!$C:$FB,99)</f>
        <v>6428</v>
      </c>
      <c r="I92" s="75">
        <f>VLOOKUP($A92,'Data Vlaue (Cr)'!$C:$FB,100)</f>
        <v>6482</v>
      </c>
      <c r="J92" s="75">
        <f t="shared" si="8"/>
        <v>-54</v>
      </c>
      <c r="K92" s="75">
        <f t="shared" si="9"/>
        <v>-0.84007467330429375</v>
      </c>
      <c r="L92" s="75">
        <f>VLOOKUP($A92,'Data Vlaue (Cr)'!$C:$FB,67)</f>
        <v>4400</v>
      </c>
      <c r="M92" s="75">
        <f>VLOOKUP($A92,'Data Vlaue (Cr)'!$C:$FB,68)</f>
        <v>4202</v>
      </c>
      <c r="N92" s="75">
        <f t="shared" si="10"/>
        <v>198</v>
      </c>
      <c r="O92" s="75">
        <f t="shared" si="11"/>
        <v>4.5</v>
      </c>
      <c r="P92" s="75">
        <f>VLOOKUP($A92,'Data Vlaue (Cr)'!$C:$FB,119)</f>
        <v>0.69</v>
      </c>
      <c r="Q92" s="75">
        <f>VLOOKUP($A92,'Data Vlaue (Cr)'!$C:$FB,122)*100</f>
        <v>-12.659999999999998</v>
      </c>
      <c r="R92" s="75">
        <f>VLOOKUP($A92,'Data Vlaue (Cr)'!$C:$FB,125)</f>
        <v>0.74</v>
      </c>
      <c r="S92" s="75">
        <f>VLOOKUP($A92,'Data Vlaue (Cr)'!$C:$FB,128)*100</f>
        <v>-5.13</v>
      </c>
    </row>
    <row r="93" spans="1:19" x14ac:dyDescent="0.25">
      <c r="A93" s="96" t="str">
        <f>'Data Vlaue (Cr)'!C84</f>
        <v>HINDPETRO</v>
      </c>
      <c r="B93" s="75">
        <f>VLOOKUP($A93,'Data Vlaue (Cr)'!$C:$FB,2)</f>
        <v>2025</v>
      </c>
      <c r="C93" s="75">
        <f>VLOOKUP($A93,'Data Vlaue (Cr)'!$C:$FB,8)</f>
        <v>379.5</v>
      </c>
      <c r="D93" s="75">
        <f>VLOOKUP($A93,'Data Vlaue (Cr)'!$C:$FB,4)</f>
        <v>378.8</v>
      </c>
      <c r="E93" s="75">
        <f>VLOOKUP($A93,'Data Vlaue (Cr)'!$C:$FB,5)</f>
        <v>372.35</v>
      </c>
      <c r="F93" s="75">
        <f t="shared" si="6"/>
        <v>-0.69999999999998863</v>
      </c>
      <c r="G93" s="75">
        <f t="shared" si="7"/>
        <v>1.7027455121436084</v>
      </c>
      <c r="H93" s="75">
        <f>VLOOKUP($A93,'Data Vlaue (Cr)'!$C:$FB,99)</f>
        <v>2936</v>
      </c>
      <c r="I93" s="75">
        <f>VLOOKUP($A93,'Data Vlaue (Cr)'!$C:$FB,100)</f>
        <v>2951</v>
      </c>
      <c r="J93" s="75">
        <f t="shared" si="8"/>
        <v>-15</v>
      </c>
      <c r="K93" s="75">
        <f t="shared" si="9"/>
        <v>-0.51089918256130795</v>
      </c>
      <c r="L93" s="75">
        <f>VLOOKUP($A93,'Data Vlaue (Cr)'!$C:$FB,67)</f>
        <v>2778</v>
      </c>
      <c r="M93" s="75">
        <f>VLOOKUP($A93,'Data Vlaue (Cr)'!$C:$FB,68)</f>
        <v>1432</v>
      </c>
      <c r="N93" s="75">
        <f t="shared" si="10"/>
        <v>1346</v>
      </c>
      <c r="O93" s="75">
        <f t="shared" si="11"/>
        <v>48.452123830093591</v>
      </c>
      <c r="P93" s="75">
        <f>VLOOKUP($A93,'Data Vlaue (Cr)'!$C:$FB,119)</f>
        <v>0.91</v>
      </c>
      <c r="Q93" s="75">
        <f>VLOOKUP($A93,'Data Vlaue (Cr)'!$C:$FB,122)*100</f>
        <v>8.33</v>
      </c>
      <c r="R93" s="75">
        <f>VLOOKUP($A93,'Data Vlaue (Cr)'!$C:$FB,125)</f>
        <v>0.59</v>
      </c>
      <c r="S93" s="75">
        <f>VLOOKUP($A93,'Data Vlaue (Cr)'!$C:$FB,128)*100</f>
        <v>-25.319999999999997</v>
      </c>
    </row>
    <row r="94" spans="1:19" x14ac:dyDescent="0.25">
      <c r="A94" s="96" t="str">
        <f>'Data Vlaue (Cr)'!C85</f>
        <v>HINDUNILVR</v>
      </c>
      <c r="B94" s="75">
        <f>VLOOKUP($A94,'Data Vlaue (Cr)'!$C:$FB,2)</f>
        <v>300</v>
      </c>
      <c r="C94" s="75">
        <f>VLOOKUP($A94,'Data Vlaue (Cr)'!$C:$FB,8)</f>
        <v>2231.5</v>
      </c>
      <c r="D94" s="75">
        <f>VLOOKUP($A94,'Data Vlaue (Cr)'!$C:$FB,4)</f>
        <v>2235.1999999999998</v>
      </c>
      <c r="E94" s="75">
        <f>VLOOKUP($A94,'Data Vlaue (Cr)'!$C:$FB,5)</f>
        <v>2240.6999999999998</v>
      </c>
      <c r="F94" s="75">
        <f t="shared" si="6"/>
        <v>3.6999999999998181</v>
      </c>
      <c r="G94" s="75">
        <f t="shared" si="7"/>
        <v>-0.24606299212598429</v>
      </c>
      <c r="H94" s="75">
        <f>VLOOKUP($A94,'Data Vlaue (Cr)'!$C:$FB,99)</f>
        <v>6611</v>
      </c>
      <c r="I94" s="75">
        <f>VLOOKUP($A94,'Data Vlaue (Cr)'!$C:$FB,100)</f>
        <v>6701</v>
      </c>
      <c r="J94" s="75">
        <f t="shared" si="8"/>
        <v>-90</v>
      </c>
      <c r="K94" s="75">
        <f t="shared" si="9"/>
        <v>-1.3613674179397972</v>
      </c>
      <c r="L94" s="75">
        <f>VLOOKUP($A94,'Data Vlaue (Cr)'!$C:$FB,67)</f>
        <v>3278</v>
      </c>
      <c r="M94" s="75">
        <f>VLOOKUP($A94,'Data Vlaue (Cr)'!$C:$FB,68)</f>
        <v>13388</v>
      </c>
      <c r="N94" s="75">
        <f t="shared" si="10"/>
        <v>-10110</v>
      </c>
      <c r="O94" s="75">
        <f t="shared" si="11"/>
        <v>-308.41976815131176</v>
      </c>
      <c r="P94" s="75">
        <f>VLOOKUP($A94,'Data Vlaue (Cr)'!$C:$FB,119)</f>
        <v>0.74</v>
      </c>
      <c r="Q94" s="75">
        <f>VLOOKUP($A94,'Data Vlaue (Cr)'!$C:$FB,122)*100</f>
        <v>5.71</v>
      </c>
      <c r="R94" s="75">
        <f>VLOOKUP($A94,'Data Vlaue (Cr)'!$C:$FB,125)</f>
        <v>0.65</v>
      </c>
      <c r="S94" s="75">
        <f>VLOOKUP($A94,'Data Vlaue (Cr)'!$C:$FB,128)*100</f>
        <v>54.76</v>
      </c>
    </row>
    <row r="95" spans="1:19" x14ac:dyDescent="0.25">
      <c r="A95" s="96" t="str">
        <f>'Data Vlaue (Cr)'!C86</f>
        <v>HINDZINC</v>
      </c>
      <c r="B95" s="75">
        <f>VLOOKUP($A95,'Data Vlaue (Cr)'!$C:$FB,2)</f>
        <v>1225</v>
      </c>
      <c r="C95" s="75">
        <f>VLOOKUP($A95,'Data Vlaue (Cr)'!$C:$FB,8)</f>
        <v>590.29999999999995</v>
      </c>
      <c r="D95" s="75">
        <f>VLOOKUP($A95,'Data Vlaue (Cr)'!$C:$FB,4)</f>
        <v>590.29999999999995</v>
      </c>
      <c r="E95" s="75">
        <f>VLOOKUP($A95,'Data Vlaue (Cr)'!$C:$FB,5)</f>
        <v>593.20000000000005</v>
      </c>
      <c r="F95" s="75">
        <f t="shared" si="6"/>
        <v>0</v>
      </c>
      <c r="G95" s="75">
        <f t="shared" si="7"/>
        <v>-0.49127562256481305</v>
      </c>
      <c r="H95" s="75">
        <f>VLOOKUP($A95,'Data Vlaue (Cr)'!$C:$FB,99)</f>
        <v>4416</v>
      </c>
      <c r="I95" s="75">
        <f>VLOOKUP($A95,'Data Vlaue (Cr)'!$C:$FB,100)</f>
        <v>4380</v>
      </c>
      <c r="J95" s="75">
        <f t="shared" si="8"/>
        <v>36</v>
      </c>
      <c r="K95" s="75">
        <f t="shared" si="9"/>
        <v>0.81521739130434778</v>
      </c>
      <c r="L95" s="75">
        <f>VLOOKUP($A95,'Data Vlaue (Cr)'!$C:$FB,67)</f>
        <v>1970</v>
      </c>
      <c r="M95" s="75">
        <f>VLOOKUP($A95,'Data Vlaue (Cr)'!$C:$FB,68)</f>
        <v>1850</v>
      </c>
      <c r="N95" s="75">
        <f t="shared" si="10"/>
        <v>120</v>
      </c>
      <c r="O95" s="75">
        <f t="shared" si="11"/>
        <v>6.091370558375635</v>
      </c>
      <c r="P95" s="75">
        <f>VLOOKUP($A95,'Data Vlaue (Cr)'!$C:$FB,119)</f>
        <v>0.78</v>
      </c>
      <c r="Q95" s="75">
        <f>VLOOKUP($A95,'Data Vlaue (Cr)'!$C:$FB,122)*100</f>
        <v>-2.5</v>
      </c>
      <c r="R95" s="75">
        <f>VLOOKUP($A95,'Data Vlaue (Cr)'!$C:$FB,125)</f>
        <v>0.57999999999999996</v>
      </c>
      <c r="S95" s="75">
        <f>VLOOKUP($A95,'Data Vlaue (Cr)'!$C:$FB,128)*100</f>
        <v>-3.3300000000000005</v>
      </c>
    </row>
    <row r="96" spans="1:19" x14ac:dyDescent="0.25">
      <c r="A96" s="96" t="str">
        <f>'Data Vlaue (Cr)'!C87</f>
        <v>HUDCO</v>
      </c>
      <c r="B96" s="75">
        <f>VLOOKUP($A96,'Data Vlaue (Cr)'!$C:$FB,2)</f>
        <v>2775</v>
      </c>
      <c r="C96" s="75">
        <f>VLOOKUP($A96,'Data Vlaue (Cr)'!$C:$FB,8)</f>
        <v>199.4</v>
      </c>
      <c r="D96" s="75">
        <f>VLOOKUP($A96,'Data Vlaue (Cr)'!$C:$FB,4)</f>
        <v>199.26</v>
      </c>
      <c r="E96" s="75">
        <f>VLOOKUP($A96,'Data Vlaue (Cr)'!$C:$FB,5)</f>
        <v>197.6</v>
      </c>
      <c r="F96" s="75">
        <f t="shared" si="6"/>
        <v>-0.14000000000001478</v>
      </c>
      <c r="G96" s="75">
        <f t="shared" si="7"/>
        <v>0.83308240489812135</v>
      </c>
      <c r="H96" s="75">
        <f>VLOOKUP($A96,'Data Vlaue (Cr)'!$C:$FB,99)</f>
        <v>970</v>
      </c>
      <c r="I96" s="75">
        <f>VLOOKUP($A96,'Data Vlaue (Cr)'!$C:$FB,100)</f>
        <v>971</v>
      </c>
      <c r="J96" s="75">
        <f t="shared" si="8"/>
        <v>-1</v>
      </c>
      <c r="K96" s="75">
        <f t="shared" si="9"/>
        <v>-0.10309278350515465</v>
      </c>
      <c r="L96" s="75">
        <f>VLOOKUP($A96,'Data Vlaue (Cr)'!$C:$FB,67)</f>
        <v>948</v>
      </c>
      <c r="M96" s="75">
        <f>VLOOKUP($A96,'Data Vlaue (Cr)'!$C:$FB,68)</f>
        <v>908</v>
      </c>
      <c r="N96" s="75">
        <f t="shared" si="10"/>
        <v>40</v>
      </c>
      <c r="O96" s="75">
        <f t="shared" si="11"/>
        <v>4.2194092827004219</v>
      </c>
      <c r="P96" s="75">
        <f>VLOOKUP($A96,'Data Vlaue (Cr)'!$C:$FB,119)</f>
        <v>0.95</v>
      </c>
      <c r="Q96" s="75">
        <f>VLOOKUP($A96,'Data Vlaue (Cr)'!$C:$FB,122)*100</f>
        <v>6.74</v>
      </c>
      <c r="R96" s="75">
        <f>VLOOKUP($A96,'Data Vlaue (Cr)'!$C:$FB,125)</f>
        <v>0.52</v>
      </c>
      <c r="S96" s="75">
        <f>VLOOKUP($A96,'Data Vlaue (Cr)'!$C:$FB,128)*100</f>
        <v>-8.77</v>
      </c>
    </row>
    <row r="97" spans="1:19" x14ac:dyDescent="0.25">
      <c r="A97" s="96" t="str">
        <f>'Data Vlaue (Cr)'!C88</f>
        <v>HYUNDAI</v>
      </c>
      <c r="B97" s="75">
        <f>VLOOKUP($A97,'Data Vlaue (Cr)'!$C:$FB,2)</f>
        <v>275</v>
      </c>
      <c r="C97" s="75">
        <f>VLOOKUP($A97,'Data Vlaue (Cr)'!$C:$FB,8)</f>
        <v>1886</v>
      </c>
      <c r="D97" s="75">
        <f>VLOOKUP($A97,'Data Vlaue (Cr)'!$C:$FB,4)</f>
        <v>1868.7</v>
      </c>
      <c r="E97" s="75">
        <f>VLOOKUP($A97,'Data Vlaue (Cr)'!$C:$FB,5)</f>
        <v>1869.4</v>
      </c>
      <c r="F97" s="75">
        <f t="shared" si="6"/>
        <v>-17.299999999999955</v>
      </c>
      <c r="G97" s="75">
        <f t="shared" si="7"/>
        <v>-3.7459196232677551E-2</v>
      </c>
      <c r="H97" s="75">
        <f>VLOOKUP($A97,'Data Vlaue (Cr)'!$C:$FB,99)</f>
        <v>1885</v>
      </c>
      <c r="I97" s="75">
        <f>VLOOKUP($A97,'Data Vlaue (Cr)'!$C:$FB,100)</f>
        <v>1851</v>
      </c>
      <c r="J97" s="75">
        <f t="shared" si="8"/>
        <v>34</v>
      </c>
      <c r="K97" s="75">
        <f t="shared" si="9"/>
        <v>1.8037135278514589</v>
      </c>
      <c r="L97" s="75">
        <f>VLOOKUP($A97,'Data Vlaue (Cr)'!$C:$FB,67)</f>
        <v>586</v>
      </c>
      <c r="M97" s="75">
        <f>VLOOKUP($A97,'Data Vlaue (Cr)'!$C:$FB,68)</f>
        <v>1338</v>
      </c>
      <c r="N97" s="75">
        <f t="shared" si="10"/>
        <v>-752</v>
      </c>
      <c r="O97" s="75">
        <f t="shared" si="11"/>
        <v>-128.32764505119454</v>
      </c>
      <c r="P97" s="75">
        <f>VLOOKUP($A97,'Data Vlaue (Cr)'!$C:$FB,119)</f>
        <v>0.7</v>
      </c>
      <c r="Q97" s="75">
        <f>VLOOKUP($A97,'Data Vlaue (Cr)'!$C:$FB,122)*100</f>
        <v>6.0600000000000005</v>
      </c>
      <c r="R97" s="75">
        <f>VLOOKUP($A97,'Data Vlaue (Cr)'!$C:$FB,125)</f>
        <v>0.22</v>
      </c>
      <c r="S97" s="75">
        <f>VLOOKUP($A97,'Data Vlaue (Cr)'!$C:$FB,128)*100</f>
        <v>-8.33</v>
      </c>
    </row>
    <row r="98" spans="1:19" x14ac:dyDescent="0.25">
      <c r="A98" s="96" t="str">
        <f>'Data Vlaue (Cr)'!C89</f>
        <v>ICICIBANK</v>
      </c>
      <c r="B98" s="75">
        <f>VLOOKUP($A98,'Data Vlaue (Cr)'!$C:$FB,2)</f>
        <v>700</v>
      </c>
      <c r="C98" s="75">
        <f>VLOOKUP($A98,'Data Vlaue (Cr)'!$C:$FB,8)</f>
        <v>1356.2</v>
      </c>
      <c r="D98" s="75">
        <f>VLOOKUP($A98,'Data Vlaue (Cr)'!$C:$FB,4)</f>
        <v>1357.3</v>
      </c>
      <c r="E98" s="75">
        <f>VLOOKUP($A98,'Data Vlaue (Cr)'!$C:$FB,5)</f>
        <v>1351.6</v>
      </c>
      <c r="F98" s="75">
        <f t="shared" si="6"/>
        <v>1.0999999999999091</v>
      </c>
      <c r="G98" s="75">
        <f t="shared" si="7"/>
        <v>0.41995137405142896</v>
      </c>
      <c r="H98" s="75">
        <f>VLOOKUP($A98,'Data Vlaue (Cr)'!$C:$FB,99)</f>
        <v>23491</v>
      </c>
      <c r="I98" s="75">
        <f>VLOOKUP($A98,'Data Vlaue (Cr)'!$C:$FB,100)</f>
        <v>23324</v>
      </c>
      <c r="J98" s="75">
        <f t="shared" si="8"/>
        <v>167</v>
      </c>
      <c r="K98" s="75">
        <f t="shared" si="9"/>
        <v>0.71091056149163501</v>
      </c>
      <c r="L98" s="75">
        <f>VLOOKUP($A98,'Data Vlaue (Cr)'!$C:$FB,67)</f>
        <v>31051</v>
      </c>
      <c r="M98" s="75">
        <f>VLOOKUP($A98,'Data Vlaue (Cr)'!$C:$FB,68)</f>
        <v>15843</v>
      </c>
      <c r="N98" s="75">
        <f t="shared" si="10"/>
        <v>15208</v>
      </c>
      <c r="O98" s="75">
        <f t="shared" si="11"/>
        <v>48.977488647708604</v>
      </c>
      <c r="P98" s="75">
        <f>VLOOKUP($A98,'Data Vlaue (Cr)'!$C:$FB,119)</f>
        <v>0.67</v>
      </c>
      <c r="Q98" s="75">
        <f>VLOOKUP($A98,'Data Vlaue (Cr)'!$C:$FB,122)*100</f>
        <v>-19.28</v>
      </c>
      <c r="R98" s="75">
        <f>VLOOKUP($A98,'Data Vlaue (Cr)'!$C:$FB,125)</f>
        <v>0.52</v>
      </c>
      <c r="S98" s="75">
        <f>VLOOKUP($A98,'Data Vlaue (Cr)'!$C:$FB,128)*100</f>
        <v>-23.53</v>
      </c>
    </row>
    <row r="99" spans="1:19" x14ac:dyDescent="0.25">
      <c r="A99" s="96" t="str">
        <f>'Data Vlaue (Cr)'!C90</f>
        <v>ICICIGI</v>
      </c>
      <c r="B99" s="75">
        <f>VLOOKUP($A99,'Data Vlaue (Cr)'!$C:$FB,2)</f>
        <v>325</v>
      </c>
      <c r="C99" s="75">
        <f>VLOOKUP($A99,'Data Vlaue (Cr)'!$C:$FB,8)</f>
        <v>1876.5</v>
      </c>
      <c r="D99" s="75">
        <f>VLOOKUP($A99,'Data Vlaue (Cr)'!$C:$FB,4)</f>
        <v>1872.3</v>
      </c>
      <c r="E99" s="75">
        <f>VLOOKUP($A99,'Data Vlaue (Cr)'!$C:$FB,5)</f>
        <v>1890.9</v>
      </c>
      <c r="F99" s="75">
        <f t="shared" si="6"/>
        <v>-4.2000000000000455</v>
      </c>
      <c r="G99" s="75">
        <f t="shared" si="7"/>
        <v>-0.99343053997757502</v>
      </c>
      <c r="H99" s="75">
        <f>VLOOKUP($A99,'Data Vlaue (Cr)'!$C:$FB,99)</f>
        <v>1530</v>
      </c>
      <c r="I99" s="75">
        <f>VLOOKUP($A99,'Data Vlaue (Cr)'!$C:$FB,100)</f>
        <v>1573</v>
      </c>
      <c r="J99" s="75">
        <f t="shared" si="8"/>
        <v>-43</v>
      </c>
      <c r="K99" s="75">
        <f t="shared" si="9"/>
        <v>-2.8104575163398695</v>
      </c>
      <c r="L99" s="75">
        <f>VLOOKUP($A99,'Data Vlaue (Cr)'!$C:$FB,67)</f>
        <v>385</v>
      </c>
      <c r="M99" s="75">
        <f>VLOOKUP($A99,'Data Vlaue (Cr)'!$C:$FB,68)</f>
        <v>915</v>
      </c>
      <c r="N99" s="75">
        <f t="shared" si="10"/>
        <v>-530</v>
      </c>
      <c r="O99" s="75">
        <f t="shared" si="11"/>
        <v>-137.66233766233768</v>
      </c>
      <c r="P99" s="75">
        <f>VLOOKUP($A99,'Data Vlaue (Cr)'!$C:$FB,119)</f>
        <v>0.82</v>
      </c>
      <c r="Q99" s="75">
        <f>VLOOKUP($A99,'Data Vlaue (Cr)'!$C:$FB,122)*100</f>
        <v>-6.8199999999999994</v>
      </c>
      <c r="R99" s="75">
        <f>VLOOKUP($A99,'Data Vlaue (Cr)'!$C:$FB,125)</f>
        <v>0.6</v>
      </c>
      <c r="S99" s="75">
        <f>VLOOKUP($A99,'Data Vlaue (Cr)'!$C:$FB,128)*100</f>
        <v>-7.6899999999999995</v>
      </c>
    </row>
    <row r="100" spans="1:19" x14ac:dyDescent="0.25">
      <c r="A100" s="96" t="str">
        <f>'Data Vlaue (Cr)'!C91</f>
        <v>ICICIPRULI</v>
      </c>
      <c r="B100" s="75">
        <f>VLOOKUP($A100,'Data Vlaue (Cr)'!$C:$FB,2)</f>
        <v>925</v>
      </c>
      <c r="C100" s="75">
        <f>VLOOKUP($A100,'Data Vlaue (Cr)'!$C:$FB,8)</f>
        <v>557.9</v>
      </c>
      <c r="D100" s="75">
        <f>VLOOKUP($A100,'Data Vlaue (Cr)'!$C:$FB,4)</f>
        <v>559.20000000000005</v>
      </c>
      <c r="E100" s="75">
        <f>VLOOKUP($A100,'Data Vlaue (Cr)'!$C:$FB,5)</f>
        <v>562.75</v>
      </c>
      <c r="F100" s="75">
        <f t="shared" si="6"/>
        <v>1.3000000000000682</v>
      </c>
      <c r="G100" s="75">
        <f t="shared" si="7"/>
        <v>-0.63483547925607187</v>
      </c>
      <c r="H100" s="75">
        <f>VLOOKUP($A100,'Data Vlaue (Cr)'!$C:$FB,99)</f>
        <v>1804</v>
      </c>
      <c r="I100" s="75">
        <f>VLOOKUP($A100,'Data Vlaue (Cr)'!$C:$FB,100)</f>
        <v>1823</v>
      </c>
      <c r="J100" s="75">
        <f t="shared" si="8"/>
        <v>-19</v>
      </c>
      <c r="K100" s="75">
        <f t="shared" si="9"/>
        <v>-1.0532150776053215</v>
      </c>
      <c r="L100" s="75">
        <f>VLOOKUP($A100,'Data Vlaue (Cr)'!$C:$FB,67)</f>
        <v>650</v>
      </c>
      <c r="M100" s="75">
        <f>VLOOKUP($A100,'Data Vlaue (Cr)'!$C:$FB,68)</f>
        <v>1018</v>
      </c>
      <c r="N100" s="75">
        <f t="shared" si="10"/>
        <v>-368</v>
      </c>
      <c r="O100" s="75">
        <f t="shared" si="11"/>
        <v>-56.615384615384613</v>
      </c>
      <c r="P100" s="75">
        <f>VLOOKUP($A100,'Data Vlaue (Cr)'!$C:$FB,119)</f>
        <v>0.65</v>
      </c>
      <c r="Q100" s="75">
        <f>VLOOKUP($A100,'Data Vlaue (Cr)'!$C:$FB,122)*100</f>
        <v>-8.4500000000000011</v>
      </c>
      <c r="R100" s="75">
        <f>VLOOKUP($A100,'Data Vlaue (Cr)'!$C:$FB,125)</f>
        <v>0.66</v>
      </c>
      <c r="S100" s="75">
        <f>VLOOKUP($A100,'Data Vlaue (Cr)'!$C:$FB,128)*100</f>
        <v>20</v>
      </c>
    </row>
    <row r="101" spans="1:19" x14ac:dyDescent="0.25">
      <c r="A101" s="96" t="str">
        <f>'Data Vlaue (Cr)'!C92</f>
        <v>IDEA</v>
      </c>
      <c r="B101" s="75">
        <f>VLOOKUP($A101,'Data Vlaue (Cr)'!$C:$FB,2)</f>
        <v>71475</v>
      </c>
      <c r="C101" s="75">
        <f>VLOOKUP($A101,'Data Vlaue (Cr)'!$C:$FB,8)</f>
        <v>9.4700000000000006</v>
      </c>
      <c r="D101" s="75">
        <f>VLOOKUP($A101,'Data Vlaue (Cr)'!$C:$FB,4)</f>
        <v>9.4499999999999993</v>
      </c>
      <c r="E101" s="75">
        <f>VLOOKUP($A101,'Data Vlaue (Cr)'!$C:$FB,5)</f>
        <v>9.61</v>
      </c>
      <c r="F101" s="75">
        <f t="shared" si="6"/>
        <v>-2.000000000000135E-2</v>
      </c>
      <c r="G101" s="75">
        <f t="shared" si="7"/>
        <v>-1.6931216931216946</v>
      </c>
      <c r="H101" s="75">
        <f>VLOOKUP($A101,'Data Vlaue (Cr)'!$C:$FB,99)</f>
        <v>8379</v>
      </c>
      <c r="I101" s="75">
        <f>VLOOKUP($A101,'Data Vlaue (Cr)'!$C:$FB,100)</f>
        <v>8274</v>
      </c>
      <c r="J101" s="75">
        <f t="shared" si="8"/>
        <v>105</v>
      </c>
      <c r="K101" s="75">
        <f t="shared" si="9"/>
        <v>1.2531328320802004</v>
      </c>
      <c r="L101" s="75">
        <f>VLOOKUP($A101,'Data Vlaue (Cr)'!$C:$FB,67)</f>
        <v>2028</v>
      </c>
      <c r="M101" s="75">
        <f>VLOOKUP($A101,'Data Vlaue (Cr)'!$C:$FB,68)</f>
        <v>1865</v>
      </c>
      <c r="N101" s="75">
        <f t="shared" si="10"/>
        <v>163</v>
      </c>
      <c r="O101" s="75">
        <f t="shared" si="11"/>
        <v>8.0374753451676515</v>
      </c>
      <c r="P101" s="75">
        <f>VLOOKUP($A101,'Data Vlaue (Cr)'!$C:$FB,119)</f>
        <v>0.52</v>
      </c>
      <c r="Q101" s="75">
        <f>VLOOKUP($A101,'Data Vlaue (Cr)'!$C:$FB,122)*100</f>
        <v>0</v>
      </c>
      <c r="R101" s="75">
        <f>VLOOKUP($A101,'Data Vlaue (Cr)'!$C:$FB,125)</f>
        <v>0.37</v>
      </c>
      <c r="S101" s="75">
        <f>VLOOKUP($A101,'Data Vlaue (Cr)'!$C:$FB,128)*100</f>
        <v>-2.63</v>
      </c>
    </row>
    <row r="102" spans="1:19" x14ac:dyDescent="0.25">
      <c r="A102" s="96" t="str">
        <f>'Data Vlaue (Cr)'!C93</f>
        <v>IDFCFIRSTB</v>
      </c>
      <c r="B102" s="75">
        <f>VLOOKUP($A102,'Data Vlaue (Cr)'!$C:$FB,2)</f>
        <v>9275</v>
      </c>
      <c r="C102" s="75">
        <f>VLOOKUP($A102,'Data Vlaue (Cr)'!$C:$FB,8)</f>
        <v>67.5</v>
      </c>
      <c r="D102" s="75">
        <f>VLOOKUP($A102,'Data Vlaue (Cr)'!$C:$FB,4)</f>
        <v>67.599999999999994</v>
      </c>
      <c r="E102" s="75">
        <f>VLOOKUP($A102,'Data Vlaue (Cr)'!$C:$FB,5)</f>
        <v>68.55</v>
      </c>
      <c r="F102" s="75">
        <f t="shared" si="6"/>
        <v>9.9999999999994316E-2</v>
      </c>
      <c r="G102" s="75">
        <f t="shared" si="7"/>
        <v>-1.4053254437869866</v>
      </c>
      <c r="H102" s="75">
        <f>VLOOKUP($A102,'Data Vlaue (Cr)'!$C:$FB,99)</f>
        <v>4382</v>
      </c>
      <c r="I102" s="75">
        <f>VLOOKUP($A102,'Data Vlaue (Cr)'!$C:$FB,100)</f>
        <v>4401</v>
      </c>
      <c r="J102" s="75">
        <f t="shared" si="8"/>
        <v>-19</v>
      </c>
      <c r="K102" s="75">
        <f t="shared" si="9"/>
        <v>-0.43359196713829301</v>
      </c>
      <c r="L102" s="75">
        <f>VLOOKUP($A102,'Data Vlaue (Cr)'!$C:$FB,67)</f>
        <v>1372</v>
      </c>
      <c r="M102" s="75">
        <f>VLOOKUP($A102,'Data Vlaue (Cr)'!$C:$FB,68)</f>
        <v>1458</v>
      </c>
      <c r="N102" s="75">
        <f t="shared" si="10"/>
        <v>-86</v>
      </c>
      <c r="O102" s="75">
        <f t="shared" si="11"/>
        <v>-6.2682215743440235</v>
      </c>
      <c r="P102" s="75">
        <f>VLOOKUP($A102,'Data Vlaue (Cr)'!$C:$FB,119)</f>
        <v>0.91</v>
      </c>
      <c r="Q102" s="75">
        <f>VLOOKUP($A102,'Data Vlaue (Cr)'!$C:$FB,122)*100</f>
        <v>-2.15</v>
      </c>
      <c r="R102" s="75">
        <f>VLOOKUP($A102,'Data Vlaue (Cr)'!$C:$FB,125)</f>
        <v>0.86</v>
      </c>
      <c r="S102" s="75">
        <f>VLOOKUP($A102,'Data Vlaue (Cr)'!$C:$FB,128)*100</f>
        <v>-2.27</v>
      </c>
    </row>
    <row r="103" spans="1:19" x14ac:dyDescent="0.25">
      <c r="A103" s="96" t="str">
        <f>'Data Vlaue (Cr)'!C94</f>
        <v>IEX</v>
      </c>
      <c r="B103" s="75">
        <f>VLOOKUP($A103,'Data Vlaue (Cr)'!$C:$FB,2)</f>
        <v>3750</v>
      </c>
      <c r="C103" s="75">
        <f>VLOOKUP($A103,'Data Vlaue (Cr)'!$C:$FB,8)</f>
        <v>124.99</v>
      </c>
      <c r="D103" s="75">
        <f>VLOOKUP($A103,'Data Vlaue (Cr)'!$C:$FB,4)</f>
        <v>124.98</v>
      </c>
      <c r="E103" s="75">
        <f>VLOOKUP($A103,'Data Vlaue (Cr)'!$C:$FB,5)</f>
        <v>135.82</v>
      </c>
      <c r="F103" s="75">
        <f t="shared" si="6"/>
        <v>-9.9999999999909051E-3</v>
      </c>
      <c r="G103" s="75">
        <f t="shared" si="7"/>
        <v>-8.6733877420387167</v>
      </c>
      <c r="H103" s="75">
        <f>VLOOKUP($A103,'Data Vlaue (Cr)'!$C:$FB,99)</f>
        <v>2208</v>
      </c>
      <c r="I103" s="75">
        <f>VLOOKUP($A103,'Data Vlaue (Cr)'!$C:$FB,100)</f>
        <v>1730</v>
      </c>
      <c r="J103" s="75">
        <f t="shared" si="8"/>
        <v>478</v>
      </c>
      <c r="K103" s="75">
        <f t="shared" si="9"/>
        <v>21.64855072463768</v>
      </c>
      <c r="L103" s="75">
        <f>VLOOKUP($A103,'Data Vlaue (Cr)'!$C:$FB,67)</f>
        <v>3650</v>
      </c>
      <c r="M103" s="75">
        <f>VLOOKUP($A103,'Data Vlaue (Cr)'!$C:$FB,68)</f>
        <v>821</v>
      </c>
      <c r="N103" s="75">
        <f t="shared" si="10"/>
        <v>2829</v>
      </c>
      <c r="O103" s="75">
        <f t="shared" si="11"/>
        <v>77.506849315068493</v>
      </c>
      <c r="P103" s="75">
        <f>VLOOKUP($A103,'Data Vlaue (Cr)'!$C:$FB,119)</f>
        <v>0.79</v>
      </c>
      <c r="Q103" s="75">
        <f>VLOOKUP($A103,'Data Vlaue (Cr)'!$C:$FB,122)*100</f>
        <v>-15.049999999999999</v>
      </c>
      <c r="R103" s="75">
        <f>VLOOKUP($A103,'Data Vlaue (Cr)'!$C:$FB,125)</f>
        <v>1.06</v>
      </c>
      <c r="S103" s="75">
        <f>VLOOKUP($A103,'Data Vlaue (Cr)'!$C:$FB,128)*100</f>
        <v>140.91</v>
      </c>
    </row>
    <row r="104" spans="1:19" x14ac:dyDescent="0.25">
      <c r="A104" s="96" t="str">
        <f>'Data Vlaue (Cr)'!C95</f>
        <v>INDHOTEL</v>
      </c>
      <c r="B104" s="75">
        <f>VLOOKUP($A104,'Data Vlaue (Cr)'!$C:$FB,2)</f>
        <v>1000</v>
      </c>
      <c r="C104" s="75">
        <f>VLOOKUP($A104,'Data Vlaue (Cr)'!$C:$FB,8)</f>
        <v>659.5</v>
      </c>
      <c r="D104" s="75">
        <f>VLOOKUP($A104,'Data Vlaue (Cr)'!$C:$FB,4)</f>
        <v>657.95</v>
      </c>
      <c r="E104" s="75">
        <f>VLOOKUP($A104,'Data Vlaue (Cr)'!$C:$FB,5)</f>
        <v>659.55</v>
      </c>
      <c r="F104" s="75">
        <f t="shared" si="6"/>
        <v>-1.5499999999999545</v>
      </c>
      <c r="G104" s="75">
        <f t="shared" si="7"/>
        <v>-0.24317957291586123</v>
      </c>
      <c r="H104" s="75">
        <f>VLOOKUP($A104,'Data Vlaue (Cr)'!$C:$FB,99)</f>
        <v>2225</v>
      </c>
      <c r="I104" s="75">
        <f>VLOOKUP($A104,'Data Vlaue (Cr)'!$C:$FB,100)</f>
        <v>2245</v>
      </c>
      <c r="J104" s="75">
        <f t="shared" si="8"/>
        <v>-20</v>
      </c>
      <c r="K104" s="75">
        <f t="shared" si="9"/>
        <v>-0.89887640449438211</v>
      </c>
      <c r="L104" s="75">
        <f>VLOOKUP($A104,'Data Vlaue (Cr)'!$C:$FB,67)</f>
        <v>746</v>
      </c>
      <c r="M104" s="75">
        <f>VLOOKUP($A104,'Data Vlaue (Cr)'!$C:$FB,68)</f>
        <v>995</v>
      </c>
      <c r="N104" s="75">
        <f t="shared" si="10"/>
        <v>-249</v>
      </c>
      <c r="O104" s="75">
        <f t="shared" si="11"/>
        <v>-33.378016085790883</v>
      </c>
      <c r="P104" s="75">
        <f>VLOOKUP($A104,'Data Vlaue (Cr)'!$C:$FB,119)</f>
        <v>0.98</v>
      </c>
      <c r="Q104" s="75">
        <f>VLOOKUP($A104,'Data Vlaue (Cr)'!$C:$FB,122)*100</f>
        <v>1.03</v>
      </c>
      <c r="R104" s="75">
        <f>VLOOKUP($A104,'Data Vlaue (Cr)'!$C:$FB,125)</f>
        <v>0.73</v>
      </c>
      <c r="S104" s="75">
        <f>VLOOKUP($A104,'Data Vlaue (Cr)'!$C:$FB,128)*100</f>
        <v>7.35</v>
      </c>
    </row>
    <row r="105" spans="1:19" x14ac:dyDescent="0.25">
      <c r="A105" s="96" t="str">
        <f>'Data Vlaue (Cr)'!C96</f>
        <v>INDIANB</v>
      </c>
      <c r="B105" s="75">
        <f>VLOOKUP($A105,'Data Vlaue (Cr)'!$C:$FB,2)</f>
        <v>1000</v>
      </c>
      <c r="C105" s="75">
        <f>VLOOKUP($A105,'Data Vlaue (Cr)'!$C:$FB,8)</f>
        <v>928.3</v>
      </c>
      <c r="D105" s="75">
        <f>VLOOKUP($A105,'Data Vlaue (Cr)'!$C:$FB,4)</f>
        <v>931.2</v>
      </c>
      <c r="E105" s="75">
        <f>VLOOKUP($A105,'Data Vlaue (Cr)'!$C:$FB,5)</f>
        <v>942.25</v>
      </c>
      <c r="F105" s="75">
        <f t="shared" si="6"/>
        <v>2.9000000000000909</v>
      </c>
      <c r="G105" s="75">
        <f t="shared" si="7"/>
        <v>-1.1866408934707855</v>
      </c>
      <c r="H105" s="75">
        <f>VLOOKUP($A105,'Data Vlaue (Cr)'!$C:$FB,99)</f>
        <v>1987</v>
      </c>
      <c r="I105" s="75">
        <f>VLOOKUP($A105,'Data Vlaue (Cr)'!$C:$FB,100)</f>
        <v>1826</v>
      </c>
      <c r="J105" s="75">
        <f t="shared" si="8"/>
        <v>161</v>
      </c>
      <c r="K105" s="75">
        <f t="shared" si="9"/>
        <v>8.1026673376950171</v>
      </c>
      <c r="L105" s="75">
        <f>VLOOKUP($A105,'Data Vlaue (Cr)'!$C:$FB,67)</f>
        <v>1575</v>
      </c>
      <c r="M105" s="75">
        <f>VLOOKUP($A105,'Data Vlaue (Cr)'!$C:$FB,68)</f>
        <v>919</v>
      </c>
      <c r="N105" s="75">
        <f t="shared" si="10"/>
        <v>656</v>
      </c>
      <c r="O105" s="75">
        <f t="shared" si="11"/>
        <v>41.650793650793652</v>
      </c>
      <c r="P105" s="75">
        <f>VLOOKUP($A105,'Data Vlaue (Cr)'!$C:$FB,119)</f>
        <v>0.5</v>
      </c>
      <c r="Q105" s="75">
        <f>VLOOKUP($A105,'Data Vlaue (Cr)'!$C:$FB,122)*100</f>
        <v>-5.66</v>
      </c>
      <c r="R105" s="75">
        <f>VLOOKUP($A105,'Data Vlaue (Cr)'!$C:$FB,125)</f>
        <v>0.33</v>
      </c>
      <c r="S105" s="75">
        <f>VLOOKUP($A105,'Data Vlaue (Cr)'!$C:$FB,128)*100</f>
        <v>-5.71</v>
      </c>
    </row>
    <row r="106" spans="1:19" x14ac:dyDescent="0.25">
      <c r="A106" s="96" t="str">
        <f>'Data Vlaue (Cr)'!C97</f>
        <v>INDIAVIX</v>
      </c>
      <c r="B106" s="75">
        <f>VLOOKUP($A106,'Data Vlaue (Cr)'!$C:$FB,2)</f>
        <v>1</v>
      </c>
      <c r="C106" s="75">
        <f>VLOOKUP($A106,'Data Vlaue (Cr)'!$C:$FB,8)</f>
        <v>18.79</v>
      </c>
      <c r="D106" s="75">
        <f>VLOOKUP($A106,'Data Vlaue (Cr)'!$C:$FB,4)</f>
        <v>18.79</v>
      </c>
      <c r="E106" s="75">
        <f>VLOOKUP($A106,'Data Vlaue (Cr)'!$C:$FB,5)</f>
        <v>17.2</v>
      </c>
      <c r="F106" s="75">
        <f t="shared" si="6"/>
        <v>0</v>
      </c>
      <c r="G106" s="75">
        <f t="shared" si="7"/>
        <v>8.4619478445981908</v>
      </c>
      <c r="H106" s="75">
        <f>VLOOKUP($A106,'Data Vlaue (Cr)'!$C:$FB,99)</f>
        <v>0</v>
      </c>
      <c r="I106" s="75">
        <f>VLOOKUP($A106,'Data Vlaue (Cr)'!$C:$FB,100)</f>
        <v>0</v>
      </c>
      <c r="J106" s="75">
        <f t="shared" si="8"/>
        <v>0</v>
      </c>
      <c r="K106" s="75" t="e">
        <f t="shared" si="9"/>
        <v>#DIV/0!</v>
      </c>
      <c r="L106" s="75">
        <f>VLOOKUP($A106,'Data Vlaue (Cr)'!$C:$FB,67)</f>
        <v>0</v>
      </c>
      <c r="M106" s="75">
        <f>VLOOKUP($A106,'Data Vlaue (Cr)'!$C:$FB,68)</f>
        <v>0</v>
      </c>
      <c r="N106" s="75">
        <f t="shared" si="10"/>
        <v>0</v>
      </c>
      <c r="O106" s="75" t="e">
        <f t="shared" si="11"/>
        <v>#DIV/0!</v>
      </c>
      <c r="P106" s="75">
        <f>VLOOKUP($A106,'Data Vlaue (Cr)'!$C:$FB,119)</f>
        <v>0</v>
      </c>
      <c r="Q106" s="75">
        <f>VLOOKUP($A106,'Data Vlaue (Cr)'!$C:$FB,122)*100</f>
        <v>0</v>
      </c>
      <c r="R106" s="75">
        <f>VLOOKUP($A106,'Data Vlaue (Cr)'!$C:$FB,125)</f>
        <v>0</v>
      </c>
      <c r="S106" s="75">
        <f>VLOOKUP($A106,'Data Vlaue (Cr)'!$C:$FB,128)*100</f>
        <v>0</v>
      </c>
    </row>
    <row r="107" spans="1:19" x14ac:dyDescent="0.25">
      <c r="A107" s="96" t="str">
        <f>'Data Vlaue (Cr)'!C98</f>
        <v>INDIGO</v>
      </c>
      <c r="B107" s="75">
        <f>VLOOKUP($A107,'Data Vlaue (Cr)'!$C:$FB,2)</f>
        <v>150</v>
      </c>
      <c r="C107" s="75">
        <f>VLOOKUP($A107,'Data Vlaue (Cr)'!$C:$FB,8)</f>
        <v>4678.2</v>
      </c>
      <c r="D107" s="75">
        <f>VLOOKUP($A107,'Data Vlaue (Cr)'!$C:$FB,4)</f>
        <v>4672.3</v>
      </c>
      <c r="E107" s="75">
        <f>VLOOKUP($A107,'Data Vlaue (Cr)'!$C:$FB,5)</f>
        <v>4647.8999999999996</v>
      </c>
      <c r="F107" s="75">
        <f t="shared" si="6"/>
        <v>-5.8999999999996362</v>
      </c>
      <c r="G107" s="75">
        <f t="shared" si="7"/>
        <v>0.52222674057745744</v>
      </c>
      <c r="H107" s="75">
        <f>VLOOKUP($A107,'Data Vlaue (Cr)'!$C:$FB,99)</f>
        <v>8355</v>
      </c>
      <c r="I107" s="75">
        <f>VLOOKUP($A107,'Data Vlaue (Cr)'!$C:$FB,100)</f>
        <v>8257</v>
      </c>
      <c r="J107" s="75">
        <f t="shared" si="8"/>
        <v>98</v>
      </c>
      <c r="K107" s="75">
        <f t="shared" si="9"/>
        <v>1.1729503291442249</v>
      </c>
      <c r="L107" s="75">
        <f>VLOOKUP($A107,'Data Vlaue (Cr)'!$C:$FB,67)</f>
        <v>5416</v>
      </c>
      <c r="M107" s="75">
        <f>VLOOKUP($A107,'Data Vlaue (Cr)'!$C:$FB,68)</f>
        <v>4178</v>
      </c>
      <c r="N107" s="75">
        <f t="shared" si="10"/>
        <v>1238</v>
      </c>
      <c r="O107" s="75">
        <f t="shared" si="11"/>
        <v>22.858197932053177</v>
      </c>
      <c r="P107" s="75">
        <f>VLOOKUP($A107,'Data Vlaue (Cr)'!$C:$FB,119)</f>
        <v>0.74</v>
      </c>
      <c r="Q107" s="75">
        <f>VLOOKUP($A107,'Data Vlaue (Cr)'!$C:$FB,122)*100</f>
        <v>7.2499999999999991</v>
      </c>
      <c r="R107" s="75">
        <f>VLOOKUP($A107,'Data Vlaue (Cr)'!$C:$FB,125)</f>
        <v>0.96</v>
      </c>
      <c r="S107" s="75">
        <f>VLOOKUP($A107,'Data Vlaue (Cr)'!$C:$FB,128)*100</f>
        <v>7.870000000000001</v>
      </c>
    </row>
    <row r="108" spans="1:19" x14ac:dyDescent="0.25">
      <c r="A108" s="96" t="str">
        <f>'Data Vlaue (Cr)'!C99</f>
        <v>INDUSINDBK</v>
      </c>
      <c r="B108" s="75">
        <f>VLOOKUP($A108,'Data Vlaue (Cr)'!$C:$FB,2)</f>
        <v>700</v>
      </c>
      <c r="C108" s="75">
        <f>VLOOKUP($A108,'Data Vlaue (Cr)'!$C:$FB,8)</f>
        <v>851.95</v>
      </c>
      <c r="D108" s="75">
        <f>VLOOKUP($A108,'Data Vlaue (Cr)'!$C:$FB,4)</f>
        <v>850.2</v>
      </c>
      <c r="E108" s="75">
        <f>VLOOKUP($A108,'Data Vlaue (Cr)'!$C:$FB,5)</f>
        <v>852.35</v>
      </c>
      <c r="F108" s="75">
        <f t="shared" si="6"/>
        <v>-1.75</v>
      </c>
      <c r="G108" s="75">
        <f t="shared" si="7"/>
        <v>-0.25288167490002084</v>
      </c>
      <c r="H108" s="75">
        <f>VLOOKUP($A108,'Data Vlaue (Cr)'!$C:$FB,99)</f>
        <v>4395</v>
      </c>
      <c r="I108" s="75">
        <f>VLOOKUP($A108,'Data Vlaue (Cr)'!$C:$FB,100)</f>
        <v>4481</v>
      </c>
      <c r="J108" s="75">
        <f t="shared" si="8"/>
        <v>-86</v>
      </c>
      <c r="K108" s="75">
        <f t="shared" si="9"/>
        <v>-1.9567690557451649</v>
      </c>
      <c r="L108" s="75">
        <f>VLOOKUP($A108,'Data Vlaue (Cr)'!$C:$FB,67)</f>
        <v>1371</v>
      </c>
      <c r="M108" s="75">
        <f>VLOOKUP($A108,'Data Vlaue (Cr)'!$C:$FB,68)</f>
        <v>1438</v>
      </c>
      <c r="N108" s="75">
        <f t="shared" si="10"/>
        <v>-67</v>
      </c>
      <c r="O108" s="75">
        <f t="shared" si="11"/>
        <v>-4.8869438366156093</v>
      </c>
      <c r="P108" s="75">
        <f>VLOOKUP($A108,'Data Vlaue (Cr)'!$C:$FB,119)</f>
        <v>0.77</v>
      </c>
      <c r="Q108" s="75">
        <f>VLOOKUP($A108,'Data Vlaue (Cr)'!$C:$FB,122)*100</f>
        <v>0</v>
      </c>
      <c r="R108" s="75">
        <f>VLOOKUP($A108,'Data Vlaue (Cr)'!$C:$FB,125)</f>
        <v>0.75</v>
      </c>
      <c r="S108" s="75">
        <f>VLOOKUP($A108,'Data Vlaue (Cr)'!$C:$FB,128)*100</f>
        <v>29.310000000000002</v>
      </c>
    </row>
    <row r="109" spans="1:19" x14ac:dyDescent="0.25">
      <c r="A109" s="96" t="str">
        <f>'Data Vlaue (Cr)'!C100</f>
        <v>INDUSTOWER</v>
      </c>
      <c r="B109" s="75">
        <f>VLOOKUP($A109,'Data Vlaue (Cr)'!$C:$FB,2)</f>
        <v>1700</v>
      </c>
      <c r="C109" s="75">
        <f>VLOOKUP($A109,'Data Vlaue (Cr)'!$C:$FB,8)</f>
        <v>405.8</v>
      </c>
      <c r="D109" s="75">
        <f>VLOOKUP($A109,'Data Vlaue (Cr)'!$C:$FB,4)</f>
        <v>406.95</v>
      </c>
      <c r="E109" s="75">
        <f>VLOOKUP($A109,'Data Vlaue (Cr)'!$C:$FB,5)</f>
        <v>413.35</v>
      </c>
      <c r="F109" s="75">
        <f t="shared" si="6"/>
        <v>1.1499999999999773</v>
      </c>
      <c r="G109" s="75">
        <f t="shared" si="7"/>
        <v>-1.5726747757709876</v>
      </c>
      <c r="H109" s="75">
        <f>VLOOKUP($A109,'Data Vlaue (Cr)'!$C:$FB,99)</f>
        <v>4718</v>
      </c>
      <c r="I109" s="75">
        <f>VLOOKUP($A109,'Data Vlaue (Cr)'!$C:$FB,100)</f>
        <v>4602</v>
      </c>
      <c r="J109" s="75">
        <f t="shared" si="8"/>
        <v>116</v>
      </c>
      <c r="K109" s="75">
        <f t="shared" si="9"/>
        <v>2.4586689275116576</v>
      </c>
      <c r="L109" s="75">
        <f>VLOOKUP($A109,'Data Vlaue (Cr)'!$C:$FB,67)</f>
        <v>1716</v>
      </c>
      <c r="M109" s="75">
        <f>VLOOKUP($A109,'Data Vlaue (Cr)'!$C:$FB,68)</f>
        <v>2991</v>
      </c>
      <c r="N109" s="75">
        <f t="shared" si="10"/>
        <v>-1275</v>
      </c>
      <c r="O109" s="75">
        <f t="shared" si="11"/>
        <v>-74.300699300699307</v>
      </c>
      <c r="P109" s="75">
        <f>VLOOKUP($A109,'Data Vlaue (Cr)'!$C:$FB,119)</f>
        <v>0.53</v>
      </c>
      <c r="Q109" s="75">
        <f>VLOOKUP($A109,'Data Vlaue (Cr)'!$C:$FB,122)*100</f>
        <v>-8.6199999999999992</v>
      </c>
      <c r="R109" s="75">
        <f>VLOOKUP($A109,'Data Vlaue (Cr)'!$C:$FB,125)</f>
        <v>0.39</v>
      </c>
      <c r="S109" s="75">
        <f>VLOOKUP($A109,'Data Vlaue (Cr)'!$C:$FB,128)*100</f>
        <v>-25</v>
      </c>
    </row>
    <row r="110" spans="1:19" x14ac:dyDescent="0.25">
      <c r="A110" s="96" t="str">
        <f>'Data Vlaue (Cr)'!C101</f>
        <v>INFY</v>
      </c>
      <c r="B110" s="75">
        <f>VLOOKUP($A110,'Data Vlaue (Cr)'!$C:$FB,2)</f>
        <v>400</v>
      </c>
      <c r="C110" s="75">
        <f>VLOOKUP($A110,'Data Vlaue (Cr)'!$C:$FB,8)</f>
        <v>1312.6</v>
      </c>
      <c r="D110" s="75">
        <f>VLOOKUP($A110,'Data Vlaue (Cr)'!$C:$FB,4)</f>
        <v>1309.3</v>
      </c>
      <c r="E110" s="75">
        <f>VLOOKUP($A110,'Data Vlaue (Cr)'!$C:$FB,5)</f>
        <v>1321</v>
      </c>
      <c r="F110" s="75">
        <f t="shared" si="6"/>
        <v>-3.2999999999999545</v>
      </c>
      <c r="G110" s="75">
        <f t="shared" si="7"/>
        <v>-0.89360727106087579</v>
      </c>
      <c r="H110" s="75">
        <f>VLOOKUP($A110,'Data Vlaue (Cr)'!$C:$FB,99)</f>
        <v>16940</v>
      </c>
      <c r="I110" s="75">
        <f>VLOOKUP($A110,'Data Vlaue (Cr)'!$C:$FB,100)</f>
        <v>16809</v>
      </c>
      <c r="J110" s="75">
        <f t="shared" si="8"/>
        <v>131</v>
      </c>
      <c r="K110" s="75">
        <f t="shared" si="9"/>
        <v>0.77331759149940971</v>
      </c>
      <c r="L110" s="75">
        <f>VLOOKUP($A110,'Data Vlaue (Cr)'!$C:$FB,67)</f>
        <v>4306</v>
      </c>
      <c r="M110" s="75">
        <f>VLOOKUP($A110,'Data Vlaue (Cr)'!$C:$FB,68)</f>
        <v>5563</v>
      </c>
      <c r="N110" s="75">
        <f t="shared" si="10"/>
        <v>-1257</v>
      </c>
      <c r="O110" s="75">
        <f t="shared" si="11"/>
        <v>-29.191825359962841</v>
      </c>
      <c r="P110" s="75">
        <f>VLOOKUP($A110,'Data Vlaue (Cr)'!$C:$FB,119)</f>
        <v>0.71</v>
      </c>
      <c r="Q110" s="75">
        <f>VLOOKUP($A110,'Data Vlaue (Cr)'!$C:$FB,122)*100</f>
        <v>0</v>
      </c>
      <c r="R110" s="75">
        <f>VLOOKUP($A110,'Data Vlaue (Cr)'!$C:$FB,125)</f>
        <v>0.57999999999999996</v>
      </c>
      <c r="S110" s="75">
        <f>VLOOKUP($A110,'Data Vlaue (Cr)'!$C:$FB,128)*100</f>
        <v>-20.549999999999997</v>
      </c>
    </row>
    <row r="111" spans="1:19" x14ac:dyDescent="0.25">
      <c r="A111" s="96" t="str">
        <f>'Data Vlaue (Cr)'!C102</f>
        <v>INOXWIND</v>
      </c>
      <c r="B111" s="75">
        <f>VLOOKUP($A111,'Data Vlaue (Cr)'!$C:$FB,2)</f>
        <v>3575</v>
      </c>
      <c r="C111" s="75">
        <f>VLOOKUP($A111,'Data Vlaue (Cr)'!$C:$FB,8)</f>
        <v>97.35</v>
      </c>
      <c r="D111" s="75">
        <f>VLOOKUP($A111,'Data Vlaue (Cr)'!$C:$FB,4)</f>
        <v>97.14</v>
      </c>
      <c r="E111" s="75">
        <f>VLOOKUP($A111,'Data Vlaue (Cr)'!$C:$FB,5)</f>
        <v>97.82</v>
      </c>
      <c r="F111" s="75">
        <f t="shared" si="6"/>
        <v>-0.20999999999999375</v>
      </c>
      <c r="G111" s="75">
        <f t="shared" si="7"/>
        <v>-0.70002058884084062</v>
      </c>
      <c r="H111" s="75">
        <f>VLOOKUP($A111,'Data Vlaue (Cr)'!$C:$FB,99)</f>
        <v>1459</v>
      </c>
      <c r="I111" s="75">
        <f>VLOOKUP($A111,'Data Vlaue (Cr)'!$C:$FB,100)</f>
        <v>1467</v>
      </c>
      <c r="J111" s="75">
        <f t="shared" si="8"/>
        <v>-8</v>
      </c>
      <c r="K111" s="75">
        <f t="shared" si="9"/>
        <v>-0.54832076764907478</v>
      </c>
      <c r="L111" s="75">
        <f>VLOOKUP($A111,'Data Vlaue (Cr)'!$C:$FB,67)</f>
        <v>429</v>
      </c>
      <c r="M111" s="75">
        <f>VLOOKUP($A111,'Data Vlaue (Cr)'!$C:$FB,68)</f>
        <v>1085</v>
      </c>
      <c r="N111" s="75">
        <f t="shared" si="10"/>
        <v>-656</v>
      </c>
      <c r="O111" s="75">
        <f t="shared" si="11"/>
        <v>-152.91375291375292</v>
      </c>
      <c r="P111" s="75">
        <f>VLOOKUP($A111,'Data Vlaue (Cr)'!$C:$FB,119)</f>
        <v>0.82</v>
      </c>
      <c r="Q111" s="75">
        <f>VLOOKUP($A111,'Data Vlaue (Cr)'!$C:$FB,122)*100</f>
        <v>0</v>
      </c>
      <c r="R111" s="75">
        <f>VLOOKUP($A111,'Data Vlaue (Cr)'!$C:$FB,125)</f>
        <v>0.32</v>
      </c>
      <c r="S111" s="75">
        <f>VLOOKUP($A111,'Data Vlaue (Cr)'!$C:$FB,128)*100</f>
        <v>-8.57</v>
      </c>
    </row>
    <row r="112" spans="1:19" x14ac:dyDescent="0.25">
      <c r="A112" s="96" t="str">
        <f>'Data Vlaue (Cr)'!C103</f>
        <v>IOC</v>
      </c>
      <c r="B112" s="75">
        <f>VLOOKUP($A112,'Data Vlaue (Cr)'!$C:$FB,2)</f>
        <v>4875</v>
      </c>
      <c r="C112" s="75">
        <f>VLOOKUP($A112,'Data Vlaue (Cr)'!$C:$FB,8)</f>
        <v>146.87</v>
      </c>
      <c r="D112" s="75">
        <f>VLOOKUP($A112,'Data Vlaue (Cr)'!$C:$FB,4)</f>
        <v>146.69</v>
      </c>
      <c r="E112" s="75">
        <f>VLOOKUP($A112,'Data Vlaue (Cr)'!$C:$FB,5)</f>
        <v>146.21</v>
      </c>
      <c r="F112" s="75">
        <f t="shared" si="6"/>
        <v>-0.18000000000000682</v>
      </c>
      <c r="G112" s="75">
        <f t="shared" si="7"/>
        <v>0.32722066943894595</v>
      </c>
      <c r="H112" s="75">
        <f>VLOOKUP($A112,'Data Vlaue (Cr)'!$C:$FB,99)</f>
        <v>3282</v>
      </c>
      <c r="I112" s="75">
        <f>VLOOKUP($A112,'Data Vlaue (Cr)'!$C:$FB,100)</f>
        <v>3146</v>
      </c>
      <c r="J112" s="75">
        <f t="shared" si="8"/>
        <v>136</v>
      </c>
      <c r="K112" s="75">
        <f t="shared" si="9"/>
        <v>4.1438147471054236</v>
      </c>
      <c r="L112" s="75">
        <f>VLOOKUP($A112,'Data Vlaue (Cr)'!$C:$FB,67)</f>
        <v>1703</v>
      </c>
      <c r="M112" s="75">
        <f>VLOOKUP($A112,'Data Vlaue (Cr)'!$C:$FB,68)</f>
        <v>1023</v>
      </c>
      <c r="N112" s="75">
        <f t="shared" si="10"/>
        <v>680</v>
      </c>
      <c r="O112" s="75">
        <f t="shared" si="11"/>
        <v>39.92953611274222</v>
      </c>
      <c r="P112" s="75">
        <f>VLOOKUP($A112,'Data Vlaue (Cr)'!$C:$FB,119)</f>
        <v>0.71</v>
      </c>
      <c r="Q112" s="75">
        <f>VLOOKUP($A112,'Data Vlaue (Cr)'!$C:$FB,122)*100</f>
        <v>-2.74</v>
      </c>
      <c r="R112" s="75">
        <f>VLOOKUP($A112,'Data Vlaue (Cr)'!$C:$FB,125)</f>
        <v>0.66</v>
      </c>
      <c r="S112" s="75">
        <f>VLOOKUP($A112,'Data Vlaue (Cr)'!$C:$FB,128)*100</f>
        <v>10</v>
      </c>
    </row>
    <row r="113" spans="1:19" x14ac:dyDescent="0.25">
      <c r="A113" s="96" t="str">
        <f>'Data Vlaue (Cr)'!C104</f>
        <v>IREDA</v>
      </c>
      <c r="B113" s="75">
        <f>VLOOKUP($A113,'Data Vlaue (Cr)'!$C:$FB,2)</f>
        <v>3450</v>
      </c>
      <c r="C113" s="75">
        <f>VLOOKUP($A113,'Data Vlaue (Cr)'!$C:$FB,8)</f>
        <v>130.13999999999999</v>
      </c>
      <c r="D113" s="75">
        <f>VLOOKUP($A113,'Data Vlaue (Cr)'!$C:$FB,4)</f>
        <v>130.34</v>
      </c>
      <c r="E113" s="75">
        <f>VLOOKUP($A113,'Data Vlaue (Cr)'!$C:$FB,5)</f>
        <v>133.36000000000001</v>
      </c>
      <c r="F113" s="75">
        <f t="shared" si="6"/>
        <v>0.20000000000001705</v>
      </c>
      <c r="G113" s="75">
        <f t="shared" si="7"/>
        <v>-2.3170170323768682</v>
      </c>
      <c r="H113" s="75">
        <f>VLOOKUP($A113,'Data Vlaue (Cr)'!$C:$FB,99)</f>
        <v>1369</v>
      </c>
      <c r="I113" s="75">
        <f>VLOOKUP($A113,'Data Vlaue (Cr)'!$C:$FB,100)</f>
        <v>1338</v>
      </c>
      <c r="J113" s="75">
        <f t="shared" si="8"/>
        <v>31</v>
      </c>
      <c r="K113" s="75">
        <f t="shared" si="9"/>
        <v>2.2644265887509132</v>
      </c>
      <c r="L113" s="75">
        <f>VLOOKUP($A113,'Data Vlaue (Cr)'!$C:$FB,67)</f>
        <v>434</v>
      </c>
      <c r="M113" s="75">
        <f>VLOOKUP($A113,'Data Vlaue (Cr)'!$C:$FB,68)</f>
        <v>1212</v>
      </c>
      <c r="N113" s="75">
        <f t="shared" si="10"/>
        <v>-778</v>
      </c>
      <c r="O113" s="75">
        <f t="shared" si="11"/>
        <v>-179.2626728110599</v>
      </c>
      <c r="P113" s="75">
        <f>VLOOKUP($A113,'Data Vlaue (Cr)'!$C:$FB,119)</f>
        <v>0.78</v>
      </c>
      <c r="Q113" s="75">
        <f>VLOOKUP($A113,'Data Vlaue (Cr)'!$C:$FB,122)*100</f>
        <v>-1.27</v>
      </c>
      <c r="R113" s="75">
        <f>VLOOKUP($A113,'Data Vlaue (Cr)'!$C:$FB,125)</f>
        <v>0.37</v>
      </c>
      <c r="S113" s="75">
        <f>VLOOKUP($A113,'Data Vlaue (Cr)'!$C:$FB,128)*100</f>
        <v>15.620000000000001</v>
      </c>
    </row>
    <row r="114" spans="1:19" x14ac:dyDescent="0.25">
      <c r="A114" s="96" t="str">
        <f>'Data Vlaue (Cr)'!C105</f>
        <v>IRFC</v>
      </c>
      <c r="B114" s="75">
        <f>VLOOKUP($A114,'Data Vlaue (Cr)'!$C:$FB,2)</f>
        <v>4250</v>
      </c>
      <c r="C114" s="75">
        <f>VLOOKUP($A114,'Data Vlaue (Cr)'!$C:$FB,8)</f>
        <v>103.02</v>
      </c>
      <c r="D114" s="75">
        <f>VLOOKUP($A114,'Data Vlaue (Cr)'!$C:$FB,4)</f>
        <v>103.09</v>
      </c>
      <c r="E114" s="75">
        <f>VLOOKUP($A114,'Data Vlaue (Cr)'!$C:$FB,5)</f>
        <v>104.84</v>
      </c>
      <c r="F114" s="75">
        <f t="shared" si="6"/>
        <v>7.000000000000739E-2</v>
      </c>
      <c r="G114" s="75">
        <f t="shared" si="7"/>
        <v>-1.6975458337375109</v>
      </c>
      <c r="H114" s="75">
        <f>VLOOKUP($A114,'Data Vlaue (Cr)'!$C:$FB,99)</f>
        <v>1370</v>
      </c>
      <c r="I114" s="75">
        <f>VLOOKUP($A114,'Data Vlaue (Cr)'!$C:$FB,100)</f>
        <v>1360</v>
      </c>
      <c r="J114" s="75">
        <f t="shared" si="8"/>
        <v>10</v>
      </c>
      <c r="K114" s="75">
        <f t="shared" si="9"/>
        <v>0.72992700729927007</v>
      </c>
      <c r="L114" s="75">
        <f>VLOOKUP($A114,'Data Vlaue (Cr)'!$C:$FB,67)</f>
        <v>556</v>
      </c>
      <c r="M114" s="75">
        <f>VLOOKUP($A114,'Data Vlaue (Cr)'!$C:$FB,68)</f>
        <v>1245</v>
      </c>
      <c r="N114" s="75">
        <f t="shared" si="10"/>
        <v>-689</v>
      </c>
      <c r="O114" s="75">
        <f t="shared" si="11"/>
        <v>-123.92086330935253</v>
      </c>
      <c r="P114" s="75">
        <f>VLOOKUP($A114,'Data Vlaue (Cr)'!$C:$FB,119)</f>
        <v>0.7</v>
      </c>
      <c r="Q114" s="75">
        <f>VLOOKUP($A114,'Data Vlaue (Cr)'!$C:$FB,122)*100</f>
        <v>-2.78</v>
      </c>
      <c r="R114" s="75">
        <f>VLOOKUP($A114,'Data Vlaue (Cr)'!$C:$FB,125)</f>
        <v>0.44</v>
      </c>
      <c r="S114" s="75">
        <f>VLOOKUP($A114,'Data Vlaue (Cr)'!$C:$FB,128)*100</f>
        <v>12.82</v>
      </c>
    </row>
    <row r="115" spans="1:19" x14ac:dyDescent="0.25">
      <c r="A115" s="96" t="str">
        <f>'Data Vlaue (Cr)'!C106</f>
        <v>ITC</v>
      </c>
      <c r="B115" s="75">
        <f>VLOOKUP($A115,'Data Vlaue (Cr)'!$C:$FB,2)</f>
        <v>1600</v>
      </c>
      <c r="C115" s="75">
        <f>VLOOKUP($A115,'Data Vlaue (Cr)'!$C:$FB,8)</f>
        <v>305</v>
      </c>
      <c r="D115" s="75">
        <f>VLOOKUP($A115,'Data Vlaue (Cr)'!$C:$FB,4)</f>
        <v>305.25</v>
      </c>
      <c r="E115" s="75">
        <f>VLOOKUP($A115,'Data Vlaue (Cr)'!$C:$FB,5)</f>
        <v>307.5</v>
      </c>
      <c r="F115" s="75">
        <f t="shared" si="6"/>
        <v>0.25</v>
      </c>
      <c r="G115" s="75">
        <f t="shared" si="7"/>
        <v>-0.73710073710073709</v>
      </c>
      <c r="H115" s="75">
        <f>VLOOKUP($A115,'Data Vlaue (Cr)'!$C:$FB,99)</f>
        <v>10354</v>
      </c>
      <c r="I115" s="75">
        <f>VLOOKUP($A115,'Data Vlaue (Cr)'!$C:$FB,100)</f>
        <v>10278</v>
      </c>
      <c r="J115" s="75">
        <f t="shared" si="8"/>
        <v>76</v>
      </c>
      <c r="K115" s="75">
        <f t="shared" si="9"/>
        <v>0.73401583928916359</v>
      </c>
      <c r="L115" s="75">
        <f>VLOOKUP($A115,'Data Vlaue (Cr)'!$C:$FB,67)</f>
        <v>3764</v>
      </c>
      <c r="M115" s="75">
        <f>VLOOKUP($A115,'Data Vlaue (Cr)'!$C:$FB,68)</f>
        <v>13461</v>
      </c>
      <c r="N115" s="75">
        <f t="shared" si="10"/>
        <v>-9697</v>
      </c>
      <c r="O115" s="75">
        <f t="shared" si="11"/>
        <v>-257.62486716259303</v>
      </c>
      <c r="P115" s="75">
        <f>VLOOKUP($A115,'Data Vlaue (Cr)'!$C:$FB,119)</f>
        <v>0.48</v>
      </c>
      <c r="Q115" s="75">
        <f>VLOOKUP($A115,'Data Vlaue (Cr)'!$C:$FB,122)*100</f>
        <v>-4</v>
      </c>
      <c r="R115" s="75">
        <f>VLOOKUP($A115,'Data Vlaue (Cr)'!$C:$FB,125)</f>
        <v>0.34</v>
      </c>
      <c r="S115" s="75">
        <f>VLOOKUP($A115,'Data Vlaue (Cr)'!$C:$FB,128)*100</f>
        <v>-20.93</v>
      </c>
    </row>
    <row r="116" spans="1:19" x14ac:dyDescent="0.25">
      <c r="A116" s="96" t="str">
        <f>'Data Vlaue (Cr)'!C107</f>
        <v>JINDALSTEL</v>
      </c>
      <c r="B116" s="75">
        <f>VLOOKUP($A116,'Data Vlaue (Cr)'!$C:$FB,2)</f>
        <v>625</v>
      </c>
      <c r="C116" s="75">
        <f>VLOOKUP($A116,'Data Vlaue (Cr)'!$C:$FB,8)</f>
        <v>1287.7</v>
      </c>
      <c r="D116" s="75">
        <f>VLOOKUP($A116,'Data Vlaue (Cr)'!$C:$FB,4)</f>
        <v>1287</v>
      </c>
      <c r="E116" s="75">
        <f>VLOOKUP($A116,'Data Vlaue (Cr)'!$C:$FB,5)</f>
        <v>1271.4000000000001</v>
      </c>
      <c r="F116" s="75">
        <f t="shared" si="6"/>
        <v>-0.70000000000004547</v>
      </c>
      <c r="G116" s="75">
        <f t="shared" si="7"/>
        <v>1.212121212121205</v>
      </c>
      <c r="H116" s="75">
        <f>VLOOKUP($A116,'Data Vlaue (Cr)'!$C:$FB,99)</f>
        <v>2747</v>
      </c>
      <c r="I116" s="75">
        <f>VLOOKUP($A116,'Data Vlaue (Cr)'!$C:$FB,100)</f>
        <v>2644</v>
      </c>
      <c r="J116" s="75">
        <f t="shared" si="8"/>
        <v>103</v>
      </c>
      <c r="K116" s="75">
        <f t="shared" si="9"/>
        <v>3.7495449581361489</v>
      </c>
      <c r="L116" s="75">
        <f>VLOOKUP($A116,'Data Vlaue (Cr)'!$C:$FB,67)</f>
        <v>2190</v>
      </c>
      <c r="M116" s="75">
        <f>VLOOKUP($A116,'Data Vlaue (Cr)'!$C:$FB,68)</f>
        <v>3206</v>
      </c>
      <c r="N116" s="75">
        <f t="shared" si="10"/>
        <v>-1016</v>
      </c>
      <c r="O116" s="75">
        <f t="shared" si="11"/>
        <v>-46.392694063926939</v>
      </c>
      <c r="P116" s="75">
        <f>VLOOKUP($A116,'Data Vlaue (Cr)'!$C:$FB,119)</f>
        <v>1.17</v>
      </c>
      <c r="Q116" s="75">
        <f>VLOOKUP($A116,'Data Vlaue (Cr)'!$C:$FB,122)*100</f>
        <v>7.3400000000000007</v>
      </c>
      <c r="R116" s="75">
        <f>VLOOKUP($A116,'Data Vlaue (Cr)'!$C:$FB,125)</f>
        <v>0.52</v>
      </c>
      <c r="S116" s="75">
        <f>VLOOKUP($A116,'Data Vlaue (Cr)'!$C:$FB,128)*100</f>
        <v>-14.75</v>
      </c>
    </row>
    <row r="117" spans="1:19" x14ac:dyDescent="0.25">
      <c r="A117" s="96" t="str">
        <f>'Data Vlaue (Cr)'!C108</f>
        <v>JIOFIN</v>
      </c>
      <c r="B117" s="75">
        <f>VLOOKUP($A117,'Data Vlaue (Cr)'!$C:$FB,2)</f>
        <v>2350</v>
      </c>
      <c r="C117" s="75">
        <f>VLOOKUP($A117,'Data Vlaue (Cr)'!$C:$FB,8)</f>
        <v>237.15</v>
      </c>
      <c r="D117" s="75">
        <f>VLOOKUP($A117,'Data Vlaue (Cr)'!$C:$FB,4)</f>
        <v>236.9</v>
      </c>
      <c r="E117" s="75">
        <f>VLOOKUP($A117,'Data Vlaue (Cr)'!$C:$FB,5)</f>
        <v>244.6</v>
      </c>
      <c r="F117" s="75">
        <f t="shared" si="6"/>
        <v>-0.25</v>
      </c>
      <c r="G117" s="75">
        <f t="shared" si="7"/>
        <v>-3.2503165892781718</v>
      </c>
      <c r="H117" s="75">
        <f>VLOOKUP($A117,'Data Vlaue (Cr)'!$C:$FB,99)</f>
        <v>6884</v>
      </c>
      <c r="I117" s="75">
        <f>VLOOKUP($A117,'Data Vlaue (Cr)'!$C:$FB,100)</f>
        <v>6762</v>
      </c>
      <c r="J117" s="75">
        <f t="shared" si="8"/>
        <v>122</v>
      </c>
      <c r="K117" s="75">
        <f t="shared" si="9"/>
        <v>1.7722254503195816</v>
      </c>
      <c r="L117" s="75">
        <f>VLOOKUP($A117,'Data Vlaue (Cr)'!$C:$FB,67)</f>
        <v>6683</v>
      </c>
      <c r="M117" s="75">
        <f>VLOOKUP($A117,'Data Vlaue (Cr)'!$C:$FB,68)</f>
        <v>5039</v>
      </c>
      <c r="N117" s="75">
        <f t="shared" si="10"/>
        <v>1644</v>
      </c>
      <c r="O117" s="75">
        <f t="shared" si="11"/>
        <v>24.599730659883289</v>
      </c>
      <c r="P117" s="75">
        <f>VLOOKUP($A117,'Data Vlaue (Cr)'!$C:$FB,119)</f>
        <v>0.64</v>
      </c>
      <c r="Q117" s="75">
        <f>VLOOKUP($A117,'Data Vlaue (Cr)'!$C:$FB,122)*100</f>
        <v>-4.4799999999999995</v>
      </c>
      <c r="R117" s="75">
        <f>VLOOKUP($A117,'Data Vlaue (Cr)'!$C:$FB,125)</f>
        <v>0.55000000000000004</v>
      </c>
      <c r="S117" s="75">
        <f>VLOOKUP($A117,'Data Vlaue (Cr)'!$C:$FB,128)*100</f>
        <v>61.760000000000005</v>
      </c>
    </row>
    <row r="118" spans="1:19" x14ac:dyDescent="0.25">
      <c r="A118" s="96" t="str">
        <f>'Data Vlaue (Cr)'!C109</f>
        <v>JSWENERGY</v>
      </c>
      <c r="B118" s="75">
        <f>VLOOKUP($A118,'Data Vlaue (Cr)'!$C:$FB,2)</f>
        <v>1000</v>
      </c>
      <c r="C118" s="75">
        <f>VLOOKUP($A118,'Data Vlaue (Cr)'!$C:$FB,8)</f>
        <v>543.04999999999995</v>
      </c>
      <c r="D118" s="75">
        <f>VLOOKUP($A118,'Data Vlaue (Cr)'!$C:$FB,4)</f>
        <v>542.95000000000005</v>
      </c>
      <c r="E118" s="75">
        <f>VLOOKUP($A118,'Data Vlaue (Cr)'!$C:$FB,5)</f>
        <v>538.1</v>
      </c>
      <c r="F118" s="75">
        <f t="shared" si="6"/>
        <v>-9.9999999999909051E-2</v>
      </c>
      <c r="G118" s="75">
        <f t="shared" si="7"/>
        <v>0.89326825674556076</v>
      </c>
      <c r="H118" s="75">
        <f>VLOOKUP($A118,'Data Vlaue (Cr)'!$C:$FB,99)</f>
        <v>2130</v>
      </c>
      <c r="I118" s="75">
        <f>VLOOKUP($A118,'Data Vlaue (Cr)'!$C:$FB,100)</f>
        <v>2093</v>
      </c>
      <c r="J118" s="75">
        <f t="shared" si="8"/>
        <v>37</v>
      </c>
      <c r="K118" s="75">
        <f t="shared" si="9"/>
        <v>1.7370892018779343</v>
      </c>
      <c r="L118" s="75">
        <f>VLOOKUP($A118,'Data Vlaue (Cr)'!$C:$FB,67)</f>
        <v>1546</v>
      </c>
      <c r="M118" s="75">
        <f>VLOOKUP($A118,'Data Vlaue (Cr)'!$C:$FB,68)</f>
        <v>872</v>
      </c>
      <c r="N118" s="75">
        <f t="shared" si="10"/>
        <v>674</v>
      </c>
      <c r="O118" s="75">
        <f t="shared" si="11"/>
        <v>43.596377749029749</v>
      </c>
      <c r="P118" s="75">
        <f>VLOOKUP($A118,'Data Vlaue (Cr)'!$C:$FB,119)</f>
        <v>0.65</v>
      </c>
      <c r="Q118" s="75">
        <f>VLOOKUP($A118,'Data Vlaue (Cr)'!$C:$FB,122)*100</f>
        <v>-5.8000000000000007</v>
      </c>
      <c r="R118" s="75">
        <f>VLOOKUP($A118,'Data Vlaue (Cr)'!$C:$FB,125)</f>
        <v>0.31</v>
      </c>
      <c r="S118" s="75">
        <f>VLOOKUP($A118,'Data Vlaue (Cr)'!$C:$FB,128)*100</f>
        <v>-41.510000000000005</v>
      </c>
    </row>
    <row r="119" spans="1:19" x14ac:dyDescent="0.25">
      <c r="A119" s="96" t="str">
        <f>'Data Vlaue (Cr)'!C110</f>
        <v>JSWSTEEL</v>
      </c>
      <c r="B119" s="75">
        <f>VLOOKUP($A119,'Data Vlaue (Cr)'!$C:$FB,2)</f>
        <v>675</v>
      </c>
      <c r="C119" s="75">
        <f>VLOOKUP($A119,'Data Vlaue (Cr)'!$C:$FB,8)</f>
        <v>1274.5</v>
      </c>
      <c r="D119" s="75">
        <f>VLOOKUP($A119,'Data Vlaue (Cr)'!$C:$FB,4)</f>
        <v>1273.2</v>
      </c>
      <c r="E119" s="75">
        <f>VLOOKUP($A119,'Data Vlaue (Cr)'!$C:$FB,5)</f>
        <v>1240.2</v>
      </c>
      <c r="F119" s="75">
        <f t="shared" si="6"/>
        <v>-1.2999999999999545</v>
      </c>
      <c r="G119" s="75">
        <f t="shared" si="7"/>
        <v>2.5918944392082937</v>
      </c>
      <c r="H119" s="75">
        <f>VLOOKUP($A119,'Data Vlaue (Cr)'!$C:$FB,99)</f>
        <v>7840</v>
      </c>
      <c r="I119" s="75">
        <f>VLOOKUP($A119,'Data Vlaue (Cr)'!$C:$FB,100)</f>
        <v>7804</v>
      </c>
      <c r="J119" s="75">
        <f t="shared" si="8"/>
        <v>36</v>
      </c>
      <c r="K119" s="75">
        <f t="shared" si="9"/>
        <v>0.45918367346938782</v>
      </c>
      <c r="L119" s="75">
        <f>VLOOKUP($A119,'Data Vlaue (Cr)'!$C:$FB,67)</f>
        <v>3942</v>
      </c>
      <c r="M119" s="75">
        <f>VLOOKUP($A119,'Data Vlaue (Cr)'!$C:$FB,68)</f>
        <v>2736</v>
      </c>
      <c r="N119" s="75">
        <f t="shared" si="10"/>
        <v>1206</v>
      </c>
      <c r="O119" s="75">
        <f t="shared" si="11"/>
        <v>30.593607305936072</v>
      </c>
      <c r="P119" s="75">
        <f>VLOOKUP($A119,'Data Vlaue (Cr)'!$C:$FB,119)</f>
        <v>1.07</v>
      </c>
      <c r="Q119" s="75">
        <f>VLOOKUP($A119,'Data Vlaue (Cr)'!$C:$FB,122)*100</f>
        <v>11.459999999999999</v>
      </c>
      <c r="R119" s="75">
        <f>VLOOKUP($A119,'Data Vlaue (Cr)'!$C:$FB,125)</f>
        <v>0.45</v>
      </c>
      <c r="S119" s="75">
        <f>VLOOKUP($A119,'Data Vlaue (Cr)'!$C:$FB,128)*100</f>
        <v>-10</v>
      </c>
    </row>
    <row r="120" spans="1:19" x14ac:dyDescent="0.25">
      <c r="A120" s="96" t="str">
        <f>'Data Vlaue (Cr)'!C111</f>
        <v>JUBLFOOD</v>
      </c>
      <c r="B120" s="75">
        <f>VLOOKUP($A120,'Data Vlaue (Cr)'!$C:$FB,2)</f>
        <v>1250</v>
      </c>
      <c r="C120" s="75">
        <f>VLOOKUP($A120,'Data Vlaue (Cr)'!$C:$FB,8)</f>
        <v>456.15</v>
      </c>
      <c r="D120" s="75">
        <f>VLOOKUP($A120,'Data Vlaue (Cr)'!$C:$FB,4)</f>
        <v>454.35</v>
      </c>
      <c r="E120" s="75">
        <f>VLOOKUP($A120,'Data Vlaue (Cr)'!$C:$FB,5)</f>
        <v>458.8</v>
      </c>
      <c r="F120" s="75">
        <f t="shared" si="6"/>
        <v>-1.7999999999999545</v>
      </c>
      <c r="G120" s="75">
        <f t="shared" si="7"/>
        <v>-0.97942115109496819</v>
      </c>
      <c r="H120" s="75">
        <f>VLOOKUP($A120,'Data Vlaue (Cr)'!$C:$FB,99)</f>
        <v>3525</v>
      </c>
      <c r="I120" s="75">
        <f>VLOOKUP($A120,'Data Vlaue (Cr)'!$C:$FB,100)</f>
        <v>3461</v>
      </c>
      <c r="J120" s="75">
        <f t="shared" si="8"/>
        <v>64</v>
      </c>
      <c r="K120" s="75">
        <f t="shared" si="9"/>
        <v>1.8156028368794326</v>
      </c>
      <c r="L120" s="75">
        <f>VLOOKUP($A120,'Data Vlaue (Cr)'!$C:$FB,67)</f>
        <v>1324</v>
      </c>
      <c r="M120" s="75">
        <f>VLOOKUP($A120,'Data Vlaue (Cr)'!$C:$FB,68)</f>
        <v>1800</v>
      </c>
      <c r="N120" s="75">
        <f t="shared" si="10"/>
        <v>-476</v>
      </c>
      <c r="O120" s="75">
        <f t="shared" si="11"/>
        <v>-35.951661631419938</v>
      </c>
      <c r="P120" s="75">
        <f>VLOOKUP($A120,'Data Vlaue (Cr)'!$C:$FB,119)</f>
        <v>0.62</v>
      </c>
      <c r="Q120" s="75">
        <f>VLOOKUP($A120,'Data Vlaue (Cr)'!$C:$FB,122)*100</f>
        <v>-3.1300000000000003</v>
      </c>
      <c r="R120" s="75">
        <f>VLOOKUP($A120,'Data Vlaue (Cr)'!$C:$FB,125)</f>
        <v>0.39</v>
      </c>
      <c r="S120" s="75">
        <f>VLOOKUP($A120,'Data Vlaue (Cr)'!$C:$FB,128)*100</f>
        <v>0</v>
      </c>
    </row>
    <row r="121" spans="1:19" x14ac:dyDescent="0.25">
      <c r="A121" s="96" t="str">
        <f>'Data Vlaue (Cr)'!C112</f>
        <v>KALYANKJIL</v>
      </c>
      <c r="B121" s="75">
        <f>VLOOKUP($A121,'Data Vlaue (Cr)'!$C:$FB,2)</f>
        <v>1175</v>
      </c>
      <c r="C121" s="75">
        <f>VLOOKUP($A121,'Data Vlaue (Cr)'!$C:$FB,8)</f>
        <v>417.5</v>
      </c>
      <c r="D121" s="75">
        <f>VLOOKUP($A121,'Data Vlaue (Cr)'!$C:$FB,4)</f>
        <v>417.2</v>
      </c>
      <c r="E121" s="75">
        <f>VLOOKUP($A121,'Data Vlaue (Cr)'!$C:$FB,5)</f>
        <v>427.95</v>
      </c>
      <c r="F121" s="75">
        <f t="shared" si="6"/>
        <v>-0.30000000000001137</v>
      </c>
      <c r="G121" s="75">
        <f t="shared" si="7"/>
        <v>-2.5767018216682649</v>
      </c>
      <c r="H121" s="75">
        <f>VLOOKUP($A121,'Data Vlaue (Cr)'!$C:$FB,99)</f>
        <v>2075</v>
      </c>
      <c r="I121" s="75">
        <f>VLOOKUP($A121,'Data Vlaue (Cr)'!$C:$FB,100)</f>
        <v>1990</v>
      </c>
      <c r="J121" s="75">
        <f t="shared" si="8"/>
        <v>85</v>
      </c>
      <c r="K121" s="75">
        <f t="shared" si="9"/>
        <v>4.096385542168675</v>
      </c>
      <c r="L121" s="75">
        <f>VLOOKUP($A121,'Data Vlaue (Cr)'!$C:$FB,67)</f>
        <v>1225</v>
      </c>
      <c r="M121" s="75">
        <f>VLOOKUP($A121,'Data Vlaue (Cr)'!$C:$FB,68)</f>
        <v>6176</v>
      </c>
      <c r="N121" s="75">
        <f t="shared" si="10"/>
        <v>-4951</v>
      </c>
      <c r="O121" s="75">
        <f t="shared" si="11"/>
        <v>-404.16326530612247</v>
      </c>
      <c r="P121" s="75">
        <f>VLOOKUP($A121,'Data Vlaue (Cr)'!$C:$FB,119)</f>
        <v>0.45</v>
      </c>
      <c r="Q121" s="75">
        <f>VLOOKUP($A121,'Data Vlaue (Cr)'!$C:$FB,122)*100</f>
        <v>-15.09</v>
      </c>
      <c r="R121" s="75">
        <f>VLOOKUP($A121,'Data Vlaue (Cr)'!$C:$FB,125)</f>
        <v>0.46</v>
      </c>
      <c r="S121" s="75">
        <f>VLOOKUP($A121,'Data Vlaue (Cr)'!$C:$FB,128)*100</f>
        <v>-36.99</v>
      </c>
    </row>
    <row r="122" spans="1:19" x14ac:dyDescent="0.25">
      <c r="A122" s="96" t="str">
        <f>'Data Vlaue (Cr)'!C113</f>
        <v>KAYNES</v>
      </c>
      <c r="B122" s="75">
        <f>VLOOKUP($A122,'Data Vlaue (Cr)'!$C:$FB,2)</f>
        <v>100</v>
      </c>
      <c r="C122" s="75">
        <f>VLOOKUP($A122,'Data Vlaue (Cr)'!$C:$FB,8)</f>
        <v>4222.6000000000004</v>
      </c>
      <c r="D122" s="75">
        <f>VLOOKUP($A122,'Data Vlaue (Cr)'!$C:$FB,4)</f>
        <v>4206.2</v>
      </c>
      <c r="E122" s="75">
        <f>VLOOKUP($A122,'Data Vlaue (Cr)'!$C:$FB,5)</f>
        <v>4208.7</v>
      </c>
      <c r="F122" s="75">
        <f t="shared" si="6"/>
        <v>-16.400000000000546</v>
      </c>
      <c r="G122" s="75">
        <f t="shared" si="7"/>
        <v>-5.9436070562502968E-2</v>
      </c>
      <c r="H122" s="75">
        <f>VLOOKUP($A122,'Data Vlaue (Cr)'!$C:$FB,99)</f>
        <v>2592</v>
      </c>
      <c r="I122" s="75">
        <f>VLOOKUP($A122,'Data Vlaue (Cr)'!$C:$FB,100)</f>
        <v>2583</v>
      </c>
      <c r="J122" s="75">
        <f t="shared" si="8"/>
        <v>9</v>
      </c>
      <c r="K122" s="75">
        <f t="shared" si="9"/>
        <v>0.34722222222222221</v>
      </c>
      <c r="L122" s="75">
        <f>VLOOKUP($A122,'Data Vlaue (Cr)'!$C:$FB,67)</f>
        <v>2696</v>
      </c>
      <c r="M122" s="75">
        <f>VLOOKUP($A122,'Data Vlaue (Cr)'!$C:$FB,68)</f>
        <v>2010</v>
      </c>
      <c r="N122" s="75">
        <f t="shared" si="10"/>
        <v>686</v>
      </c>
      <c r="O122" s="75">
        <f t="shared" si="11"/>
        <v>25.445103857566764</v>
      </c>
      <c r="P122" s="75">
        <f>VLOOKUP($A122,'Data Vlaue (Cr)'!$C:$FB,119)</f>
        <v>0.83</v>
      </c>
      <c r="Q122" s="75">
        <f>VLOOKUP($A122,'Data Vlaue (Cr)'!$C:$FB,122)*100</f>
        <v>3.75</v>
      </c>
      <c r="R122" s="75">
        <f>VLOOKUP($A122,'Data Vlaue (Cr)'!$C:$FB,125)</f>
        <v>0.73</v>
      </c>
      <c r="S122" s="75">
        <f>VLOOKUP($A122,'Data Vlaue (Cr)'!$C:$FB,128)*100</f>
        <v>12.31</v>
      </c>
    </row>
    <row r="123" spans="1:19" x14ac:dyDescent="0.25">
      <c r="A123" s="96" t="str">
        <f>'Data Vlaue (Cr)'!C114</f>
        <v>KEI</v>
      </c>
      <c r="B123" s="75">
        <f>VLOOKUP($A123,'Data Vlaue (Cr)'!$C:$FB,2)</f>
        <v>175</v>
      </c>
      <c r="C123" s="75">
        <f>VLOOKUP($A123,'Data Vlaue (Cr)'!$C:$FB,8)</f>
        <v>4880.6000000000004</v>
      </c>
      <c r="D123" s="75">
        <f>VLOOKUP($A123,'Data Vlaue (Cr)'!$C:$FB,4)</f>
        <v>4878</v>
      </c>
      <c r="E123" s="75">
        <f>VLOOKUP($A123,'Data Vlaue (Cr)'!$C:$FB,5)</f>
        <v>4823.5</v>
      </c>
      <c r="F123" s="75">
        <f t="shared" si="6"/>
        <v>-2.6000000000003638</v>
      </c>
      <c r="G123" s="75">
        <f t="shared" si="7"/>
        <v>1.1172611726117261</v>
      </c>
      <c r="H123" s="75">
        <f>VLOOKUP($A123,'Data Vlaue (Cr)'!$C:$FB,99)</f>
        <v>1723</v>
      </c>
      <c r="I123" s="75">
        <f>VLOOKUP($A123,'Data Vlaue (Cr)'!$C:$FB,100)</f>
        <v>1712</v>
      </c>
      <c r="J123" s="75">
        <f t="shared" si="8"/>
        <v>11</v>
      </c>
      <c r="K123" s="75">
        <f t="shared" si="9"/>
        <v>0.63842135809634359</v>
      </c>
      <c r="L123" s="75">
        <f>VLOOKUP($A123,'Data Vlaue (Cr)'!$C:$FB,67)</f>
        <v>1238</v>
      </c>
      <c r="M123" s="75">
        <f>VLOOKUP($A123,'Data Vlaue (Cr)'!$C:$FB,68)</f>
        <v>2689</v>
      </c>
      <c r="N123" s="75">
        <f t="shared" si="10"/>
        <v>-1451</v>
      </c>
      <c r="O123" s="75">
        <f t="shared" si="11"/>
        <v>-117.20516962843294</v>
      </c>
      <c r="P123" s="75">
        <f>VLOOKUP($A123,'Data Vlaue (Cr)'!$C:$FB,119)</f>
        <v>0.73</v>
      </c>
      <c r="Q123" s="75">
        <f>VLOOKUP($A123,'Data Vlaue (Cr)'!$C:$FB,122)*100</f>
        <v>4.29</v>
      </c>
      <c r="R123" s="75">
        <f>VLOOKUP($A123,'Data Vlaue (Cr)'!$C:$FB,125)</f>
        <v>0.38</v>
      </c>
      <c r="S123" s="75">
        <f>VLOOKUP($A123,'Data Vlaue (Cr)'!$C:$FB,128)*100</f>
        <v>35.709999999999994</v>
      </c>
    </row>
    <row r="124" spans="1:19" x14ac:dyDescent="0.25">
      <c r="A124" s="96" t="str">
        <f>'Data Vlaue (Cr)'!C115</f>
        <v>KFINTECH</v>
      </c>
      <c r="B124" s="75">
        <f>VLOOKUP($A124,'Data Vlaue (Cr)'!$C:$FB,2)</f>
        <v>500</v>
      </c>
      <c r="C124" s="75">
        <f>VLOOKUP($A124,'Data Vlaue (Cr)'!$C:$FB,8)</f>
        <v>975.1</v>
      </c>
      <c r="D124" s="75">
        <f>VLOOKUP($A124,'Data Vlaue (Cr)'!$C:$FB,4)</f>
        <v>973.05</v>
      </c>
      <c r="E124" s="75">
        <f>VLOOKUP($A124,'Data Vlaue (Cr)'!$C:$FB,5)</f>
        <v>977.6</v>
      </c>
      <c r="F124" s="75">
        <f t="shared" si="6"/>
        <v>-2.0500000000000682</v>
      </c>
      <c r="G124" s="75">
        <f t="shared" si="7"/>
        <v>-0.46760187040748868</v>
      </c>
      <c r="H124" s="75">
        <f>VLOOKUP($A124,'Data Vlaue (Cr)'!$C:$FB,99)</f>
        <v>735</v>
      </c>
      <c r="I124" s="75">
        <f>VLOOKUP($A124,'Data Vlaue (Cr)'!$C:$FB,100)</f>
        <v>719</v>
      </c>
      <c r="J124" s="75">
        <f t="shared" si="8"/>
        <v>16</v>
      </c>
      <c r="K124" s="75">
        <f t="shared" si="9"/>
        <v>2.1768707482993195</v>
      </c>
      <c r="L124" s="75">
        <f>VLOOKUP($A124,'Data Vlaue (Cr)'!$C:$FB,67)</f>
        <v>618</v>
      </c>
      <c r="M124" s="75">
        <f>VLOOKUP($A124,'Data Vlaue (Cr)'!$C:$FB,68)</f>
        <v>946</v>
      </c>
      <c r="N124" s="75">
        <f t="shared" si="10"/>
        <v>-328</v>
      </c>
      <c r="O124" s="75">
        <f t="shared" si="11"/>
        <v>-53.074433656957929</v>
      </c>
      <c r="P124" s="75">
        <f>VLOOKUP($A124,'Data Vlaue (Cr)'!$C:$FB,119)</f>
        <v>0.56000000000000005</v>
      </c>
      <c r="Q124" s="75">
        <f>VLOOKUP($A124,'Data Vlaue (Cr)'!$C:$FB,122)*100</f>
        <v>12</v>
      </c>
      <c r="R124" s="75">
        <f>VLOOKUP($A124,'Data Vlaue (Cr)'!$C:$FB,125)</f>
        <v>0.31</v>
      </c>
      <c r="S124" s="75">
        <f>VLOOKUP($A124,'Data Vlaue (Cr)'!$C:$FB,128)*100</f>
        <v>19.23</v>
      </c>
    </row>
    <row r="125" spans="1:19" x14ac:dyDescent="0.25">
      <c r="A125" s="96" t="str">
        <f>'Data Vlaue (Cr)'!C116</f>
        <v>KOTAKBANK</v>
      </c>
      <c r="B125" s="75">
        <f>VLOOKUP($A125,'Data Vlaue (Cr)'!$C:$FB,2)</f>
        <v>2000</v>
      </c>
      <c r="C125" s="75">
        <f>VLOOKUP($A125,'Data Vlaue (Cr)'!$C:$FB,8)</f>
        <v>379.2</v>
      </c>
      <c r="D125" s="75">
        <f>VLOOKUP($A125,'Data Vlaue (Cr)'!$C:$FB,4)</f>
        <v>378.9</v>
      </c>
      <c r="E125" s="75">
        <f>VLOOKUP($A125,'Data Vlaue (Cr)'!$C:$FB,5)</f>
        <v>383.6</v>
      </c>
      <c r="F125" s="75">
        <f t="shared" si="6"/>
        <v>-0.30000000000001137</v>
      </c>
      <c r="G125" s="75">
        <f t="shared" si="7"/>
        <v>-1.240432831881775</v>
      </c>
      <c r="H125" s="75">
        <f>VLOOKUP($A125,'Data Vlaue (Cr)'!$C:$FB,99)</f>
        <v>10461</v>
      </c>
      <c r="I125" s="75">
        <f>VLOOKUP($A125,'Data Vlaue (Cr)'!$C:$FB,100)</f>
        <v>10460</v>
      </c>
      <c r="J125" s="75">
        <f t="shared" si="8"/>
        <v>1</v>
      </c>
      <c r="K125" s="75">
        <f t="shared" si="9"/>
        <v>9.5593155530064051E-3</v>
      </c>
      <c r="L125" s="75">
        <f>VLOOKUP($A125,'Data Vlaue (Cr)'!$C:$FB,67)</f>
        <v>2528</v>
      </c>
      <c r="M125" s="75">
        <f>VLOOKUP($A125,'Data Vlaue (Cr)'!$C:$FB,68)</f>
        <v>2614</v>
      </c>
      <c r="N125" s="75">
        <f t="shared" si="10"/>
        <v>-86</v>
      </c>
      <c r="O125" s="75">
        <f t="shared" si="11"/>
        <v>-3.4018987341772151</v>
      </c>
      <c r="P125" s="75">
        <f>VLOOKUP($A125,'Data Vlaue (Cr)'!$C:$FB,119)</f>
        <v>0.85</v>
      </c>
      <c r="Q125" s="75">
        <f>VLOOKUP($A125,'Data Vlaue (Cr)'!$C:$FB,122)*100</f>
        <v>-5.56</v>
      </c>
      <c r="R125" s="75">
        <f>VLOOKUP($A125,'Data Vlaue (Cr)'!$C:$FB,125)</f>
        <v>0.55000000000000004</v>
      </c>
      <c r="S125" s="75">
        <f>VLOOKUP($A125,'Data Vlaue (Cr)'!$C:$FB,128)*100</f>
        <v>-9.84</v>
      </c>
    </row>
    <row r="126" spans="1:19" x14ac:dyDescent="0.25">
      <c r="A126" s="96" t="str">
        <f>'Data Vlaue (Cr)'!C117</f>
        <v>KPITTECH</v>
      </c>
      <c r="B126" s="75">
        <f>VLOOKUP($A126,'Data Vlaue (Cr)'!$C:$FB,2)</f>
        <v>425</v>
      </c>
      <c r="C126" s="75">
        <f>VLOOKUP($A126,'Data Vlaue (Cr)'!$C:$FB,8)</f>
        <v>734.4</v>
      </c>
      <c r="D126" s="75">
        <f>VLOOKUP($A126,'Data Vlaue (Cr)'!$C:$FB,4)</f>
        <v>736.15</v>
      </c>
      <c r="E126" s="75">
        <f>VLOOKUP($A126,'Data Vlaue (Cr)'!$C:$FB,5)</f>
        <v>747.85</v>
      </c>
      <c r="F126" s="75">
        <f t="shared" si="6"/>
        <v>1.75</v>
      </c>
      <c r="G126" s="75">
        <f t="shared" si="7"/>
        <v>-1.5893499966039595</v>
      </c>
      <c r="H126" s="75">
        <f>VLOOKUP($A126,'Data Vlaue (Cr)'!$C:$FB,99)</f>
        <v>957</v>
      </c>
      <c r="I126" s="75">
        <f>VLOOKUP($A126,'Data Vlaue (Cr)'!$C:$FB,100)</f>
        <v>948</v>
      </c>
      <c r="J126" s="75">
        <f t="shared" si="8"/>
        <v>9</v>
      </c>
      <c r="K126" s="75">
        <f t="shared" si="9"/>
        <v>0.94043887147335425</v>
      </c>
      <c r="L126" s="75">
        <f>VLOOKUP($A126,'Data Vlaue (Cr)'!$C:$FB,67)</f>
        <v>683</v>
      </c>
      <c r="M126" s="75">
        <f>VLOOKUP($A126,'Data Vlaue (Cr)'!$C:$FB,68)</f>
        <v>571</v>
      </c>
      <c r="N126" s="75">
        <f t="shared" si="10"/>
        <v>112</v>
      </c>
      <c r="O126" s="75">
        <f t="shared" si="11"/>
        <v>16.398243045387993</v>
      </c>
      <c r="P126" s="75">
        <f>VLOOKUP($A126,'Data Vlaue (Cr)'!$C:$FB,119)</f>
        <v>0.66</v>
      </c>
      <c r="Q126" s="75">
        <f>VLOOKUP($A126,'Data Vlaue (Cr)'!$C:$FB,122)*100</f>
        <v>3.1300000000000003</v>
      </c>
      <c r="R126" s="75">
        <f>VLOOKUP($A126,'Data Vlaue (Cr)'!$C:$FB,125)</f>
        <v>1.08</v>
      </c>
      <c r="S126" s="75">
        <f>VLOOKUP($A126,'Data Vlaue (Cr)'!$C:$FB,128)*100</f>
        <v>157.13999999999999</v>
      </c>
    </row>
    <row r="127" spans="1:19" x14ac:dyDescent="0.25">
      <c r="A127" s="96" t="str">
        <f>'Data Vlaue (Cr)'!C118</f>
        <v>LAURUSLABS</v>
      </c>
      <c r="B127" s="75">
        <f>VLOOKUP($A127,'Data Vlaue (Cr)'!$C:$FB,2)</f>
        <v>850</v>
      </c>
      <c r="C127" s="75">
        <f>VLOOKUP($A127,'Data Vlaue (Cr)'!$C:$FB,8)</f>
        <v>1129.5</v>
      </c>
      <c r="D127" s="75">
        <f>VLOOKUP($A127,'Data Vlaue (Cr)'!$C:$FB,4)</f>
        <v>1128.95</v>
      </c>
      <c r="E127" s="75">
        <f>VLOOKUP($A127,'Data Vlaue (Cr)'!$C:$FB,5)</f>
        <v>1137.7</v>
      </c>
      <c r="F127" s="75">
        <f t="shared" si="6"/>
        <v>-0.54999999999995453</v>
      </c>
      <c r="G127" s="75">
        <f t="shared" si="7"/>
        <v>-0.77505646839984055</v>
      </c>
      <c r="H127" s="75">
        <f>VLOOKUP($A127,'Data Vlaue (Cr)'!$C:$FB,99)</f>
        <v>3112</v>
      </c>
      <c r="I127" s="75">
        <f>VLOOKUP($A127,'Data Vlaue (Cr)'!$C:$FB,100)</f>
        <v>3158</v>
      </c>
      <c r="J127" s="75">
        <f t="shared" si="8"/>
        <v>-46</v>
      </c>
      <c r="K127" s="75">
        <f t="shared" si="9"/>
        <v>-1.4781491002570695</v>
      </c>
      <c r="L127" s="75">
        <f>VLOOKUP($A127,'Data Vlaue (Cr)'!$C:$FB,67)</f>
        <v>1166</v>
      </c>
      <c r="M127" s="75">
        <f>VLOOKUP($A127,'Data Vlaue (Cr)'!$C:$FB,68)</f>
        <v>1377</v>
      </c>
      <c r="N127" s="75">
        <f t="shared" si="10"/>
        <v>-211</v>
      </c>
      <c r="O127" s="75">
        <f t="shared" si="11"/>
        <v>-18.096054888507716</v>
      </c>
      <c r="P127" s="75">
        <f>VLOOKUP($A127,'Data Vlaue (Cr)'!$C:$FB,119)</f>
        <v>0.93</v>
      </c>
      <c r="Q127" s="75">
        <f>VLOOKUP($A127,'Data Vlaue (Cr)'!$C:$FB,122)*100</f>
        <v>5.6800000000000006</v>
      </c>
      <c r="R127" s="75">
        <f>VLOOKUP($A127,'Data Vlaue (Cr)'!$C:$FB,125)</f>
        <v>0.55000000000000004</v>
      </c>
      <c r="S127" s="75">
        <f>VLOOKUP($A127,'Data Vlaue (Cr)'!$C:$FB,128)*100</f>
        <v>0</v>
      </c>
    </row>
    <row r="128" spans="1:19" x14ac:dyDescent="0.25">
      <c r="A128" s="96" t="str">
        <f>'Data Vlaue (Cr)'!C119</f>
        <v>LICHSGFIN</v>
      </c>
      <c r="B128" s="75">
        <f>VLOOKUP($A128,'Data Vlaue (Cr)'!$C:$FB,2)</f>
        <v>1000</v>
      </c>
      <c r="C128" s="75">
        <f>VLOOKUP($A128,'Data Vlaue (Cr)'!$C:$FB,8)</f>
        <v>536.70000000000005</v>
      </c>
      <c r="D128" s="75">
        <f>VLOOKUP($A128,'Data Vlaue (Cr)'!$C:$FB,4)</f>
        <v>536.15</v>
      </c>
      <c r="E128" s="75">
        <f>VLOOKUP($A128,'Data Vlaue (Cr)'!$C:$FB,5)</f>
        <v>539.75</v>
      </c>
      <c r="F128" s="75">
        <f t="shared" si="6"/>
        <v>-0.55000000000006821</v>
      </c>
      <c r="G128" s="75">
        <f t="shared" si="7"/>
        <v>-0.67145388417420926</v>
      </c>
      <c r="H128" s="75">
        <f>VLOOKUP($A128,'Data Vlaue (Cr)'!$C:$FB,99)</f>
        <v>2321</v>
      </c>
      <c r="I128" s="75">
        <f>VLOOKUP($A128,'Data Vlaue (Cr)'!$C:$FB,100)</f>
        <v>2345</v>
      </c>
      <c r="J128" s="75">
        <f t="shared" si="8"/>
        <v>-24</v>
      </c>
      <c r="K128" s="75">
        <f t="shared" si="9"/>
        <v>-1.034037052994399</v>
      </c>
      <c r="L128" s="75">
        <f>VLOOKUP($A128,'Data Vlaue (Cr)'!$C:$FB,67)</f>
        <v>575</v>
      </c>
      <c r="M128" s="75">
        <f>VLOOKUP($A128,'Data Vlaue (Cr)'!$C:$FB,68)</f>
        <v>513</v>
      </c>
      <c r="N128" s="75">
        <f t="shared" si="10"/>
        <v>62</v>
      </c>
      <c r="O128" s="75">
        <f t="shared" si="11"/>
        <v>10.782608695652174</v>
      </c>
      <c r="P128" s="75">
        <f>VLOOKUP($A128,'Data Vlaue (Cr)'!$C:$FB,119)</f>
        <v>0.96</v>
      </c>
      <c r="Q128" s="75">
        <f>VLOOKUP($A128,'Data Vlaue (Cr)'!$C:$FB,122)*100</f>
        <v>-1.03</v>
      </c>
      <c r="R128" s="75">
        <f>VLOOKUP($A128,'Data Vlaue (Cr)'!$C:$FB,125)</f>
        <v>0.39</v>
      </c>
      <c r="S128" s="75">
        <f>VLOOKUP($A128,'Data Vlaue (Cr)'!$C:$FB,128)*100</f>
        <v>14.71</v>
      </c>
    </row>
    <row r="129" spans="1:19" x14ac:dyDescent="0.25">
      <c r="A129" s="96" t="str">
        <f>'Data Vlaue (Cr)'!C120</f>
        <v>LICI</v>
      </c>
      <c r="B129" s="75">
        <f>VLOOKUP($A129,'Data Vlaue (Cr)'!$C:$FB,2)</f>
        <v>700</v>
      </c>
      <c r="C129" s="75">
        <f>VLOOKUP($A129,'Data Vlaue (Cr)'!$C:$FB,8)</f>
        <v>828.1</v>
      </c>
      <c r="D129" s="75">
        <f>VLOOKUP($A129,'Data Vlaue (Cr)'!$C:$FB,4)</f>
        <v>827.25</v>
      </c>
      <c r="E129" s="75">
        <f>VLOOKUP($A129,'Data Vlaue (Cr)'!$C:$FB,5)</f>
        <v>844.15</v>
      </c>
      <c r="F129" s="75">
        <f t="shared" si="6"/>
        <v>-0.85000000000002274</v>
      </c>
      <c r="G129" s="75">
        <f t="shared" si="7"/>
        <v>-2.0429132668479877</v>
      </c>
      <c r="H129" s="75">
        <f>VLOOKUP($A129,'Data Vlaue (Cr)'!$C:$FB,99)</f>
        <v>1842</v>
      </c>
      <c r="I129" s="75">
        <f>VLOOKUP($A129,'Data Vlaue (Cr)'!$C:$FB,100)</f>
        <v>1821</v>
      </c>
      <c r="J129" s="75">
        <f t="shared" si="8"/>
        <v>21</v>
      </c>
      <c r="K129" s="75">
        <f t="shared" si="9"/>
        <v>1.1400651465798046</v>
      </c>
      <c r="L129" s="75">
        <f>VLOOKUP($A129,'Data Vlaue (Cr)'!$C:$FB,67)</f>
        <v>811</v>
      </c>
      <c r="M129" s="75">
        <f>VLOOKUP($A129,'Data Vlaue (Cr)'!$C:$FB,68)</f>
        <v>789</v>
      </c>
      <c r="N129" s="75">
        <f t="shared" si="10"/>
        <v>22</v>
      </c>
      <c r="O129" s="75">
        <f t="shared" si="11"/>
        <v>2.7127003699136867</v>
      </c>
      <c r="P129" s="75">
        <f>VLOOKUP($A129,'Data Vlaue (Cr)'!$C:$FB,119)</f>
        <v>0.65</v>
      </c>
      <c r="Q129" s="75">
        <f>VLOOKUP($A129,'Data Vlaue (Cr)'!$C:$FB,122)*100</f>
        <v>10.17</v>
      </c>
      <c r="R129" s="75">
        <f>VLOOKUP($A129,'Data Vlaue (Cr)'!$C:$FB,125)</f>
        <v>0.49</v>
      </c>
      <c r="S129" s="75">
        <f>VLOOKUP($A129,'Data Vlaue (Cr)'!$C:$FB,128)*100</f>
        <v>4.26</v>
      </c>
    </row>
    <row r="130" spans="1:19" x14ac:dyDescent="0.25">
      <c r="A130" s="96" t="str">
        <f>'Data Vlaue (Cr)'!C121</f>
        <v>LODHA</v>
      </c>
      <c r="B130" s="75">
        <f>VLOOKUP($A130,'Data Vlaue (Cr)'!$C:$FB,2)</f>
        <v>450</v>
      </c>
      <c r="C130" s="75">
        <f>VLOOKUP($A130,'Data Vlaue (Cr)'!$C:$FB,8)</f>
        <v>856.55</v>
      </c>
      <c r="D130" s="75">
        <f>VLOOKUP($A130,'Data Vlaue (Cr)'!$C:$FB,4)</f>
        <v>857.25</v>
      </c>
      <c r="E130" s="75">
        <f>VLOOKUP($A130,'Data Vlaue (Cr)'!$C:$FB,5)</f>
        <v>872.85</v>
      </c>
      <c r="F130" s="75">
        <f t="shared" si="6"/>
        <v>0.70000000000004547</v>
      </c>
      <c r="G130" s="75">
        <f t="shared" si="7"/>
        <v>-1.8197725284339483</v>
      </c>
      <c r="H130" s="75">
        <f>VLOOKUP($A130,'Data Vlaue (Cr)'!$C:$FB,99)</f>
        <v>2588</v>
      </c>
      <c r="I130" s="75">
        <f>VLOOKUP($A130,'Data Vlaue (Cr)'!$C:$FB,100)</f>
        <v>2620</v>
      </c>
      <c r="J130" s="75">
        <f t="shared" si="8"/>
        <v>-32</v>
      </c>
      <c r="K130" s="75">
        <f t="shared" si="9"/>
        <v>-1.2364760432766615</v>
      </c>
      <c r="L130" s="75">
        <f>VLOOKUP($A130,'Data Vlaue (Cr)'!$C:$FB,67)</f>
        <v>771</v>
      </c>
      <c r="M130" s="75">
        <f>VLOOKUP($A130,'Data Vlaue (Cr)'!$C:$FB,68)</f>
        <v>1290</v>
      </c>
      <c r="N130" s="75">
        <f t="shared" si="10"/>
        <v>-519</v>
      </c>
      <c r="O130" s="75">
        <f t="shared" si="11"/>
        <v>-67.315175097276267</v>
      </c>
      <c r="P130" s="75">
        <f>VLOOKUP($A130,'Data Vlaue (Cr)'!$C:$FB,119)</f>
        <v>0.83</v>
      </c>
      <c r="Q130" s="75">
        <f>VLOOKUP($A130,'Data Vlaue (Cr)'!$C:$FB,122)*100</f>
        <v>-1.1900000000000002</v>
      </c>
      <c r="R130" s="75">
        <f>VLOOKUP($A130,'Data Vlaue (Cr)'!$C:$FB,125)</f>
        <v>1.08</v>
      </c>
      <c r="S130" s="75">
        <f>VLOOKUP($A130,'Data Vlaue (Cr)'!$C:$FB,128)*100</f>
        <v>31.71</v>
      </c>
    </row>
    <row r="131" spans="1:19" x14ac:dyDescent="0.25">
      <c r="A131" s="96" t="str">
        <f>'Data Vlaue (Cr)'!C122</f>
        <v>LT</v>
      </c>
      <c r="B131" s="75">
        <f>VLOOKUP($A131,'Data Vlaue (Cr)'!$C:$FB,2)</f>
        <v>175</v>
      </c>
      <c r="C131" s="75">
        <f>VLOOKUP($A131,'Data Vlaue (Cr)'!$C:$FB,8)</f>
        <v>4051</v>
      </c>
      <c r="D131" s="75">
        <f>VLOOKUP($A131,'Data Vlaue (Cr)'!$C:$FB,4)</f>
        <v>4056.4</v>
      </c>
      <c r="E131" s="75">
        <f>VLOOKUP($A131,'Data Vlaue (Cr)'!$C:$FB,5)</f>
        <v>4106.8999999999996</v>
      </c>
      <c r="F131" s="75">
        <f t="shared" si="6"/>
        <v>5.4000000000000909</v>
      </c>
      <c r="G131" s="75">
        <f t="shared" si="7"/>
        <v>-1.2449462577654951</v>
      </c>
      <c r="H131" s="75">
        <f>VLOOKUP($A131,'Data Vlaue (Cr)'!$C:$FB,99)</f>
        <v>13339</v>
      </c>
      <c r="I131" s="75">
        <f>VLOOKUP($A131,'Data Vlaue (Cr)'!$C:$FB,100)</f>
        <v>13108</v>
      </c>
      <c r="J131" s="75">
        <f t="shared" si="8"/>
        <v>231</v>
      </c>
      <c r="K131" s="75">
        <f t="shared" si="9"/>
        <v>1.7317640002998724</v>
      </c>
      <c r="L131" s="75">
        <f>VLOOKUP($A131,'Data Vlaue (Cr)'!$C:$FB,67)</f>
        <v>6597</v>
      </c>
      <c r="M131" s="75">
        <f>VLOOKUP($A131,'Data Vlaue (Cr)'!$C:$FB,68)</f>
        <v>5551</v>
      </c>
      <c r="N131" s="75">
        <f t="shared" si="10"/>
        <v>1046</v>
      </c>
      <c r="O131" s="75">
        <f t="shared" si="11"/>
        <v>15.855691981203575</v>
      </c>
      <c r="P131" s="75">
        <f>VLOOKUP($A131,'Data Vlaue (Cr)'!$C:$FB,119)</f>
        <v>0.87</v>
      </c>
      <c r="Q131" s="75">
        <f>VLOOKUP($A131,'Data Vlaue (Cr)'!$C:$FB,122)*100</f>
        <v>-2.25</v>
      </c>
      <c r="R131" s="75">
        <f>VLOOKUP($A131,'Data Vlaue (Cr)'!$C:$FB,125)</f>
        <v>0.79</v>
      </c>
      <c r="S131" s="75">
        <f>VLOOKUP($A131,'Data Vlaue (Cr)'!$C:$FB,128)*100</f>
        <v>-12.22</v>
      </c>
    </row>
    <row r="132" spans="1:19" x14ac:dyDescent="0.25">
      <c r="A132" s="96" t="str">
        <f>'Data Vlaue (Cr)'!C123</f>
        <v>LTF</v>
      </c>
      <c r="B132" s="75">
        <f>VLOOKUP($A132,'Data Vlaue (Cr)'!$C:$FB,2)</f>
        <v>2250</v>
      </c>
      <c r="C132" s="75">
        <f>VLOOKUP($A132,'Data Vlaue (Cr)'!$C:$FB,8)</f>
        <v>290.14999999999998</v>
      </c>
      <c r="D132" s="75">
        <f>VLOOKUP($A132,'Data Vlaue (Cr)'!$C:$FB,4)</f>
        <v>290.5</v>
      </c>
      <c r="E132" s="75">
        <f>VLOOKUP($A132,'Data Vlaue (Cr)'!$C:$FB,5)</f>
        <v>287.35000000000002</v>
      </c>
      <c r="F132" s="75">
        <f t="shared" si="6"/>
        <v>0.35000000000002274</v>
      </c>
      <c r="G132" s="75">
        <f t="shared" si="7"/>
        <v>1.0843373493975825</v>
      </c>
      <c r="H132" s="75">
        <f>VLOOKUP($A132,'Data Vlaue (Cr)'!$C:$FB,99)</f>
        <v>2509</v>
      </c>
      <c r="I132" s="75">
        <f>VLOOKUP($A132,'Data Vlaue (Cr)'!$C:$FB,100)</f>
        <v>2563</v>
      </c>
      <c r="J132" s="75">
        <f t="shared" si="8"/>
        <v>-54</v>
      </c>
      <c r="K132" s="75">
        <f t="shared" si="9"/>
        <v>-2.1522518931845354</v>
      </c>
      <c r="L132" s="75">
        <f>VLOOKUP($A132,'Data Vlaue (Cr)'!$C:$FB,67)</f>
        <v>1225</v>
      </c>
      <c r="M132" s="75">
        <f>VLOOKUP($A132,'Data Vlaue (Cr)'!$C:$FB,68)</f>
        <v>1311</v>
      </c>
      <c r="N132" s="75">
        <f t="shared" si="10"/>
        <v>-86</v>
      </c>
      <c r="O132" s="75">
        <f t="shared" si="11"/>
        <v>-7.0204081632653059</v>
      </c>
      <c r="P132" s="75">
        <f>VLOOKUP($A132,'Data Vlaue (Cr)'!$C:$FB,119)</f>
        <v>0.96</v>
      </c>
      <c r="Q132" s="75">
        <f>VLOOKUP($A132,'Data Vlaue (Cr)'!$C:$FB,122)*100</f>
        <v>10.34</v>
      </c>
      <c r="R132" s="75">
        <f>VLOOKUP($A132,'Data Vlaue (Cr)'!$C:$FB,125)</f>
        <v>0.53</v>
      </c>
      <c r="S132" s="75">
        <f>VLOOKUP($A132,'Data Vlaue (Cr)'!$C:$FB,128)*100</f>
        <v>-13.11</v>
      </c>
    </row>
    <row r="133" spans="1:19" x14ac:dyDescent="0.25">
      <c r="A133" s="96" t="str">
        <f>'Data Vlaue (Cr)'!C124</f>
        <v>LTM</v>
      </c>
      <c r="B133" s="75">
        <f>VLOOKUP($A133,'Data Vlaue (Cr)'!$C:$FB,2)</f>
        <v>150</v>
      </c>
      <c r="C133" s="75">
        <f>VLOOKUP($A133,'Data Vlaue (Cr)'!$C:$FB,8)</f>
        <v>4715.8</v>
      </c>
      <c r="D133" s="75">
        <f>VLOOKUP($A133,'Data Vlaue (Cr)'!$C:$FB,4)</f>
        <v>4632</v>
      </c>
      <c r="E133" s="75">
        <f>VLOOKUP($A133,'Data Vlaue (Cr)'!$C:$FB,5)</f>
        <v>4691.8</v>
      </c>
      <c r="F133" s="75">
        <f t="shared" si="6"/>
        <v>-83.800000000000182</v>
      </c>
      <c r="G133" s="75">
        <f t="shared" si="7"/>
        <v>-1.2910189982728881</v>
      </c>
      <c r="H133" s="75">
        <f>VLOOKUP($A133,'Data Vlaue (Cr)'!$C:$FB,99)</f>
        <v>3221</v>
      </c>
      <c r="I133" s="75">
        <f>VLOOKUP($A133,'Data Vlaue (Cr)'!$C:$FB,100)</f>
        <v>3227</v>
      </c>
      <c r="J133" s="75">
        <f t="shared" si="8"/>
        <v>-6</v>
      </c>
      <c r="K133" s="75">
        <f t="shared" si="9"/>
        <v>-0.18627755355479667</v>
      </c>
      <c r="L133" s="75">
        <f>VLOOKUP($A133,'Data Vlaue (Cr)'!$C:$FB,67)</f>
        <v>773</v>
      </c>
      <c r="M133" s="75">
        <f>VLOOKUP($A133,'Data Vlaue (Cr)'!$C:$FB,68)</f>
        <v>1248</v>
      </c>
      <c r="N133" s="75">
        <f t="shared" si="10"/>
        <v>-475</v>
      </c>
      <c r="O133" s="75">
        <f t="shared" si="11"/>
        <v>-61.448900388098316</v>
      </c>
      <c r="P133" s="75">
        <f>VLOOKUP($A133,'Data Vlaue (Cr)'!$C:$FB,119)</f>
        <v>0.81</v>
      </c>
      <c r="Q133" s="75">
        <f>VLOOKUP($A133,'Data Vlaue (Cr)'!$C:$FB,122)*100</f>
        <v>-6.9</v>
      </c>
      <c r="R133" s="75">
        <f>VLOOKUP($A133,'Data Vlaue (Cr)'!$C:$FB,125)</f>
        <v>0.62</v>
      </c>
      <c r="S133" s="75">
        <f>VLOOKUP($A133,'Data Vlaue (Cr)'!$C:$FB,128)*100</f>
        <v>24</v>
      </c>
    </row>
    <row r="134" spans="1:19" x14ac:dyDescent="0.25">
      <c r="A134" s="96" t="str">
        <f>'Data Vlaue (Cr)'!C125</f>
        <v>LUPIN</v>
      </c>
      <c r="B134" s="75">
        <f>VLOOKUP($A134,'Data Vlaue (Cr)'!$C:$FB,2)</f>
        <v>425</v>
      </c>
      <c r="C134" s="75">
        <f>VLOOKUP($A134,'Data Vlaue (Cr)'!$C:$FB,8)</f>
        <v>2328.6999999999998</v>
      </c>
      <c r="D134" s="75">
        <f>VLOOKUP($A134,'Data Vlaue (Cr)'!$C:$FB,4)</f>
        <v>2325.1999999999998</v>
      </c>
      <c r="E134" s="75">
        <f>VLOOKUP($A134,'Data Vlaue (Cr)'!$C:$FB,5)</f>
        <v>2328.4</v>
      </c>
      <c r="F134" s="75">
        <f t="shared" si="6"/>
        <v>-3.5</v>
      </c>
      <c r="G134" s="75">
        <f t="shared" si="7"/>
        <v>-0.13762257010150838</v>
      </c>
      <c r="H134" s="75">
        <f>VLOOKUP($A134,'Data Vlaue (Cr)'!$C:$FB,99)</f>
        <v>2518</v>
      </c>
      <c r="I134" s="75">
        <f>VLOOKUP($A134,'Data Vlaue (Cr)'!$C:$FB,100)</f>
        <v>2529</v>
      </c>
      <c r="J134" s="75">
        <f t="shared" si="8"/>
        <v>-11</v>
      </c>
      <c r="K134" s="75">
        <f t="shared" si="9"/>
        <v>-0.43685464654487688</v>
      </c>
      <c r="L134" s="75">
        <f>VLOOKUP($A134,'Data Vlaue (Cr)'!$C:$FB,67)</f>
        <v>2002</v>
      </c>
      <c r="M134" s="75">
        <f>VLOOKUP($A134,'Data Vlaue (Cr)'!$C:$FB,68)</f>
        <v>1571</v>
      </c>
      <c r="N134" s="75">
        <f t="shared" si="10"/>
        <v>431</v>
      </c>
      <c r="O134" s="75">
        <f t="shared" si="11"/>
        <v>21.528471528471531</v>
      </c>
      <c r="P134" s="75">
        <f>VLOOKUP($A134,'Data Vlaue (Cr)'!$C:$FB,119)</f>
        <v>0.72</v>
      </c>
      <c r="Q134" s="75">
        <f>VLOOKUP($A134,'Data Vlaue (Cr)'!$C:$FB,122)*100</f>
        <v>12.5</v>
      </c>
      <c r="R134" s="75">
        <f>VLOOKUP($A134,'Data Vlaue (Cr)'!$C:$FB,125)</f>
        <v>0.48</v>
      </c>
      <c r="S134" s="75">
        <f>VLOOKUP($A134,'Data Vlaue (Cr)'!$C:$FB,128)*100</f>
        <v>2.13</v>
      </c>
    </row>
    <row r="135" spans="1:19" x14ac:dyDescent="0.25">
      <c r="A135" s="96" t="str">
        <f>'Data Vlaue (Cr)'!C126</f>
        <v>M&amp;M</v>
      </c>
      <c r="B135" s="75">
        <f>VLOOKUP($A135,'Data Vlaue (Cr)'!$C:$FB,2)</f>
        <v>200</v>
      </c>
      <c r="C135" s="75">
        <f>VLOOKUP($A135,'Data Vlaue (Cr)'!$C:$FB,8)</f>
        <v>3221.6</v>
      </c>
      <c r="D135" s="75">
        <f>VLOOKUP($A135,'Data Vlaue (Cr)'!$C:$FB,4)</f>
        <v>3218.3</v>
      </c>
      <c r="E135" s="75">
        <f>VLOOKUP($A135,'Data Vlaue (Cr)'!$C:$FB,5)</f>
        <v>3207.2</v>
      </c>
      <c r="F135" s="75">
        <f t="shared" si="6"/>
        <v>-3.2999999999997272</v>
      </c>
      <c r="G135" s="75">
        <f t="shared" si="7"/>
        <v>0.34490258832303894</v>
      </c>
      <c r="H135" s="75">
        <f>VLOOKUP($A135,'Data Vlaue (Cr)'!$C:$FB,99)</f>
        <v>9260</v>
      </c>
      <c r="I135" s="75">
        <f>VLOOKUP($A135,'Data Vlaue (Cr)'!$C:$FB,100)</f>
        <v>9297</v>
      </c>
      <c r="J135" s="75">
        <f t="shared" si="8"/>
        <v>-37</v>
      </c>
      <c r="K135" s="75">
        <f t="shared" si="9"/>
        <v>-0.39956803455723544</v>
      </c>
      <c r="L135" s="75">
        <f>VLOOKUP($A135,'Data Vlaue (Cr)'!$C:$FB,67)</f>
        <v>4084</v>
      </c>
      <c r="M135" s="75">
        <f>VLOOKUP($A135,'Data Vlaue (Cr)'!$C:$FB,68)</f>
        <v>3816</v>
      </c>
      <c r="N135" s="75">
        <f t="shared" si="10"/>
        <v>268</v>
      </c>
      <c r="O135" s="75">
        <f t="shared" si="11"/>
        <v>6.5621939275220376</v>
      </c>
      <c r="P135" s="75">
        <f>VLOOKUP($A135,'Data Vlaue (Cr)'!$C:$FB,119)</f>
        <v>0.71</v>
      </c>
      <c r="Q135" s="75">
        <f>VLOOKUP($A135,'Data Vlaue (Cr)'!$C:$FB,122)*100</f>
        <v>9.2299999999999986</v>
      </c>
      <c r="R135" s="75">
        <f>VLOOKUP($A135,'Data Vlaue (Cr)'!$C:$FB,125)</f>
        <v>0.48</v>
      </c>
      <c r="S135" s="75">
        <f>VLOOKUP($A135,'Data Vlaue (Cr)'!$C:$FB,128)*100</f>
        <v>-12.73</v>
      </c>
    </row>
    <row r="136" spans="1:19" x14ac:dyDescent="0.25">
      <c r="A136" s="96" t="str">
        <f>'Data Vlaue (Cr)'!C127</f>
        <v>MANAPPURAM</v>
      </c>
      <c r="B136" s="75">
        <f>VLOOKUP($A136,'Data Vlaue (Cr)'!$C:$FB,2)</f>
        <v>3000</v>
      </c>
      <c r="C136" s="75">
        <f>VLOOKUP($A136,'Data Vlaue (Cr)'!$C:$FB,8)</f>
        <v>269.10000000000002</v>
      </c>
      <c r="D136" s="75">
        <f>VLOOKUP($A136,'Data Vlaue (Cr)'!$C:$FB,4)</f>
        <v>269.5</v>
      </c>
      <c r="E136" s="75">
        <f>VLOOKUP($A136,'Data Vlaue (Cr)'!$C:$FB,5)</f>
        <v>270.05</v>
      </c>
      <c r="F136" s="75">
        <f t="shared" si="6"/>
        <v>0.39999999999997726</v>
      </c>
      <c r="G136" s="75">
        <f t="shared" si="7"/>
        <v>-0.20408163265306545</v>
      </c>
      <c r="H136" s="75">
        <f>VLOOKUP($A136,'Data Vlaue (Cr)'!$C:$FB,99)</f>
        <v>2254</v>
      </c>
      <c r="I136" s="75">
        <f>VLOOKUP($A136,'Data Vlaue (Cr)'!$C:$FB,100)</f>
        <v>2217</v>
      </c>
      <c r="J136" s="75">
        <f t="shared" si="8"/>
        <v>37</v>
      </c>
      <c r="K136" s="75">
        <f t="shared" si="9"/>
        <v>1.6415261756876662</v>
      </c>
      <c r="L136" s="75">
        <f>VLOOKUP($A136,'Data Vlaue (Cr)'!$C:$FB,67)</f>
        <v>697</v>
      </c>
      <c r="M136" s="75">
        <f>VLOOKUP($A136,'Data Vlaue (Cr)'!$C:$FB,68)</f>
        <v>731</v>
      </c>
      <c r="N136" s="75">
        <f t="shared" si="10"/>
        <v>-34</v>
      </c>
      <c r="O136" s="75">
        <f t="shared" si="11"/>
        <v>-4.8780487804878048</v>
      </c>
      <c r="P136" s="75">
        <f>VLOOKUP($A136,'Data Vlaue (Cr)'!$C:$FB,119)</f>
        <v>0.63</v>
      </c>
      <c r="Q136" s="75">
        <f>VLOOKUP($A136,'Data Vlaue (Cr)'!$C:$FB,122)*100</f>
        <v>-3.08</v>
      </c>
      <c r="R136" s="75">
        <f>VLOOKUP($A136,'Data Vlaue (Cr)'!$C:$FB,125)</f>
        <v>0.41</v>
      </c>
      <c r="S136" s="75">
        <f>VLOOKUP($A136,'Data Vlaue (Cr)'!$C:$FB,128)*100</f>
        <v>-39.71</v>
      </c>
    </row>
    <row r="137" spans="1:19" x14ac:dyDescent="0.25">
      <c r="A137" s="96" t="str">
        <f>'Data Vlaue (Cr)'!C128</f>
        <v>MANKIND</v>
      </c>
      <c r="B137" s="75">
        <f>VLOOKUP($A137,'Data Vlaue (Cr)'!$C:$FB,2)</f>
        <v>225</v>
      </c>
      <c r="C137" s="75">
        <f>VLOOKUP($A137,'Data Vlaue (Cr)'!$C:$FB,8)</f>
        <v>2144</v>
      </c>
      <c r="D137" s="75">
        <f>VLOOKUP($A137,'Data Vlaue (Cr)'!$C:$FB,4)</f>
        <v>2138.8000000000002</v>
      </c>
      <c r="E137" s="75">
        <f>VLOOKUP($A137,'Data Vlaue (Cr)'!$C:$FB,5)</f>
        <v>2129.4</v>
      </c>
      <c r="F137" s="75">
        <f t="shared" si="6"/>
        <v>-5.1999999999998181</v>
      </c>
      <c r="G137" s="75">
        <f t="shared" si="7"/>
        <v>0.43949878436506873</v>
      </c>
      <c r="H137" s="75">
        <f>VLOOKUP($A137,'Data Vlaue (Cr)'!$C:$FB,99)</f>
        <v>868</v>
      </c>
      <c r="I137" s="75">
        <f>VLOOKUP($A137,'Data Vlaue (Cr)'!$C:$FB,100)</f>
        <v>850</v>
      </c>
      <c r="J137" s="75">
        <f t="shared" si="8"/>
        <v>18</v>
      </c>
      <c r="K137" s="75">
        <f t="shared" si="9"/>
        <v>2.0737327188940093</v>
      </c>
      <c r="L137" s="75">
        <f>VLOOKUP($A137,'Data Vlaue (Cr)'!$C:$FB,67)</f>
        <v>570</v>
      </c>
      <c r="M137" s="75">
        <f>VLOOKUP($A137,'Data Vlaue (Cr)'!$C:$FB,68)</f>
        <v>227</v>
      </c>
      <c r="N137" s="75">
        <f t="shared" si="10"/>
        <v>343</v>
      </c>
      <c r="O137" s="75">
        <f t="shared" si="11"/>
        <v>60.175438596491226</v>
      </c>
      <c r="P137" s="75">
        <f>VLOOKUP($A137,'Data Vlaue (Cr)'!$C:$FB,119)</f>
        <v>0.36</v>
      </c>
      <c r="Q137" s="75">
        <f>VLOOKUP($A137,'Data Vlaue (Cr)'!$C:$FB,122)*100</f>
        <v>9.09</v>
      </c>
      <c r="R137" s="75">
        <f>VLOOKUP($A137,'Data Vlaue (Cr)'!$C:$FB,125)</f>
        <v>0.84</v>
      </c>
      <c r="S137" s="75">
        <f>VLOOKUP($A137,'Data Vlaue (Cr)'!$C:$FB,128)*100</f>
        <v>459.99999999999994</v>
      </c>
    </row>
    <row r="138" spans="1:19" x14ac:dyDescent="0.25">
      <c r="A138" s="96" t="str">
        <f>'Data Vlaue (Cr)'!C129</f>
        <v>MARICO</v>
      </c>
      <c r="B138" s="75">
        <f>VLOOKUP($A138,'Data Vlaue (Cr)'!$C:$FB,2)</f>
        <v>1200</v>
      </c>
      <c r="C138" s="75">
        <f>VLOOKUP($A138,'Data Vlaue (Cr)'!$C:$FB,8)</f>
        <v>760.7</v>
      </c>
      <c r="D138" s="75">
        <f>VLOOKUP($A138,'Data Vlaue (Cr)'!$C:$FB,4)</f>
        <v>760</v>
      </c>
      <c r="E138" s="75">
        <f>VLOOKUP($A138,'Data Vlaue (Cr)'!$C:$FB,5)</f>
        <v>758.45</v>
      </c>
      <c r="F138" s="75">
        <f t="shared" si="6"/>
        <v>-0.70000000000004547</v>
      </c>
      <c r="G138" s="75">
        <f t="shared" si="7"/>
        <v>0.20394736842104666</v>
      </c>
      <c r="H138" s="75">
        <f>VLOOKUP($A138,'Data Vlaue (Cr)'!$C:$FB,99)</f>
        <v>2540</v>
      </c>
      <c r="I138" s="75">
        <f>VLOOKUP($A138,'Data Vlaue (Cr)'!$C:$FB,100)</f>
        <v>2546</v>
      </c>
      <c r="J138" s="75">
        <f t="shared" si="8"/>
        <v>-6</v>
      </c>
      <c r="K138" s="75">
        <f t="shared" si="9"/>
        <v>-0.23622047244094488</v>
      </c>
      <c r="L138" s="75">
        <f>VLOOKUP($A138,'Data Vlaue (Cr)'!$C:$FB,67)</f>
        <v>833</v>
      </c>
      <c r="M138" s="75">
        <f>VLOOKUP($A138,'Data Vlaue (Cr)'!$C:$FB,68)</f>
        <v>1584</v>
      </c>
      <c r="N138" s="75">
        <f t="shared" si="10"/>
        <v>-751</v>
      </c>
      <c r="O138" s="75">
        <f t="shared" si="11"/>
        <v>-90.156062424969988</v>
      </c>
      <c r="P138" s="75">
        <f>VLOOKUP($A138,'Data Vlaue (Cr)'!$C:$FB,119)</f>
        <v>0.82</v>
      </c>
      <c r="Q138" s="75">
        <f>VLOOKUP($A138,'Data Vlaue (Cr)'!$C:$FB,122)*100</f>
        <v>-4.6500000000000004</v>
      </c>
      <c r="R138" s="75">
        <f>VLOOKUP($A138,'Data Vlaue (Cr)'!$C:$FB,125)</f>
        <v>0.28999999999999998</v>
      </c>
      <c r="S138" s="75">
        <f>VLOOKUP($A138,'Data Vlaue (Cr)'!$C:$FB,128)*100</f>
        <v>7.41</v>
      </c>
    </row>
    <row r="139" spans="1:19" x14ac:dyDescent="0.25">
      <c r="A139" s="96" t="str">
        <f>'Data Vlaue (Cr)'!C130</f>
        <v>MARUTI</v>
      </c>
      <c r="B139" s="75">
        <f>VLOOKUP($A139,'Data Vlaue (Cr)'!$C:$FB,2)</f>
        <v>50</v>
      </c>
      <c r="C139" s="75">
        <f>VLOOKUP($A139,'Data Vlaue (Cr)'!$C:$FB,8)</f>
        <v>13450</v>
      </c>
      <c r="D139" s="75">
        <f>VLOOKUP($A139,'Data Vlaue (Cr)'!$C:$FB,4)</f>
        <v>13442</v>
      </c>
      <c r="E139" s="75">
        <f>VLOOKUP($A139,'Data Vlaue (Cr)'!$C:$FB,5)</f>
        <v>13490</v>
      </c>
      <c r="F139" s="75">
        <f t="shared" si="6"/>
        <v>-8</v>
      </c>
      <c r="G139" s="75">
        <f t="shared" si="7"/>
        <v>-0.35708971879184648</v>
      </c>
      <c r="H139" s="75">
        <f>VLOOKUP($A139,'Data Vlaue (Cr)'!$C:$FB,99)</f>
        <v>9211</v>
      </c>
      <c r="I139" s="75">
        <f>VLOOKUP($A139,'Data Vlaue (Cr)'!$C:$FB,100)</f>
        <v>9198</v>
      </c>
      <c r="J139" s="75">
        <f t="shared" si="8"/>
        <v>13</v>
      </c>
      <c r="K139" s="75">
        <f t="shared" si="9"/>
        <v>0.14113559874063619</v>
      </c>
      <c r="L139" s="75">
        <f>VLOOKUP($A139,'Data Vlaue (Cr)'!$C:$FB,67)</f>
        <v>4700</v>
      </c>
      <c r="M139" s="75">
        <f>VLOOKUP($A139,'Data Vlaue (Cr)'!$C:$FB,68)</f>
        <v>12688</v>
      </c>
      <c r="N139" s="75">
        <f t="shared" si="10"/>
        <v>-7988</v>
      </c>
      <c r="O139" s="75">
        <f t="shared" si="11"/>
        <v>-169.95744680851064</v>
      </c>
      <c r="P139" s="75">
        <f>VLOOKUP($A139,'Data Vlaue (Cr)'!$C:$FB,119)</f>
        <v>0.61</v>
      </c>
      <c r="Q139" s="75">
        <f>VLOOKUP($A139,'Data Vlaue (Cr)'!$C:$FB,122)*100</f>
        <v>3.39</v>
      </c>
      <c r="R139" s="75">
        <f>VLOOKUP($A139,'Data Vlaue (Cr)'!$C:$FB,125)</f>
        <v>0.55000000000000004</v>
      </c>
      <c r="S139" s="75">
        <f>VLOOKUP($A139,'Data Vlaue (Cr)'!$C:$FB,128)*100</f>
        <v>30.95</v>
      </c>
    </row>
    <row r="140" spans="1:19" x14ac:dyDescent="0.25">
      <c r="A140" s="96" t="str">
        <f>'Data Vlaue (Cr)'!C131</f>
        <v>MAXHEALTH</v>
      </c>
      <c r="B140" s="75">
        <f>VLOOKUP($A140,'Data Vlaue (Cr)'!$C:$FB,2)</f>
        <v>525</v>
      </c>
      <c r="C140" s="75">
        <f>VLOOKUP($A140,'Data Vlaue (Cr)'!$C:$FB,8)</f>
        <v>1011.35</v>
      </c>
      <c r="D140" s="75">
        <f>VLOOKUP($A140,'Data Vlaue (Cr)'!$C:$FB,4)</f>
        <v>1009.95</v>
      </c>
      <c r="E140" s="75">
        <f>VLOOKUP($A140,'Data Vlaue (Cr)'!$C:$FB,5)</f>
        <v>1007.45</v>
      </c>
      <c r="F140" s="75">
        <f t="shared" ref="F140:F176" si="12">D140-C140</f>
        <v>-1.3999999999999773</v>
      </c>
      <c r="G140" s="75">
        <f t="shared" ref="G140:G176" si="13">(D140-E140)/D140*100</f>
        <v>0.24753700678251397</v>
      </c>
      <c r="H140" s="75">
        <f>VLOOKUP($A140,'Data Vlaue (Cr)'!$C:$FB,99)</f>
        <v>2119</v>
      </c>
      <c r="I140" s="75">
        <f>VLOOKUP($A140,'Data Vlaue (Cr)'!$C:$FB,100)</f>
        <v>2157</v>
      </c>
      <c r="J140" s="75">
        <f t="shared" ref="J140:J176" si="14">H140-I140</f>
        <v>-38</v>
      </c>
      <c r="K140" s="75">
        <f t="shared" ref="K140:K176" si="15">J140/H140*100</f>
        <v>-1.7932987258140631</v>
      </c>
      <c r="L140" s="75">
        <f>VLOOKUP($A140,'Data Vlaue (Cr)'!$C:$FB,67)</f>
        <v>1194</v>
      </c>
      <c r="M140" s="75">
        <f>VLOOKUP($A140,'Data Vlaue (Cr)'!$C:$FB,68)</f>
        <v>1122</v>
      </c>
      <c r="N140" s="75">
        <f t="shared" ref="N140:N176" si="16">L140-M140</f>
        <v>72</v>
      </c>
      <c r="O140" s="75">
        <f t="shared" ref="O140:O176" si="17">N140/L140*100</f>
        <v>6.0301507537688437</v>
      </c>
      <c r="P140" s="75">
        <f>VLOOKUP($A140,'Data Vlaue (Cr)'!$C:$FB,119)</f>
        <v>0.57999999999999996</v>
      </c>
      <c r="Q140" s="75">
        <f>VLOOKUP($A140,'Data Vlaue (Cr)'!$C:$FB,122)*100</f>
        <v>3.5700000000000003</v>
      </c>
      <c r="R140" s="75">
        <f>VLOOKUP($A140,'Data Vlaue (Cr)'!$C:$FB,125)</f>
        <v>0.39</v>
      </c>
      <c r="S140" s="75">
        <f>VLOOKUP($A140,'Data Vlaue (Cr)'!$C:$FB,128)*100</f>
        <v>11.43</v>
      </c>
    </row>
    <row r="141" spans="1:19" x14ac:dyDescent="0.25">
      <c r="A141" s="96" t="str">
        <f>'Data Vlaue (Cr)'!C132</f>
        <v>MAZDOCK</v>
      </c>
      <c r="B141" s="75">
        <f>VLOOKUP($A141,'Data Vlaue (Cr)'!$C:$FB,2)</f>
        <v>200</v>
      </c>
      <c r="C141" s="75">
        <f>VLOOKUP($A141,'Data Vlaue (Cr)'!$C:$FB,8)</f>
        <v>2621.1999999999998</v>
      </c>
      <c r="D141" s="75">
        <f>VLOOKUP($A141,'Data Vlaue (Cr)'!$C:$FB,4)</f>
        <v>2625.6</v>
      </c>
      <c r="E141" s="75">
        <f>VLOOKUP($A141,'Data Vlaue (Cr)'!$C:$FB,5)</f>
        <v>2624.7</v>
      </c>
      <c r="F141" s="75">
        <f t="shared" si="12"/>
        <v>4.4000000000000909</v>
      </c>
      <c r="G141" s="75">
        <f t="shared" si="13"/>
        <v>3.4277879341868177E-2</v>
      </c>
      <c r="H141" s="75">
        <f>VLOOKUP($A141,'Data Vlaue (Cr)'!$C:$FB,99)</f>
        <v>3089</v>
      </c>
      <c r="I141" s="75">
        <f>VLOOKUP($A141,'Data Vlaue (Cr)'!$C:$FB,100)</f>
        <v>2891</v>
      </c>
      <c r="J141" s="75">
        <f t="shared" si="14"/>
        <v>198</v>
      </c>
      <c r="K141" s="75">
        <f t="shared" si="15"/>
        <v>6.4098413726124956</v>
      </c>
      <c r="L141" s="75">
        <f>VLOOKUP($A141,'Data Vlaue (Cr)'!$C:$FB,67)</f>
        <v>3665</v>
      </c>
      <c r="M141" s="75">
        <f>VLOOKUP($A141,'Data Vlaue (Cr)'!$C:$FB,68)</f>
        <v>4691</v>
      </c>
      <c r="N141" s="75">
        <f t="shared" si="16"/>
        <v>-1026</v>
      </c>
      <c r="O141" s="75">
        <f t="shared" si="17"/>
        <v>-27.994542974079128</v>
      </c>
      <c r="P141" s="75">
        <f>VLOOKUP($A141,'Data Vlaue (Cr)'!$C:$FB,119)</f>
        <v>0.8</v>
      </c>
      <c r="Q141" s="75">
        <f>VLOOKUP($A141,'Data Vlaue (Cr)'!$C:$FB,122)*100</f>
        <v>9.59</v>
      </c>
      <c r="R141" s="75">
        <f>VLOOKUP($A141,'Data Vlaue (Cr)'!$C:$FB,125)</f>
        <v>0.35</v>
      </c>
      <c r="S141" s="75">
        <f>VLOOKUP($A141,'Data Vlaue (Cr)'!$C:$FB,128)*100</f>
        <v>9.370000000000001</v>
      </c>
    </row>
    <row r="142" spans="1:19" x14ac:dyDescent="0.25">
      <c r="A142" s="96" t="str">
        <f>'Data Vlaue (Cr)'!C133</f>
        <v>MCX</v>
      </c>
      <c r="B142" s="75">
        <f>VLOOKUP($A142,'Data Vlaue (Cr)'!$C:$FB,2)</f>
        <v>625</v>
      </c>
      <c r="C142" s="75">
        <f>VLOOKUP($A142,'Data Vlaue (Cr)'!$C:$FB,8)</f>
        <v>2859.1</v>
      </c>
      <c r="D142" s="75">
        <f>VLOOKUP($A142,'Data Vlaue (Cr)'!$C:$FB,4)</f>
        <v>2858.9</v>
      </c>
      <c r="E142" s="75">
        <f>VLOOKUP($A142,'Data Vlaue (Cr)'!$C:$FB,5)</f>
        <v>2861.9</v>
      </c>
      <c r="F142" s="75">
        <f t="shared" si="12"/>
        <v>-0.1999999999998181</v>
      </c>
      <c r="G142" s="75">
        <f t="shared" si="13"/>
        <v>-0.10493546468921613</v>
      </c>
      <c r="H142" s="75">
        <f>VLOOKUP($A142,'Data Vlaue (Cr)'!$C:$FB,99)</f>
        <v>8609</v>
      </c>
      <c r="I142" s="75">
        <f>VLOOKUP($A142,'Data Vlaue (Cr)'!$C:$FB,100)</f>
        <v>8535</v>
      </c>
      <c r="J142" s="75">
        <f t="shared" si="14"/>
        <v>74</v>
      </c>
      <c r="K142" s="75">
        <f t="shared" si="15"/>
        <v>0.85956557091415964</v>
      </c>
      <c r="L142" s="75">
        <f>VLOOKUP($A142,'Data Vlaue (Cr)'!$C:$FB,67)</f>
        <v>5350</v>
      </c>
      <c r="M142" s="75">
        <f>VLOOKUP($A142,'Data Vlaue (Cr)'!$C:$FB,68)</f>
        <v>12480</v>
      </c>
      <c r="N142" s="75">
        <f t="shared" si="16"/>
        <v>-7130</v>
      </c>
      <c r="O142" s="75">
        <f t="shared" si="17"/>
        <v>-133.27102803738319</v>
      </c>
      <c r="P142" s="75">
        <f>VLOOKUP($A142,'Data Vlaue (Cr)'!$C:$FB,119)</f>
        <v>0.91</v>
      </c>
      <c r="Q142" s="75">
        <f>VLOOKUP($A142,'Data Vlaue (Cr)'!$C:$FB,122)*100</f>
        <v>0</v>
      </c>
      <c r="R142" s="75">
        <f>VLOOKUP($A142,'Data Vlaue (Cr)'!$C:$FB,125)</f>
        <v>0.6</v>
      </c>
      <c r="S142" s="75">
        <f>VLOOKUP($A142,'Data Vlaue (Cr)'!$C:$FB,128)*100</f>
        <v>-17.810000000000002</v>
      </c>
    </row>
    <row r="143" spans="1:19" x14ac:dyDescent="0.25">
      <c r="A143" s="96" t="str">
        <f>'Data Vlaue (Cr)'!C134</f>
        <v>MFSL</v>
      </c>
      <c r="B143" s="75">
        <f>VLOOKUP($A143,'Data Vlaue (Cr)'!$C:$FB,2)</f>
        <v>400</v>
      </c>
      <c r="C143" s="75">
        <f>VLOOKUP($A143,'Data Vlaue (Cr)'!$C:$FB,8)</f>
        <v>1688.8</v>
      </c>
      <c r="D143" s="75">
        <f>VLOOKUP($A143,'Data Vlaue (Cr)'!$C:$FB,4)</f>
        <v>1686.9</v>
      </c>
      <c r="E143" s="75">
        <f>VLOOKUP($A143,'Data Vlaue (Cr)'!$C:$FB,5)</f>
        <v>1681.8</v>
      </c>
      <c r="F143" s="75">
        <f t="shared" si="12"/>
        <v>-1.8999999999998636</v>
      </c>
      <c r="G143" s="75">
        <f t="shared" si="13"/>
        <v>0.30232971723280194</v>
      </c>
      <c r="H143" s="75">
        <f>VLOOKUP($A143,'Data Vlaue (Cr)'!$C:$FB,99)</f>
        <v>1815</v>
      </c>
      <c r="I143" s="75">
        <f>VLOOKUP($A143,'Data Vlaue (Cr)'!$C:$FB,100)</f>
        <v>1885</v>
      </c>
      <c r="J143" s="75">
        <f t="shared" si="14"/>
        <v>-70</v>
      </c>
      <c r="K143" s="75"/>
      <c r="L143" s="75">
        <f>VLOOKUP($A143,'Data Vlaue (Cr)'!$C:$FB,67)</f>
        <v>338</v>
      </c>
      <c r="M143" s="75">
        <f>VLOOKUP($A143,'Data Vlaue (Cr)'!$C:$FB,68)</f>
        <v>289</v>
      </c>
      <c r="N143" s="75">
        <f t="shared" si="16"/>
        <v>49</v>
      </c>
      <c r="O143" s="75">
        <f t="shared" si="17"/>
        <v>14.497041420118343</v>
      </c>
      <c r="P143" s="75">
        <f>VLOOKUP($A143,'Data Vlaue (Cr)'!$C:$FB,119)</f>
        <v>0.61</v>
      </c>
      <c r="Q143" s="75">
        <f>VLOOKUP($A143,'Data Vlaue (Cr)'!$C:$FB,122)*100</f>
        <v>0</v>
      </c>
      <c r="R143" s="75">
        <f>VLOOKUP($A143,'Data Vlaue (Cr)'!$C:$FB,125)</f>
        <v>0.69</v>
      </c>
      <c r="S143" s="75">
        <f>VLOOKUP($A143,'Data Vlaue (Cr)'!$C:$FB,128)*100</f>
        <v>-14.81</v>
      </c>
    </row>
    <row r="144" spans="1:19" x14ac:dyDescent="0.25">
      <c r="A144" s="96" t="str">
        <f>'Data Vlaue (Cr)'!C135</f>
        <v>MIDCPNIFTY</v>
      </c>
      <c r="B144" s="75">
        <f>VLOOKUP($A144,'Data Vlaue (Cr)'!$C:$FB,2)</f>
        <v>120</v>
      </c>
      <c r="C144" s="75">
        <f>VLOOKUP($A144,'Data Vlaue (Cr)'!$C:$FB,8)</f>
        <v>13807.25</v>
      </c>
      <c r="D144" s="75">
        <f>VLOOKUP($A144,'Data Vlaue (Cr)'!$C:$FB,4)</f>
        <v>13785.25</v>
      </c>
      <c r="E144" s="75">
        <f>VLOOKUP($A144,'Data Vlaue (Cr)'!$C:$FB,5)</f>
        <v>13849.2</v>
      </c>
      <c r="F144" s="75">
        <f t="shared" si="12"/>
        <v>-22</v>
      </c>
      <c r="G144" s="75">
        <f t="shared" si="13"/>
        <v>-0.46390163399285994</v>
      </c>
      <c r="H144" s="75">
        <f>VLOOKUP($A144,'Data Vlaue (Cr)'!$C:$FB,99)</f>
        <v>21566</v>
      </c>
      <c r="I144" s="75">
        <f>VLOOKUP($A144,'Data Vlaue (Cr)'!$C:$FB,100)</f>
        <v>21636</v>
      </c>
      <c r="J144" s="75">
        <f t="shared" si="14"/>
        <v>-70</v>
      </c>
      <c r="K144" s="75">
        <f t="shared" si="15"/>
        <v>-0.32458499489937864</v>
      </c>
      <c r="L144" s="75">
        <f>VLOOKUP($A144,'Data Vlaue (Cr)'!$C:$FB,67)</f>
        <v>39608</v>
      </c>
      <c r="M144" s="75">
        <f>VLOOKUP($A144,'Data Vlaue (Cr)'!$C:$FB,68)</f>
        <v>46355</v>
      </c>
      <c r="N144" s="75">
        <f t="shared" si="16"/>
        <v>-6747</v>
      </c>
      <c r="O144" s="75">
        <f t="shared" si="17"/>
        <v>-17.034437487376287</v>
      </c>
      <c r="P144" s="75">
        <f>VLOOKUP($A144,'Data Vlaue (Cr)'!$C:$FB,119)</f>
        <v>1.23</v>
      </c>
      <c r="Q144" s="75">
        <f>VLOOKUP($A144,'Data Vlaue (Cr)'!$C:$FB,122)*100</f>
        <v>1.6500000000000001</v>
      </c>
      <c r="R144" s="75">
        <f>VLOOKUP($A144,'Data Vlaue (Cr)'!$C:$FB,125)</f>
        <v>0.89</v>
      </c>
      <c r="S144" s="75">
        <f>VLOOKUP($A144,'Data Vlaue (Cr)'!$C:$FB,128)*100</f>
        <v>-32.58</v>
      </c>
    </row>
    <row r="145" spans="1:19" x14ac:dyDescent="0.25">
      <c r="A145" s="96" t="str">
        <f>'Data Vlaue (Cr)'!C136</f>
        <v>MOTHERSON</v>
      </c>
      <c r="B145" s="75">
        <f>VLOOKUP($A145,'Data Vlaue (Cr)'!$C:$FB,2)</f>
        <v>6150</v>
      </c>
      <c r="C145" s="75">
        <f>VLOOKUP($A145,'Data Vlaue (Cr)'!$C:$FB,8)</f>
        <v>123.19</v>
      </c>
      <c r="D145" s="75">
        <f>VLOOKUP($A145,'Data Vlaue (Cr)'!$C:$FB,4)</f>
        <v>123.34</v>
      </c>
      <c r="E145" s="75">
        <f>VLOOKUP($A145,'Data Vlaue (Cr)'!$C:$FB,5)</f>
        <v>125.05</v>
      </c>
      <c r="F145" s="75">
        <f t="shared" si="12"/>
        <v>0.15000000000000568</v>
      </c>
      <c r="G145" s="75">
        <f t="shared" si="13"/>
        <v>-1.3864115453218693</v>
      </c>
      <c r="H145" s="75">
        <f>VLOOKUP($A145,'Data Vlaue (Cr)'!$C:$FB,99)</f>
        <v>2547</v>
      </c>
      <c r="I145" s="75">
        <f>VLOOKUP($A145,'Data Vlaue (Cr)'!$C:$FB,100)</f>
        <v>2521</v>
      </c>
      <c r="J145" s="75">
        <f t="shared" si="14"/>
        <v>26</v>
      </c>
      <c r="K145" s="75">
        <f t="shared" si="15"/>
        <v>1.0208087946603848</v>
      </c>
      <c r="L145" s="75">
        <f>VLOOKUP($A145,'Data Vlaue (Cr)'!$C:$FB,67)</f>
        <v>747</v>
      </c>
      <c r="M145" s="75">
        <f>VLOOKUP($A145,'Data Vlaue (Cr)'!$C:$FB,68)</f>
        <v>1106</v>
      </c>
      <c r="N145" s="75">
        <f t="shared" si="16"/>
        <v>-359</v>
      </c>
      <c r="O145" s="75">
        <f t="shared" si="17"/>
        <v>-48.058902275769746</v>
      </c>
      <c r="P145" s="75">
        <f>VLOOKUP($A145,'Data Vlaue (Cr)'!$C:$FB,119)</f>
        <v>0.92</v>
      </c>
      <c r="Q145" s="75">
        <f>VLOOKUP($A145,'Data Vlaue (Cr)'!$C:$FB,122)*100</f>
        <v>3.37</v>
      </c>
      <c r="R145" s="75">
        <f>VLOOKUP($A145,'Data Vlaue (Cr)'!$C:$FB,125)</f>
        <v>0.9</v>
      </c>
      <c r="S145" s="75">
        <f>VLOOKUP($A145,'Data Vlaue (Cr)'!$C:$FB,128)*100</f>
        <v>-10.89</v>
      </c>
    </row>
    <row r="146" spans="1:19" x14ac:dyDescent="0.25">
      <c r="A146" s="96" t="str">
        <f>'Data Vlaue (Cr)'!C137</f>
        <v>MOTILALOFS</v>
      </c>
      <c r="B146" s="75">
        <f>VLOOKUP($A146,'Data Vlaue (Cr)'!$C:$FB,2)</f>
        <v>775</v>
      </c>
      <c r="C146" s="75">
        <f>VLOOKUP($A146,'Data Vlaue (Cr)'!$C:$FB,8)</f>
        <v>807.95</v>
      </c>
      <c r="D146" s="75">
        <f>VLOOKUP($A146,'Data Vlaue (Cr)'!$C:$FB,4)</f>
        <v>807.4</v>
      </c>
      <c r="E146" s="75">
        <f>VLOOKUP($A146,'Data Vlaue (Cr)'!$C:$FB,5)</f>
        <v>817.75</v>
      </c>
      <c r="F146" s="75">
        <f t="shared" si="12"/>
        <v>-0.55000000000006821</v>
      </c>
      <c r="G146" s="75">
        <f t="shared" si="13"/>
        <v>-1.2818924944265573</v>
      </c>
      <c r="H146" s="75">
        <f>VLOOKUP($A146,'Data Vlaue (Cr)'!$C:$FB,99)</f>
        <v>507</v>
      </c>
      <c r="I146" s="75">
        <f>VLOOKUP($A146,'Data Vlaue (Cr)'!$C:$FB,100)</f>
        <v>458</v>
      </c>
      <c r="J146" s="75">
        <f t="shared" si="14"/>
        <v>49</v>
      </c>
      <c r="K146" s="75">
        <f t="shared" si="15"/>
        <v>9.6646942800788942</v>
      </c>
      <c r="L146" s="75">
        <f>VLOOKUP($A146,'Data Vlaue (Cr)'!$C:$FB,67)</f>
        <v>1772</v>
      </c>
      <c r="M146" s="75">
        <f>VLOOKUP($A146,'Data Vlaue (Cr)'!$C:$FB,68)</f>
        <v>900</v>
      </c>
      <c r="N146" s="75">
        <f t="shared" si="16"/>
        <v>872</v>
      </c>
      <c r="O146" s="75">
        <f t="shared" si="17"/>
        <v>49.209932279909708</v>
      </c>
      <c r="P146" s="75">
        <f>VLOOKUP($A146,'Data Vlaue (Cr)'!$C:$FB,119)</f>
        <v>0.72</v>
      </c>
      <c r="Q146" s="75">
        <f>VLOOKUP($A146,'Data Vlaue (Cr)'!$C:$FB,122)*100</f>
        <v>-7.6899999999999995</v>
      </c>
      <c r="R146" s="75">
        <f>VLOOKUP($A146,'Data Vlaue (Cr)'!$C:$FB,125)</f>
        <v>0.49</v>
      </c>
      <c r="S146" s="75">
        <f>VLOOKUP($A146,'Data Vlaue (Cr)'!$C:$FB,128)*100</f>
        <v>113.04</v>
      </c>
    </row>
    <row r="147" spans="1:19" x14ac:dyDescent="0.25">
      <c r="A147" s="96" t="str">
        <f>'Data Vlaue (Cr)'!C138</f>
        <v>MPHASIS</v>
      </c>
      <c r="B147" s="75">
        <f>VLOOKUP($A147,'Data Vlaue (Cr)'!$C:$FB,2)</f>
        <v>275</v>
      </c>
      <c r="C147" s="75">
        <f>VLOOKUP($A147,'Data Vlaue (Cr)'!$C:$FB,8)</f>
        <v>2417</v>
      </c>
      <c r="D147" s="75">
        <f>VLOOKUP($A147,'Data Vlaue (Cr)'!$C:$FB,4)</f>
        <v>2415.3000000000002</v>
      </c>
      <c r="E147" s="75">
        <f>VLOOKUP($A147,'Data Vlaue (Cr)'!$C:$FB,5)</f>
        <v>2470</v>
      </c>
      <c r="F147" s="75">
        <f t="shared" si="12"/>
        <v>-1.6999999999998181</v>
      </c>
      <c r="G147" s="75">
        <f t="shared" si="13"/>
        <v>-2.2647290191694536</v>
      </c>
      <c r="H147" s="75">
        <f>VLOOKUP($A147,'Data Vlaue (Cr)'!$C:$FB,99)</f>
        <v>1637</v>
      </c>
      <c r="I147" s="75">
        <f>VLOOKUP($A147,'Data Vlaue (Cr)'!$C:$FB,100)</f>
        <v>1650</v>
      </c>
      <c r="J147" s="75">
        <f t="shared" si="14"/>
        <v>-13</v>
      </c>
      <c r="K147" s="75">
        <f t="shared" si="15"/>
        <v>-0.79413561392791698</v>
      </c>
      <c r="L147" s="75">
        <f>VLOOKUP($A147,'Data Vlaue (Cr)'!$C:$FB,67)</f>
        <v>467</v>
      </c>
      <c r="M147" s="75">
        <f>VLOOKUP($A147,'Data Vlaue (Cr)'!$C:$FB,68)</f>
        <v>568</v>
      </c>
      <c r="N147" s="75">
        <f t="shared" si="16"/>
        <v>-101</v>
      </c>
      <c r="O147" s="75">
        <f t="shared" si="17"/>
        <v>-21.627408993576015</v>
      </c>
      <c r="P147" s="75">
        <f>VLOOKUP($A147,'Data Vlaue (Cr)'!$C:$FB,119)</f>
        <v>0.76</v>
      </c>
      <c r="Q147" s="75">
        <f>VLOOKUP($A147,'Data Vlaue (Cr)'!$C:$FB,122)*100</f>
        <v>-2.56</v>
      </c>
      <c r="R147" s="75">
        <f>VLOOKUP($A147,'Data Vlaue (Cr)'!$C:$FB,125)</f>
        <v>0.66</v>
      </c>
      <c r="S147" s="75">
        <f>VLOOKUP($A147,'Data Vlaue (Cr)'!$C:$FB,128)*100</f>
        <v>-13.16</v>
      </c>
    </row>
    <row r="148" spans="1:19" x14ac:dyDescent="0.25">
      <c r="A148" s="96" t="str">
        <f>'Data Vlaue (Cr)'!C139</f>
        <v>MUTHOOTFIN</v>
      </c>
      <c r="B148" s="75">
        <f>VLOOKUP($A148,'Data Vlaue (Cr)'!$C:$FB,2)</f>
        <v>275</v>
      </c>
      <c r="C148" s="75">
        <f>VLOOKUP($A148,'Data Vlaue (Cr)'!$C:$FB,8)</f>
        <v>3531.2</v>
      </c>
      <c r="D148" s="75">
        <f>VLOOKUP($A148,'Data Vlaue (Cr)'!$C:$FB,4)</f>
        <v>3541.5</v>
      </c>
      <c r="E148" s="75">
        <f>VLOOKUP($A148,'Data Vlaue (Cr)'!$C:$FB,5)</f>
        <v>3572</v>
      </c>
      <c r="F148" s="75">
        <f t="shared" si="12"/>
        <v>10.300000000000182</v>
      </c>
      <c r="G148" s="75">
        <f t="shared" si="13"/>
        <v>-0.86121699844698574</v>
      </c>
      <c r="H148" s="75">
        <f>VLOOKUP($A148,'Data Vlaue (Cr)'!$C:$FB,99)</f>
        <v>2711</v>
      </c>
      <c r="I148" s="75">
        <f>VLOOKUP($A148,'Data Vlaue (Cr)'!$C:$FB,100)</f>
        <v>2729</v>
      </c>
      <c r="J148" s="75">
        <f t="shared" si="14"/>
        <v>-18</v>
      </c>
      <c r="K148" s="75">
        <f t="shared" si="15"/>
        <v>-0.66396163777203987</v>
      </c>
      <c r="L148" s="75">
        <f>VLOOKUP($A148,'Data Vlaue (Cr)'!$C:$FB,67)</f>
        <v>1140</v>
      </c>
      <c r="M148" s="75">
        <f>VLOOKUP($A148,'Data Vlaue (Cr)'!$C:$FB,68)</f>
        <v>2972</v>
      </c>
      <c r="N148" s="75">
        <f t="shared" si="16"/>
        <v>-1832</v>
      </c>
      <c r="O148" s="75">
        <f t="shared" si="17"/>
        <v>-160.70175438596493</v>
      </c>
      <c r="P148" s="75">
        <f>VLOOKUP($A148,'Data Vlaue (Cr)'!$C:$FB,119)</f>
        <v>0.57999999999999996</v>
      </c>
      <c r="Q148" s="75">
        <f>VLOOKUP($A148,'Data Vlaue (Cr)'!$C:$FB,122)*100</f>
        <v>-4.92</v>
      </c>
      <c r="R148" s="75">
        <f>VLOOKUP($A148,'Data Vlaue (Cr)'!$C:$FB,125)</f>
        <v>0.45</v>
      </c>
      <c r="S148" s="75">
        <f>VLOOKUP($A148,'Data Vlaue (Cr)'!$C:$FB,128)*100</f>
        <v>-11.76</v>
      </c>
    </row>
    <row r="149" spans="1:19" x14ac:dyDescent="0.25">
      <c r="A149" s="96" t="str">
        <f>'Data Vlaue (Cr)'!C140</f>
        <v>NAM-INDIA</v>
      </c>
      <c r="B149" s="75">
        <f>VLOOKUP($A149,'Data Vlaue (Cr)'!$C:$FB,2)</f>
        <v>625</v>
      </c>
      <c r="C149" s="75">
        <f>VLOOKUP($A149,'Data Vlaue (Cr)'!$C:$FB,8)</f>
        <v>1003</v>
      </c>
      <c r="D149" s="75">
        <f>VLOOKUP($A149,'Data Vlaue (Cr)'!$C:$FB,4)</f>
        <v>1003.5</v>
      </c>
      <c r="E149" s="75">
        <f>VLOOKUP($A149,'Data Vlaue (Cr)'!$C:$FB,5)</f>
        <v>1000.05</v>
      </c>
      <c r="F149" s="75">
        <f t="shared" si="12"/>
        <v>0.5</v>
      </c>
      <c r="G149" s="75">
        <f t="shared" si="13"/>
        <v>0.34379671150972052</v>
      </c>
      <c r="H149" s="75">
        <f>VLOOKUP($A149,'Data Vlaue (Cr)'!$C:$FB,99)</f>
        <v>461</v>
      </c>
      <c r="I149" s="75">
        <f>VLOOKUP($A149,'Data Vlaue (Cr)'!$C:$FB,100)</f>
        <v>446</v>
      </c>
      <c r="J149" s="75">
        <f t="shared" si="14"/>
        <v>15</v>
      </c>
      <c r="K149" s="75">
        <f t="shared" si="15"/>
        <v>3.2537960954446854</v>
      </c>
      <c r="L149" s="75">
        <f>VLOOKUP($A149,'Data Vlaue (Cr)'!$C:$FB,67)</f>
        <v>311</v>
      </c>
      <c r="M149" s="75">
        <f>VLOOKUP($A149,'Data Vlaue (Cr)'!$C:$FB,68)</f>
        <v>487</v>
      </c>
      <c r="N149" s="75">
        <f t="shared" si="16"/>
        <v>-176</v>
      </c>
      <c r="O149" s="75">
        <f t="shared" si="17"/>
        <v>-56.59163987138264</v>
      </c>
      <c r="P149" s="75">
        <f>VLOOKUP($A149,'Data Vlaue (Cr)'!$C:$FB,119)</f>
        <v>0.65</v>
      </c>
      <c r="Q149" s="75">
        <f>VLOOKUP($A149,'Data Vlaue (Cr)'!$C:$FB,122)*100</f>
        <v>-10.96</v>
      </c>
      <c r="R149" s="75">
        <f>VLOOKUP($A149,'Data Vlaue (Cr)'!$C:$FB,125)</f>
        <v>0.28000000000000003</v>
      </c>
      <c r="S149" s="75">
        <f>VLOOKUP($A149,'Data Vlaue (Cr)'!$C:$FB,128)*100</f>
        <v>7.6899999999999995</v>
      </c>
    </row>
    <row r="150" spans="1:19" x14ac:dyDescent="0.25">
      <c r="A150" s="96" t="str">
        <f>'Data Vlaue (Cr)'!C141</f>
        <v>NATIONALUM</v>
      </c>
      <c r="B150" s="75">
        <f>VLOOKUP($A150,'Data Vlaue (Cr)'!$C:$FB,2)</f>
        <v>3750</v>
      </c>
      <c r="C150" s="75">
        <f>VLOOKUP($A150,'Data Vlaue (Cr)'!$C:$FB,8)</f>
        <v>426.65</v>
      </c>
      <c r="D150" s="75">
        <f>VLOOKUP($A150,'Data Vlaue (Cr)'!$C:$FB,4)</f>
        <v>427.1</v>
      </c>
      <c r="E150" s="75">
        <f>VLOOKUP($A150,'Data Vlaue (Cr)'!$C:$FB,5)</f>
        <v>438.65</v>
      </c>
      <c r="F150" s="75">
        <f t="shared" si="12"/>
        <v>0.45000000000004547</v>
      </c>
      <c r="G150" s="75">
        <f t="shared" si="13"/>
        <v>-2.7042847108405419</v>
      </c>
      <c r="H150" s="75">
        <f>VLOOKUP($A150,'Data Vlaue (Cr)'!$C:$FB,99)</f>
        <v>5311</v>
      </c>
      <c r="I150" s="75">
        <f>VLOOKUP($A150,'Data Vlaue (Cr)'!$C:$FB,100)</f>
        <v>5222</v>
      </c>
      <c r="J150" s="75">
        <f t="shared" si="14"/>
        <v>89</v>
      </c>
      <c r="K150" s="75">
        <f t="shared" si="15"/>
        <v>1.6757672754660138</v>
      </c>
      <c r="L150" s="75">
        <f>VLOOKUP($A150,'Data Vlaue (Cr)'!$C:$FB,67)</f>
        <v>3323</v>
      </c>
      <c r="M150" s="75">
        <f>VLOOKUP($A150,'Data Vlaue (Cr)'!$C:$FB,68)</f>
        <v>4773</v>
      </c>
      <c r="N150" s="75">
        <f t="shared" si="16"/>
        <v>-1450</v>
      </c>
      <c r="O150" s="75">
        <f t="shared" si="17"/>
        <v>-43.635269334938307</v>
      </c>
      <c r="P150" s="75">
        <f>VLOOKUP($A150,'Data Vlaue (Cr)'!$C:$FB,119)</f>
        <v>0.91</v>
      </c>
      <c r="Q150" s="75">
        <f>VLOOKUP($A150,'Data Vlaue (Cr)'!$C:$FB,122)*100</f>
        <v>-9</v>
      </c>
      <c r="R150" s="75">
        <f>VLOOKUP($A150,'Data Vlaue (Cr)'!$C:$FB,125)</f>
        <v>0.59</v>
      </c>
      <c r="S150" s="75">
        <f>VLOOKUP($A150,'Data Vlaue (Cr)'!$C:$FB,128)*100</f>
        <v>7.2700000000000005</v>
      </c>
    </row>
    <row r="151" spans="1:19" x14ac:dyDescent="0.25">
      <c r="A151" s="96" t="str">
        <f>'Data Vlaue (Cr)'!C142</f>
        <v>NAUKRI</v>
      </c>
      <c r="B151" s="75">
        <f>VLOOKUP($A151,'Data Vlaue (Cr)'!$C:$FB,2)</f>
        <v>375</v>
      </c>
      <c r="C151" s="75">
        <f>VLOOKUP($A151,'Data Vlaue (Cr)'!$C:$FB,8)</f>
        <v>1067.9000000000001</v>
      </c>
      <c r="D151" s="75">
        <f>VLOOKUP($A151,'Data Vlaue (Cr)'!$C:$FB,4)</f>
        <v>1066.45</v>
      </c>
      <c r="E151" s="75">
        <f>VLOOKUP($A151,'Data Vlaue (Cr)'!$C:$FB,5)</f>
        <v>1055.5</v>
      </c>
      <c r="F151" s="75">
        <f t="shared" si="12"/>
        <v>-1.4500000000000455</v>
      </c>
      <c r="G151" s="75">
        <f t="shared" si="13"/>
        <v>1.02677106287215</v>
      </c>
      <c r="H151" s="75">
        <f>VLOOKUP($A151,'Data Vlaue (Cr)'!$C:$FB,99)</f>
        <v>1616</v>
      </c>
      <c r="I151" s="75">
        <f>VLOOKUP($A151,'Data Vlaue (Cr)'!$C:$FB,100)</f>
        <v>1538</v>
      </c>
      <c r="J151" s="75">
        <f t="shared" si="14"/>
        <v>78</v>
      </c>
      <c r="K151" s="75">
        <f t="shared" si="15"/>
        <v>4.826732673267327</v>
      </c>
      <c r="L151" s="75">
        <f>VLOOKUP($A151,'Data Vlaue (Cr)'!$C:$FB,67)</f>
        <v>1158</v>
      </c>
      <c r="M151" s="75">
        <f>VLOOKUP($A151,'Data Vlaue (Cr)'!$C:$FB,68)</f>
        <v>489</v>
      </c>
      <c r="N151" s="75">
        <f t="shared" si="16"/>
        <v>669</v>
      </c>
      <c r="O151" s="75">
        <f t="shared" si="17"/>
        <v>57.772020725388607</v>
      </c>
      <c r="P151" s="75">
        <f>VLOOKUP($A151,'Data Vlaue (Cr)'!$C:$FB,119)</f>
        <v>0.44</v>
      </c>
      <c r="Q151" s="75">
        <f>VLOOKUP($A151,'Data Vlaue (Cr)'!$C:$FB,122)*100</f>
        <v>2.33</v>
      </c>
      <c r="R151" s="75">
        <f>VLOOKUP($A151,'Data Vlaue (Cr)'!$C:$FB,125)</f>
        <v>0.24</v>
      </c>
      <c r="S151" s="75">
        <f>VLOOKUP($A151,'Data Vlaue (Cr)'!$C:$FB,128)*100</f>
        <v>-44.190000000000005</v>
      </c>
    </row>
    <row r="152" spans="1:19" x14ac:dyDescent="0.25">
      <c r="A152" s="96" t="str">
        <f>'Data Vlaue (Cr)'!C143</f>
        <v>NBCC</v>
      </c>
      <c r="B152" s="75">
        <f>VLOOKUP($A152,'Data Vlaue (Cr)'!$C:$FB,2)</f>
        <v>6500</v>
      </c>
      <c r="C152" s="75">
        <f>VLOOKUP($A152,'Data Vlaue (Cr)'!$C:$FB,8)</f>
        <v>93.32</v>
      </c>
      <c r="D152" s="75">
        <f>VLOOKUP($A152,'Data Vlaue (Cr)'!$C:$FB,4)</f>
        <v>93.47</v>
      </c>
      <c r="E152" s="75">
        <f>VLOOKUP($A152,'Data Vlaue (Cr)'!$C:$FB,5)</f>
        <v>94.45</v>
      </c>
      <c r="F152" s="75">
        <f t="shared" si="12"/>
        <v>0.15000000000000568</v>
      </c>
      <c r="G152" s="75">
        <f t="shared" si="13"/>
        <v>-1.0484647480475062</v>
      </c>
      <c r="H152" s="75">
        <f>VLOOKUP($A152,'Data Vlaue (Cr)'!$C:$FB,99)</f>
        <v>1059</v>
      </c>
      <c r="I152" s="75">
        <f>VLOOKUP($A152,'Data Vlaue (Cr)'!$C:$FB,100)</f>
        <v>1053</v>
      </c>
      <c r="J152" s="75">
        <f t="shared" si="14"/>
        <v>6</v>
      </c>
      <c r="K152" s="75">
        <f t="shared" si="15"/>
        <v>0.56657223796033995</v>
      </c>
      <c r="L152" s="75">
        <f>VLOOKUP($A152,'Data Vlaue (Cr)'!$C:$FB,67)</f>
        <v>309</v>
      </c>
      <c r="M152" s="75">
        <f>VLOOKUP($A152,'Data Vlaue (Cr)'!$C:$FB,68)</f>
        <v>442</v>
      </c>
      <c r="N152" s="75">
        <f t="shared" si="16"/>
        <v>-133</v>
      </c>
      <c r="O152" s="75">
        <f t="shared" si="17"/>
        <v>-43.042071197411005</v>
      </c>
      <c r="P152" s="75">
        <f>VLOOKUP($A152,'Data Vlaue (Cr)'!$C:$FB,119)</f>
        <v>0.67</v>
      </c>
      <c r="Q152" s="75">
        <f>VLOOKUP($A152,'Data Vlaue (Cr)'!$C:$FB,122)*100</f>
        <v>0</v>
      </c>
      <c r="R152" s="75">
        <f>VLOOKUP($A152,'Data Vlaue (Cr)'!$C:$FB,125)</f>
        <v>0.56999999999999995</v>
      </c>
      <c r="S152" s="75">
        <f>VLOOKUP($A152,'Data Vlaue (Cr)'!$C:$FB,128)*100</f>
        <v>35.709999999999994</v>
      </c>
    </row>
    <row r="153" spans="1:19" x14ac:dyDescent="0.25">
      <c r="A153" s="96" t="str">
        <f>'Data Vlaue (Cr)'!C144</f>
        <v>NESTLEIND</v>
      </c>
      <c r="B153" s="75">
        <f>VLOOKUP($A153,'Data Vlaue (Cr)'!$C:$FB,2)</f>
        <v>500</v>
      </c>
      <c r="C153" s="75">
        <f>VLOOKUP($A153,'Data Vlaue (Cr)'!$C:$FB,8)</f>
        <v>1286.4000000000001</v>
      </c>
      <c r="D153" s="75">
        <f>VLOOKUP($A153,'Data Vlaue (Cr)'!$C:$FB,4)</f>
        <v>1287.7</v>
      </c>
      <c r="E153" s="75">
        <f>VLOOKUP($A153,'Data Vlaue (Cr)'!$C:$FB,5)</f>
        <v>1286</v>
      </c>
      <c r="F153" s="75">
        <f t="shared" si="12"/>
        <v>1.2999999999999545</v>
      </c>
      <c r="G153" s="75">
        <f t="shared" si="13"/>
        <v>0.13201832725013943</v>
      </c>
      <c r="H153" s="75">
        <f>VLOOKUP($A153,'Data Vlaue (Cr)'!$C:$FB,99)</f>
        <v>3412</v>
      </c>
      <c r="I153" s="75">
        <f>VLOOKUP($A153,'Data Vlaue (Cr)'!$C:$FB,100)</f>
        <v>3280</v>
      </c>
      <c r="J153" s="75">
        <f t="shared" si="14"/>
        <v>132</v>
      </c>
      <c r="K153" s="75">
        <f t="shared" si="15"/>
        <v>3.8686987104337636</v>
      </c>
      <c r="L153" s="75">
        <f>VLOOKUP($A153,'Data Vlaue (Cr)'!$C:$FB,67)</f>
        <v>1687</v>
      </c>
      <c r="M153" s="75">
        <f>VLOOKUP($A153,'Data Vlaue (Cr)'!$C:$FB,68)</f>
        <v>1877</v>
      </c>
      <c r="N153" s="75">
        <f t="shared" si="16"/>
        <v>-190</v>
      </c>
      <c r="O153" s="75">
        <f t="shared" si="17"/>
        <v>-11.26259632483699</v>
      </c>
      <c r="P153" s="75">
        <f>VLOOKUP($A153,'Data Vlaue (Cr)'!$C:$FB,119)</f>
        <v>0.54</v>
      </c>
      <c r="Q153" s="75">
        <f>VLOOKUP($A153,'Data Vlaue (Cr)'!$C:$FB,122)*100</f>
        <v>-3.5700000000000003</v>
      </c>
      <c r="R153" s="75">
        <f>VLOOKUP($A153,'Data Vlaue (Cr)'!$C:$FB,125)</f>
        <v>0.33</v>
      </c>
      <c r="S153" s="75">
        <f>VLOOKUP($A153,'Data Vlaue (Cr)'!$C:$FB,128)*100</f>
        <v>26.919999999999998</v>
      </c>
    </row>
    <row r="154" spans="1:19" x14ac:dyDescent="0.25">
      <c r="A154" s="96" t="str">
        <f>'Data Vlaue (Cr)'!C145</f>
        <v>NHPC</v>
      </c>
      <c r="B154" s="75">
        <f>VLOOKUP($A154,'Data Vlaue (Cr)'!$C:$FB,2)</f>
        <v>6400</v>
      </c>
      <c r="C154" s="75">
        <f>VLOOKUP($A154,'Data Vlaue (Cr)'!$C:$FB,8)</f>
        <v>83.1</v>
      </c>
      <c r="D154" s="75">
        <f>VLOOKUP($A154,'Data Vlaue (Cr)'!$C:$FB,4)</f>
        <v>82.7</v>
      </c>
      <c r="E154" s="75">
        <f>VLOOKUP($A154,'Data Vlaue (Cr)'!$C:$FB,5)</f>
        <v>82.41</v>
      </c>
      <c r="F154" s="75">
        <f t="shared" si="12"/>
        <v>-0.39999999999999147</v>
      </c>
      <c r="G154" s="75">
        <f t="shared" si="13"/>
        <v>0.3506650544135505</v>
      </c>
      <c r="H154" s="75">
        <f>VLOOKUP($A154,'Data Vlaue (Cr)'!$C:$FB,99)</f>
        <v>1266</v>
      </c>
      <c r="I154" s="75">
        <f>VLOOKUP($A154,'Data Vlaue (Cr)'!$C:$FB,100)</f>
        <v>1268</v>
      </c>
      <c r="J154" s="75">
        <f t="shared" si="14"/>
        <v>-2</v>
      </c>
      <c r="K154" s="75">
        <f t="shared" si="15"/>
        <v>-0.15797788309636651</v>
      </c>
      <c r="L154" s="75">
        <f>VLOOKUP($A154,'Data Vlaue (Cr)'!$C:$FB,67)</f>
        <v>634</v>
      </c>
      <c r="M154" s="75">
        <f>VLOOKUP($A154,'Data Vlaue (Cr)'!$C:$FB,68)</f>
        <v>1074</v>
      </c>
      <c r="N154" s="75">
        <f t="shared" si="16"/>
        <v>-440</v>
      </c>
      <c r="O154" s="75">
        <f t="shared" si="17"/>
        <v>-69.400630914826493</v>
      </c>
      <c r="P154" s="75">
        <f>VLOOKUP($A154,'Data Vlaue (Cr)'!$C:$FB,119)</f>
        <v>0.84</v>
      </c>
      <c r="Q154" s="75">
        <f>VLOOKUP($A154,'Data Vlaue (Cr)'!$C:$FB,122)*100</f>
        <v>5</v>
      </c>
      <c r="R154" s="75">
        <f>VLOOKUP($A154,'Data Vlaue (Cr)'!$C:$FB,125)</f>
        <v>0.49</v>
      </c>
      <c r="S154" s="75">
        <f>VLOOKUP($A154,'Data Vlaue (Cr)'!$C:$FB,128)*100</f>
        <v>13.950000000000001</v>
      </c>
    </row>
    <row r="155" spans="1:19" x14ac:dyDescent="0.25">
      <c r="A155" s="96" t="str">
        <f>'Data Vlaue (Cr)'!C146</f>
        <v>NIFTY</v>
      </c>
      <c r="B155" s="75">
        <f>VLOOKUP($A155,'Data Vlaue (Cr)'!$C:$FB,2)</f>
        <v>65</v>
      </c>
      <c r="C155" s="75">
        <f>VLOOKUP($A155,'Data Vlaue (Cr)'!$C:$FB,8)</f>
        <v>24364.85</v>
      </c>
      <c r="D155" s="75">
        <f>VLOOKUP($A155,'Data Vlaue (Cr)'!$C:$FB,4)</f>
        <v>24331.8</v>
      </c>
      <c r="E155" s="75">
        <f>VLOOKUP($A155,'Data Vlaue (Cr)'!$C:$FB,5)</f>
        <v>24368</v>
      </c>
      <c r="F155" s="75">
        <f t="shared" si="12"/>
        <v>-33.049999999999272</v>
      </c>
      <c r="G155" s="75">
        <f t="shared" si="13"/>
        <v>-0.14877649824509789</v>
      </c>
      <c r="H155" s="75">
        <f>VLOOKUP($A155,'Data Vlaue (Cr)'!$C:$FB,99)</f>
        <v>1266514</v>
      </c>
      <c r="I155" s="75">
        <f>VLOOKUP($A155,'Data Vlaue (Cr)'!$C:$FB,100)</f>
        <v>1262514</v>
      </c>
      <c r="J155" s="75">
        <f t="shared" si="14"/>
        <v>4000</v>
      </c>
      <c r="K155" s="75">
        <f t="shared" si="15"/>
        <v>0.3158275392139368</v>
      </c>
      <c r="L155" s="75">
        <f>VLOOKUP($A155,'Data Vlaue (Cr)'!$C:$FB,67)</f>
        <v>18756270</v>
      </c>
      <c r="M155" s="75">
        <f>VLOOKUP($A155,'Data Vlaue (Cr)'!$C:$FB,68)</f>
        <v>11025018</v>
      </c>
      <c r="N155" s="75">
        <f t="shared" si="16"/>
        <v>7731252</v>
      </c>
      <c r="O155" s="75">
        <f t="shared" si="17"/>
        <v>41.219560179076112</v>
      </c>
      <c r="P155" s="75">
        <f>VLOOKUP($A155,'Data Vlaue (Cr)'!$C:$FB,119)</f>
        <v>1.1299999999999999</v>
      </c>
      <c r="Q155" s="75">
        <f>VLOOKUP($A155,'Data Vlaue (Cr)'!$C:$FB,122)*100</f>
        <v>3.6700000000000004</v>
      </c>
      <c r="R155" s="75">
        <f>VLOOKUP($A155,'Data Vlaue (Cr)'!$C:$FB,125)</f>
        <v>0.91</v>
      </c>
      <c r="S155" s="75">
        <f>VLOOKUP($A155,'Data Vlaue (Cr)'!$C:$FB,128)*100</f>
        <v>8.33</v>
      </c>
    </row>
    <row r="156" spans="1:19" x14ac:dyDescent="0.25">
      <c r="A156" s="96" t="str">
        <f>'Data Vlaue (Cr)'!C147</f>
        <v>NIFTYNXT50</v>
      </c>
      <c r="B156" s="75">
        <f>VLOOKUP($A156,'Data Vlaue (Cr)'!$C:$FB,2)</f>
        <v>25</v>
      </c>
      <c r="C156" s="75">
        <f>VLOOKUP($A156,'Data Vlaue (Cr)'!$C:$FB,8)</f>
        <v>70341</v>
      </c>
      <c r="D156" s="75">
        <f>VLOOKUP($A156,'Data Vlaue (Cr)'!$C:$FB,4)</f>
        <v>70229.600000000006</v>
      </c>
      <c r="E156" s="75">
        <f>VLOOKUP($A156,'Data Vlaue (Cr)'!$C:$FB,5)</f>
        <v>70321.2</v>
      </c>
      <c r="F156" s="75">
        <f t="shared" si="12"/>
        <v>-111.39999999999418</v>
      </c>
      <c r="G156" s="75">
        <f t="shared" si="13"/>
        <v>-0.13042933463951276</v>
      </c>
      <c r="H156" s="75">
        <f>VLOOKUP($A156,'Data Vlaue (Cr)'!$C:$FB,99)</f>
        <v>289</v>
      </c>
      <c r="I156" s="75">
        <f>VLOOKUP($A156,'Data Vlaue (Cr)'!$C:$FB,100)</f>
        <v>276</v>
      </c>
      <c r="J156" s="75">
        <f t="shared" si="14"/>
        <v>13</v>
      </c>
      <c r="K156" s="75">
        <f t="shared" si="15"/>
        <v>4.4982698961937722</v>
      </c>
      <c r="L156" s="75">
        <f>VLOOKUP($A156,'Data Vlaue (Cr)'!$C:$FB,67)</f>
        <v>195</v>
      </c>
      <c r="M156" s="75">
        <f>VLOOKUP($A156,'Data Vlaue (Cr)'!$C:$FB,68)</f>
        <v>226</v>
      </c>
      <c r="N156" s="75">
        <f t="shared" si="16"/>
        <v>-31</v>
      </c>
      <c r="O156" s="75">
        <f t="shared" si="17"/>
        <v>-15.897435897435896</v>
      </c>
      <c r="P156" s="75">
        <f>VLOOKUP($A156,'Data Vlaue (Cr)'!$C:$FB,119)</f>
        <v>0.39</v>
      </c>
      <c r="Q156" s="75">
        <f>VLOOKUP($A156,'Data Vlaue (Cr)'!$C:$FB,122)*100</f>
        <v>8.33</v>
      </c>
      <c r="R156" s="75">
        <f>VLOOKUP($A156,'Data Vlaue (Cr)'!$C:$FB,125)</f>
        <v>0.25</v>
      </c>
      <c r="S156" s="75">
        <f>VLOOKUP($A156,'Data Vlaue (Cr)'!$C:$FB,128)*100</f>
        <v>19.05</v>
      </c>
    </row>
    <row r="157" spans="1:19" x14ac:dyDescent="0.25">
      <c r="A157" s="96" t="str">
        <f>'Data Vlaue (Cr)'!C148</f>
        <v>NMDC</v>
      </c>
      <c r="B157" s="75">
        <f>VLOOKUP($A157,'Data Vlaue (Cr)'!$C:$FB,2)</f>
        <v>6750</v>
      </c>
      <c r="C157" s="75">
        <f>VLOOKUP($A157,'Data Vlaue (Cr)'!$C:$FB,8)</f>
        <v>88.9</v>
      </c>
      <c r="D157" s="75">
        <f>VLOOKUP($A157,'Data Vlaue (Cr)'!$C:$FB,4)</f>
        <v>88.77</v>
      </c>
      <c r="E157" s="75">
        <f>VLOOKUP($A157,'Data Vlaue (Cr)'!$C:$FB,5)</f>
        <v>89.95</v>
      </c>
      <c r="F157" s="75">
        <f t="shared" si="12"/>
        <v>-0.13000000000000966</v>
      </c>
      <c r="G157" s="75">
        <f t="shared" si="13"/>
        <v>-1.3292779092035676</v>
      </c>
      <c r="H157" s="75">
        <f>VLOOKUP($A157,'Data Vlaue (Cr)'!$C:$FB,99)</f>
        <v>4042</v>
      </c>
      <c r="I157" s="75">
        <f>VLOOKUP($A157,'Data Vlaue (Cr)'!$C:$FB,100)</f>
        <v>4097</v>
      </c>
      <c r="J157" s="75">
        <f t="shared" si="14"/>
        <v>-55</v>
      </c>
      <c r="K157" s="75">
        <f t="shared" si="15"/>
        <v>-1.3607125185551707</v>
      </c>
      <c r="L157" s="75">
        <f>VLOOKUP($A157,'Data Vlaue (Cr)'!$C:$FB,67)</f>
        <v>1230</v>
      </c>
      <c r="M157" s="75">
        <f>VLOOKUP($A157,'Data Vlaue (Cr)'!$C:$FB,68)</f>
        <v>2442</v>
      </c>
      <c r="N157" s="75">
        <f t="shared" si="16"/>
        <v>-1212</v>
      </c>
      <c r="O157" s="75">
        <f t="shared" si="17"/>
        <v>-98.536585365853654</v>
      </c>
      <c r="P157" s="75">
        <f>VLOOKUP($A157,'Data Vlaue (Cr)'!$C:$FB,119)</f>
        <v>0.65</v>
      </c>
      <c r="Q157" s="75">
        <f>VLOOKUP($A157,'Data Vlaue (Cr)'!$C:$FB,122)*100</f>
        <v>-5.8000000000000007</v>
      </c>
      <c r="R157" s="75">
        <f>VLOOKUP($A157,'Data Vlaue (Cr)'!$C:$FB,125)</f>
        <v>0.46</v>
      </c>
      <c r="S157" s="75">
        <f>VLOOKUP($A157,'Data Vlaue (Cr)'!$C:$FB,128)*100</f>
        <v>35.29</v>
      </c>
    </row>
    <row r="158" spans="1:19" x14ac:dyDescent="0.25">
      <c r="A158" s="96" t="str">
        <f>'Data Vlaue (Cr)'!C149</f>
        <v>NTPC</v>
      </c>
      <c r="B158" s="75">
        <f>VLOOKUP($A158,'Data Vlaue (Cr)'!$C:$FB,2)</f>
        <v>1500</v>
      </c>
      <c r="C158" s="75">
        <f>VLOOKUP($A158,'Data Vlaue (Cr)'!$C:$FB,8)</f>
        <v>398</v>
      </c>
      <c r="D158" s="75">
        <f>VLOOKUP($A158,'Data Vlaue (Cr)'!$C:$FB,4)</f>
        <v>398.3</v>
      </c>
      <c r="E158" s="75">
        <f>VLOOKUP($A158,'Data Vlaue (Cr)'!$C:$FB,5)</f>
        <v>395.2</v>
      </c>
      <c r="F158" s="75">
        <f t="shared" si="12"/>
        <v>0.30000000000001137</v>
      </c>
      <c r="G158" s="75">
        <f t="shared" si="13"/>
        <v>0.77830780818479106</v>
      </c>
      <c r="H158" s="75">
        <f>VLOOKUP($A158,'Data Vlaue (Cr)'!$C:$FB,99)</f>
        <v>8329</v>
      </c>
      <c r="I158" s="75">
        <f>VLOOKUP($A158,'Data Vlaue (Cr)'!$C:$FB,100)</f>
        <v>7516</v>
      </c>
      <c r="J158" s="75">
        <f t="shared" si="14"/>
        <v>813</v>
      </c>
      <c r="K158" s="75">
        <f t="shared" si="15"/>
        <v>9.7610757593948847</v>
      </c>
      <c r="L158" s="75">
        <f>VLOOKUP($A158,'Data Vlaue (Cr)'!$C:$FB,67)</f>
        <v>7188</v>
      </c>
      <c r="M158" s="75">
        <f>VLOOKUP($A158,'Data Vlaue (Cr)'!$C:$FB,68)</f>
        <v>5805</v>
      </c>
      <c r="N158" s="75">
        <f t="shared" si="16"/>
        <v>1383</v>
      </c>
      <c r="O158" s="75">
        <f t="shared" si="17"/>
        <v>19.240400667779632</v>
      </c>
      <c r="P158" s="75">
        <f>VLOOKUP($A158,'Data Vlaue (Cr)'!$C:$FB,119)</f>
        <v>0.53</v>
      </c>
      <c r="Q158" s="75">
        <f>VLOOKUP($A158,'Data Vlaue (Cr)'!$C:$FB,122)*100</f>
        <v>0</v>
      </c>
      <c r="R158" s="75">
        <f>VLOOKUP($A158,'Data Vlaue (Cr)'!$C:$FB,125)</f>
        <v>0.45</v>
      </c>
      <c r="S158" s="75">
        <f>VLOOKUP($A158,'Data Vlaue (Cr)'!$C:$FB,128)*100</f>
        <v>-4.26</v>
      </c>
    </row>
    <row r="159" spans="1:19" x14ac:dyDescent="0.25">
      <c r="A159" s="96" t="str">
        <f>'Data Vlaue (Cr)'!C150</f>
        <v>NUVAMA</v>
      </c>
      <c r="B159" s="75">
        <f>VLOOKUP($A159,'Data Vlaue (Cr)'!$C:$FB,2)</f>
        <v>500</v>
      </c>
      <c r="C159" s="75">
        <f>VLOOKUP($A159,'Data Vlaue (Cr)'!$C:$FB,8)</f>
        <v>1379.1</v>
      </c>
      <c r="D159" s="75">
        <f>VLOOKUP($A159,'Data Vlaue (Cr)'!$C:$FB,4)</f>
        <v>1379.9</v>
      </c>
      <c r="E159" s="75">
        <f>VLOOKUP($A159,'Data Vlaue (Cr)'!$C:$FB,5)</f>
        <v>1394.8</v>
      </c>
      <c r="F159" s="75">
        <f t="shared" si="12"/>
        <v>0.8000000000001819</v>
      </c>
      <c r="G159" s="75">
        <f t="shared" si="13"/>
        <v>-1.079788390463067</v>
      </c>
      <c r="H159" s="75">
        <f>VLOOKUP($A159,'Data Vlaue (Cr)'!$C:$FB,99)</f>
        <v>530</v>
      </c>
      <c r="I159" s="75">
        <f>VLOOKUP($A159,'Data Vlaue (Cr)'!$C:$FB,100)</f>
        <v>527</v>
      </c>
      <c r="J159" s="75">
        <f t="shared" si="14"/>
        <v>3</v>
      </c>
      <c r="K159" s="75">
        <f t="shared" si="15"/>
        <v>0.56603773584905659</v>
      </c>
      <c r="L159" s="75">
        <f>VLOOKUP($A159,'Data Vlaue (Cr)'!$C:$FB,67)</f>
        <v>483</v>
      </c>
      <c r="M159" s="75">
        <f>VLOOKUP($A159,'Data Vlaue (Cr)'!$C:$FB,68)</f>
        <v>344</v>
      </c>
      <c r="N159" s="75">
        <f t="shared" si="16"/>
        <v>139</v>
      </c>
      <c r="O159" s="75">
        <f t="shared" si="17"/>
        <v>28.778467908902694</v>
      </c>
      <c r="P159" s="75">
        <f>VLOOKUP($A159,'Data Vlaue (Cr)'!$C:$FB,119)</f>
        <v>0.8</v>
      </c>
      <c r="Q159" s="75">
        <f>VLOOKUP($A159,'Data Vlaue (Cr)'!$C:$FB,122)*100</f>
        <v>-5.88</v>
      </c>
      <c r="R159" s="75">
        <f>VLOOKUP($A159,'Data Vlaue (Cr)'!$C:$FB,125)</f>
        <v>1.51</v>
      </c>
      <c r="S159" s="75">
        <f>VLOOKUP($A159,'Data Vlaue (Cr)'!$C:$FB,128)*100</f>
        <v>420.69</v>
      </c>
    </row>
    <row r="160" spans="1:19" x14ac:dyDescent="0.25">
      <c r="A160" s="96" t="str">
        <f>'Data Vlaue (Cr)'!C151</f>
        <v>NYKAA</v>
      </c>
      <c r="B160" s="75">
        <f>VLOOKUP($A160,'Data Vlaue (Cr)'!$C:$FB,2)</f>
        <v>3125</v>
      </c>
      <c r="C160" s="75">
        <f>VLOOKUP($A160,'Data Vlaue (Cr)'!$C:$FB,8)</f>
        <v>264.55</v>
      </c>
      <c r="D160" s="75">
        <f>VLOOKUP($A160,'Data Vlaue (Cr)'!$C:$FB,4)</f>
        <v>265.18</v>
      </c>
      <c r="E160" s="75">
        <f>VLOOKUP($A160,'Data Vlaue (Cr)'!$C:$FB,5)</f>
        <v>270.02999999999997</v>
      </c>
      <c r="F160" s="75">
        <f t="shared" si="12"/>
        <v>0.62999999999999545</v>
      </c>
      <c r="G160" s="75">
        <f t="shared" si="13"/>
        <v>-1.8289463760464462</v>
      </c>
      <c r="H160" s="75">
        <f>VLOOKUP($A160,'Data Vlaue (Cr)'!$C:$FB,99)</f>
        <v>1635</v>
      </c>
      <c r="I160" s="75">
        <f>VLOOKUP($A160,'Data Vlaue (Cr)'!$C:$FB,100)</f>
        <v>1555</v>
      </c>
      <c r="J160" s="75">
        <f t="shared" si="14"/>
        <v>80</v>
      </c>
      <c r="K160" s="75">
        <f t="shared" si="15"/>
        <v>4.8929663608562688</v>
      </c>
      <c r="L160" s="75">
        <f>VLOOKUP($A160,'Data Vlaue (Cr)'!$C:$FB,67)</f>
        <v>520</v>
      </c>
      <c r="M160" s="75">
        <f>VLOOKUP($A160,'Data Vlaue (Cr)'!$C:$FB,68)</f>
        <v>582</v>
      </c>
      <c r="N160" s="75">
        <f t="shared" si="16"/>
        <v>-62</v>
      </c>
      <c r="O160" s="75">
        <f t="shared" si="17"/>
        <v>-11.923076923076923</v>
      </c>
      <c r="P160" s="75">
        <f>VLOOKUP($A160,'Data Vlaue (Cr)'!$C:$FB,119)</f>
        <v>0.46</v>
      </c>
      <c r="Q160" s="75">
        <f>VLOOKUP($A160,'Data Vlaue (Cr)'!$C:$FB,122)*100</f>
        <v>-35.21</v>
      </c>
      <c r="R160" s="75">
        <f>VLOOKUP($A160,'Data Vlaue (Cr)'!$C:$FB,125)</f>
        <v>0.34</v>
      </c>
      <c r="S160" s="75">
        <f>VLOOKUP($A160,'Data Vlaue (Cr)'!$C:$FB,128)*100</f>
        <v>-8.1100000000000012</v>
      </c>
    </row>
    <row r="161" spans="1:19" x14ac:dyDescent="0.25">
      <c r="A161" s="96" t="str">
        <f>'Data Vlaue (Cr)'!C152</f>
        <v>OBEROIRLTY</v>
      </c>
      <c r="B161" s="75">
        <f>VLOOKUP($A161,'Data Vlaue (Cr)'!$C:$FB,2)</f>
        <v>350</v>
      </c>
      <c r="C161" s="75">
        <f>VLOOKUP($A161,'Data Vlaue (Cr)'!$C:$FB,8)</f>
        <v>1694.9</v>
      </c>
      <c r="D161" s="75">
        <f>VLOOKUP($A161,'Data Vlaue (Cr)'!$C:$FB,4)</f>
        <v>1698.8</v>
      </c>
      <c r="E161" s="75">
        <f>VLOOKUP($A161,'Data Vlaue (Cr)'!$C:$FB,5)</f>
        <v>1713.1</v>
      </c>
      <c r="F161" s="75">
        <f t="shared" si="12"/>
        <v>3.8999999999998636</v>
      </c>
      <c r="G161" s="75">
        <f t="shared" si="13"/>
        <v>-0.84177066164351044</v>
      </c>
      <c r="H161" s="75">
        <f>VLOOKUP($A161,'Data Vlaue (Cr)'!$C:$FB,99)</f>
        <v>2054</v>
      </c>
      <c r="I161" s="75">
        <f>VLOOKUP($A161,'Data Vlaue (Cr)'!$C:$FB,100)</f>
        <v>2082</v>
      </c>
      <c r="J161" s="75">
        <f t="shared" si="14"/>
        <v>-28</v>
      </c>
      <c r="K161" s="75">
        <f t="shared" si="15"/>
        <v>-1.3631937682570594</v>
      </c>
      <c r="L161" s="75">
        <f>VLOOKUP($A161,'Data Vlaue (Cr)'!$C:$FB,67)</f>
        <v>277</v>
      </c>
      <c r="M161" s="75">
        <f>VLOOKUP($A161,'Data Vlaue (Cr)'!$C:$FB,68)</f>
        <v>282</v>
      </c>
      <c r="N161" s="75">
        <f t="shared" si="16"/>
        <v>-5</v>
      </c>
      <c r="O161" s="75">
        <f t="shared" si="17"/>
        <v>-1.8050541516245486</v>
      </c>
      <c r="P161" s="75">
        <f>VLOOKUP($A161,'Data Vlaue (Cr)'!$C:$FB,119)</f>
        <v>0.94</v>
      </c>
      <c r="Q161" s="75">
        <f>VLOOKUP($A161,'Data Vlaue (Cr)'!$C:$FB,122)*100</f>
        <v>1.08</v>
      </c>
      <c r="R161" s="75">
        <f>VLOOKUP($A161,'Data Vlaue (Cr)'!$C:$FB,125)</f>
        <v>1.25</v>
      </c>
      <c r="S161" s="75">
        <f>VLOOKUP($A161,'Data Vlaue (Cr)'!$C:$FB,128)*100</f>
        <v>50.6</v>
      </c>
    </row>
    <row r="162" spans="1:19" x14ac:dyDescent="0.25">
      <c r="A162" s="96" t="str">
        <f>'Data Vlaue (Cr)'!C153</f>
        <v>OFSS</v>
      </c>
      <c r="B162" s="75">
        <f>VLOOKUP($A162,'Data Vlaue (Cr)'!$C:$FB,2)</f>
        <v>75</v>
      </c>
      <c r="C162" s="75">
        <f>VLOOKUP($A162,'Data Vlaue (Cr)'!$C:$FB,8)</f>
        <v>8082.5</v>
      </c>
      <c r="D162" s="75">
        <f>VLOOKUP($A162,'Data Vlaue (Cr)'!$C:$FB,4)</f>
        <v>8106</v>
      </c>
      <c r="E162" s="75">
        <f>VLOOKUP($A162,'Data Vlaue (Cr)'!$C:$FB,5)</f>
        <v>8011.5</v>
      </c>
      <c r="F162" s="75">
        <f t="shared" si="12"/>
        <v>23.5</v>
      </c>
      <c r="G162" s="75">
        <f t="shared" si="13"/>
        <v>1.1658031088082901</v>
      </c>
      <c r="H162" s="75">
        <f>VLOOKUP($A162,'Data Vlaue (Cr)'!$C:$FB,99)</f>
        <v>2232</v>
      </c>
      <c r="I162" s="75">
        <f>VLOOKUP($A162,'Data Vlaue (Cr)'!$C:$FB,100)</f>
        <v>2081</v>
      </c>
      <c r="J162" s="75">
        <f t="shared" si="14"/>
        <v>151</v>
      </c>
      <c r="K162" s="75">
        <f t="shared" si="15"/>
        <v>6.7652329749103943</v>
      </c>
      <c r="L162" s="75">
        <f>VLOOKUP($A162,'Data Vlaue (Cr)'!$C:$FB,67)</f>
        <v>2095</v>
      </c>
      <c r="M162" s="75">
        <f>VLOOKUP($A162,'Data Vlaue (Cr)'!$C:$FB,68)</f>
        <v>2422</v>
      </c>
      <c r="N162" s="75">
        <f t="shared" si="16"/>
        <v>-327</v>
      </c>
      <c r="O162" s="75">
        <f t="shared" si="17"/>
        <v>-15.608591885441529</v>
      </c>
      <c r="P162" s="75">
        <f>VLOOKUP($A162,'Data Vlaue (Cr)'!$C:$FB,119)</f>
        <v>1.03</v>
      </c>
      <c r="Q162" s="75">
        <f>VLOOKUP($A162,'Data Vlaue (Cr)'!$C:$FB,122)*100</f>
        <v>-8.85</v>
      </c>
      <c r="R162" s="75">
        <f>VLOOKUP($A162,'Data Vlaue (Cr)'!$C:$FB,125)</f>
        <v>0.62</v>
      </c>
      <c r="S162" s="75">
        <f>VLOOKUP($A162,'Data Vlaue (Cr)'!$C:$FB,128)*100</f>
        <v>-26.19</v>
      </c>
    </row>
    <row r="163" spans="1:19" x14ac:dyDescent="0.25">
      <c r="A163" s="96" t="str">
        <f>'Data Vlaue (Cr)'!C154</f>
        <v>OIL</v>
      </c>
      <c r="B163" s="75">
        <f>VLOOKUP($A163,'Data Vlaue (Cr)'!$C:$FB,2)</f>
        <v>1400</v>
      </c>
      <c r="C163" s="75">
        <f>VLOOKUP($A163,'Data Vlaue (Cr)'!$C:$FB,8)</f>
        <v>471.7</v>
      </c>
      <c r="D163" s="75">
        <f>VLOOKUP($A163,'Data Vlaue (Cr)'!$C:$FB,4)</f>
        <v>471.35</v>
      </c>
      <c r="E163" s="75">
        <f>VLOOKUP($A163,'Data Vlaue (Cr)'!$C:$FB,5)</f>
        <v>470.6</v>
      </c>
      <c r="F163" s="75">
        <f t="shared" si="12"/>
        <v>-0.34999999999996589</v>
      </c>
      <c r="G163" s="75">
        <f t="shared" si="13"/>
        <v>0.15911742866235282</v>
      </c>
      <c r="H163" s="75">
        <f>VLOOKUP($A163,'Data Vlaue (Cr)'!$C:$FB,99)</f>
        <v>1668</v>
      </c>
      <c r="I163" s="75">
        <f>VLOOKUP($A163,'Data Vlaue (Cr)'!$C:$FB,100)</f>
        <v>1769</v>
      </c>
      <c r="J163" s="75">
        <f t="shared" si="14"/>
        <v>-101</v>
      </c>
      <c r="K163" s="75">
        <f t="shared" si="15"/>
        <v>-6.0551558752997598</v>
      </c>
      <c r="L163" s="75">
        <f>VLOOKUP($A163,'Data Vlaue (Cr)'!$C:$FB,67)</f>
        <v>748</v>
      </c>
      <c r="M163" s="75">
        <f>VLOOKUP($A163,'Data Vlaue (Cr)'!$C:$FB,68)</f>
        <v>734</v>
      </c>
      <c r="N163" s="75">
        <f t="shared" si="16"/>
        <v>14</v>
      </c>
      <c r="O163" s="75">
        <f t="shared" si="17"/>
        <v>1.8716577540106951</v>
      </c>
      <c r="P163" s="75">
        <f>VLOOKUP($A163,'Data Vlaue (Cr)'!$C:$FB,119)</f>
        <v>0.45</v>
      </c>
      <c r="Q163" s="75">
        <f>VLOOKUP($A163,'Data Vlaue (Cr)'!$C:$FB,122)*100</f>
        <v>2.27</v>
      </c>
      <c r="R163" s="75">
        <f>VLOOKUP($A163,'Data Vlaue (Cr)'!$C:$FB,125)</f>
        <v>0.3</v>
      </c>
      <c r="S163" s="75">
        <f>VLOOKUP($A163,'Data Vlaue (Cr)'!$C:$FB,128)*100</f>
        <v>-6.25</v>
      </c>
    </row>
    <row r="164" spans="1:19" x14ac:dyDescent="0.25">
      <c r="A164" s="96" t="str">
        <f>'Data Vlaue (Cr)'!C155</f>
        <v>ONGC</v>
      </c>
      <c r="B164" s="75">
        <f>VLOOKUP($A164,'Data Vlaue (Cr)'!$C:$FB,2)</f>
        <v>2250</v>
      </c>
      <c r="C164" s="75">
        <f>VLOOKUP($A164,'Data Vlaue (Cr)'!$C:$FB,8)</f>
        <v>283.35000000000002</v>
      </c>
      <c r="D164" s="75">
        <f>VLOOKUP($A164,'Data Vlaue (Cr)'!$C:$FB,4)</f>
        <v>284</v>
      </c>
      <c r="E164" s="75">
        <f>VLOOKUP($A164,'Data Vlaue (Cr)'!$C:$FB,5)</f>
        <v>284.89999999999998</v>
      </c>
      <c r="F164" s="75">
        <f t="shared" si="12"/>
        <v>0.64999999999997726</v>
      </c>
      <c r="G164" s="75">
        <f t="shared" si="13"/>
        <v>-0.3169014084506962</v>
      </c>
      <c r="H164" s="75">
        <f>VLOOKUP($A164,'Data Vlaue (Cr)'!$C:$FB,99)</f>
        <v>6512</v>
      </c>
      <c r="I164" s="75">
        <f>VLOOKUP($A164,'Data Vlaue (Cr)'!$C:$FB,100)</f>
        <v>6528</v>
      </c>
      <c r="J164" s="75">
        <f t="shared" si="14"/>
        <v>-16</v>
      </c>
      <c r="K164" s="75">
        <f t="shared" si="15"/>
        <v>-0.24570024570024571</v>
      </c>
      <c r="L164" s="75">
        <f>VLOOKUP($A164,'Data Vlaue (Cr)'!$C:$FB,67)</f>
        <v>2643</v>
      </c>
      <c r="M164" s="75">
        <f>VLOOKUP($A164,'Data Vlaue (Cr)'!$C:$FB,68)</f>
        <v>2686</v>
      </c>
      <c r="N164" s="75">
        <f t="shared" si="16"/>
        <v>-43</v>
      </c>
      <c r="O164" s="75">
        <f t="shared" si="17"/>
        <v>-1.6269390843738174</v>
      </c>
      <c r="P164" s="75">
        <f>VLOOKUP($A164,'Data Vlaue (Cr)'!$C:$FB,119)</f>
        <v>0.38</v>
      </c>
      <c r="Q164" s="75">
        <f>VLOOKUP($A164,'Data Vlaue (Cr)'!$C:$FB,122)*100</f>
        <v>2.7</v>
      </c>
      <c r="R164" s="75">
        <f>VLOOKUP($A164,'Data Vlaue (Cr)'!$C:$FB,125)</f>
        <v>0.33</v>
      </c>
      <c r="S164" s="75">
        <f>VLOOKUP($A164,'Data Vlaue (Cr)'!$C:$FB,128)*100</f>
        <v>-25</v>
      </c>
    </row>
    <row r="165" spans="1:19" x14ac:dyDescent="0.25">
      <c r="A165" s="96" t="str">
        <f>'Data Vlaue (Cr)'!C156</f>
        <v>PAGEIND</v>
      </c>
      <c r="B165" s="75">
        <f>VLOOKUP($A165,'Data Vlaue (Cr)'!$C:$FB,2)</f>
        <v>15</v>
      </c>
      <c r="C165" s="75">
        <f>VLOOKUP($A165,'Data Vlaue (Cr)'!$C:$FB,8)</f>
        <v>38405</v>
      </c>
      <c r="D165" s="75">
        <f>VLOOKUP($A165,'Data Vlaue (Cr)'!$C:$FB,4)</f>
        <v>38365</v>
      </c>
      <c r="E165" s="75">
        <f>VLOOKUP($A165,'Data Vlaue (Cr)'!$C:$FB,5)</f>
        <v>37930</v>
      </c>
      <c r="F165" s="75">
        <f t="shared" si="12"/>
        <v>-40</v>
      </c>
      <c r="G165" s="75">
        <f t="shared" si="13"/>
        <v>1.1338459533428908</v>
      </c>
      <c r="H165" s="75">
        <f>VLOOKUP($A165,'Data Vlaue (Cr)'!$C:$FB,99)</f>
        <v>1946</v>
      </c>
      <c r="I165" s="75">
        <f>VLOOKUP($A165,'Data Vlaue (Cr)'!$C:$FB,100)</f>
        <v>1931</v>
      </c>
      <c r="J165" s="75">
        <f t="shared" si="14"/>
        <v>15</v>
      </c>
      <c r="K165" s="75">
        <f t="shared" si="15"/>
        <v>0.77081192189105863</v>
      </c>
      <c r="L165" s="75">
        <f>VLOOKUP($A165,'Data Vlaue (Cr)'!$C:$FB,67)</f>
        <v>959</v>
      </c>
      <c r="M165" s="75">
        <f>VLOOKUP($A165,'Data Vlaue (Cr)'!$C:$FB,68)</f>
        <v>1355</v>
      </c>
      <c r="N165" s="75">
        <f t="shared" si="16"/>
        <v>-396</v>
      </c>
      <c r="O165" s="75">
        <f t="shared" si="17"/>
        <v>-41.293013555787276</v>
      </c>
      <c r="P165" s="75">
        <f>VLOOKUP($A165,'Data Vlaue (Cr)'!$C:$FB,119)</f>
        <v>1.26</v>
      </c>
      <c r="Q165" s="75">
        <f>VLOOKUP($A165,'Data Vlaue (Cr)'!$C:$FB,122)*100</f>
        <v>15.6</v>
      </c>
      <c r="R165" s="75">
        <f>VLOOKUP($A165,'Data Vlaue (Cr)'!$C:$FB,125)</f>
        <v>1.85</v>
      </c>
      <c r="S165" s="75">
        <f>VLOOKUP($A165,'Data Vlaue (Cr)'!$C:$FB,128)*100</f>
        <v>203.28</v>
      </c>
    </row>
    <row r="166" spans="1:19" x14ac:dyDescent="0.25">
      <c r="A166" s="96" t="str">
        <f>'Data Vlaue (Cr)'!C157</f>
        <v>PATANJALI</v>
      </c>
      <c r="B166" s="75">
        <f>VLOOKUP($A166,'Data Vlaue (Cr)'!$C:$FB,2)</f>
        <v>900</v>
      </c>
      <c r="C166" s="75">
        <f>VLOOKUP($A166,'Data Vlaue (Cr)'!$C:$FB,8)</f>
        <v>459.65</v>
      </c>
      <c r="D166" s="75">
        <f>VLOOKUP($A166,'Data Vlaue (Cr)'!$C:$FB,4)</f>
        <v>459.5</v>
      </c>
      <c r="E166" s="75">
        <f>VLOOKUP($A166,'Data Vlaue (Cr)'!$C:$FB,5)</f>
        <v>469</v>
      </c>
      <c r="F166" s="75">
        <f t="shared" si="12"/>
        <v>-0.14999999999997726</v>
      </c>
      <c r="G166" s="75">
        <f t="shared" si="13"/>
        <v>-2.0674646354733408</v>
      </c>
      <c r="H166" s="75">
        <f>VLOOKUP($A166,'Data Vlaue (Cr)'!$C:$FB,99)</f>
        <v>2013</v>
      </c>
      <c r="I166" s="75">
        <f>VLOOKUP($A166,'Data Vlaue (Cr)'!$C:$FB,100)</f>
        <v>1962</v>
      </c>
      <c r="J166" s="75">
        <f t="shared" si="14"/>
        <v>51</v>
      </c>
      <c r="K166" s="75">
        <f t="shared" si="15"/>
        <v>2.5335320417287628</v>
      </c>
      <c r="L166" s="75">
        <f>VLOOKUP($A166,'Data Vlaue (Cr)'!$C:$FB,67)</f>
        <v>448</v>
      </c>
      <c r="M166" s="75">
        <f>VLOOKUP($A166,'Data Vlaue (Cr)'!$C:$FB,68)</f>
        <v>948</v>
      </c>
      <c r="N166" s="75">
        <f t="shared" si="16"/>
        <v>-500</v>
      </c>
      <c r="O166" s="75">
        <f t="shared" si="17"/>
        <v>-111.60714285714286</v>
      </c>
      <c r="P166" s="75">
        <f>VLOOKUP($A166,'Data Vlaue (Cr)'!$C:$FB,119)</f>
        <v>0.54</v>
      </c>
      <c r="Q166" s="75">
        <f>VLOOKUP($A166,'Data Vlaue (Cr)'!$C:$FB,122)*100</f>
        <v>-8.4699999999999989</v>
      </c>
      <c r="R166" s="75">
        <f>VLOOKUP($A166,'Data Vlaue (Cr)'!$C:$FB,125)</f>
        <v>0.33</v>
      </c>
      <c r="S166" s="75">
        <f>VLOOKUP($A166,'Data Vlaue (Cr)'!$C:$FB,128)*100</f>
        <v>57.14</v>
      </c>
    </row>
    <row r="167" spans="1:19" x14ac:dyDescent="0.25">
      <c r="A167" s="96" t="str">
        <f>'Data Vlaue (Cr)'!C158</f>
        <v>PAYTM</v>
      </c>
      <c r="B167" s="75">
        <f>VLOOKUP($A167,'Data Vlaue (Cr)'!$C:$FB,2)</f>
        <v>725</v>
      </c>
      <c r="C167" s="75">
        <f>VLOOKUP($A167,'Data Vlaue (Cr)'!$C:$FB,8)</f>
        <v>1161.3499999999999</v>
      </c>
      <c r="D167" s="75">
        <f>VLOOKUP($A167,'Data Vlaue (Cr)'!$C:$FB,4)</f>
        <v>1162.7</v>
      </c>
      <c r="E167" s="75">
        <f>VLOOKUP($A167,'Data Vlaue (Cr)'!$C:$FB,5)</f>
        <v>1161.7</v>
      </c>
      <c r="F167" s="75">
        <f t="shared" si="12"/>
        <v>1.3500000000001364</v>
      </c>
      <c r="G167" s="75">
        <f t="shared" si="13"/>
        <v>8.6006708523264808E-2</v>
      </c>
      <c r="H167" s="75">
        <f>VLOOKUP($A167,'Data Vlaue (Cr)'!$C:$FB,99)</f>
        <v>3288</v>
      </c>
      <c r="I167" s="75">
        <f>VLOOKUP($A167,'Data Vlaue (Cr)'!$C:$FB,100)</f>
        <v>3266</v>
      </c>
      <c r="J167" s="75">
        <f t="shared" si="14"/>
        <v>22</v>
      </c>
      <c r="K167" s="75">
        <f t="shared" si="15"/>
        <v>0.66909975669099753</v>
      </c>
      <c r="L167" s="75">
        <f>VLOOKUP($A167,'Data Vlaue (Cr)'!$C:$FB,67)</f>
        <v>1346</v>
      </c>
      <c r="M167" s="75">
        <f>VLOOKUP($A167,'Data Vlaue (Cr)'!$C:$FB,68)</f>
        <v>1556</v>
      </c>
      <c r="N167" s="75">
        <f t="shared" si="16"/>
        <v>-210</v>
      </c>
      <c r="O167" s="75">
        <f t="shared" si="17"/>
        <v>-15.601783060921248</v>
      </c>
      <c r="P167" s="75">
        <f>VLOOKUP($A167,'Data Vlaue (Cr)'!$C:$FB,119)</f>
        <v>0.98</v>
      </c>
      <c r="Q167" s="75">
        <f>VLOOKUP($A167,'Data Vlaue (Cr)'!$C:$FB,122)*100</f>
        <v>2.08</v>
      </c>
      <c r="R167" s="75">
        <f>VLOOKUP($A167,'Data Vlaue (Cr)'!$C:$FB,125)</f>
        <v>0.78</v>
      </c>
      <c r="S167" s="75">
        <f>VLOOKUP($A167,'Data Vlaue (Cr)'!$C:$FB,128)*100</f>
        <v>8.33</v>
      </c>
    </row>
    <row r="168" spans="1:19" x14ac:dyDescent="0.25">
      <c r="A168" s="96" t="str">
        <f>'Data Vlaue (Cr)'!C159</f>
        <v>PERSISTENT</v>
      </c>
      <c r="B168" s="75">
        <f>VLOOKUP($A168,'Data Vlaue (Cr)'!$C:$FB,2)</f>
        <v>100</v>
      </c>
      <c r="C168" s="75">
        <f>VLOOKUP($A168,'Data Vlaue (Cr)'!$C:$FB,8)</f>
        <v>5325.2</v>
      </c>
      <c r="D168" s="75">
        <f>VLOOKUP($A168,'Data Vlaue (Cr)'!$C:$FB,4)</f>
        <v>5330.4</v>
      </c>
      <c r="E168" s="75">
        <f>VLOOKUP($A168,'Data Vlaue (Cr)'!$C:$FB,5)</f>
        <v>5452.2</v>
      </c>
      <c r="F168" s="75">
        <f t="shared" si="12"/>
        <v>5.1999999999998181</v>
      </c>
      <c r="G168" s="75">
        <f t="shared" si="13"/>
        <v>-2.2850067537145464</v>
      </c>
      <c r="H168" s="75">
        <f>VLOOKUP($A168,'Data Vlaue (Cr)'!$C:$FB,99)</f>
        <v>4562</v>
      </c>
      <c r="I168" s="75">
        <f>VLOOKUP($A168,'Data Vlaue (Cr)'!$C:$FB,100)</f>
        <v>4455</v>
      </c>
      <c r="J168" s="75">
        <f t="shared" si="14"/>
        <v>107</v>
      </c>
      <c r="K168" s="75">
        <f t="shared" si="15"/>
        <v>2.3454625164401577</v>
      </c>
      <c r="L168" s="75">
        <f>VLOOKUP($A168,'Data Vlaue (Cr)'!$C:$FB,67)</f>
        <v>3992</v>
      </c>
      <c r="M168" s="75">
        <f>VLOOKUP($A168,'Data Vlaue (Cr)'!$C:$FB,68)</f>
        <v>2935</v>
      </c>
      <c r="N168" s="75">
        <f t="shared" si="16"/>
        <v>1057</v>
      </c>
      <c r="O168" s="75">
        <f t="shared" si="17"/>
        <v>26.477955911823649</v>
      </c>
      <c r="P168" s="75">
        <f>VLOOKUP($A168,'Data Vlaue (Cr)'!$C:$FB,119)</f>
        <v>0.79</v>
      </c>
      <c r="Q168" s="75">
        <f>VLOOKUP($A168,'Data Vlaue (Cr)'!$C:$FB,122)*100</f>
        <v>-17.71</v>
      </c>
      <c r="R168" s="75">
        <f>VLOOKUP($A168,'Data Vlaue (Cr)'!$C:$FB,125)</f>
        <v>0.63</v>
      </c>
      <c r="S168" s="75">
        <f>VLOOKUP($A168,'Data Vlaue (Cr)'!$C:$FB,128)*100</f>
        <v>-22.220000000000002</v>
      </c>
    </row>
    <row r="169" spans="1:19" x14ac:dyDescent="0.25">
      <c r="A169" s="96" t="str">
        <f>'Data Vlaue (Cr)'!C160</f>
        <v>PETRONET</v>
      </c>
      <c r="B169" s="75">
        <f>VLOOKUP($A169,'Data Vlaue (Cr)'!$C:$FB,2)</f>
        <v>1900</v>
      </c>
      <c r="C169" s="75">
        <f>VLOOKUP($A169,'Data Vlaue (Cr)'!$C:$FB,8)</f>
        <v>272.13</v>
      </c>
      <c r="D169" s="75">
        <f>VLOOKUP($A169,'Data Vlaue (Cr)'!$C:$FB,4)</f>
        <v>272.26</v>
      </c>
      <c r="E169" s="75">
        <f>VLOOKUP($A169,'Data Vlaue (Cr)'!$C:$FB,5)</f>
        <v>273.19</v>
      </c>
      <c r="F169" s="75">
        <f t="shared" si="12"/>
        <v>0.12999999999999545</v>
      </c>
      <c r="G169" s="75">
        <f t="shared" si="13"/>
        <v>-0.34158524939396417</v>
      </c>
      <c r="H169" s="75">
        <f>VLOOKUP($A169,'Data Vlaue (Cr)'!$C:$FB,99)</f>
        <v>1651</v>
      </c>
      <c r="I169" s="75">
        <f>VLOOKUP($A169,'Data Vlaue (Cr)'!$C:$FB,100)</f>
        <v>1682</v>
      </c>
      <c r="J169" s="75">
        <f t="shared" si="14"/>
        <v>-31</v>
      </c>
      <c r="K169" s="75">
        <f t="shared" si="15"/>
        <v>-1.877649909145972</v>
      </c>
      <c r="L169" s="75">
        <f>VLOOKUP($A169,'Data Vlaue (Cr)'!$C:$FB,67)</f>
        <v>249</v>
      </c>
      <c r="M169" s="75">
        <f>VLOOKUP($A169,'Data Vlaue (Cr)'!$C:$FB,68)</f>
        <v>336</v>
      </c>
      <c r="N169" s="75">
        <f t="shared" si="16"/>
        <v>-87</v>
      </c>
      <c r="O169" s="75">
        <f t="shared" si="17"/>
        <v>-34.939759036144579</v>
      </c>
      <c r="P169" s="75">
        <f>VLOOKUP($A169,'Data Vlaue (Cr)'!$C:$FB,119)</f>
        <v>0.65</v>
      </c>
      <c r="Q169" s="75">
        <f>VLOOKUP($A169,'Data Vlaue (Cr)'!$C:$FB,122)*100</f>
        <v>1.5599999999999998</v>
      </c>
      <c r="R169" s="75">
        <f>VLOOKUP($A169,'Data Vlaue (Cr)'!$C:$FB,125)</f>
        <v>0.48</v>
      </c>
      <c r="S169" s="75">
        <f>VLOOKUP($A169,'Data Vlaue (Cr)'!$C:$FB,128)*100</f>
        <v>9.09</v>
      </c>
    </row>
    <row r="170" spans="1:19" x14ac:dyDescent="0.25">
      <c r="A170" s="96" t="str">
        <f>'Data Vlaue (Cr)'!C161</f>
        <v>PFC</v>
      </c>
      <c r="B170" s="75">
        <f>VLOOKUP($A170,'Data Vlaue (Cr)'!$C:$FB,2)</f>
        <v>1300</v>
      </c>
      <c r="C170" s="75">
        <f>VLOOKUP($A170,'Data Vlaue (Cr)'!$C:$FB,8)</f>
        <v>472.85</v>
      </c>
      <c r="D170" s="75">
        <f>VLOOKUP($A170,'Data Vlaue (Cr)'!$C:$FB,4)</f>
        <v>474.3</v>
      </c>
      <c r="E170" s="75">
        <f>VLOOKUP($A170,'Data Vlaue (Cr)'!$C:$FB,5)</f>
        <v>466</v>
      </c>
      <c r="F170" s="75">
        <f t="shared" si="12"/>
        <v>1.4499999999999886</v>
      </c>
      <c r="G170" s="75">
        <f t="shared" si="13"/>
        <v>1.749947290744257</v>
      </c>
      <c r="H170" s="75">
        <f>VLOOKUP($A170,'Data Vlaue (Cr)'!$C:$FB,99)</f>
        <v>5193</v>
      </c>
      <c r="I170" s="75">
        <f>VLOOKUP($A170,'Data Vlaue (Cr)'!$C:$FB,100)</f>
        <v>4984</v>
      </c>
      <c r="J170" s="75">
        <f t="shared" si="14"/>
        <v>209</v>
      </c>
      <c r="K170" s="75">
        <f t="shared" si="15"/>
        <v>4.0246485653764683</v>
      </c>
      <c r="L170" s="75">
        <f>VLOOKUP($A170,'Data Vlaue (Cr)'!$C:$FB,67)</f>
        <v>5567</v>
      </c>
      <c r="M170" s="75">
        <f>VLOOKUP($A170,'Data Vlaue (Cr)'!$C:$FB,68)</f>
        <v>4174</v>
      </c>
      <c r="N170" s="75">
        <f t="shared" si="16"/>
        <v>1393</v>
      </c>
      <c r="O170" s="75">
        <f t="shared" si="17"/>
        <v>25.022453745284711</v>
      </c>
      <c r="P170" s="75">
        <f>VLOOKUP($A170,'Data Vlaue (Cr)'!$C:$FB,119)</f>
        <v>0.84</v>
      </c>
      <c r="Q170" s="75">
        <f>VLOOKUP($A170,'Data Vlaue (Cr)'!$C:$FB,122)*100</f>
        <v>15.07</v>
      </c>
      <c r="R170" s="75">
        <f>VLOOKUP($A170,'Data Vlaue (Cr)'!$C:$FB,125)</f>
        <v>0.56999999999999995</v>
      </c>
      <c r="S170" s="75">
        <f>VLOOKUP($A170,'Data Vlaue (Cr)'!$C:$FB,128)*100</f>
        <v>9.6199999999999992</v>
      </c>
    </row>
    <row r="171" spans="1:19" x14ac:dyDescent="0.25">
      <c r="A171" s="96" t="str">
        <f>'Data Vlaue (Cr)'!C162</f>
        <v>PGEL</v>
      </c>
      <c r="B171" s="75">
        <f>VLOOKUP($A171,'Data Vlaue (Cr)'!$C:$FB,2)</f>
        <v>950</v>
      </c>
      <c r="C171" s="75">
        <f>VLOOKUP($A171,'Data Vlaue (Cr)'!$C:$FB,8)</f>
        <v>559.04999999999995</v>
      </c>
      <c r="D171" s="75">
        <f>VLOOKUP($A171,'Data Vlaue (Cr)'!$C:$FB,4)</f>
        <v>560.35</v>
      </c>
      <c r="E171" s="75">
        <f>VLOOKUP($A171,'Data Vlaue (Cr)'!$C:$FB,5)</f>
        <v>562.65</v>
      </c>
      <c r="F171" s="75">
        <f t="shared" si="12"/>
        <v>1.3000000000000682</v>
      </c>
      <c r="G171" s="75">
        <f t="shared" si="13"/>
        <v>-0.41045774962076459</v>
      </c>
      <c r="H171" s="75">
        <f>VLOOKUP($A171,'Data Vlaue (Cr)'!$C:$FB,99)</f>
        <v>1916</v>
      </c>
      <c r="I171" s="75">
        <f>VLOOKUP($A171,'Data Vlaue (Cr)'!$C:$FB,100)</f>
        <v>1937</v>
      </c>
      <c r="J171" s="75">
        <f t="shared" si="14"/>
        <v>-21</v>
      </c>
      <c r="K171" s="75">
        <f t="shared" si="15"/>
        <v>-1.0960334029227559</v>
      </c>
      <c r="L171" s="75">
        <f>VLOOKUP($A171,'Data Vlaue (Cr)'!$C:$FB,67)</f>
        <v>986</v>
      </c>
      <c r="M171" s="75">
        <f>VLOOKUP($A171,'Data Vlaue (Cr)'!$C:$FB,68)</f>
        <v>1370</v>
      </c>
      <c r="N171" s="75">
        <f t="shared" si="16"/>
        <v>-384</v>
      </c>
      <c r="O171" s="75">
        <f t="shared" si="17"/>
        <v>-38.945233265720077</v>
      </c>
      <c r="P171" s="75">
        <f>VLOOKUP($A171,'Data Vlaue (Cr)'!$C:$FB,119)</f>
        <v>1.17</v>
      </c>
      <c r="Q171" s="75">
        <f>VLOOKUP($A171,'Data Vlaue (Cr)'!$C:$FB,122)*100</f>
        <v>-0.85000000000000009</v>
      </c>
      <c r="R171" s="75">
        <f>VLOOKUP($A171,'Data Vlaue (Cr)'!$C:$FB,125)</f>
        <v>0.98</v>
      </c>
      <c r="S171" s="75">
        <f>VLOOKUP($A171,'Data Vlaue (Cr)'!$C:$FB,128)*100</f>
        <v>-2.97</v>
      </c>
    </row>
    <row r="172" spans="1:19" x14ac:dyDescent="0.25">
      <c r="A172" s="96" t="str">
        <f>'Data Vlaue (Cr)'!C163</f>
        <v>PHOENIXLTD</v>
      </c>
      <c r="B172" s="75">
        <f>VLOOKUP($A172,'Data Vlaue (Cr)'!$C:$FB,2)</f>
        <v>350</v>
      </c>
      <c r="C172" s="75">
        <f>VLOOKUP($A172,'Data Vlaue (Cr)'!$C:$FB,8)</f>
        <v>1767.9</v>
      </c>
      <c r="D172" s="75">
        <f>VLOOKUP($A172,'Data Vlaue (Cr)'!$C:$FB,4)</f>
        <v>1772.5</v>
      </c>
      <c r="E172" s="75">
        <f>VLOOKUP($A172,'Data Vlaue (Cr)'!$C:$FB,5)</f>
        <v>1798.6</v>
      </c>
      <c r="F172" s="75">
        <f t="shared" si="12"/>
        <v>4.5999999999999091</v>
      </c>
      <c r="G172" s="75">
        <f t="shared" si="13"/>
        <v>-1.472496473906906</v>
      </c>
      <c r="H172" s="75">
        <f>VLOOKUP($A172,'Data Vlaue (Cr)'!$C:$FB,99)</f>
        <v>928</v>
      </c>
      <c r="I172" s="75">
        <f>VLOOKUP($A172,'Data Vlaue (Cr)'!$C:$FB,100)</f>
        <v>914</v>
      </c>
      <c r="J172" s="75">
        <f t="shared" si="14"/>
        <v>14</v>
      </c>
      <c r="K172" s="75">
        <f t="shared" si="15"/>
        <v>1.5086206896551724</v>
      </c>
      <c r="L172" s="75">
        <f>VLOOKUP($A172,'Data Vlaue (Cr)'!$C:$FB,67)</f>
        <v>203</v>
      </c>
      <c r="M172" s="75">
        <f>VLOOKUP($A172,'Data Vlaue (Cr)'!$C:$FB,68)</f>
        <v>172</v>
      </c>
      <c r="N172" s="75">
        <f t="shared" si="16"/>
        <v>31</v>
      </c>
      <c r="O172" s="75">
        <f t="shared" si="17"/>
        <v>15.270935960591133</v>
      </c>
      <c r="P172" s="75">
        <f>VLOOKUP($A172,'Data Vlaue (Cr)'!$C:$FB,119)</f>
        <v>0.8</v>
      </c>
      <c r="Q172" s="75">
        <f>VLOOKUP($A172,'Data Vlaue (Cr)'!$C:$FB,122)*100</f>
        <v>-6.98</v>
      </c>
      <c r="R172" s="75">
        <f>VLOOKUP($A172,'Data Vlaue (Cr)'!$C:$FB,125)</f>
        <v>0.95</v>
      </c>
      <c r="S172" s="75">
        <f>VLOOKUP($A172,'Data Vlaue (Cr)'!$C:$FB,128)*100</f>
        <v>31.94</v>
      </c>
    </row>
    <row r="173" spans="1:19" x14ac:dyDescent="0.25">
      <c r="A173" s="96" t="str">
        <f>'Data Vlaue (Cr)'!C164</f>
        <v>PIDILITIND</v>
      </c>
      <c r="B173" s="75">
        <f>VLOOKUP($A173,'Data Vlaue (Cr)'!$C:$FB,2)</f>
        <v>500</v>
      </c>
      <c r="C173" s="75">
        <f>VLOOKUP($A173,'Data Vlaue (Cr)'!$C:$FB,8)</f>
        <v>1390.5</v>
      </c>
      <c r="D173" s="75">
        <f>VLOOKUP($A173,'Data Vlaue (Cr)'!$C:$FB,4)</f>
        <v>1393.3</v>
      </c>
      <c r="E173" s="75">
        <f>VLOOKUP($A173,'Data Vlaue (Cr)'!$C:$FB,5)</f>
        <v>1396.9</v>
      </c>
      <c r="F173" s="75">
        <f t="shared" si="12"/>
        <v>2.7999999999999545</v>
      </c>
      <c r="G173" s="75">
        <f t="shared" si="13"/>
        <v>-0.25837938706668601</v>
      </c>
      <c r="H173" s="75">
        <f>VLOOKUP($A173,'Data Vlaue (Cr)'!$C:$FB,99)</f>
        <v>1585</v>
      </c>
      <c r="I173" s="75">
        <f>VLOOKUP($A173,'Data Vlaue (Cr)'!$C:$FB,100)</f>
        <v>1617</v>
      </c>
      <c r="J173" s="75">
        <f t="shared" si="14"/>
        <v>-32</v>
      </c>
      <c r="K173" s="75">
        <f t="shared" si="15"/>
        <v>-2.018927444794953</v>
      </c>
      <c r="L173" s="75">
        <f>VLOOKUP($A173,'Data Vlaue (Cr)'!$C:$FB,67)</f>
        <v>487</v>
      </c>
      <c r="M173" s="75">
        <f>VLOOKUP($A173,'Data Vlaue (Cr)'!$C:$FB,68)</f>
        <v>1945</v>
      </c>
      <c r="N173" s="75">
        <f t="shared" si="16"/>
        <v>-1458</v>
      </c>
      <c r="O173" s="75">
        <f t="shared" si="17"/>
        <v>-299.38398357289526</v>
      </c>
      <c r="P173" s="75">
        <f>VLOOKUP($A173,'Data Vlaue (Cr)'!$C:$FB,119)</f>
        <v>0.66</v>
      </c>
      <c r="Q173" s="75">
        <f>VLOOKUP($A173,'Data Vlaue (Cr)'!$C:$FB,122)*100</f>
        <v>0</v>
      </c>
      <c r="R173" s="75">
        <f>VLOOKUP($A173,'Data Vlaue (Cr)'!$C:$FB,125)</f>
        <v>0.61</v>
      </c>
      <c r="S173" s="75">
        <f>VLOOKUP($A173,'Data Vlaue (Cr)'!$C:$FB,128)*100</f>
        <v>84.850000000000009</v>
      </c>
    </row>
    <row r="174" spans="1:19" x14ac:dyDescent="0.25">
      <c r="A174" s="96" t="str">
        <f>'Data Vlaue (Cr)'!C165</f>
        <v>PIIND</v>
      </c>
      <c r="B174" s="75">
        <f>VLOOKUP($A174,'Data Vlaue (Cr)'!$C:$FB,2)</f>
        <v>175</v>
      </c>
      <c r="C174" s="75">
        <f>VLOOKUP($A174,'Data Vlaue (Cr)'!$C:$FB,8)</f>
        <v>3037</v>
      </c>
      <c r="D174" s="75">
        <f>VLOOKUP($A174,'Data Vlaue (Cr)'!$C:$FB,4)</f>
        <v>3020.8</v>
      </c>
      <c r="E174" s="75">
        <f>VLOOKUP($A174,'Data Vlaue (Cr)'!$C:$FB,5)</f>
        <v>3116.8</v>
      </c>
      <c r="F174" s="75">
        <f t="shared" si="12"/>
        <v>-16.199999999999818</v>
      </c>
      <c r="G174" s="75">
        <f t="shared" si="13"/>
        <v>-3.1779661016949152</v>
      </c>
      <c r="H174" s="75">
        <f>VLOOKUP($A174,'Data Vlaue (Cr)'!$C:$FB,99)</f>
        <v>1254</v>
      </c>
      <c r="I174" s="75">
        <f>VLOOKUP($A174,'Data Vlaue (Cr)'!$C:$FB,100)</f>
        <v>1213</v>
      </c>
      <c r="J174" s="75">
        <f t="shared" si="14"/>
        <v>41</v>
      </c>
      <c r="K174" s="75">
        <f t="shared" si="15"/>
        <v>3.269537480063796</v>
      </c>
      <c r="L174" s="75">
        <f>VLOOKUP($A174,'Data Vlaue (Cr)'!$C:$FB,67)</f>
        <v>500</v>
      </c>
      <c r="M174" s="75">
        <f>VLOOKUP($A174,'Data Vlaue (Cr)'!$C:$FB,68)</f>
        <v>644</v>
      </c>
      <c r="N174" s="75">
        <f t="shared" si="16"/>
        <v>-144</v>
      </c>
      <c r="O174" s="75">
        <f t="shared" si="17"/>
        <v>-28.799999999999997</v>
      </c>
      <c r="P174" s="75">
        <f>VLOOKUP($A174,'Data Vlaue (Cr)'!$C:$FB,119)</f>
        <v>0.85</v>
      </c>
      <c r="Q174" s="75">
        <f>VLOOKUP($A174,'Data Vlaue (Cr)'!$C:$FB,122)*100</f>
        <v>-15.840000000000002</v>
      </c>
      <c r="R174" s="75">
        <f>VLOOKUP($A174,'Data Vlaue (Cr)'!$C:$FB,125)</f>
        <v>0.82</v>
      </c>
      <c r="S174" s="75">
        <f>VLOOKUP($A174,'Data Vlaue (Cr)'!$C:$FB,128)*100</f>
        <v>43.86</v>
      </c>
    </row>
    <row r="175" spans="1:19" x14ac:dyDescent="0.25">
      <c r="A175" s="96" t="str">
        <f>'Data Vlaue (Cr)'!C166</f>
        <v>PNB</v>
      </c>
      <c r="B175" s="75">
        <f>VLOOKUP($A175,'Data Vlaue (Cr)'!$C:$FB,2)</f>
        <v>8000</v>
      </c>
      <c r="C175" s="75">
        <f>VLOOKUP($A175,'Data Vlaue (Cr)'!$C:$FB,8)</f>
        <v>113.74</v>
      </c>
      <c r="D175" s="75">
        <f>VLOOKUP($A175,'Data Vlaue (Cr)'!$C:$FB,4)</f>
        <v>113.9</v>
      </c>
      <c r="E175" s="75">
        <f>VLOOKUP($A175,'Data Vlaue (Cr)'!$C:$FB,5)</f>
        <v>114.73</v>
      </c>
      <c r="F175" s="75">
        <f t="shared" si="12"/>
        <v>0.1600000000000108</v>
      </c>
      <c r="G175" s="75">
        <f t="shared" si="13"/>
        <v>-0.7287093942054419</v>
      </c>
      <c r="H175" s="75">
        <f>VLOOKUP($A175,'Data Vlaue (Cr)'!$C:$FB,99)</f>
        <v>4806</v>
      </c>
      <c r="I175" s="75">
        <f>VLOOKUP($A175,'Data Vlaue (Cr)'!$C:$FB,100)</f>
        <v>4838</v>
      </c>
      <c r="J175" s="75">
        <f t="shared" si="14"/>
        <v>-32</v>
      </c>
      <c r="K175" s="75">
        <f t="shared" si="15"/>
        <v>-0.66583437369954224</v>
      </c>
      <c r="L175" s="75">
        <f>VLOOKUP($A175,'Data Vlaue (Cr)'!$C:$FB,67)</f>
        <v>2178</v>
      </c>
      <c r="M175" s="75">
        <f>VLOOKUP($A175,'Data Vlaue (Cr)'!$C:$FB,68)</f>
        <v>1977</v>
      </c>
      <c r="N175" s="75">
        <f t="shared" si="16"/>
        <v>201</v>
      </c>
      <c r="O175" s="75">
        <f t="shared" si="17"/>
        <v>9.228650137741047</v>
      </c>
      <c r="P175" s="75">
        <f>VLOOKUP($A175,'Data Vlaue (Cr)'!$C:$FB,119)</f>
        <v>0.87</v>
      </c>
      <c r="Q175" s="75">
        <f>VLOOKUP($A175,'Data Vlaue (Cr)'!$C:$FB,122)*100</f>
        <v>-1.1400000000000001</v>
      </c>
      <c r="R175" s="75">
        <f>VLOOKUP($A175,'Data Vlaue (Cr)'!$C:$FB,125)</f>
        <v>0.54</v>
      </c>
      <c r="S175" s="75">
        <f>VLOOKUP($A175,'Data Vlaue (Cr)'!$C:$FB,128)*100</f>
        <v>-8.4699999999999989</v>
      </c>
    </row>
    <row r="176" spans="1:19" x14ac:dyDescent="0.25">
      <c r="A176" s="96" t="str">
        <f>'Data Vlaue (Cr)'!C167</f>
        <v>PNBHOUSING</v>
      </c>
      <c r="B176" s="75">
        <f>VLOOKUP($A176,'Data Vlaue (Cr)'!$C:$FB,2)</f>
        <v>650</v>
      </c>
      <c r="C176" s="75">
        <f>VLOOKUP($A176,'Data Vlaue (Cr)'!$C:$FB,8)</f>
        <v>906.75</v>
      </c>
      <c r="D176" s="75">
        <f>VLOOKUP($A176,'Data Vlaue (Cr)'!$C:$FB,4)</f>
        <v>908.05</v>
      </c>
      <c r="E176" s="75">
        <f>VLOOKUP($A176,'Data Vlaue (Cr)'!$C:$FB,5)</f>
        <v>924.4</v>
      </c>
      <c r="F176" s="75">
        <f t="shared" si="12"/>
        <v>1.2999999999999545</v>
      </c>
      <c r="G176" s="75">
        <f t="shared" si="13"/>
        <v>-1.8005616430813307</v>
      </c>
      <c r="H176" s="75">
        <f>VLOOKUP($A176,'Data Vlaue (Cr)'!$C:$FB,99)</f>
        <v>2088</v>
      </c>
      <c r="I176" s="75">
        <f>VLOOKUP($A176,'Data Vlaue (Cr)'!$C:$FB,100)</f>
        <v>1717</v>
      </c>
      <c r="J176" s="75">
        <f t="shared" si="14"/>
        <v>371</v>
      </c>
      <c r="K176" s="75">
        <f t="shared" si="15"/>
        <v>17.768199233716476</v>
      </c>
      <c r="L176" s="75">
        <f>VLOOKUP($A176,'Data Vlaue (Cr)'!$C:$FB,67)</f>
        <v>1913</v>
      </c>
      <c r="M176" s="75">
        <f>VLOOKUP($A176,'Data Vlaue (Cr)'!$C:$FB,68)</f>
        <v>1478</v>
      </c>
      <c r="N176" s="75">
        <f t="shared" si="16"/>
        <v>435</v>
      </c>
      <c r="O176" s="75">
        <f t="shared" si="17"/>
        <v>22.739153162571878</v>
      </c>
      <c r="P176" s="75">
        <f>VLOOKUP($A176,'Data Vlaue (Cr)'!$C:$FB,119)</f>
        <v>0.87</v>
      </c>
      <c r="Q176" s="75">
        <f>VLOOKUP($A176,'Data Vlaue (Cr)'!$C:$FB,122)*100</f>
        <v>-13</v>
      </c>
      <c r="R176" s="75">
        <f>VLOOKUP($A176,'Data Vlaue (Cr)'!$C:$FB,125)</f>
        <v>0.6</v>
      </c>
      <c r="S176" s="75">
        <f>VLOOKUP($A176,'Data Vlaue (Cr)'!$C:$FB,128)*100</f>
        <v>76.47</v>
      </c>
    </row>
    <row r="177" spans="1:19" x14ac:dyDescent="0.25">
      <c r="A177" s="96" t="str">
        <f>'Data Vlaue (Cr)'!C168</f>
        <v>POLICYBZR</v>
      </c>
      <c r="B177" s="75">
        <f>VLOOKUP($A177,'Data Vlaue (Cr)'!$C:$FB,2)</f>
        <v>350</v>
      </c>
      <c r="C177" s="75">
        <f>VLOOKUP($A177,'Data Vlaue (Cr)'!$C:$FB,8)</f>
        <v>1616.8</v>
      </c>
      <c r="D177" s="75">
        <f>VLOOKUP($A177,'Data Vlaue (Cr)'!$C:$FB,4)</f>
        <v>1613</v>
      </c>
      <c r="E177" s="75">
        <f>VLOOKUP($A177,'Data Vlaue (Cr)'!$C:$FB,5)</f>
        <v>1601.1</v>
      </c>
      <c r="F177" s="75">
        <f t="shared" ref="F177:F185" si="18">D177-C177</f>
        <v>-3.7999999999999545</v>
      </c>
      <c r="G177" s="75">
        <f t="shared" ref="G177:G185" si="19">(D177-E177)/D177*100</f>
        <v>0.73775573465592625</v>
      </c>
      <c r="H177" s="75">
        <f>VLOOKUP($A177,'Data Vlaue (Cr)'!$C:$FB,99)</f>
        <v>1849</v>
      </c>
      <c r="I177" s="75">
        <f>VLOOKUP($A177,'Data Vlaue (Cr)'!$C:$FB,100)</f>
        <v>1943</v>
      </c>
      <c r="J177" s="75">
        <f t="shared" ref="J177:J185" si="20">H177-I177</f>
        <v>-94</v>
      </c>
      <c r="K177" s="75">
        <f t="shared" ref="K177:K185" si="21">J177/H177*100</f>
        <v>-5.0838290968090858</v>
      </c>
      <c r="L177" s="75">
        <f>VLOOKUP($A177,'Data Vlaue (Cr)'!$C:$FB,67)</f>
        <v>1026</v>
      </c>
      <c r="M177" s="75">
        <f>VLOOKUP($A177,'Data Vlaue (Cr)'!$C:$FB,68)</f>
        <v>4255</v>
      </c>
      <c r="N177" s="75">
        <f t="shared" ref="N177:N185" si="22">L177-M177</f>
        <v>-3229</v>
      </c>
      <c r="O177" s="75">
        <f t="shared" ref="O177:O185" si="23">N177/L177*100</f>
        <v>-314.71734892787526</v>
      </c>
      <c r="P177" s="75">
        <f>VLOOKUP($A177,'Data Vlaue (Cr)'!$C:$FB,119)</f>
        <v>0.74</v>
      </c>
      <c r="Q177" s="75">
        <f>VLOOKUP($A177,'Data Vlaue (Cr)'!$C:$FB,122)*100</f>
        <v>12.120000000000001</v>
      </c>
      <c r="R177" s="75">
        <f>VLOOKUP($A177,'Data Vlaue (Cr)'!$C:$FB,125)</f>
        <v>0.65</v>
      </c>
      <c r="S177" s="75">
        <f>VLOOKUP($A177,'Data Vlaue (Cr)'!$C:$FB,128)*100</f>
        <v>85.71</v>
      </c>
    </row>
    <row r="178" spans="1:19" x14ac:dyDescent="0.25">
      <c r="A178" s="96" t="str">
        <f>'Data Vlaue (Cr)'!C169</f>
        <v>POLYCAB</v>
      </c>
      <c r="B178" s="75">
        <f>VLOOKUP($A178,'Data Vlaue (Cr)'!$C:$FB,2)</f>
        <v>125</v>
      </c>
      <c r="C178" s="75">
        <f>VLOOKUP($A178,'Data Vlaue (Cr)'!$C:$FB,8)</f>
        <v>8198.5</v>
      </c>
      <c r="D178" s="75">
        <f>VLOOKUP($A178,'Data Vlaue (Cr)'!$C:$FB,4)</f>
        <v>8188</v>
      </c>
      <c r="E178" s="75">
        <f>VLOOKUP($A178,'Data Vlaue (Cr)'!$C:$FB,5)</f>
        <v>8162</v>
      </c>
      <c r="F178" s="75">
        <f t="shared" si="18"/>
        <v>-10.5</v>
      </c>
      <c r="G178" s="75">
        <f t="shared" si="19"/>
        <v>0.31753786028334147</v>
      </c>
      <c r="H178" s="75">
        <f>VLOOKUP($A178,'Data Vlaue (Cr)'!$C:$FB,99)</f>
        <v>3395</v>
      </c>
      <c r="I178" s="75">
        <f>VLOOKUP($A178,'Data Vlaue (Cr)'!$C:$FB,100)</f>
        <v>3649</v>
      </c>
      <c r="J178" s="75">
        <f t="shared" si="20"/>
        <v>-254</v>
      </c>
      <c r="K178" s="75">
        <f t="shared" si="21"/>
        <v>-7.4815905743740796</v>
      </c>
      <c r="L178" s="75">
        <f>VLOOKUP($A178,'Data Vlaue (Cr)'!$C:$FB,67)</f>
        <v>4214</v>
      </c>
      <c r="M178" s="75">
        <f>VLOOKUP($A178,'Data Vlaue (Cr)'!$C:$FB,68)</f>
        <v>9558</v>
      </c>
      <c r="N178" s="75">
        <f t="shared" si="22"/>
        <v>-5344</v>
      </c>
      <c r="O178" s="75">
        <f t="shared" si="23"/>
        <v>-126.8153773137162</v>
      </c>
      <c r="P178" s="75">
        <f>VLOOKUP($A178,'Data Vlaue (Cr)'!$C:$FB,119)</f>
        <v>1.06</v>
      </c>
      <c r="Q178" s="75">
        <f>VLOOKUP($A178,'Data Vlaue (Cr)'!$C:$FB,122)*100</f>
        <v>-14.52</v>
      </c>
      <c r="R178" s="75">
        <f>VLOOKUP($A178,'Data Vlaue (Cr)'!$C:$FB,125)</f>
        <v>1.38</v>
      </c>
      <c r="S178" s="75">
        <f>VLOOKUP($A178,'Data Vlaue (Cr)'!$C:$FB,128)*100</f>
        <v>102.94000000000001</v>
      </c>
    </row>
    <row r="179" spans="1:19" x14ac:dyDescent="0.25">
      <c r="A179" s="96" t="str">
        <f>'Data Vlaue (Cr)'!C170</f>
        <v>POWERGRID</v>
      </c>
      <c r="B179" s="75">
        <f>VLOOKUP($A179,'Data Vlaue (Cr)'!$C:$FB,2)</f>
        <v>1900</v>
      </c>
      <c r="C179" s="75">
        <f>VLOOKUP($A179,'Data Vlaue (Cr)'!$C:$FB,8)</f>
        <v>319.7</v>
      </c>
      <c r="D179" s="75">
        <f>VLOOKUP($A179,'Data Vlaue (Cr)'!$C:$FB,4)</f>
        <v>318.85000000000002</v>
      </c>
      <c r="E179" s="75">
        <f>VLOOKUP($A179,'Data Vlaue (Cr)'!$C:$FB,5)</f>
        <v>317.64999999999998</v>
      </c>
      <c r="F179" s="75">
        <f t="shared" si="18"/>
        <v>-0.84999999999996589</v>
      </c>
      <c r="G179" s="75">
        <f t="shared" si="19"/>
        <v>0.37635251685747073</v>
      </c>
      <c r="H179" s="75">
        <f>VLOOKUP($A179,'Data Vlaue (Cr)'!$C:$FB,99)</f>
        <v>4586</v>
      </c>
      <c r="I179" s="75">
        <f>VLOOKUP($A179,'Data Vlaue (Cr)'!$C:$FB,100)</f>
        <v>4472</v>
      </c>
      <c r="J179" s="75">
        <f t="shared" si="20"/>
        <v>114</v>
      </c>
      <c r="K179" s="75">
        <f t="shared" si="21"/>
        <v>2.4858264282599216</v>
      </c>
      <c r="L179" s="75">
        <f>VLOOKUP($A179,'Data Vlaue (Cr)'!$C:$FB,67)</f>
        <v>3730</v>
      </c>
      <c r="M179" s="75">
        <f>VLOOKUP($A179,'Data Vlaue (Cr)'!$C:$FB,68)</f>
        <v>4154</v>
      </c>
      <c r="N179" s="75">
        <f t="shared" si="22"/>
        <v>-424</v>
      </c>
      <c r="O179" s="75">
        <f t="shared" si="23"/>
        <v>-11.367292225201073</v>
      </c>
      <c r="P179" s="75">
        <f>VLOOKUP($A179,'Data Vlaue (Cr)'!$C:$FB,119)</f>
        <v>0.62</v>
      </c>
      <c r="Q179" s="75">
        <f>VLOOKUP($A179,'Data Vlaue (Cr)'!$C:$FB,122)*100</f>
        <v>-1.59</v>
      </c>
      <c r="R179" s="75">
        <f>VLOOKUP($A179,'Data Vlaue (Cr)'!$C:$FB,125)</f>
        <v>0.35</v>
      </c>
      <c r="S179" s="75">
        <f>VLOOKUP($A179,'Data Vlaue (Cr)'!$C:$FB,128)*100</f>
        <v>-7.89</v>
      </c>
    </row>
    <row r="180" spans="1:19" x14ac:dyDescent="0.25">
      <c r="A180" s="96" t="str">
        <f>'Data Vlaue (Cr)'!C171</f>
        <v>POWERINDIA</v>
      </c>
      <c r="B180" s="75">
        <f>VLOOKUP($A180,'Data Vlaue (Cr)'!$C:$FB,2)</f>
        <v>50</v>
      </c>
      <c r="C180" s="75">
        <f>VLOOKUP($A180,'Data Vlaue (Cr)'!$C:$FB,8)</f>
        <v>29645</v>
      </c>
      <c r="D180" s="75">
        <f>VLOOKUP($A180,'Data Vlaue (Cr)'!$C:$FB,4)</f>
        <v>29700</v>
      </c>
      <c r="E180" s="75">
        <f>VLOOKUP($A180,'Data Vlaue (Cr)'!$C:$FB,5)</f>
        <v>28970</v>
      </c>
      <c r="F180" s="75">
        <f t="shared" si="18"/>
        <v>55</v>
      </c>
      <c r="G180" s="75">
        <f t="shared" si="19"/>
        <v>2.457912457912458</v>
      </c>
      <c r="H180" s="75">
        <f>VLOOKUP($A180,'Data Vlaue (Cr)'!$C:$FB,99)</f>
        <v>2943</v>
      </c>
      <c r="I180" s="75">
        <f>VLOOKUP($A180,'Data Vlaue (Cr)'!$C:$FB,100)</f>
        <v>2681</v>
      </c>
      <c r="J180" s="75">
        <f t="shared" si="20"/>
        <v>262</v>
      </c>
      <c r="K180" s="75">
        <f t="shared" si="21"/>
        <v>8.9024804621134894</v>
      </c>
      <c r="L180" s="75">
        <f>VLOOKUP($A180,'Data Vlaue (Cr)'!$C:$FB,67)</f>
        <v>5696</v>
      </c>
      <c r="M180" s="75">
        <f>VLOOKUP($A180,'Data Vlaue (Cr)'!$C:$FB,68)</f>
        <v>2523</v>
      </c>
      <c r="N180" s="75">
        <f t="shared" si="22"/>
        <v>3173</v>
      </c>
      <c r="O180" s="75">
        <f t="shared" si="23"/>
        <v>55.705758426966291</v>
      </c>
      <c r="P180" s="75">
        <f>VLOOKUP($A180,'Data Vlaue (Cr)'!$C:$FB,119)</f>
        <v>1.18</v>
      </c>
      <c r="Q180" s="75">
        <f>VLOOKUP($A180,'Data Vlaue (Cr)'!$C:$FB,122)*100</f>
        <v>12.379999999999999</v>
      </c>
      <c r="R180" s="75">
        <f>VLOOKUP($A180,'Data Vlaue (Cr)'!$C:$FB,125)</f>
        <v>0.56999999999999995</v>
      </c>
      <c r="S180" s="75">
        <f>VLOOKUP($A180,'Data Vlaue (Cr)'!$C:$FB,128)*100</f>
        <v>-14.93</v>
      </c>
    </row>
    <row r="181" spans="1:19" x14ac:dyDescent="0.25">
      <c r="A181" s="96" t="str">
        <f>'Data Vlaue (Cr)'!C172</f>
        <v>PPLPHARMA</v>
      </c>
      <c r="B181" s="75">
        <f>VLOOKUP($A181,'Data Vlaue (Cr)'!$C:$FB,2)</f>
        <v>2625</v>
      </c>
      <c r="C181" s="75">
        <f>VLOOKUP($A181,'Data Vlaue (Cr)'!$C:$FB,8)</f>
        <v>148.79</v>
      </c>
      <c r="D181" s="75">
        <f>VLOOKUP($A181,'Data Vlaue (Cr)'!$C:$FB,4)</f>
        <v>148.21</v>
      </c>
      <c r="E181" s="75">
        <f>VLOOKUP($A181,'Data Vlaue (Cr)'!$C:$FB,5)</f>
        <v>148.41</v>
      </c>
      <c r="F181" s="75">
        <f t="shared" si="18"/>
        <v>-0.57999999999998408</v>
      </c>
      <c r="G181" s="75">
        <f t="shared" si="19"/>
        <v>-0.13494366102151584</v>
      </c>
      <c r="H181" s="75">
        <f>VLOOKUP($A181,'Data Vlaue (Cr)'!$C:$FB,99)</f>
        <v>293</v>
      </c>
      <c r="I181" s="75">
        <f>VLOOKUP($A181,'Data Vlaue (Cr)'!$C:$FB,100)</f>
        <v>307</v>
      </c>
      <c r="J181" s="75">
        <f t="shared" si="20"/>
        <v>-14</v>
      </c>
      <c r="K181" s="75">
        <f t="shared" si="21"/>
        <v>-4.7781569965870307</v>
      </c>
      <c r="L181" s="75">
        <f>VLOOKUP($A181,'Data Vlaue (Cr)'!$C:$FB,67)</f>
        <v>95</v>
      </c>
      <c r="M181" s="75">
        <f>VLOOKUP($A181,'Data Vlaue (Cr)'!$C:$FB,68)</f>
        <v>139</v>
      </c>
      <c r="N181" s="75">
        <f t="shared" si="22"/>
        <v>-44</v>
      </c>
      <c r="O181" s="75">
        <f t="shared" si="23"/>
        <v>-46.315789473684212</v>
      </c>
      <c r="P181" s="75">
        <f>VLOOKUP($A181,'Data Vlaue (Cr)'!$C:$FB,119)</f>
        <v>0.61</v>
      </c>
      <c r="Q181" s="75">
        <f>VLOOKUP($A181,'Data Vlaue (Cr)'!$C:$FB,122)*100</f>
        <v>1.67</v>
      </c>
      <c r="R181" s="75">
        <f>VLOOKUP($A181,'Data Vlaue (Cr)'!$C:$FB,125)</f>
        <v>0.34</v>
      </c>
      <c r="S181" s="75">
        <f>VLOOKUP($A181,'Data Vlaue (Cr)'!$C:$FB,128)*100</f>
        <v>36</v>
      </c>
    </row>
    <row r="182" spans="1:19" x14ac:dyDescent="0.25">
      <c r="A182" s="96" t="str">
        <f>'Data Vlaue (Cr)'!C173</f>
        <v>PREMIERENE</v>
      </c>
      <c r="B182" s="75">
        <f>VLOOKUP($A182,'Data Vlaue (Cr)'!$C:$FB,2)</f>
        <v>575</v>
      </c>
      <c r="C182" s="75">
        <f>VLOOKUP($A182,'Data Vlaue (Cr)'!$C:$FB,8)</f>
        <v>1010.75</v>
      </c>
      <c r="D182" s="75">
        <f>VLOOKUP($A182,'Data Vlaue (Cr)'!$C:$FB,4)</f>
        <v>1004.1</v>
      </c>
      <c r="E182" s="75">
        <f>VLOOKUP($A182,'Data Vlaue (Cr)'!$C:$FB,5)</f>
        <v>1006.65</v>
      </c>
      <c r="F182" s="75">
        <f t="shared" si="18"/>
        <v>-6.6499999999999773</v>
      </c>
      <c r="G182" s="75">
        <f t="shared" si="19"/>
        <v>-0.25395876904690318</v>
      </c>
      <c r="H182" s="75">
        <f>VLOOKUP($A182,'Data Vlaue (Cr)'!$C:$FB,99)</f>
        <v>1823</v>
      </c>
      <c r="I182" s="75">
        <f>VLOOKUP($A182,'Data Vlaue (Cr)'!$C:$FB,100)</f>
        <v>1725</v>
      </c>
      <c r="J182" s="75">
        <f t="shared" si="20"/>
        <v>98</v>
      </c>
      <c r="K182" s="75">
        <f t="shared" si="21"/>
        <v>5.3757542512342296</v>
      </c>
      <c r="L182" s="75">
        <f>VLOOKUP($A182,'Data Vlaue (Cr)'!$C:$FB,67)</f>
        <v>1043</v>
      </c>
      <c r="M182" s="75">
        <f>VLOOKUP($A182,'Data Vlaue (Cr)'!$C:$FB,68)</f>
        <v>1441</v>
      </c>
      <c r="N182" s="75">
        <f t="shared" si="22"/>
        <v>-398</v>
      </c>
      <c r="O182" s="75">
        <f t="shared" si="23"/>
        <v>-38.15915627996165</v>
      </c>
      <c r="P182" s="75">
        <f>VLOOKUP($A182,'Data Vlaue (Cr)'!$C:$FB,119)</f>
        <v>0.77</v>
      </c>
      <c r="Q182" s="75">
        <f>VLOOKUP($A182,'Data Vlaue (Cr)'!$C:$FB,122)*100</f>
        <v>-4.9399999999999995</v>
      </c>
      <c r="R182" s="75">
        <f>VLOOKUP($A182,'Data Vlaue (Cr)'!$C:$FB,125)</f>
        <v>0.37</v>
      </c>
      <c r="S182" s="75">
        <f>VLOOKUP($A182,'Data Vlaue (Cr)'!$C:$FB,128)*100</f>
        <v>-46.379999999999995</v>
      </c>
    </row>
    <row r="183" spans="1:19" x14ac:dyDescent="0.25">
      <c r="A183" s="96" t="str">
        <f>'Data Vlaue (Cr)'!C174</f>
        <v>PRESTIGE</v>
      </c>
      <c r="B183" s="75">
        <f>VLOOKUP($A183,'Data Vlaue (Cr)'!$C:$FB,2)</f>
        <v>450</v>
      </c>
      <c r="C183" s="75">
        <f>VLOOKUP($A183,'Data Vlaue (Cr)'!$C:$FB,8)</f>
        <v>1373.8</v>
      </c>
      <c r="D183" s="75">
        <f>VLOOKUP($A183,'Data Vlaue (Cr)'!$C:$FB,4)</f>
        <v>1372.2</v>
      </c>
      <c r="E183" s="75">
        <f>VLOOKUP($A183,'Data Vlaue (Cr)'!$C:$FB,5)</f>
        <v>1357.6</v>
      </c>
      <c r="F183" s="75">
        <f t="shared" si="18"/>
        <v>-1.5999999999999091</v>
      </c>
      <c r="G183" s="75">
        <f t="shared" si="19"/>
        <v>1.063984841859797</v>
      </c>
      <c r="H183" s="75">
        <f>VLOOKUP($A183,'Data Vlaue (Cr)'!$C:$FB,99)</f>
        <v>1404</v>
      </c>
      <c r="I183" s="75">
        <f>VLOOKUP($A183,'Data Vlaue (Cr)'!$C:$FB,100)</f>
        <v>1480</v>
      </c>
      <c r="J183" s="75">
        <f t="shared" si="20"/>
        <v>-76</v>
      </c>
      <c r="K183" s="75">
        <f t="shared" si="21"/>
        <v>-5.4131054131054128</v>
      </c>
      <c r="L183" s="75">
        <f>VLOOKUP($A183,'Data Vlaue (Cr)'!$C:$FB,67)</f>
        <v>707</v>
      </c>
      <c r="M183" s="75">
        <f>VLOOKUP($A183,'Data Vlaue (Cr)'!$C:$FB,68)</f>
        <v>632</v>
      </c>
      <c r="N183" s="75">
        <f t="shared" si="22"/>
        <v>75</v>
      </c>
      <c r="O183" s="75">
        <f t="shared" si="23"/>
        <v>10.608203677510609</v>
      </c>
      <c r="P183" s="75">
        <f>VLOOKUP($A183,'Data Vlaue (Cr)'!$C:$FB,119)</f>
        <v>0.64</v>
      </c>
      <c r="Q183" s="75">
        <f>VLOOKUP($A183,'Data Vlaue (Cr)'!$C:$FB,122)*100</f>
        <v>-13.51</v>
      </c>
      <c r="R183" s="75">
        <f>VLOOKUP($A183,'Data Vlaue (Cr)'!$C:$FB,125)</f>
        <v>0.64</v>
      </c>
      <c r="S183" s="75">
        <f>VLOOKUP($A183,'Data Vlaue (Cr)'!$C:$FB,128)*100</f>
        <v>48.84</v>
      </c>
    </row>
    <row r="184" spans="1:19" x14ac:dyDescent="0.25">
      <c r="A184" s="96" t="str">
        <f>'Data Vlaue (Cr)'!C175</f>
        <v>RBLBANK</v>
      </c>
      <c r="B184" s="75">
        <f>VLOOKUP($A184,'Data Vlaue (Cr)'!$C:$FB,2)</f>
        <v>3175</v>
      </c>
      <c r="C184" s="75">
        <f>VLOOKUP($A184,'Data Vlaue (Cr)'!$C:$FB,8)</f>
        <v>317.5</v>
      </c>
      <c r="D184" s="75">
        <f>VLOOKUP($A184,'Data Vlaue (Cr)'!$C:$FB,4)</f>
        <v>317.35000000000002</v>
      </c>
      <c r="E184" s="75">
        <f>VLOOKUP($A184,'Data Vlaue (Cr)'!$C:$FB,5)</f>
        <v>316.64999999999998</v>
      </c>
      <c r="F184" s="75">
        <f t="shared" si="18"/>
        <v>-0.14999999999997726</v>
      </c>
      <c r="G184" s="75">
        <f t="shared" si="19"/>
        <v>0.22057665038602345</v>
      </c>
      <c r="H184" s="75">
        <f>VLOOKUP($A184,'Data Vlaue (Cr)'!$C:$FB,99)</f>
        <v>3669</v>
      </c>
      <c r="I184" s="75">
        <f>VLOOKUP($A184,'Data Vlaue (Cr)'!$C:$FB,100)</f>
        <v>3807</v>
      </c>
      <c r="J184" s="75">
        <f t="shared" si="20"/>
        <v>-138</v>
      </c>
      <c r="K184" s="75">
        <f t="shared" si="21"/>
        <v>-3.7612428454619788</v>
      </c>
      <c r="L184" s="75">
        <f>VLOOKUP($A184,'Data Vlaue (Cr)'!$C:$FB,67)</f>
        <v>1183</v>
      </c>
      <c r="M184" s="75">
        <f>VLOOKUP($A184,'Data Vlaue (Cr)'!$C:$FB,68)</f>
        <v>1767</v>
      </c>
      <c r="N184" s="75">
        <f t="shared" si="22"/>
        <v>-584</v>
      </c>
      <c r="O184" s="75">
        <f t="shared" si="23"/>
        <v>-49.366018596787825</v>
      </c>
      <c r="P184" s="75">
        <f>VLOOKUP($A184,'Data Vlaue (Cr)'!$C:$FB,119)</f>
        <v>0.91</v>
      </c>
      <c r="Q184" s="75">
        <f>VLOOKUP($A184,'Data Vlaue (Cr)'!$C:$FB,122)*100</f>
        <v>1.1100000000000001</v>
      </c>
      <c r="R184" s="75">
        <f>VLOOKUP($A184,'Data Vlaue (Cr)'!$C:$FB,125)</f>
        <v>0.47</v>
      </c>
      <c r="S184" s="75">
        <f>VLOOKUP($A184,'Data Vlaue (Cr)'!$C:$FB,128)*100</f>
        <v>20.51</v>
      </c>
    </row>
    <row r="185" spans="1:19" x14ac:dyDescent="0.25">
      <c r="A185" s="96" t="str">
        <f>'Data Vlaue (Cr)'!C176</f>
        <v>RECLTD</v>
      </c>
      <c r="B185" s="75">
        <f>VLOOKUP($A185,'Data Vlaue (Cr)'!$C:$FB,2)</f>
        <v>1400</v>
      </c>
      <c r="C185" s="75">
        <f>VLOOKUP($A185,'Data Vlaue (Cr)'!$C:$FB,8)</f>
        <v>382.7</v>
      </c>
      <c r="D185" s="75">
        <f>VLOOKUP($A185,'Data Vlaue (Cr)'!$C:$FB,4)</f>
        <v>382.2</v>
      </c>
      <c r="E185" s="75">
        <f>VLOOKUP($A185,'Data Vlaue (Cr)'!$C:$FB,5)</f>
        <v>374.45</v>
      </c>
      <c r="F185" s="75">
        <f t="shared" si="18"/>
        <v>-0.5</v>
      </c>
      <c r="G185" s="75">
        <f t="shared" si="19"/>
        <v>2.0277341705913132</v>
      </c>
      <c r="H185" s="75">
        <f>VLOOKUP($A185,'Data Vlaue (Cr)'!$C:$FB,99)</f>
        <v>4593</v>
      </c>
      <c r="I185" s="75">
        <f>VLOOKUP($A185,'Data Vlaue (Cr)'!$C:$FB,100)</f>
        <v>4571</v>
      </c>
      <c r="J185" s="75">
        <f t="shared" si="20"/>
        <v>22</v>
      </c>
      <c r="K185" s="75">
        <f t="shared" si="21"/>
        <v>0.47898976703679508</v>
      </c>
      <c r="L185" s="75">
        <f>VLOOKUP($A185,'Data Vlaue (Cr)'!$C:$FB,67)</f>
        <v>4318</v>
      </c>
      <c r="M185" s="75">
        <f>VLOOKUP($A185,'Data Vlaue (Cr)'!$C:$FB,68)</f>
        <v>3926</v>
      </c>
      <c r="N185" s="75">
        <f t="shared" si="22"/>
        <v>392</v>
      </c>
      <c r="O185" s="75">
        <f t="shared" si="23"/>
        <v>9.0782769800833716</v>
      </c>
      <c r="P185" s="75">
        <f>VLOOKUP($A185,'Data Vlaue (Cr)'!$C:$FB,119)</f>
        <v>0.91</v>
      </c>
      <c r="Q185" s="75">
        <f>VLOOKUP($A185,'Data Vlaue (Cr)'!$C:$FB,122)*100</f>
        <v>-1.0900000000000001</v>
      </c>
      <c r="R185" s="75">
        <f>VLOOKUP($A185,'Data Vlaue (Cr)'!$C:$FB,125)</f>
        <v>0.57999999999999996</v>
      </c>
      <c r="S185" s="75">
        <f>VLOOKUP($A185,'Data Vlaue (Cr)'!$C:$FB,128)*100</f>
        <v>-1.69</v>
      </c>
    </row>
    <row r="186" spans="1:19" x14ac:dyDescent="0.25">
      <c r="A186" s="96" t="str">
        <f>'Data Vlaue (Cr)'!C177</f>
        <v>RELIANCE</v>
      </c>
      <c r="B186" s="75">
        <f>VLOOKUP($A186,'Data Vlaue (Cr)'!$C:$FB,2)</f>
        <v>500</v>
      </c>
      <c r="C186" s="75">
        <f>VLOOKUP($A186,'Data Vlaue (Cr)'!$C:$FB,8)</f>
        <v>1363.3</v>
      </c>
      <c r="D186" s="75">
        <f>VLOOKUP($A186,'Data Vlaue (Cr)'!$C:$FB,4)</f>
        <v>1362.4</v>
      </c>
      <c r="E186" s="75">
        <f>VLOOKUP($A186,'Data Vlaue (Cr)'!$C:$FB,5)</f>
        <v>1366.3</v>
      </c>
      <c r="F186" s="75">
        <f t="shared" ref="F186:F193" si="24">D186-C186</f>
        <v>-0.89999999999986358</v>
      </c>
      <c r="G186" s="75">
        <f t="shared" ref="G186:G193" si="25">(D186-E186)/D186*100</f>
        <v>-0.28625954198472281</v>
      </c>
      <c r="H186" s="75">
        <f>VLOOKUP($A186,'Data Vlaue (Cr)'!$C:$FB,99)</f>
        <v>28903</v>
      </c>
      <c r="I186" s="75">
        <f>VLOOKUP($A186,'Data Vlaue (Cr)'!$C:$FB,100)</f>
        <v>29233</v>
      </c>
      <c r="J186" s="75">
        <f t="shared" ref="J186:J193" si="26">H186-I186</f>
        <v>-330</v>
      </c>
      <c r="K186" s="75">
        <f t="shared" ref="K186:K193" si="27">J186/H186*100</f>
        <v>-1.141749991350379</v>
      </c>
      <c r="L186" s="75">
        <f>VLOOKUP($A186,'Data Vlaue (Cr)'!$C:$FB,67)</f>
        <v>16718</v>
      </c>
      <c r="M186" s="75">
        <f>VLOOKUP($A186,'Data Vlaue (Cr)'!$C:$FB,68)</f>
        <v>22617</v>
      </c>
      <c r="N186" s="75">
        <f t="shared" ref="N186:N193" si="28">L186-M186</f>
        <v>-5899</v>
      </c>
      <c r="O186" s="75">
        <f t="shared" ref="O186:O193" si="29">N186/L186*100</f>
        <v>-35.285321210671135</v>
      </c>
      <c r="P186" s="75">
        <f>VLOOKUP($A186,'Data Vlaue (Cr)'!$C:$FB,119)</f>
        <v>0.49</v>
      </c>
      <c r="Q186" s="75">
        <f>VLOOKUP($A186,'Data Vlaue (Cr)'!$C:$FB,122)*100</f>
        <v>2.08</v>
      </c>
      <c r="R186" s="75">
        <f>VLOOKUP($A186,'Data Vlaue (Cr)'!$C:$FB,125)</f>
        <v>0.53</v>
      </c>
      <c r="S186" s="75">
        <f>VLOOKUP($A186,'Data Vlaue (Cr)'!$C:$FB,128)*100</f>
        <v>10.42</v>
      </c>
    </row>
    <row r="187" spans="1:19" x14ac:dyDescent="0.25">
      <c r="A187" s="96" t="str">
        <f>'Data Vlaue (Cr)'!C178</f>
        <v>RVNL</v>
      </c>
      <c r="B187" s="75">
        <f>VLOOKUP($A187,'Data Vlaue (Cr)'!$C:$FB,2)</f>
        <v>1525</v>
      </c>
      <c r="C187" s="75">
        <f>VLOOKUP($A187,'Data Vlaue (Cr)'!$C:$FB,8)</f>
        <v>296.33</v>
      </c>
      <c r="D187" s="75">
        <f>VLOOKUP($A187,'Data Vlaue (Cr)'!$C:$FB,4)</f>
        <v>294.82</v>
      </c>
      <c r="E187" s="75">
        <f>VLOOKUP($A187,'Data Vlaue (Cr)'!$C:$FB,5)</f>
        <v>299.66000000000003</v>
      </c>
      <c r="F187" s="75">
        <f t="shared" si="24"/>
        <v>-1.5099999999999909</v>
      </c>
      <c r="G187" s="75">
        <f t="shared" si="25"/>
        <v>-1.6416796689505568</v>
      </c>
      <c r="H187" s="75">
        <f>VLOOKUP($A187,'Data Vlaue (Cr)'!$C:$FB,99)</f>
        <v>3207</v>
      </c>
      <c r="I187" s="75">
        <f>VLOOKUP($A187,'Data Vlaue (Cr)'!$C:$FB,100)</f>
        <v>3144</v>
      </c>
      <c r="J187" s="75">
        <f t="shared" si="26"/>
        <v>63</v>
      </c>
      <c r="K187" s="75">
        <f t="shared" si="27"/>
        <v>1.9644527595884003</v>
      </c>
      <c r="L187" s="75">
        <f>VLOOKUP($A187,'Data Vlaue (Cr)'!$C:$FB,67)</f>
        <v>1341</v>
      </c>
      <c r="M187" s="75">
        <f>VLOOKUP($A187,'Data Vlaue (Cr)'!$C:$FB,68)</f>
        <v>5326</v>
      </c>
      <c r="N187" s="75">
        <f t="shared" si="28"/>
        <v>-3985</v>
      </c>
      <c r="O187" s="75">
        <f t="shared" si="29"/>
        <v>-297.16629381058908</v>
      </c>
      <c r="P187" s="75">
        <f>VLOOKUP($A187,'Data Vlaue (Cr)'!$C:$FB,119)</f>
        <v>0.66</v>
      </c>
      <c r="Q187" s="75">
        <f>VLOOKUP($A187,'Data Vlaue (Cr)'!$C:$FB,122)*100</f>
        <v>0</v>
      </c>
      <c r="R187" s="75">
        <f>VLOOKUP($A187,'Data Vlaue (Cr)'!$C:$FB,125)</f>
        <v>0.45</v>
      </c>
      <c r="S187" s="75">
        <f>VLOOKUP($A187,'Data Vlaue (Cr)'!$C:$FB,128)*100</f>
        <v>50</v>
      </c>
    </row>
    <row r="188" spans="1:19" x14ac:dyDescent="0.25">
      <c r="A188" s="96" t="str">
        <f>'Data Vlaue (Cr)'!C179</f>
        <v>SAIL</v>
      </c>
      <c r="B188" s="75">
        <f>VLOOKUP($A188,'Data Vlaue (Cr)'!$C:$FB,2)</f>
        <v>4700</v>
      </c>
      <c r="C188" s="75">
        <f>VLOOKUP($A188,'Data Vlaue (Cr)'!$C:$FB,8)</f>
        <v>172.71</v>
      </c>
      <c r="D188" s="75">
        <f>VLOOKUP($A188,'Data Vlaue (Cr)'!$C:$FB,4)</f>
        <v>172.69</v>
      </c>
      <c r="E188" s="75">
        <f>VLOOKUP($A188,'Data Vlaue (Cr)'!$C:$FB,5)</f>
        <v>173.23</v>
      </c>
      <c r="F188" s="75">
        <f t="shared" si="24"/>
        <v>-2.0000000000010232E-2</v>
      </c>
      <c r="G188" s="75">
        <f t="shared" si="25"/>
        <v>-0.3126990561121038</v>
      </c>
      <c r="H188" s="75">
        <f>VLOOKUP($A188,'Data Vlaue (Cr)'!$C:$FB,99)</f>
        <v>3766</v>
      </c>
      <c r="I188" s="75">
        <f>VLOOKUP($A188,'Data Vlaue (Cr)'!$C:$FB,100)</f>
        <v>3792</v>
      </c>
      <c r="J188" s="75">
        <f t="shared" si="26"/>
        <v>-26</v>
      </c>
      <c r="K188" s="75">
        <f t="shared" si="27"/>
        <v>-0.6903876792352629</v>
      </c>
      <c r="L188" s="75">
        <f>VLOOKUP($A188,'Data Vlaue (Cr)'!$C:$FB,67)</f>
        <v>50</v>
      </c>
      <c r="M188" s="75">
        <f>VLOOKUP($A188,'Data Vlaue (Cr)'!$C:$FB,68)</f>
        <v>54</v>
      </c>
      <c r="N188" s="75">
        <f t="shared" si="28"/>
        <v>-4</v>
      </c>
      <c r="O188" s="75">
        <f t="shared" si="29"/>
        <v>-8</v>
      </c>
      <c r="P188" s="75">
        <f>VLOOKUP($A188,'Data Vlaue (Cr)'!$C:$FB,119)</f>
        <v>0.74</v>
      </c>
      <c r="Q188" s="75">
        <f>VLOOKUP($A188,'Data Vlaue (Cr)'!$C:$FB,122)*100</f>
        <v>0</v>
      </c>
      <c r="R188" s="75">
        <f>VLOOKUP($A188,'Data Vlaue (Cr)'!$C:$FB,125)</f>
        <v>3.71</v>
      </c>
      <c r="S188" s="75">
        <f>VLOOKUP($A188,'Data Vlaue (Cr)'!$C:$FB,128)*100</f>
        <v>600</v>
      </c>
    </row>
    <row r="189" spans="1:19" x14ac:dyDescent="0.25">
      <c r="A189" s="96" t="str">
        <f>'Data Vlaue (Cr)'!C180</f>
        <v>SAMMAANCAP</v>
      </c>
      <c r="B189" s="75">
        <f>VLOOKUP($A189,'Data Vlaue (Cr)'!$C:$FB,2)</f>
        <v>4300</v>
      </c>
      <c r="C189" s="75">
        <f>VLOOKUP($A189,'Data Vlaue (Cr)'!$C:$FB,8)</f>
        <v>152.07</v>
      </c>
      <c r="D189" s="75">
        <f>VLOOKUP($A189,'Data Vlaue (Cr)'!$C:$FB,4)</f>
        <v>153.02000000000001</v>
      </c>
      <c r="E189" s="75">
        <f>VLOOKUP($A189,'Data Vlaue (Cr)'!$C:$FB,5)</f>
        <v>154.51</v>
      </c>
      <c r="F189" s="75">
        <f t="shared" si="24"/>
        <v>0.95000000000001705</v>
      </c>
      <c r="G189" s="75">
        <f t="shared" si="25"/>
        <v>-0.97372892432360503</v>
      </c>
      <c r="H189" s="75">
        <f>VLOOKUP($A189,'Data Vlaue (Cr)'!$C:$FB,99)</f>
        <v>2044</v>
      </c>
      <c r="I189" s="75">
        <f>VLOOKUP($A189,'Data Vlaue (Cr)'!$C:$FB,100)</f>
        <v>2062</v>
      </c>
      <c r="J189" s="75">
        <f t="shared" si="26"/>
        <v>-18</v>
      </c>
      <c r="K189" s="75">
        <f t="shared" si="27"/>
        <v>-0.88062622309197647</v>
      </c>
      <c r="L189" s="75">
        <f>VLOOKUP($A189,'Data Vlaue (Cr)'!$C:$FB,67)</f>
        <v>36</v>
      </c>
      <c r="M189" s="75">
        <f>VLOOKUP($A189,'Data Vlaue (Cr)'!$C:$FB,68)</f>
        <v>33</v>
      </c>
      <c r="N189" s="75">
        <f t="shared" si="28"/>
        <v>3</v>
      </c>
      <c r="O189" s="75">
        <f t="shared" si="29"/>
        <v>8.3333333333333321</v>
      </c>
      <c r="P189" s="75">
        <f>VLOOKUP($A189,'Data Vlaue (Cr)'!$C:$FB,119)</f>
        <v>1.08</v>
      </c>
      <c r="Q189" s="75">
        <f>VLOOKUP($A189,'Data Vlaue (Cr)'!$C:$FB,122)*100</f>
        <v>0</v>
      </c>
      <c r="R189" s="75">
        <f>VLOOKUP($A189,'Data Vlaue (Cr)'!$C:$FB,125)</f>
        <v>0.36</v>
      </c>
      <c r="S189" s="75">
        <f>VLOOKUP($A189,'Data Vlaue (Cr)'!$C:$FB,128)*100</f>
        <v>-62.89</v>
      </c>
    </row>
    <row r="190" spans="1:19" x14ac:dyDescent="0.25">
      <c r="A190" s="96" t="str">
        <f>'Data Vlaue (Cr)'!C181</f>
        <v>SBICARD</v>
      </c>
      <c r="B190" s="75">
        <f>VLOOKUP($A190,'Data Vlaue (Cr)'!$C:$FB,2)</f>
        <v>800</v>
      </c>
      <c r="C190" s="75">
        <f>VLOOKUP($A190,'Data Vlaue (Cr)'!$C:$FB,8)</f>
        <v>675.3</v>
      </c>
      <c r="D190" s="75">
        <f>VLOOKUP($A190,'Data Vlaue (Cr)'!$C:$FB,4)</f>
        <v>671.3</v>
      </c>
      <c r="E190" s="75">
        <f>VLOOKUP($A190,'Data Vlaue (Cr)'!$C:$FB,5)</f>
        <v>696.1</v>
      </c>
      <c r="F190" s="75">
        <f t="shared" si="24"/>
        <v>-4</v>
      </c>
      <c r="G190" s="75">
        <f t="shared" si="25"/>
        <v>-3.69432444510652</v>
      </c>
      <c r="H190" s="75">
        <f>VLOOKUP($A190,'Data Vlaue (Cr)'!$C:$FB,99)</f>
        <v>3013</v>
      </c>
      <c r="I190" s="75">
        <f>VLOOKUP($A190,'Data Vlaue (Cr)'!$C:$FB,100)</f>
        <v>2753</v>
      </c>
      <c r="J190" s="75">
        <f t="shared" si="26"/>
        <v>260</v>
      </c>
      <c r="K190" s="75">
        <f t="shared" si="27"/>
        <v>8.6292731496846997</v>
      </c>
      <c r="L190" s="75">
        <f>VLOOKUP($A190,'Data Vlaue (Cr)'!$C:$FB,67)</f>
        <v>1506</v>
      </c>
      <c r="M190" s="75">
        <f>VLOOKUP($A190,'Data Vlaue (Cr)'!$C:$FB,68)</f>
        <v>825</v>
      </c>
      <c r="N190" s="75">
        <f t="shared" si="28"/>
        <v>681</v>
      </c>
      <c r="O190" s="75">
        <f t="shared" si="29"/>
        <v>45.219123505976093</v>
      </c>
      <c r="P190" s="75">
        <f>VLOOKUP($A190,'Data Vlaue (Cr)'!$C:$FB,119)</f>
        <v>0.79</v>
      </c>
      <c r="Q190" s="75">
        <f>VLOOKUP($A190,'Data Vlaue (Cr)'!$C:$FB,122)*100</f>
        <v>6.76</v>
      </c>
      <c r="R190" s="75">
        <f>VLOOKUP($A190,'Data Vlaue (Cr)'!$C:$FB,125)</f>
        <v>0.6</v>
      </c>
      <c r="S190" s="75">
        <f>VLOOKUP($A190,'Data Vlaue (Cr)'!$C:$FB,128)*100</f>
        <v>5.26</v>
      </c>
    </row>
    <row r="191" spans="1:19" x14ac:dyDescent="0.25">
      <c r="A191" s="96" t="str">
        <f>'Data Vlaue (Cr)'!C182</f>
        <v>SBILIFE</v>
      </c>
      <c r="B191" s="75">
        <f>VLOOKUP($A191,'Data Vlaue (Cr)'!$C:$FB,2)</f>
        <v>375</v>
      </c>
      <c r="C191" s="75">
        <f>VLOOKUP($A191,'Data Vlaue (Cr)'!$C:$FB,8)</f>
        <v>1982.5</v>
      </c>
      <c r="D191" s="75">
        <f>VLOOKUP($A191,'Data Vlaue (Cr)'!$C:$FB,4)</f>
        <v>1984.3</v>
      </c>
      <c r="E191" s="75">
        <f>VLOOKUP($A191,'Data Vlaue (Cr)'!$C:$FB,5)</f>
        <v>1970.4</v>
      </c>
      <c r="F191" s="75">
        <f t="shared" si="24"/>
        <v>1.7999999999999545</v>
      </c>
      <c r="G191" s="75">
        <f t="shared" si="25"/>
        <v>0.70049891649447482</v>
      </c>
      <c r="H191" s="75">
        <f>VLOOKUP($A191,'Data Vlaue (Cr)'!$C:$FB,99)</f>
        <v>3314</v>
      </c>
      <c r="I191" s="75">
        <f>VLOOKUP($A191,'Data Vlaue (Cr)'!$C:$FB,100)</f>
        <v>3281</v>
      </c>
      <c r="J191" s="75">
        <f t="shared" si="26"/>
        <v>33</v>
      </c>
      <c r="K191" s="75">
        <f t="shared" si="27"/>
        <v>0.99577549788774888</v>
      </c>
      <c r="L191" s="75">
        <f>VLOOKUP($A191,'Data Vlaue (Cr)'!$C:$FB,67)</f>
        <v>1072</v>
      </c>
      <c r="M191" s="75">
        <f>VLOOKUP($A191,'Data Vlaue (Cr)'!$C:$FB,68)</f>
        <v>870</v>
      </c>
      <c r="N191" s="75">
        <f t="shared" si="28"/>
        <v>202</v>
      </c>
      <c r="O191" s="75">
        <f t="shared" si="29"/>
        <v>18.843283582089551</v>
      </c>
      <c r="P191" s="75">
        <f>VLOOKUP($A191,'Data Vlaue (Cr)'!$C:$FB,119)</f>
        <v>0.62</v>
      </c>
      <c r="Q191" s="75">
        <f>VLOOKUP($A191,'Data Vlaue (Cr)'!$C:$FB,122)*100</f>
        <v>1.6400000000000001</v>
      </c>
      <c r="R191" s="75">
        <f>VLOOKUP($A191,'Data Vlaue (Cr)'!$C:$FB,125)</f>
        <v>0.35</v>
      </c>
      <c r="S191" s="75">
        <f>VLOOKUP($A191,'Data Vlaue (Cr)'!$C:$FB,128)*100</f>
        <v>-20.45</v>
      </c>
    </row>
    <row r="192" spans="1:19" x14ac:dyDescent="0.25">
      <c r="A192" s="96" t="str">
        <f>'Data Vlaue (Cr)'!C183</f>
        <v>SBIN</v>
      </c>
      <c r="B192" s="75">
        <f>VLOOKUP($A192,'Data Vlaue (Cr)'!$C:$FB,2)</f>
        <v>750</v>
      </c>
      <c r="C192" s="75">
        <f>VLOOKUP($A192,'Data Vlaue (Cr)'!$C:$FB,8)</f>
        <v>1107.8499999999999</v>
      </c>
      <c r="D192" s="75">
        <f>VLOOKUP($A192,'Data Vlaue (Cr)'!$C:$FB,4)</f>
        <v>1106.3</v>
      </c>
      <c r="E192" s="75">
        <f>VLOOKUP($A192,'Data Vlaue (Cr)'!$C:$FB,5)</f>
        <v>1082.8</v>
      </c>
      <c r="F192" s="75">
        <f t="shared" si="24"/>
        <v>-1.5499999999999545</v>
      </c>
      <c r="G192" s="75">
        <f t="shared" si="25"/>
        <v>2.1241977763716893</v>
      </c>
      <c r="H192" s="75">
        <f>VLOOKUP($A192,'Data Vlaue (Cr)'!$C:$FB,99)</f>
        <v>18085</v>
      </c>
      <c r="I192" s="75">
        <f>VLOOKUP($A192,'Data Vlaue (Cr)'!$C:$FB,100)</f>
        <v>17874</v>
      </c>
      <c r="J192" s="75">
        <f t="shared" si="26"/>
        <v>211</v>
      </c>
      <c r="K192" s="75">
        <f t="shared" si="27"/>
        <v>1.1667127453690904</v>
      </c>
      <c r="L192" s="75">
        <f>VLOOKUP($A192,'Data Vlaue (Cr)'!$C:$FB,67)</f>
        <v>34948</v>
      </c>
      <c r="M192" s="75">
        <f>VLOOKUP($A192,'Data Vlaue (Cr)'!$C:$FB,68)</f>
        <v>11544</v>
      </c>
      <c r="N192" s="75">
        <f t="shared" si="28"/>
        <v>23404</v>
      </c>
      <c r="O192" s="75">
        <f t="shared" si="29"/>
        <v>66.968066842165513</v>
      </c>
      <c r="P192" s="75">
        <f>VLOOKUP($A192,'Data Vlaue (Cr)'!$C:$FB,119)</f>
        <v>0.89</v>
      </c>
      <c r="Q192" s="75">
        <f>VLOOKUP($A192,'Data Vlaue (Cr)'!$C:$FB,122)*100</f>
        <v>9.879999999999999</v>
      </c>
      <c r="R192" s="75">
        <f>VLOOKUP($A192,'Data Vlaue (Cr)'!$C:$FB,125)</f>
        <v>0.55000000000000004</v>
      </c>
      <c r="S192" s="75">
        <f>VLOOKUP($A192,'Data Vlaue (Cr)'!$C:$FB,128)*100</f>
        <v>-11.29</v>
      </c>
    </row>
    <row r="193" spans="1:19" x14ac:dyDescent="0.25">
      <c r="A193" s="96" t="str">
        <f>'Data Vlaue (Cr)'!C184</f>
        <v>SHREECEM</v>
      </c>
      <c r="B193" s="75">
        <f>VLOOKUP($A193,'Data Vlaue (Cr)'!$C:$FB,2)</f>
        <v>25</v>
      </c>
      <c r="C193" s="75">
        <f>VLOOKUP($A193,'Data Vlaue (Cr)'!$C:$FB,8)</f>
        <v>25490</v>
      </c>
      <c r="D193" s="75">
        <f>VLOOKUP($A193,'Data Vlaue (Cr)'!$C:$FB,4)</f>
        <v>25365</v>
      </c>
      <c r="E193" s="75">
        <f>VLOOKUP($A193,'Data Vlaue (Cr)'!$C:$FB,5)</f>
        <v>25280</v>
      </c>
      <c r="F193" s="75">
        <f t="shared" si="24"/>
        <v>-125</v>
      </c>
      <c r="G193" s="75">
        <f t="shared" si="25"/>
        <v>0.33510743150009858</v>
      </c>
      <c r="H193" s="75">
        <f>VLOOKUP($A193,'Data Vlaue (Cr)'!$C:$FB,99)</f>
        <v>1291</v>
      </c>
      <c r="I193" s="75">
        <f>VLOOKUP($A193,'Data Vlaue (Cr)'!$C:$FB,100)</f>
        <v>1225</v>
      </c>
      <c r="J193" s="75">
        <f t="shared" si="26"/>
        <v>66</v>
      </c>
      <c r="K193" s="75">
        <f t="shared" si="27"/>
        <v>5.1123160340821068</v>
      </c>
      <c r="L193" s="75">
        <f>VLOOKUP($A193,'Data Vlaue (Cr)'!$C:$FB,67)</f>
        <v>265</v>
      </c>
      <c r="M193" s="75">
        <f>VLOOKUP($A193,'Data Vlaue (Cr)'!$C:$FB,68)</f>
        <v>164</v>
      </c>
      <c r="N193" s="75">
        <f t="shared" si="28"/>
        <v>101</v>
      </c>
      <c r="O193" s="75">
        <f t="shared" si="29"/>
        <v>38.113207547169814</v>
      </c>
      <c r="P193" s="75">
        <f>VLOOKUP($A193,'Data Vlaue (Cr)'!$C:$FB,119)</f>
        <v>0.89</v>
      </c>
      <c r="Q193" s="75">
        <f>VLOOKUP($A193,'Data Vlaue (Cr)'!$C:$FB,122)*100</f>
        <v>4.71</v>
      </c>
      <c r="R193" s="75">
        <f>VLOOKUP($A193,'Data Vlaue (Cr)'!$C:$FB,125)</f>
        <v>0.38</v>
      </c>
      <c r="S193" s="75">
        <f>VLOOKUP($A193,'Data Vlaue (Cr)'!$C:$FB,128)*100</f>
        <v>90</v>
      </c>
    </row>
    <row r="194" spans="1:19" ht="13.9" customHeight="1" x14ac:dyDescent="0.25">
      <c r="A194" s="96" t="str">
        <f>'Data Vlaue (Cr)'!C185</f>
        <v>SHRIRAMFIN</v>
      </c>
      <c r="B194" s="75">
        <f>VLOOKUP($A194,'Data Vlaue (Cr)'!$C:$FB,2)</f>
        <v>825</v>
      </c>
      <c r="C194" s="75">
        <f>VLOOKUP($A194,'Data Vlaue (Cr)'!$C:$FB,8)</f>
        <v>1045.1500000000001</v>
      </c>
      <c r="D194" s="75">
        <f>VLOOKUP($A194,'Data Vlaue (Cr)'!$C:$FB,4)</f>
        <v>1043.9000000000001</v>
      </c>
      <c r="E194" s="75">
        <f>VLOOKUP($A194,'Data Vlaue (Cr)'!$C:$FB,5)</f>
        <v>1036.7</v>
      </c>
      <c r="F194" s="75">
        <f t="shared" ref="F194:F214" si="30">D194-C194</f>
        <v>-1.25</v>
      </c>
      <c r="G194" s="75">
        <f t="shared" ref="G194:G214" si="31">(D194-E194)/D194*100</f>
        <v>0.68972123766644744</v>
      </c>
      <c r="H194" s="75">
        <f>VLOOKUP($A194,'Data Vlaue (Cr)'!$C:$FB,99)</f>
        <v>6715</v>
      </c>
      <c r="I194" s="75">
        <f>VLOOKUP($A194,'Data Vlaue (Cr)'!$C:$FB,100)</f>
        <v>6771</v>
      </c>
      <c r="J194" s="75">
        <f t="shared" ref="J194:J214" si="32">H194-I194</f>
        <v>-56</v>
      </c>
      <c r="K194" s="75">
        <f t="shared" ref="K194:K214" si="33">J194/H194*100</f>
        <v>-0.83395383469843631</v>
      </c>
      <c r="L194" s="75">
        <f>VLOOKUP($A194,'Data Vlaue (Cr)'!$C:$FB,67)</f>
        <v>3215</v>
      </c>
      <c r="M194" s="75">
        <f>VLOOKUP($A194,'Data Vlaue (Cr)'!$C:$FB,68)</f>
        <v>2619</v>
      </c>
      <c r="N194" s="75">
        <f t="shared" ref="N194:N214" si="34">L194-M194</f>
        <v>596</v>
      </c>
      <c r="O194" s="75">
        <f t="shared" ref="O194:O214" si="35">N194/L194*100</f>
        <v>18.53810264385692</v>
      </c>
      <c r="P194" s="75">
        <f>VLOOKUP($A194,'Data Vlaue (Cr)'!$C:$FB,119)</f>
        <v>0.73</v>
      </c>
      <c r="Q194" s="75">
        <f>VLOOKUP($A194,'Data Vlaue (Cr)'!$C:$FB,122)*100</f>
        <v>0</v>
      </c>
      <c r="R194" s="75">
        <f>VLOOKUP($A194,'Data Vlaue (Cr)'!$C:$FB,125)</f>
        <v>0.47</v>
      </c>
      <c r="S194" s="75">
        <f>VLOOKUP($A194,'Data Vlaue (Cr)'!$C:$FB,128)*100</f>
        <v>4.4400000000000004</v>
      </c>
    </row>
    <row r="195" spans="1:19" x14ac:dyDescent="0.25">
      <c r="A195" s="96" t="str">
        <f>'Data Vlaue (Cr)'!C186</f>
        <v>SIEMENS</v>
      </c>
      <c r="B195" s="75">
        <f>VLOOKUP($A195,'Data Vlaue (Cr)'!$C:$FB,2)</f>
        <v>175</v>
      </c>
      <c r="C195" s="75">
        <f>VLOOKUP($A195,'Data Vlaue (Cr)'!$C:$FB,8)</f>
        <v>3709</v>
      </c>
      <c r="D195" s="75">
        <f>VLOOKUP($A195,'Data Vlaue (Cr)'!$C:$FB,4)</f>
        <v>3708.5</v>
      </c>
      <c r="E195" s="75">
        <f>VLOOKUP($A195,'Data Vlaue (Cr)'!$C:$FB,5)</f>
        <v>3708.6</v>
      </c>
      <c r="F195" s="75">
        <f t="shared" si="30"/>
        <v>-0.5</v>
      </c>
      <c r="G195" s="75">
        <f t="shared" si="31"/>
        <v>-2.6965080221089135E-3</v>
      </c>
      <c r="H195" s="75">
        <f>VLOOKUP($A195,'Data Vlaue (Cr)'!$C:$FB,99)</f>
        <v>2349</v>
      </c>
      <c r="I195" s="75">
        <f>VLOOKUP($A195,'Data Vlaue (Cr)'!$C:$FB,100)</f>
        <v>2294</v>
      </c>
      <c r="J195" s="75">
        <f t="shared" si="32"/>
        <v>55</v>
      </c>
      <c r="K195" s="75">
        <f t="shared" si="33"/>
        <v>2.3414218816517667</v>
      </c>
      <c r="L195" s="75">
        <f>VLOOKUP($A195,'Data Vlaue (Cr)'!$C:$FB,67)</f>
        <v>2800</v>
      </c>
      <c r="M195" s="75">
        <f>VLOOKUP($A195,'Data Vlaue (Cr)'!$C:$FB,68)</f>
        <v>5326</v>
      </c>
      <c r="N195" s="75">
        <f t="shared" si="34"/>
        <v>-2526</v>
      </c>
      <c r="O195" s="75">
        <f t="shared" si="35"/>
        <v>-90.214285714285708</v>
      </c>
      <c r="P195" s="75">
        <f>VLOOKUP($A195,'Data Vlaue (Cr)'!$C:$FB,119)</f>
        <v>0.89</v>
      </c>
      <c r="Q195" s="75">
        <f>VLOOKUP($A195,'Data Vlaue (Cr)'!$C:$FB,122)*100</f>
        <v>-6.32</v>
      </c>
      <c r="R195" s="75">
        <f>VLOOKUP($A195,'Data Vlaue (Cr)'!$C:$FB,125)</f>
        <v>0.53</v>
      </c>
      <c r="S195" s="75">
        <f>VLOOKUP($A195,'Data Vlaue (Cr)'!$C:$FB,128)*100</f>
        <v>15.22</v>
      </c>
    </row>
    <row r="196" spans="1:19" x14ac:dyDescent="0.25">
      <c r="A196" s="96" t="str">
        <f>'Data Vlaue (Cr)'!C187</f>
        <v>SOLARINDS</v>
      </c>
      <c r="B196" s="75">
        <f>VLOOKUP($A196,'Data Vlaue (Cr)'!$C:$FB,2)</f>
        <v>50</v>
      </c>
      <c r="C196" s="75">
        <f>VLOOKUP($A196,'Data Vlaue (Cr)'!$C:$FB,8)</f>
        <v>14907</v>
      </c>
      <c r="D196" s="75">
        <f>VLOOKUP($A196,'Data Vlaue (Cr)'!$C:$FB,4)</f>
        <v>14937</v>
      </c>
      <c r="E196" s="75">
        <f>VLOOKUP($A196,'Data Vlaue (Cr)'!$C:$FB,5)</f>
        <v>15140</v>
      </c>
      <c r="F196" s="75">
        <f t="shared" si="30"/>
        <v>30</v>
      </c>
      <c r="G196" s="75">
        <f t="shared" si="31"/>
        <v>-1.3590413068219855</v>
      </c>
      <c r="H196" s="75">
        <f>VLOOKUP($A196,'Data Vlaue (Cr)'!$C:$FB,99)</f>
        <v>1960</v>
      </c>
      <c r="I196" s="75">
        <f>VLOOKUP($A196,'Data Vlaue (Cr)'!$C:$FB,100)</f>
        <v>1967</v>
      </c>
      <c r="J196" s="75">
        <f t="shared" si="32"/>
        <v>-7</v>
      </c>
      <c r="K196" s="75">
        <f t="shared" si="33"/>
        <v>-0.35714285714285715</v>
      </c>
      <c r="L196" s="75">
        <f>VLOOKUP($A196,'Data Vlaue (Cr)'!$C:$FB,67)</f>
        <v>616</v>
      </c>
      <c r="M196" s="75">
        <f>VLOOKUP($A196,'Data Vlaue (Cr)'!$C:$FB,68)</f>
        <v>1922</v>
      </c>
      <c r="N196" s="75">
        <f t="shared" si="34"/>
        <v>-1306</v>
      </c>
      <c r="O196" s="75">
        <f t="shared" si="35"/>
        <v>-212.01298701298703</v>
      </c>
      <c r="P196" s="75">
        <f>VLOOKUP($A196,'Data Vlaue (Cr)'!$C:$FB,119)</f>
        <v>0.69</v>
      </c>
      <c r="Q196" s="75">
        <f>VLOOKUP($A196,'Data Vlaue (Cr)'!$C:$FB,122)*100</f>
        <v>-9.2100000000000009</v>
      </c>
      <c r="R196" s="75">
        <f>VLOOKUP($A196,'Data Vlaue (Cr)'!$C:$FB,125)</f>
        <v>1.07</v>
      </c>
      <c r="S196" s="75">
        <f>VLOOKUP($A196,'Data Vlaue (Cr)'!$C:$FB,128)*100</f>
        <v>-60.519999999999996</v>
      </c>
    </row>
    <row r="197" spans="1:19" x14ac:dyDescent="0.25">
      <c r="A197" s="96" t="str">
        <f>'Data Vlaue (Cr)'!C188</f>
        <v>SONACOMS</v>
      </c>
      <c r="B197" s="75">
        <f>VLOOKUP($A197,'Data Vlaue (Cr)'!$C:$FB,2)</f>
        <v>1225</v>
      </c>
      <c r="C197" s="75">
        <f>VLOOKUP($A197,'Data Vlaue (Cr)'!$C:$FB,8)</f>
        <v>576.54999999999995</v>
      </c>
      <c r="D197" s="75">
        <f>VLOOKUP($A197,'Data Vlaue (Cr)'!$C:$FB,4)</f>
        <v>576.54999999999995</v>
      </c>
      <c r="E197" s="75">
        <f>VLOOKUP($A197,'Data Vlaue (Cr)'!$C:$FB,5)</f>
        <v>594.95000000000005</v>
      </c>
      <c r="F197" s="75">
        <f t="shared" si="30"/>
        <v>0</v>
      </c>
      <c r="G197" s="75">
        <f t="shared" si="31"/>
        <v>-3.1913971034602535</v>
      </c>
      <c r="H197" s="75">
        <f>VLOOKUP($A197,'Data Vlaue (Cr)'!$C:$FB,99)</f>
        <v>1272</v>
      </c>
      <c r="I197" s="75">
        <f>VLOOKUP($A197,'Data Vlaue (Cr)'!$C:$FB,100)</f>
        <v>1289</v>
      </c>
      <c r="J197" s="75">
        <f t="shared" si="32"/>
        <v>-17</v>
      </c>
      <c r="K197" s="75">
        <f t="shared" si="33"/>
        <v>-1.3364779874213837</v>
      </c>
      <c r="L197" s="75">
        <f>VLOOKUP($A197,'Data Vlaue (Cr)'!$C:$FB,67)</f>
        <v>509</v>
      </c>
      <c r="M197" s="75">
        <f>VLOOKUP($A197,'Data Vlaue (Cr)'!$C:$FB,68)</f>
        <v>1034</v>
      </c>
      <c r="N197" s="75">
        <f t="shared" si="34"/>
        <v>-525</v>
      </c>
      <c r="O197" s="75">
        <f t="shared" si="35"/>
        <v>-103.1434184675835</v>
      </c>
      <c r="P197" s="75">
        <f>VLOOKUP($A197,'Data Vlaue (Cr)'!$C:$FB,119)</f>
        <v>0.78</v>
      </c>
      <c r="Q197" s="75">
        <f>VLOOKUP($A197,'Data Vlaue (Cr)'!$C:$FB,122)*100</f>
        <v>-1.27</v>
      </c>
      <c r="R197" s="75">
        <f>VLOOKUP($A197,'Data Vlaue (Cr)'!$C:$FB,125)</f>
        <v>0.64</v>
      </c>
      <c r="S197" s="75">
        <f>VLOOKUP($A197,'Data Vlaue (Cr)'!$C:$FB,128)*100</f>
        <v>82.86</v>
      </c>
    </row>
    <row r="198" spans="1:19" x14ac:dyDescent="0.25">
      <c r="A198" s="96" t="str">
        <f>'Data Vlaue (Cr)'!C189</f>
        <v>SRF</v>
      </c>
      <c r="B198" s="75">
        <f>VLOOKUP($A198,'Data Vlaue (Cr)'!$C:$FB,2)</f>
        <v>200</v>
      </c>
      <c r="C198" s="75">
        <f>VLOOKUP($A198,'Data Vlaue (Cr)'!$C:$FB,8)</f>
        <v>2465.1</v>
      </c>
      <c r="D198" s="75">
        <f>VLOOKUP($A198,'Data Vlaue (Cr)'!$C:$FB,4)</f>
        <v>2466.6</v>
      </c>
      <c r="E198" s="75">
        <f>VLOOKUP($A198,'Data Vlaue (Cr)'!$C:$FB,5)</f>
        <v>2495.3000000000002</v>
      </c>
      <c r="F198" s="75">
        <f t="shared" si="30"/>
        <v>1.5</v>
      </c>
      <c r="G198" s="75">
        <f t="shared" si="31"/>
        <v>-1.163544960674624</v>
      </c>
      <c r="H198" s="75">
        <f>VLOOKUP($A198,'Data Vlaue (Cr)'!$C:$FB,99)</f>
        <v>1854</v>
      </c>
      <c r="I198" s="75">
        <f>VLOOKUP($A198,'Data Vlaue (Cr)'!$C:$FB,100)</f>
        <v>1847</v>
      </c>
      <c r="J198" s="75">
        <f t="shared" si="32"/>
        <v>7</v>
      </c>
      <c r="K198" s="75">
        <f t="shared" si="33"/>
        <v>0.37756202804746497</v>
      </c>
      <c r="L198" s="75">
        <f>VLOOKUP($A198,'Data Vlaue (Cr)'!$C:$FB,67)</f>
        <v>748</v>
      </c>
      <c r="M198" s="75">
        <f>VLOOKUP($A198,'Data Vlaue (Cr)'!$C:$FB,68)</f>
        <v>1040</v>
      </c>
      <c r="N198" s="75">
        <f t="shared" si="34"/>
        <v>-292</v>
      </c>
      <c r="O198" s="75">
        <f t="shared" si="35"/>
        <v>-39.037433155080215</v>
      </c>
      <c r="P198" s="75">
        <f>VLOOKUP($A198,'Data Vlaue (Cr)'!$C:$FB,119)</f>
        <v>0.55000000000000004</v>
      </c>
      <c r="Q198" s="75">
        <f>VLOOKUP($A198,'Data Vlaue (Cr)'!$C:$FB,122)*100</f>
        <v>-6.78</v>
      </c>
      <c r="R198" s="75">
        <f>VLOOKUP($A198,'Data Vlaue (Cr)'!$C:$FB,125)</f>
        <v>0.33</v>
      </c>
      <c r="S198" s="75">
        <f>VLOOKUP($A198,'Data Vlaue (Cr)'!$C:$FB,128)*100</f>
        <v>-5.71</v>
      </c>
    </row>
    <row r="199" spans="1:19" x14ac:dyDescent="0.25">
      <c r="A199" s="96" t="str">
        <f>'Data Vlaue (Cr)'!C190</f>
        <v>SUNPHARMA</v>
      </c>
      <c r="B199" s="75">
        <f>VLOOKUP($A199,'Data Vlaue (Cr)'!$C:$FB,2)</f>
        <v>350</v>
      </c>
      <c r="C199" s="75">
        <f>VLOOKUP($A199,'Data Vlaue (Cr)'!$C:$FB,8)</f>
        <v>1668.6</v>
      </c>
      <c r="D199" s="75">
        <f>VLOOKUP($A199,'Data Vlaue (Cr)'!$C:$FB,4)</f>
        <v>1667.3</v>
      </c>
      <c r="E199" s="75">
        <f>VLOOKUP($A199,'Data Vlaue (Cr)'!$C:$FB,5)</f>
        <v>1674.9</v>
      </c>
      <c r="F199" s="75">
        <f t="shared" si="30"/>
        <v>-1.2999999999999545</v>
      </c>
      <c r="G199" s="75">
        <f t="shared" si="31"/>
        <v>-0.45582678582139602</v>
      </c>
      <c r="H199" s="75">
        <f>VLOOKUP($A199,'Data Vlaue (Cr)'!$C:$FB,99)</f>
        <v>5424</v>
      </c>
      <c r="I199" s="75">
        <f>VLOOKUP($A199,'Data Vlaue (Cr)'!$C:$FB,100)</f>
        <v>5459</v>
      </c>
      <c r="J199" s="75">
        <f t="shared" si="32"/>
        <v>-35</v>
      </c>
      <c r="K199" s="75">
        <f t="shared" si="33"/>
        <v>-0.64528023598820061</v>
      </c>
      <c r="L199" s="75">
        <f>VLOOKUP($A199,'Data Vlaue (Cr)'!$C:$FB,67)</f>
        <v>2002</v>
      </c>
      <c r="M199" s="75">
        <f>VLOOKUP($A199,'Data Vlaue (Cr)'!$C:$FB,68)</f>
        <v>3297</v>
      </c>
      <c r="N199" s="75">
        <f t="shared" si="34"/>
        <v>-1295</v>
      </c>
      <c r="O199" s="75">
        <f t="shared" si="35"/>
        <v>-64.685314685314694</v>
      </c>
      <c r="P199" s="75">
        <f>VLOOKUP($A199,'Data Vlaue (Cr)'!$C:$FB,119)</f>
        <v>0.66</v>
      </c>
      <c r="Q199" s="75">
        <f>VLOOKUP($A199,'Data Vlaue (Cr)'!$C:$FB,122)*100</f>
        <v>-7.04</v>
      </c>
      <c r="R199" s="75">
        <f>VLOOKUP($A199,'Data Vlaue (Cr)'!$C:$FB,125)</f>
        <v>0.49</v>
      </c>
      <c r="S199" s="75">
        <f>VLOOKUP($A199,'Data Vlaue (Cr)'!$C:$FB,128)*100</f>
        <v>-33.78</v>
      </c>
    </row>
    <row r="200" spans="1:19" x14ac:dyDescent="0.25">
      <c r="A200" s="96" t="str">
        <f>'Data Vlaue (Cr)'!C191</f>
        <v>SUPREMEIND</v>
      </c>
      <c r="B200" s="75">
        <f>VLOOKUP($A200,'Data Vlaue (Cr)'!$C:$FB,2)</f>
        <v>175</v>
      </c>
      <c r="C200" s="75">
        <f>VLOOKUP($A200,'Data Vlaue (Cr)'!$C:$FB,8)</f>
        <v>3711.8</v>
      </c>
      <c r="D200" s="75">
        <f>VLOOKUP($A200,'Data Vlaue (Cr)'!$C:$FB,4)</f>
        <v>3715.2</v>
      </c>
      <c r="E200" s="75">
        <f>VLOOKUP($A200,'Data Vlaue (Cr)'!$C:$FB,5)</f>
        <v>3720.7</v>
      </c>
      <c r="F200" s="75">
        <f t="shared" si="30"/>
        <v>3.3999999999996362</v>
      </c>
      <c r="G200" s="75">
        <f t="shared" si="31"/>
        <v>-0.14804048234280792</v>
      </c>
      <c r="H200" s="75">
        <f>VLOOKUP($A200,'Data Vlaue (Cr)'!$C:$FB,99)</f>
        <v>1292</v>
      </c>
      <c r="I200" s="75">
        <f>VLOOKUP($A200,'Data Vlaue (Cr)'!$C:$FB,100)</f>
        <v>1248</v>
      </c>
      <c r="J200" s="75">
        <f t="shared" si="32"/>
        <v>44</v>
      </c>
      <c r="K200" s="75">
        <f t="shared" si="33"/>
        <v>3.4055727554179565</v>
      </c>
      <c r="L200" s="75">
        <f>VLOOKUP($A200,'Data Vlaue (Cr)'!$C:$FB,67)</f>
        <v>524</v>
      </c>
      <c r="M200" s="75">
        <f>VLOOKUP($A200,'Data Vlaue (Cr)'!$C:$FB,68)</f>
        <v>861</v>
      </c>
      <c r="N200" s="75">
        <f t="shared" si="34"/>
        <v>-337</v>
      </c>
      <c r="O200" s="75">
        <f t="shared" si="35"/>
        <v>-64.312977099236647</v>
      </c>
      <c r="P200" s="75">
        <f>VLOOKUP($A200,'Data Vlaue (Cr)'!$C:$FB,119)</f>
        <v>0.5</v>
      </c>
      <c r="Q200" s="75">
        <f>VLOOKUP($A200,'Data Vlaue (Cr)'!$C:$FB,122)*100</f>
        <v>-3.85</v>
      </c>
      <c r="R200" s="75">
        <f>VLOOKUP($A200,'Data Vlaue (Cr)'!$C:$FB,125)</f>
        <v>0.36</v>
      </c>
      <c r="S200" s="75">
        <f>VLOOKUP($A200,'Data Vlaue (Cr)'!$C:$FB,128)*100</f>
        <v>-14.29</v>
      </c>
    </row>
    <row r="201" spans="1:19" x14ac:dyDescent="0.25">
      <c r="A201" s="96" t="str">
        <f>'Data Vlaue (Cr)'!C192</f>
        <v>SUZLON</v>
      </c>
      <c r="B201" s="75">
        <f>VLOOKUP($A201,'Data Vlaue (Cr)'!$C:$FB,2)</f>
        <v>9025</v>
      </c>
      <c r="C201" s="75">
        <f>VLOOKUP($A201,'Data Vlaue (Cr)'!$C:$FB,8)</f>
        <v>52.5</v>
      </c>
      <c r="D201" s="75">
        <f>VLOOKUP($A201,'Data Vlaue (Cr)'!$C:$FB,4)</f>
        <v>52.44</v>
      </c>
      <c r="E201" s="75">
        <f>VLOOKUP($A201,'Data Vlaue (Cr)'!$C:$FB,5)</f>
        <v>52.96</v>
      </c>
      <c r="F201" s="75">
        <f t="shared" si="30"/>
        <v>-6.0000000000002274E-2</v>
      </c>
      <c r="G201" s="75">
        <f t="shared" si="31"/>
        <v>-0.99160945842868642</v>
      </c>
      <c r="H201" s="75">
        <f>VLOOKUP($A201,'Data Vlaue (Cr)'!$C:$FB,99)</f>
        <v>3914</v>
      </c>
      <c r="I201" s="75">
        <f>VLOOKUP($A201,'Data Vlaue (Cr)'!$C:$FB,100)</f>
        <v>3721</v>
      </c>
      <c r="J201" s="75">
        <f t="shared" si="32"/>
        <v>193</v>
      </c>
      <c r="K201" s="75">
        <f t="shared" si="33"/>
        <v>4.9310168625447108</v>
      </c>
      <c r="L201" s="75">
        <f>VLOOKUP($A201,'Data Vlaue (Cr)'!$C:$FB,67)</f>
        <v>3104</v>
      </c>
      <c r="M201" s="75">
        <f>VLOOKUP($A201,'Data Vlaue (Cr)'!$C:$FB,68)</f>
        <v>5876</v>
      </c>
      <c r="N201" s="75">
        <f t="shared" si="34"/>
        <v>-2772</v>
      </c>
      <c r="O201" s="75">
        <f t="shared" si="35"/>
        <v>-89.30412371134021</v>
      </c>
      <c r="P201" s="75">
        <f>VLOOKUP($A201,'Data Vlaue (Cr)'!$C:$FB,119)</f>
        <v>0.82</v>
      </c>
      <c r="Q201" s="75">
        <f>VLOOKUP($A201,'Data Vlaue (Cr)'!$C:$FB,122)*100</f>
        <v>-15.459999999999999</v>
      </c>
      <c r="R201" s="75">
        <f>VLOOKUP($A201,'Data Vlaue (Cr)'!$C:$FB,125)</f>
        <v>0.56000000000000005</v>
      </c>
      <c r="S201" s="75">
        <f>VLOOKUP($A201,'Data Vlaue (Cr)'!$C:$FB,128)*100</f>
        <v>19.149999999999999</v>
      </c>
    </row>
    <row r="202" spans="1:19" x14ac:dyDescent="0.25">
      <c r="A202" s="96" t="str">
        <f>'Data Vlaue (Cr)'!C193</f>
        <v>SWIGGY</v>
      </c>
      <c r="B202" s="75">
        <f>VLOOKUP($A202,'Data Vlaue (Cr)'!$C:$FB,2)</f>
        <v>1300</v>
      </c>
      <c r="C202" s="75">
        <f>VLOOKUP($A202,'Data Vlaue (Cr)'!$C:$FB,8)</f>
        <v>279.14999999999998</v>
      </c>
      <c r="D202" s="75">
        <f>VLOOKUP($A202,'Data Vlaue (Cr)'!$C:$FB,4)</f>
        <v>279.14999999999998</v>
      </c>
      <c r="E202" s="75">
        <f>VLOOKUP($A202,'Data Vlaue (Cr)'!$C:$FB,5)</f>
        <v>277.45</v>
      </c>
      <c r="F202" s="75">
        <f t="shared" si="30"/>
        <v>0</v>
      </c>
      <c r="G202" s="75">
        <f t="shared" si="31"/>
        <v>0.60899158158695643</v>
      </c>
      <c r="H202" s="75">
        <f>VLOOKUP($A202,'Data Vlaue (Cr)'!$C:$FB,99)</f>
        <v>1947</v>
      </c>
      <c r="I202" s="75">
        <f>VLOOKUP($A202,'Data Vlaue (Cr)'!$C:$FB,100)</f>
        <v>1952</v>
      </c>
      <c r="J202" s="75">
        <f t="shared" si="32"/>
        <v>-5</v>
      </c>
      <c r="K202" s="75">
        <f t="shared" si="33"/>
        <v>-0.25680534155110424</v>
      </c>
      <c r="L202" s="75">
        <f>VLOOKUP($A202,'Data Vlaue (Cr)'!$C:$FB,67)</f>
        <v>827</v>
      </c>
      <c r="M202" s="75">
        <f>VLOOKUP($A202,'Data Vlaue (Cr)'!$C:$FB,68)</f>
        <v>896</v>
      </c>
      <c r="N202" s="75">
        <f t="shared" si="34"/>
        <v>-69</v>
      </c>
      <c r="O202" s="75">
        <f t="shared" si="35"/>
        <v>-8.3434099153567107</v>
      </c>
      <c r="P202" s="75">
        <f>VLOOKUP($A202,'Data Vlaue (Cr)'!$C:$FB,119)</f>
        <v>0.56000000000000005</v>
      </c>
      <c r="Q202" s="75">
        <f>VLOOKUP($A202,'Data Vlaue (Cr)'!$C:$FB,122)*100</f>
        <v>0</v>
      </c>
      <c r="R202" s="75">
        <f>VLOOKUP($A202,'Data Vlaue (Cr)'!$C:$FB,125)</f>
        <v>0.28000000000000003</v>
      </c>
      <c r="S202" s="75">
        <f>VLOOKUP($A202,'Data Vlaue (Cr)'!$C:$FB,128)*100</f>
        <v>-9.68</v>
      </c>
    </row>
    <row r="203" spans="1:19" x14ac:dyDescent="0.25">
      <c r="A203" s="96" t="str">
        <f>'Data Vlaue (Cr)'!C194</f>
        <v>TATACONSUM</v>
      </c>
      <c r="B203" s="75">
        <f>VLOOKUP($A203,'Data Vlaue (Cr)'!$C:$FB,2)</f>
        <v>550</v>
      </c>
      <c r="C203" s="75">
        <f>VLOOKUP($A203,'Data Vlaue (Cr)'!$C:$FB,8)</f>
        <v>1120.4000000000001</v>
      </c>
      <c r="D203" s="75">
        <f>VLOOKUP($A203,'Data Vlaue (Cr)'!$C:$FB,4)</f>
        <v>1119.4000000000001</v>
      </c>
      <c r="E203" s="75">
        <f>VLOOKUP($A203,'Data Vlaue (Cr)'!$C:$FB,5)</f>
        <v>1113.9000000000001</v>
      </c>
      <c r="F203" s="75">
        <f t="shared" si="30"/>
        <v>-1</v>
      </c>
      <c r="G203" s="75">
        <f t="shared" si="31"/>
        <v>0.49133464355904943</v>
      </c>
      <c r="H203" s="75">
        <f>VLOOKUP($A203,'Data Vlaue (Cr)'!$C:$FB,99)</f>
        <v>2016</v>
      </c>
      <c r="I203" s="75">
        <f>VLOOKUP($A203,'Data Vlaue (Cr)'!$C:$FB,100)</f>
        <v>2033</v>
      </c>
      <c r="J203" s="75">
        <f t="shared" si="32"/>
        <v>-17</v>
      </c>
      <c r="K203" s="75">
        <f t="shared" si="33"/>
        <v>-0.84325396825396826</v>
      </c>
      <c r="L203" s="75">
        <f>VLOOKUP($A203,'Data Vlaue (Cr)'!$C:$FB,67)</f>
        <v>553</v>
      </c>
      <c r="M203" s="75">
        <f>VLOOKUP($A203,'Data Vlaue (Cr)'!$C:$FB,68)</f>
        <v>1043</v>
      </c>
      <c r="N203" s="75">
        <f t="shared" si="34"/>
        <v>-490</v>
      </c>
      <c r="O203" s="75">
        <f t="shared" si="35"/>
        <v>-88.60759493670885</v>
      </c>
      <c r="P203" s="75">
        <f>VLOOKUP($A203,'Data Vlaue (Cr)'!$C:$FB,119)</f>
        <v>1.1299999999999999</v>
      </c>
      <c r="Q203" s="75">
        <f>VLOOKUP($A203,'Data Vlaue (Cr)'!$C:$FB,122)*100</f>
        <v>13</v>
      </c>
      <c r="R203" s="75">
        <f>VLOOKUP($A203,'Data Vlaue (Cr)'!$C:$FB,125)</f>
        <v>0.4</v>
      </c>
      <c r="S203" s="75">
        <f>VLOOKUP($A203,'Data Vlaue (Cr)'!$C:$FB,128)*100</f>
        <v>66.67</v>
      </c>
    </row>
    <row r="204" spans="1:19" x14ac:dyDescent="0.25">
      <c r="A204" s="96" t="str">
        <f>'Data Vlaue (Cr)'!C195</f>
        <v>TATAELXSI</v>
      </c>
      <c r="B204" s="75">
        <f>VLOOKUP($A204,'Data Vlaue (Cr)'!$C:$FB,2)</f>
        <v>100</v>
      </c>
      <c r="C204" s="75">
        <f>VLOOKUP($A204,'Data Vlaue (Cr)'!$C:$FB,8)</f>
        <v>4516.6000000000004</v>
      </c>
      <c r="D204" s="75">
        <f>VLOOKUP($A204,'Data Vlaue (Cr)'!$C:$FB,4)</f>
        <v>4526.6000000000004</v>
      </c>
      <c r="E204" s="75">
        <f>VLOOKUP($A204,'Data Vlaue (Cr)'!$C:$FB,5)</f>
        <v>4602</v>
      </c>
      <c r="F204" s="75">
        <f t="shared" si="30"/>
        <v>10</v>
      </c>
      <c r="G204" s="75">
        <f t="shared" si="31"/>
        <v>-1.6657093624353736</v>
      </c>
      <c r="H204" s="75">
        <f>VLOOKUP($A204,'Data Vlaue (Cr)'!$C:$FB,99)</f>
        <v>1544</v>
      </c>
      <c r="I204" s="75">
        <f>VLOOKUP($A204,'Data Vlaue (Cr)'!$C:$FB,100)</f>
        <v>1458</v>
      </c>
      <c r="J204" s="75">
        <f t="shared" si="32"/>
        <v>86</v>
      </c>
      <c r="K204" s="75">
        <f t="shared" si="33"/>
        <v>5.5699481865284968</v>
      </c>
      <c r="L204" s="75">
        <f>VLOOKUP($A204,'Data Vlaue (Cr)'!$C:$FB,67)</f>
        <v>1375</v>
      </c>
      <c r="M204" s="75">
        <f>VLOOKUP($A204,'Data Vlaue (Cr)'!$C:$FB,68)</f>
        <v>1724</v>
      </c>
      <c r="N204" s="75">
        <f t="shared" si="34"/>
        <v>-349</v>
      </c>
      <c r="O204" s="75">
        <f t="shared" si="35"/>
        <v>-25.381818181818183</v>
      </c>
      <c r="P204" s="75">
        <f>VLOOKUP($A204,'Data Vlaue (Cr)'!$C:$FB,119)</f>
        <v>0.51</v>
      </c>
      <c r="Q204" s="75">
        <f>VLOOKUP($A204,'Data Vlaue (Cr)'!$C:$FB,122)*100</f>
        <v>-7.2700000000000005</v>
      </c>
      <c r="R204" s="75">
        <f>VLOOKUP($A204,'Data Vlaue (Cr)'!$C:$FB,125)</f>
        <v>0.56999999999999995</v>
      </c>
      <c r="S204" s="75">
        <f>VLOOKUP($A204,'Data Vlaue (Cr)'!$C:$FB,128)*100</f>
        <v>35.709999999999994</v>
      </c>
    </row>
    <row r="205" spans="1:19" x14ac:dyDescent="0.25">
      <c r="A205" s="96" t="str">
        <f>'Data Vlaue (Cr)'!C196</f>
        <v>TATAPOWER</v>
      </c>
      <c r="B205" s="75">
        <f>VLOOKUP($A205,'Data Vlaue (Cr)'!$C:$FB,2)</f>
        <v>1450</v>
      </c>
      <c r="C205" s="75">
        <f>VLOOKUP($A205,'Data Vlaue (Cr)'!$C:$FB,8)</f>
        <v>433.6</v>
      </c>
      <c r="D205" s="75">
        <f>VLOOKUP($A205,'Data Vlaue (Cr)'!$C:$FB,4)</f>
        <v>433.8</v>
      </c>
      <c r="E205" s="75">
        <f>VLOOKUP($A205,'Data Vlaue (Cr)'!$C:$FB,5)</f>
        <v>427.95</v>
      </c>
      <c r="F205" s="75">
        <f t="shared" si="30"/>
        <v>0.19999999999998863</v>
      </c>
      <c r="G205" s="75">
        <f t="shared" si="31"/>
        <v>1.3485477178423289</v>
      </c>
      <c r="H205" s="75">
        <f>VLOOKUP($A205,'Data Vlaue (Cr)'!$C:$FB,99)</f>
        <v>5408</v>
      </c>
      <c r="I205" s="75">
        <f>VLOOKUP($A205,'Data Vlaue (Cr)'!$C:$FB,100)</f>
        <v>5429</v>
      </c>
      <c r="J205" s="75">
        <f t="shared" si="32"/>
        <v>-21</v>
      </c>
      <c r="K205" s="75">
        <f t="shared" si="33"/>
        <v>-0.38831360946745563</v>
      </c>
      <c r="L205" s="75">
        <f>VLOOKUP($A205,'Data Vlaue (Cr)'!$C:$FB,67)</f>
        <v>8487</v>
      </c>
      <c r="M205" s="75">
        <f>VLOOKUP($A205,'Data Vlaue (Cr)'!$C:$FB,68)</f>
        <v>4214</v>
      </c>
      <c r="N205" s="75">
        <f t="shared" si="34"/>
        <v>4273</v>
      </c>
      <c r="O205" s="75">
        <f t="shared" si="35"/>
        <v>50.34759043242606</v>
      </c>
      <c r="P205" s="75">
        <f>VLOOKUP($A205,'Data Vlaue (Cr)'!$C:$FB,119)</f>
        <v>0.84</v>
      </c>
      <c r="Q205" s="75">
        <f>VLOOKUP($A205,'Data Vlaue (Cr)'!$C:$FB,122)*100</f>
        <v>-2.33</v>
      </c>
      <c r="R205" s="75">
        <f>VLOOKUP($A205,'Data Vlaue (Cr)'!$C:$FB,125)</f>
        <v>0.57999999999999996</v>
      </c>
      <c r="S205" s="75">
        <f>VLOOKUP($A205,'Data Vlaue (Cr)'!$C:$FB,128)*100</f>
        <v>-22.67</v>
      </c>
    </row>
    <row r="206" spans="1:19" x14ac:dyDescent="0.25">
      <c r="A206" s="96" t="str">
        <f>'Data Vlaue (Cr)'!C197</f>
        <v>TATASTEEL</v>
      </c>
      <c r="B206" s="75">
        <f>VLOOKUP($A206,'Data Vlaue (Cr)'!$C:$FB,2)</f>
        <v>5500</v>
      </c>
      <c r="C206" s="75">
        <f>VLOOKUP($A206,'Data Vlaue (Cr)'!$C:$FB,8)</f>
        <v>211.72</v>
      </c>
      <c r="D206" s="75">
        <f>VLOOKUP($A206,'Data Vlaue (Cr)'!$C:$FB,4)</f>
        <v>211.52</v>
      </c>
      <c r="E206" s="75">
        <f>VLOOKUP($A206,'Data Vlaue (Cr)'!$C:$FB,5)</f>
        <v>212.3</v>
      </c>
      <c r="F206" s="75">
        <f t="shared" si="30"/>
        <v>-0.19999999999998863</v>
      </c>
      <c r="G206" s="75">
        <f t="shared" si="31"/>
        <v>-0.36875945537065108</v>
      </c>
      <c r="H206" s="75">
        <f>VLOOKUP($A206,'Data Vlaue (Cr)'!$C:$FB,99)</f>
        <v>8449</v>
      </c>
      <c r="I206" s="75">
        <f>VLOOKUP($A206,'Data Vlaue (Cr)'!$C:$FB,100)</f>
        <v>8348</v>
      </c>
      <c r="J206" s="75">
        <f t="shared" si="32"/>
        <v>101</v>
      </c>
      <c r="K206" s="75">
        <f t="shared" si="33"/>
        <v>1.1954077405610131</v>
      </c>
      <c r="L206" s="75">
        <f>VLOOKUP($A206,'Data Vlaue (Cr)'!$C:$FB,67)</f>
        <v>4455</v>
      </c>
      <c r="M206" s="75">
        <f>VLOOKUP($A206,'Data Vlaue (Cr)'!$C:$FB,68)</f>
        <v>4757</v>
      </c>
      <c r="N206" s="75">
        <f t="shared" si="34"/>
        <v>-302</v>
      </c>
      <c r="O206" s="75">
        <f t="shared" si="35"/>
        <v>-6.7789001122334449</v>
      </c>
      <c r="P206" s="75">
        <f>VLOOKUP($A206,'Data Vlaue (Cr)'!$C:$FB,119)</f>
        <v>0.85</v>
      </c>
      <c r="Q206" s="75">
        <f>VLOOKUP($A206,'Data Vlaue (Cr)'!$C:$FB,122)*100</f>
        <v>-1.1599999999999999</v>
      </c>
      <c r="R206" s="75">
        <f>VLOOKUP($A206,'Data Vlaue (Cr)'!$C:$FB,125)</f>
        <v>0.56000000000000005</v>
      </c>
      <c r="S206" s="75">
        <f>VLOOKUP($A206,'Data Vlaue (Cr)'!$C:$FB,128)*100</f>
        <v>-13.850000000000001</v>
      </c>
    </row>
    <row r="207" spans="1:19" x14ac:dyDescent="0.25">
      <c r="A207" s="96" t="str">
        <f>'Data Vlaue (Cr)'!C198</f>
        <v>TATATECH</v>
      </c>
      <c r="B207" s="75">
        <f>VLOOKUP($A207,'Data Vlaue (Cr)'!$C:$FB,2)</f>
        <v>800</v>
      </c>
      <c r="C207" s="75">
        <f>VLOOKUP($A207,'Data Vlaue (Cr)'!$C:$FB,8)</f>
        <v>576.45000000000005</v>
      </c>
      <c r="D207" s="75">
        <f>VLOOKUP($A207,'Data Vlaue (Cr)'!$C:$FB,4)</f>
        <v>576.6</v>
      </c>
      <c r="E207" s="75">
        <f>VLOOKUP($A207,'Data Vlaue (Cr)'!$C:$FB,5)</f>
        <v>590.9</v>
      </c>
      <c r="F207" s="75">
        <f t="shared" si="30"/>
        <v>0.14999999999997726</v>
      </c>
      <c r="G207" s="75">
        <f t="shared" si="31"/>
        <v>-2.4800554977453961</v>
      </c>
      <c r="H207" s="75">
        <f>VLOOKUP($A207,'Data Vlaue (Cr)'!$C:$FB,99)</f>
        <v>609</v>
      </c>
      <c r="I207" s="75">
        <f>VLOOKUP($A207,'Data Vlaue (Cr)'!$C:$FB,100)</f>
        <v>615</v>
      </c>
      <c r="J207" s="75">
        <f t="shared" si="32"/>
        <v>-6</v>
      </c>
      <c r="K207" s="75">
        <f t="shared" si="33"/>
        <v>-0.98522167487684731</v>
      </c>
      <c r="L207" s="75">
        <f>VLOOKUP($A207,'Data Vlaue (Cr)'!$C:$FB,67)</f>
        <v>134</v>
      </c>
      <c r="M207" s="75">
        <f>VLOOKUP($A207,'Data Vlaue (Cr)'!$C:$FB,68)</f>
        <v>131</v>
      </c>
      <c r="N207" s="75">
        <f t="shared" si="34"/>
        <v>3</v>
      </c>
      <c r="O207" s="75">
        <f t="shared" si="35"/>
        <v>2.2388059701492535</v>
      </c>
      <c r="P207" s="75">
        <f>VLOOKUP($A207,'Data Vlaue (Cr)'!$C:$FB,119)</f>
        <v>0.64</v>
      </c>
      <c r="Q207" s="75">
        <f>VLOOKUP($A207,'Data Vlaue (Cr)'!$C:$FB,122)*100</f>
        <v>-3.0300000000000002</v>
      </c>
      <c r="R207" s="75">
        <f>VLOOKUP($A207,'Data Vlaue (Cr)'!$C:$FB,125)</f>
        <v>0.42</v>
      </c>
      <c r="S207" s="75">
        <f>VLOOKUP($A207,'Data Vlaue (Cr)'!$C:$FB,128)*100</f>
        <v>31.25</v>
      </c>
    </row>
    <row r="208" spans="1:19" x14ac:dyDescent="0.25">
      <c r="A208" s="96" t="str">
        <f>'Data Vlaue (Cr)'!C199</f>
        <v>TCS</v>
      </c>
      <c r="B208" s="75">
        <f>VLOOKUP($A208,'Data Vlaue (Cr)'!$C:$FB,2)</f>
        <v>175</v>
      </c>
      <c r="C208" s="75">
        <f>VLOOKUP($A208,'Data Vlaue (Cr)'!$C:$FB,8)</f>
        <v>2579.6</v>
      </c>
      <c r="D208" s="75">
        <f>VLOOKUP($A208,'Data Vlaue (Cr)'!$C:$FB,4)</f>
        <v>2565</v>
      </c>
      <c r="E208" s="75">
        <f>VLOOKUP($A208,'Data Vlaue (Cr)'!$C:$FB,5)</f>
        <v>2561.1999999999998</v>
      </c>
      <c r="F208" s="75">
        <f t="shared" si="30"/>
        <v>-14.599999999999909</v>
      </c>
      <c r="G208" s="75">
        <f t="shared" si="31"/>
        <v>0.14814814814815525</v>
      </c>
      <c r="H208" s="75">
        <f>VLOOKUP($A208,'Data Vlaue (Cr)'!$C:$FB,99)</f>
        <v>16495</v>
      </c>
      <c r="I208" s="75">
        <f>VLOOKUP($A208,'Data Vlaue (Cr)'!$C:$FB,100)</f>
        <v>16796</v>
      </c>
      <c r="J208" s="75">
        <f t="shared" si="32"/>
        <v>-301</v>
      </c>
      <c r="K208" s="75">
        <f t="shared" si="33"/>
        <v>-1.824795392543195</v>
      </c>
      <c r="L208" s="75">
        <f>VLOOKUP($A208,'Data Vlaue (Cr)'!$C:$FB,67)</f>
        <v>7221</v>
      </c>
      <c r="M208" s="75">
        <f>VLOOKUP($A208,'Data Vlaue (Cr)'!$C:$FB,68)</f>
        <v>7590</v>
      </c>
      <c r="N208" s="75">
        <f t="shared" si="34"/>
        <v>-369</v>
      </c>
      <c r="O208" s="75">
        <f t="shared" si="35"/>
        <v>-5.1100955546323226</v>
      </c>
      <c r="P208" s="75">
        <f>VLOOKUP($A208,'Data Vlaue (Cr)'!$C:$FB,119)</f>
        <v>0.68</v>
      </c>
      <c r="Q208" s="75">
        <f>VLOOKUP($A208,'Data Vlaue (Cr)'!$C:$FB,122)*100</f>
        <v>4.62</v>
      </c>
      <c r="R208" s="75">
        <f>VLOOKUP($A208,'Data Vlaue (Cr)'!$C:$FB,125)</f>
        <v>0.53</v>
      </c>
      <c r="S208" s="75">
        <f>VLOOKUP($A208,'Data Vlaue (Cr)'!$C:$FB,128)*100</f>
        <v>-8.6199999999999992</v>
      </c>
    </row>
    <row r="209" spans="1:19" x14ac:dyDescent="0.25">
      <c r="A209" s="96" t="str">
        <f>'Data Vlaue (Cr)'!C200</f>
        <v>TECHM</v>
      </c>
      <c r="B209" s="75">
        <f>VLOOKUP($A209,'Data Vlaue (Cr)'!$C:$FB,2)</f>
        <v>600</v>
      </c>
      <c r="C209" s="75">
        <f>VLOOKUP($A209,'Data Vlaue (Cr)'!$C:$FB,8)</f>
        <v>1504.4</v>
      </c>
      <c r="D209" s="75">
        <f>VLOOKUP($A209,'Data Vlaue (Cr)'!$C:$FB,4)</f>
        <v>1497.7</v>
      </c>
      <c r="E209" s="75">
        <f>VLOOKUP($A209,'Data Vlaue (Cr)'!$C:$FB,5)</f>
        <v>1503.1</v>
      </c>
      <c r="F209" s="75">
        <f t="shared" si="30"/>
        <v>-6.7000000000000455</v>
      </c>
      <c r="G209" s="75">
        <f t="shared" si="31"/>
        <v>-0.36055284769979723</v>
      </c>
      <c r="H209" s="75">
        <f>VLOOKUP($A209,'Data Vlaue (Cr)'!$C:$FB,99)</f>
        <v>4088</v>
      </c>
      <c r="I209" s="75">
        <f>VLOOKUP($A209,'Data Vlaue (Cr)'!$C:$FB,100)</f>
        <v>4162</v>
      </c>
      <c r="J209" s="75">
        <f t="shared" si="32"/>
        <v>-74</v>
      </c>
      <c r="K209" s="75">
        <f t="shared" si="33"/>
        <v>-1.8101761252446182</v>
      </c>
      <c r="L209" s="75">
        <f>VLOOKUP($A209,'Data Vlaue (Cr)'!$C:$FB,67)</f>
        <v>2781</v>
      </c>
      <c r="M209" s="75">
        <f>VLOOKUP($A209,'Data Vlaue (Cr)'!$C:$FB,68)</f>
        <v>2903</v>
      </c>
      <c r="N209" s="75">
        <f t="shared" si="34"/>
        <v>-122</v>
      </c>
      <c r="O209" s="75">
        <f t="shared" si="35"/>
        <v>-4.3869111830276877</v>
      </c>
      <c r="P209" s="75">
        <f>VLOOKUP($A209,'Data Vlaue (Cr)'!$C:$FB,119)</f>
        <v>0.81</v>
      </c>
      <c r="Q209" s="75">
        <f>VLOOKUP($A209,'Data Vlaue (Cr)'!$C:$FB,122)*100</f>
        <v>-3.5700000000000003</v>
      </c>
      <c r="R209" s="75">
        <f>VLOOKUP($A209,'Data Vlaue (Cr)'!$C:$FB,125)</f>
        <v>0.76</v>
      </c>
      <c r="S209" s="75">
        <f>VLOOKUP($A209,'Data Vlaue (Cr)'!$C:$FB,128)*100</f>
        <v>65.22</v>
      </c>
    </row>
    <row r="210" spans="1:19" x14ac:dyDescent="0.25">
      <c r="A210" s="96" t="str">
        <f>'Data Vlaue (Cr)'!C201</f>
        <v>TIINDIA</v>
      </c>
      <c r="B210" s="75">
        <f>VLOOKUP($A210,'Data Vlaue (Cr)'!$C:$FB,2)</f>
        <v>200</v>
      </c>
      <c r="C210" s="75">
        <f>VLOOKUP($A210,'Data Vlaue (Cr)'!$C:$FB,8)</f>
        <v>2873.1</v>
      </c>
      <c r="D210" s="75">
        <f>VLOOKUP($A210,'Data Vlaue (Cr)'!$C:$FB,4)</f>
        <v>2873.4</v>
      </c>
      <c r="E210" s="75">
        <f>VLOOKUP($A210,'Data Vlaue (Cr)'!$C:$FB,5)</f>
        <v>2798.1</v>
      </c>
      <c r="F210" s="75">
        <f t="shared" si="30"/>
        <v>0.3000000000001819</v>
      </c>
      <c r="G210" s="75">
        <f t="shared" si="31"/>
        <v>2.6205888494466549</v>
      </c>
      <c r="H210" s="75">
        <f>VLOOKUP($A210,'Data Vlaue (Cr)'!$C:$FB,99)</f>
        <v>1070</v>
      </c>
      <c r="I210" s="75">
        <f>VLOOKUP($A210,'Data Vlaue (Cr)'!$C:$FB,100)</f>
        <v>990</v>
      </c>
      <c r="J210" s="75">
        <f t="shared" si="32"/>
        <v>80</v>
      </c>
      <c r="K210" s="75">
        <f t="shared" si="33"/>
        <v>7.4766355140186906</v>
      </c>
      <c r="L210" s="75">
        <f>VLOOKUP($A210,'Data Vlaue (Cr)'!$C:$FB,67)</f>
        <v>1222</v>
      </c>
      <c r="M210" s="75">
        <f>VLOOKUP($A210,'Data Vlaue (Cr)'!$C:$FB,68)</f>
        <v>407</v>
      </c>
      <c r="N210" s="75">
        <f t="shared" si="34"/>
        <v>815</v>
      </c>
      <c r="O210" s="75">
        <f t="shared" si="35"/>
        <v>66.693944353518816</v>
      </c>
      <c r="P210" s="75">
        <f>VLOOKUP($A210,'Data Vlaue (Cr)'!$C:$FB,119)</f>
        <v>0.48</v>
      </c>
      <c r="Q210" s="75">
        <f>VLOOKUP($A210,'Data Vlaue (Cr)'!$C:$FB,122)*100</f>
        <v>9.09</v>
      </c>
      <c r="R210" s="75">
        <f>VLOOKUP($A210,'Data Vlaue (Cr)'!$C:$FB,125)</f>
        <v>0.2</v>
      </c>
      <c r="S210" s="75">
        <f>VLOOKUP($A210,'Data Vlaue (Cr)'!$C:$FB,128)*100</f>
        <v>42.86</v>
      </c>
    </row>
    <row r="211" spans="1:19" x14ac:dyDescent="0.25">
      <c r="A211" s="96" t="str">
        <f>'Data Vlaue (Cr)'!C202</f>
        <v>TITAN</v>
      </c>
      <c r="B211" s="75">
        <f>VLOOKUP($A211,'Data Vlaue (Cr)'!$C:$FB,2)</f>
        <v>175</v>
      </c>
      <c r="C211" s="75">
        <f>VLOOKUP($A211,'Data Vlaue (Cr)'!$C:$FB,8)</f>
        <v>4513</v>
      </c>
      <c r="D211" s="75">
        <f>VLOOKUP($A211,'Data Vlaue (Cr)'!$C:$FB,4)</f>
        <v>4510.2</v>
      </c>
      <c r="E211" s="75">
        <f>VLOOKUP($A211,'Data Vlaue (Cr)'!$C:$FB,5)</f>
        <v>4525</v>
      </c>
      <c r="F211" s="75">
        <f t="shared" si="30"/>
        <v>-2.8000000000001819</v>
      </c>
      <c r="G211" s="75">
        <f t="shared" si="31"/>
        <v>-0.32814509334397995</v>
      </c>
      <c r="H211" s="75">
        <f>VLOOKUP($A211,'Data Vlaue (Cr)'!$C:$FB,99)</f>
        <v>7208</v>
      </c>
      <c r="I211" s="75">
        <f>VLOOKUP($A211,'Data Vlaue (Cr)'!$C:$FB,100)</f>
        <v>7268</v>
      </c>
      <c r="J211" s="75">
        <f t="shared" si="32"/>
        <v>-60</v>
      </c>
      <c r="K211" s="75">
        <f t="shared" si="33"/>
        <v>-0.83240843507214213</v>
      </c>
      <c r="L211" s="75">
        <f>VLOOKUP($A211,'Data Vlaue (Cr)'!$C:$FB,67)</f>
        <v>3582</v>
      </c>
      <c r="M211" s="75">
        <f>VLOOKUP($A211,'Data Vlaue (Cr)'!$C:$FB,68)</f>
        <v>13086</v>
      </c>
      <c r="N211" s="75">
        <f t="shared" si="34"/>
        <v>-9504</v>
      </c>
      <c r="O211" s="75">
        <f t="shared" si="35"/>
        <v>-265.32663316582915</v>
      </c>
      <c r="P211" s="75">
        <f>VLOOKUP($A211,'Data Vlaue (Cr)'!$C:$FB,119)</f>
        <v>0.79</v>
      </c>
      <c r="Q211" s="75">
        <f>VLOOKUP($A211,'Data Vlaue (Cr)'!$C:$FB,122)*100</f>
        <v>-2.4699999999999998</v>
      </c>
      <c r="R211" s="75">
        <f>VLOOKUP($A211,'Data Vlaue (Cr)'!$C:$FB,125)</f>
        <v>0.77</v>
      </c>
      <c r="S211" s="75">
        <f>VLOOKUP($A211,'Data Vlaue (Cr)'!$C:$FB,128)*100</f>
        <v>-17.2</v>
      </c>
    </row>
    <row r="212" spans="1:19" x14ac:dyDescent="0.25">
      <c r="A212" s="96" t="str">
        <f>'Data Vlaue (Cr)'!C203</f>
        <v>TMPV</v>
      </c>
      <c r="B212" s="75">
        <f>VLOOKUP($A212,'Data Vlaue (Cr)'!$C:$FB,2)</f>
        <v>800</v>
      </c>
      <c r="C212" s="75">
        <f>VLOOKUP($A212,'Data Vlaue (Cr)'!$C:$FB,8)</f>
        <v>355.7</v>
      </c>
      <c r="D212" s="75">
        <f>VLOOKUP($A212,'Data Vlaue (Cr)'!$C:$FB,4)</f>
        <v>354.55</v>
      </c>
      <c r="E212" s="75">
        <f>VLOOKUP($A212,'Data Vlaue (Cr)'!$C:$FB,5)</f>
        <v>360.25</v>
      </c>
      <c r="F212" s="75">
        <f t="shared" si="30"/>
        <v>-1.1499999999999773</v>
      </c>
      <c r="G212" s="75">
        <f t="shared" si="31"/>
        <v>-1.6076716965167079</v>
      </c>
      <c r="H212" s="75">
        <f>VLOOKUP($A212,'Data Vlaue (Cr)'!$C:$FB,99)</f>
        <v>4452</v>
      </c>
      <c r="I212" s="75">
        <f>VLOOKUP($A212,'Data Vlaue (Cr)'!$C:$FB,100)</f>
        <v>4374</v>
      </c>
      <c r="J212" s="75">
        <f t="shared" si="32"/>
        <v>78</v>
      </c>
      <c r="K212" s="75">
        <f t="shared" si="33"/>
        <v>1.7520215633423182</v>
      </c>
      <c r="L212" s="75">
        <f>VLOOKUP($A212,'Data Vlaue (Cr)'!$C:$FB,67)</f>
        <v>2762</v>
      </c>
      <c r="M212" s="75">
        <f>VLOOKUP($A212,'Data Vlaue (Cr)'!$C:$FB,68)</f>
        <v>2414</v>
      </c>
      <c r="N212" s="75">
        <f t="shared" si="34"/>
        <v>348</v>
      </c>
      <c r="O212" s="75">
        <f t="shared" si="35"/>
        <v>12.599565532223025</v>
      </c>
      <c r="P212" s="75">
        <f>VLOOKUP($A212,'Data Vlaue (Cr)'!$C:$FB,119)</f>
        <v>0.79</v>
      </c>
      <c r="Q212" s="75">
        <f>VLOOKUP($A212,'Data Vlaue (Cr)'!$C:$FB,122)*100</f>
        <v>-1.25</v>
      </c>
      <c r="R212" s="75">
        <f>VLOOKUP($A212,'Data Vlaue (Cr)'!$C:$FB,125)</f>
        <v>0.73</v>
      </c>
      <c r="S212" s="75">
        <f>VLOOKUP($A212,'Data Vlaue (Cr)'!$C:$FB,128)*100</f>
        <v>5.8000000000000007</v>
      </c>
    </row>
    <row r="213" spans="1:19" x14ac:dyDescent="0.25">
      <c r="A213" s="96" t="str">
        <f>'Data Vlaue (Cr)'!C204</f>
        <v>TORNTPHARM</v>
      </c>
      <c r="B213" s="75">
        <f>VLOOKUP($A213,'Data Vlaue (Cr)'!$C:$FB,2)</f>
        <v>250</v>
      </c>
      <c r="C213" s="75">
        <f>VLOOKUP($A213,'Data Vlaue (Cr)'!$C:$FB,8)</f>
        <v>4191.2</v>
      </c>
      <c r="D213" s="75">
        <f>VLOOKUP($A213,'Data Vlaue (Cr)'!$C:$FB,4)</f>
        <v>4175.2</v>
      </c>
      <c r="E213" s="75">
        <f>VLOOKUP($A213,'Data Vlaue (Cr)'!$C:$FB,5)</f>
        <v>4174.8</v>
      </c>
      <c r="F213" s="75">
        <f t="shared" si="30"/>
        <v>-16</v>
      </c>
      <c r="G213" s="75">
        <f t="shared" si="31"/>
        <v>9.5803793830148559E-3</v>
      </c>
      <c r="H213" s="75">
        <f>VLOOKUP($A213,'Data Vlaue (Cr)'!$C:$FB,99)</f>
        <v>1820</v>
      </c>
      <c r="I213" s="75">
        <f>VLOOKUP($A213,'Data Vlaue (Cr)'!$C:$FB,100)</f>
        <v>1804</v>
      </c>
      <c r="J213" s="75">
        <f t="shared" si="32"/>
        <v>16</v>
      </c>
      <c r="K213" s="75">
        <f t="shared" si="33"/>
        <v>0.87912087912087911</v>
      </c>
      <c r="L213" s="75">
        <f>VLOOKUP($A213,'Data Vlaue (Cr)'!$C:$FB,67)</f>
        <v>642</v>
      </c>
      <c r="M213" s="75">
        <f>VLOOKUP($A213,'Data Vlaue (Cr)'!$C:$FB,68)</f>
        <v>535</v>
      </c>
      <c r="N213" s="75">
        <f t="shared" si="34"/>
        <v>107</v>
      </c>
      <c r="O213" s="75">
        <f t="shared" si="35"/>
        <v>16.666666666666664</v>
      </c>
      <c r="P213" s="75">
        <f>VLOOKUP($A213,'Data Vlaue (Cr)'!$C:$FB,119)</f>
        <v>0.71</v>
      </c>
      <c r="Q213" s="75">
        <f>VLOOKUP($A213,'Data Vlaue (Cr)'!$C:$FB,122)*100</f>
        <v>1.43</v>
      </c>
      <c r="R213" s="75">
        <f>VLOOKUP($A213,'Data Vlaue (Cr)'!$C:$FB,125)</f>
        <v>0.7</v>
      </c>
      <c r="S213" s="75">
        <f>VLOOKUP($A213,'Data Vlaue (Cr)'!$C:$FB,128)*100</f>
        <v>48.94</v>
      </c>
    </row>
    <row r="214" spans="1:19" x14ac:dyDescent="0.25">
      <c r="A214" s="96" t="str">
        <f>'Data Vlaue (Cr)'!C205</f>
        <v>TORNTPOWER</v>
      </c>
      <c r="B214" s="75">
        <f>VLOOKUP($A214,'Data Vlaue (Cr)'!$C:$FB,2)</f>
        <v>425</v>
      </c>
      <c r="C214" s="75">
        <f>VLOOKUP($A214,'Data Vlaue (Cr)'!$C:$FB,8)</f>
        <v>1606.3</v>
      </c>
      <c r="D214" s="75">
        <f>VLOOKUP($A214,'Data Vlaue (Cr)'!$C:$FB,4)</f>
        <v>1609</v>
      </c>
      <c r="E214" s="75">
        <f>VLOOKUP($A214,'Data Vlaue (Cr)'!$C:$FB,5)</f>
        <v>1564.8</v>
      </c>
      <c r="F214" s="75">
        <f t="shared" si="30"/>
        <v>2.7000000000000455</v>
      </c>
      <c r="G214" s="75">
        <f t="shared" si="31"/>
        <v>2.7470478558110654</v>
      </c>
      <c r="H214" s="75">
        <f>VLOOKUP($A214,'Data Vlaue (Cr)'!$C:$FB,99)</f>
        <v>1009</v>
      </c>
      <c r="I214" s="75">
        <f>VLOOKUP($A214,'Data Vlaue (Cr)'!$C:$FB,100)</f>
        <v>820</v>
      </c>
      <c r="J214" s="75">
        <f t="shared" si="32"/>
        <v>189</v>
      </c>
      <c r="K214" s="75">
        <f t="shared" si="33"/>
        <v>18.731417244796827</v>
      </c>
      <c r="L214" s="75">
        <f>VLOOKUP($A214,'Data Vlaue (Cr)'!$C:$FB,67)</f>
        <v>2933</v>
      </c>
      <c r="M214" s="75">
        <f>VLOOKUP($A214,'Data Vlaue (Cr)'!$C:$FB,68)</f>
        <v>471</v>
      </c>
      <c r="N214" s="75">
        <f t="shared" si="34"/>
        <v>2462</v>
      </c>
      <c r="O214" s="75">
        <f t="shared" si="35"/>
        <v>83.941356972383232</v>
      </c>
      <c r="P214" s="75">
        <f>VLOOKUP($A214,'Data Vlaue (Cr)'!$C:$FB,119)</f>
        <v>0.77</v>
      </c>
      <c r="Q214" s="75">
        <f>VLOOKUP($A214,'Data Vlaue (Cr)'!$C:$FB,122)*100</f>
        <v>5.48</v>
      </c>
      <c r="R214" s="75">
        <f>VLOOKUP($A214,'Data Vlaue (Cr)'!$C:$FB,125)</f>
        <v>0.36</v>
      </c>
      <c r="S214" s="75">
        <f>VLOOKUP($A214,'Data Vlaue (Cr)'!$C:$FB,128)*100</f>
        <v>28.57</v>
      </c>
    </row>
    <row r="215" spans="1:19" x14ac:dyDescent="0.25">
      <c r="A215" s="96" t="str">
        <f>'Data Vlaue (Cr)'!C206</f>
        <v>TRENT</v>
      </c>
      <c r="B215" s="75">
        <f>VLOOKUP($A215,'Data Vlaue (Cr)'!$C:$FB,2)</f>
        <v>100</v>
      </c>
      <c r="C215" s="75">
        <f>VLOOKUP($A215,'Data Vlaue (Cr)'!$C:$FB,8)</f>
        <v>4242.8</v>
      </c>
      <c r="D215" s="75">
        <f>VLOOKUP($A215,'Data Vlaue (Cr)'!$C:$FB,4)</f>
        <v>4238</v>
      </c>
      <c r="E215" s="75">
        <f>VLOOKUP($A215,'Data Vlaue (Cr)'!$C:$FB,5)</f>
        <v>4108.3999999999996</v>
      </c>
      <c r="F215" s="75">
        <f t="shared" ref="F215:F221" si="36">D215-C215</f>
        <v>-4.8000000000001819</v>
      </c>
      <c r="G215" s="75">
        <f t="shared" ref="G215:G221" si="37">(D215-E215)/D215*100</f>
        <v>3.0580462482303057</v>
      </c>
      <c r="H215" s="75">
        <f>VLOOKUP($A215,'Data Vlaue (Cr)'!$C:$FB,99)</f>
        <v>6038</v>
      </c>
      <c r="I215" s="75">
        <f>VLOOKUP($A215,'Data Vlaue (Cr)'!$C:$FB,100)</f>
        <v>5764</v>
      </c>
      <c r="J215" s="75">
        <f t="shared" ref="J215:J221" si="38">H215-I215</f>
        <v>274</v>
      </c>
      <c r="K215" s="75">
        <f t="shared" ref="K215:K221" si="39">J215/H215*100</f>
        <v>4.537926465717125</v>
      </c>
      <c r="L215" s="75">
        <f>VLOOKUP($A215,'Data Vlaue (Cr)'!$C:$FB,67)</f>
        <v>10746</v>
      </c>
      <c r="M215" s="75">
        <f>VLOOKUP($A215,'Data Vlaue (Cr)'!$C:$FB,68)</f>
        <v>4529</v>
      </c>
      <c r="N215" s="75">
        <f t="shared" ref="N215:N221" si="40">L215-M215</f>
        <v>6217</v>
      </c>
      <c r="O215" s="75">
        <f t="shared" ref="O215:O221" si="41">N215/L215*100</f>
        <v>57.854085241019916</v>
      </c>
      <c r="P215" s="75">
        <f>VLOOKUP($A215,'Data Vlaue (Cr)'!$C:$FB,119)</f>
        <v>0.84</v>
      </c>
      <c r="Q215" s="75">
        <f>VLOOKUP($A215,'Data Vlaue (Cr)'!$C:$FB,122)*100</f>
        <v>-2.33</v>
      </c>
      <c r="R215" s="75">
        <f>VLOOKUP($A215,'Data Vlaue (Cr)'!$C:$FB,125)</f>
        <v>0.38</v>
      </c>
      <c r="S215" s="75">
        <f>VLOOKUP($A215,'Data Vlaue (Cr)'!$C:$FB,128)*100</f>
        <v>-20.830000000000002</v>
      </c>
    </row>
    <row r="216" spans="1:19" x14ac:dyDescent="0.25">
      <c r="A216" s="96" t="str">
        <f>'Data Vlaue (Cr)'!C207</f>
        <v>TVSMOTOR</v>
      </c>
      <c r="B216" s="75">
        <f>VLOOKUP($A216,'Data Vlaue (Cr)'!$C:$FB,2)</f>
        <v>175</v>
      </c>
      <c r="C216" s="75">
        <f>VLOOKUP($A216,'Data Vlaue (Cr)'!$C:$FB,8)</f>
        <v>3761.9</v>
      </c>
      <c r="D216" s="75">
        <f>VLOOKUP($A216,'Data Vlaue (Cr)'!$C:$FB,4)</f>
        <v>3769.8</v>
      </c>
      <c r="E216" s="75">
        <f>VLOOKUP($A216,'Data Vlaue (Cr)'!$C:$FB,5)</f>
        <v>3747.3</v>
      </c>
      <c r="F216" s="75">
        <f t="shared" si="36"/>
        <v>7.9000000000000909</v>
      </c>
      <c r="G216" s="75">
        <f t="shared" si="37"/>
        <v>0.59684863918510256</v>
      </c>
      <c r="H216" s="75">
        <f>VLOOKUP($A216,'Data Vlaue (Cr)'!$C:$FB,99)</f>
        <v>4114</v>
      </c>
      <c r="I216" s="75">
        <f>VLOOKUP($A216,'Data Vlaue (Cr)'!$C:$FB,100)</f>
        <v>4159</v>
      </c>
      <c r="J216" s="75">
        <f t="shared" si="38"/>
        <v>-45</v>
      </c>
      <c r="K216" s="75">
        <f t="shared" si="39"/>
        <v>-1.0938259601361207</v>
      </c>
      <c r="L216" s="75">
        <f>VLOOKUP($A216,'Data Vlaue (Cr)'!$C:$FB,67)</f>
        <v>1208</v>
      </c>
      <c r="M216" s="75">
        <f>VLOOKUP($A216,'Data Vlaue (Cr)'!$C:$FB,68)</f>
        <v>1153</v>
      </c>
      <c r="N216" s="75">
        <f t="shared" si="40"/>
        <v>55</v>
      </c>
      <c r="O216" s="75">
        <f t="shared" si="41"/>
        <v>4.5529801324503305</v>
      </c>
      <c r="P216" s="75">
        <f>VLOOKUP($A216,'Data Vlaue (Cr)'!$C:$FB,119)</f>
        <v>0.76</v>
      </c>
      <c r="Q216" s="75">
        <f>VLOOKUP($A216,'Data Vlaue (Cr)'!$C:$FB,122)*100</f>
        <v>8.57</v>
      </c>
      <c r="R216" s="75">
        <f>VLOOKUP($A216,'Data Vlaue (Cr)'!$C:$FB,125)</f>
        <v>0.77</v>
      </c>
      <c r="S216" s="75">
        <f>VLOOKUP($A216,'Data Vlaue (Cr)'!$C:$FB,128)*100</f>
        <v>24.19</v>
      </c>
    </row>
    <row r="217" spans="1:19" x14ac:dyDescent="0.25">
      <c r="A217" s="96" t="str">
        <f>'Data Vlaue (Cr)'!C208</f>
        <v>ULTRACEMCO</v>
      </c>
      <c r="B217" s="75">
        <f>VLOOKUP($A217,'Data Vlaue (Cr)'!$C:$FB,2)</f>
        <v>50</v>
      </c>
      <c r="C217" s="75">
        <f>VLOOKUP($A217,'Data Vlaue (Cr)'!$C:$FB,8)</f>
        <v>11917</v>
      </c>
      <c r="D217" s="75">
        <f>VLOOKUP($A217,'Data Vlaue (Cr)'!$C:$FB,4)</f>
        <v>11897</v>
      </c>
      <c r="E217" s="75">
        <f>VLOOKUP($A217,'Data Vlaue (Cr)'!$C:$FB,5)</f>
        <v>11884</v>
      </c>
      <c r="F217" s="75">
        <f t="shared" si="36"/>
        <v>-20</v>
      </c>
      <c r="G217" s="75">
        <f t="shared" si="37"/>
        <v>0.10927124485164327</v>
      </c>
      <c r="H217" s="75">
        <f>VLOOKUP($A217,'Data Vlaue (Cr)'!$C:$FB,99)</f>
        <v>4280</v>
      </c>
      <c r="I217" s="75">
        <f>VLOOKUP($A217,'Data Vlaue (Cr)'!$C:$FB,100)</f>
        <v>4205</v>
      </c>
      <c r="J217" s="75">
        <f t="shared" si="38"/>
        <v>75</v>
      </c>
      <c r="K217" s="75">
        <f t="shared" si="39"/>
        <v>1.7523364485981308</v>
      </c>
      <c r="L217" s="75">
        <f>VLOOKUP($A217,'Data Vlaue (Cr)'!$C:$FB,67)</f>
        <v>2154</v>
      </c>
      <c r="M217" s="75">
        <f>VLOOKUP($A217,'Data Vlaue (Cr)'!$C:$FB,68)</f>
        <v>1954</v>
      </c>
      <c r="N217" s="75">
        <f t="shared" si="40"/>
        <v>200</v>
      </c>
      <c r="O217" s="75">
        <f t="shared" si="41"/>
        <v>9.2850510677808717</v>
      </c>
      <c r="P217" s="75">
        <f>VLOOKUP($A217,'Data Vlaue (Cr)'!$C:$FB,119)</f>
        <v>0.63</v>
      </c>
      <c r="Q217" s="75">
        <f>VLOOKUP($A217,'Data Vlaue (Cr)'!$C:$FB,122)*100</f>
        <v>1.6099999999999999</v>
      </c>
      <c r="R217" s="75">
        <f>VLOOKUP($A217,'Data Vlaue (Cr)'!$C:$FB,125)</f>
        <v>0.32</v>
      </c>
      <c r="S217" s="75">
        <f>VLOOKUP($A217,'Data Vlaue (Cr)'!$C:$FB,128)*100</f>
        <v>-31.91</v>
      </c>
    </row>
    <row r="218" spans="1:19" x14ac:dyDescent="0.25">
      <c r="A218" s="96" t="str">
        <f>'Data Vlaue (Cr)'!C209</f>
        <v>UNIONBANK</v>
      </c>
      <c r="B218" s="75">
        <f>VLOOKUP($A218,'Data Vlaue (Cr)'!$C:$FB,2)</f>
        <v>4425</v>
      </c>
      <c r="C218" s="75">
        <f>VLOOKUP($A218,'Data Vlaue (Cr)'!$C:$FB,8)</f>
        <v>189.29</v>
      </c>
      <c r="D218" s="75">
        <f>VLOOKUP($A218,'Data Vlaue (Cr)'!$C:$FB,4)</f>
        <v>189.55</v>
      </c>
      <c r="E218" s="75">
        <f>VLOOKUP($A218,'Data Vlaue (Cr)'!$C:$FB,5)</f>
        <v>188.51</v>
      </c>
      <c r="F218" s="75">
        <f t="shared" si="36"/>
        <v>0.26000000000001933</v>
      </c>
      <c r="G218" s="75">
        <f t="shared" si="37"/>
        <v>0.54866789765234525</v>
      </c>
      <c r="H218" s="75">
        <f>VLOOKUP($A218,'Data Vlaue (Cr)'!$C:$FB,99)</f>
        <v>3383</v>
      </c>
      <c r="I218" s="75">
        <f>VLOOKUP($A218,'Data Vlaue (Cr)'!$C:$FB,100)</f>
        <v>3395</v>
      </c>
      <c r="J218" s="75">
        <f t="shared" si="38"/>
        <v>-12</v>
      </c>
      <c r="K218" s="75">
        <f t="shared" si="39"/>
        <v>-0.35471475022169674</v>
      </c>
      <c r="L218" s="75">
        <f>VLOOKUP($A218,'Data Vlaue (Cr)'!$C:$FB,67)</f>
        <v>2179</v>
      </c>
      <c r="M218" s="75">
        <f>VLOOKUP($A218,'Data Vlaue (Cr)'!$C:$FB,68)</f>
        <v>1069</v>
      </c>
      <c r="N218" s="75">
        <f t="shared" si="40"/>
        <v>1110</v>
      </c>
      <c r="O218" s="75">
        <f t="shared" si="41"/>
        <v>50.940798531436435</v>
      </c>
      <c r="P218" s="75">
        <f>VLOOKUP($A218,'Data Vlaue (Cr)'!$C:$FB,119)</f>
        <v>0.76</v>
      </c>
      <c r="Q218" s="75">
        <f>VLOOKUP($A218,'Data Vlaue (Cr)'!$C:$FB,122)*100</f>
        <v>-3.8</v>
      </c>
      <c r="R218" s="75">
        <f>VLOOKUP($A218,'Data Vlaue (Cr)'!$C:$FB,125)</f>
        <v>0.42</v>
      </c>
      <c r="S218" s="75">
        <f>VLOOKUP($A218,'Data Vlaue (Cr)'!$C:$FB,128)*100</f>
        <v>-25</v>
      </c>
    </row>
    <row r="219" spans="1:19" x14ac:dyDescent="0.25">
      <c r="A219" s="96" t="str">
        <f>'Data Vlaue (Cr)'!C210</f>
        <v>UNITDSPR</v>
      </c>
      <c r="B219" s="75">
        <f>VLOOKUP($A219,'Data Vlaue (Cr)'!$C:$FB,2)</f>
        <v>400</v>
      </c>
      <c r="C219" s="75">
        <f>VLOOKUP($A219,'Data Vlaue (Cr)'!$C:$FB,8)</f>
        <v>1307.7</v>
      </c>
      <c r="D219" s="75">
        <f>VLOOKUP($A219,'Data Vlaue (Cr)'!$C:$FB,4)</f>
        <v>1309.7</v>
      </c>
      <c r="E219" s="75">
        <f>VLOOKUP($A219,'Data Vlaue (Cr)'!$C:$FB,5)</f>
        <v>1305.7</v>
      </c>
      <c r="F219" s="75">
        <f t="shared" si="36"/>
        <v>2</v>
      </c>
      <c r="G219" s="75">
        <f t="shared" si="37"/>
        <v>0.305413453462625</v>
      </c>
      <c r="H219" s="75">
        <f>VLOOKUP($A219,'Data Vlaue (Cr)'!$C:$FB,99)</f>
        <v>2728</v>
      </c>
      <c r="I219" s="75">
        <f>VLOOKUP($A219,'Data Vlaue (Cr)'!$C:$FB,100)</f>
        <v>2697</v>
      </c>
      <c r="J219" s="75">
        <f t="shared" si="38"/>
        <v>31</v>
      </c>
      <c r="K219" s="75">
        <f t="shared" si="39"/>
        <v>1.1363636363636365</v>
      </c>
      <c r="L219" s="75">
        <f>VLOOKUP($A219,'Data Vlaue (Cr)'!$C:$FB,67)</f>
        <v>1732</v>
      </c>
      <c r="M219" s="75">
        <f>VLOOKUP($A219,'Data Vlaue (Cr)'!$C:$FB,68)</f>
        <v>2927</v>
      </c>
      <c r="N219" s="75">
        <f t="shared" si="40"/>
        <v>-1195</v>
      </c>
      <c r="O219" s="75">
        <f t="shared" si="41"/>
        <v>-68.995381062355648</v>
      </c>
      <c r="P219" s="75">
        <f>VLOOKUP($A219,'Data Vlaue (Cr)'!$C:$FB,119)</f>
        <v>0.69</v>
      </c>
      <c r="Q219" s="75">
        <f>VLOOKUP($A219,'Data Vlaue (Cr)'!$C:$FB,122)*100</f>
        <v>6.15</v>
      </c>
      <c r="R219" s="75">
        <f>VLOOKUP($A219,'Data Vlaue (Cr)'!$C:$FB,125)</f>
        <v>0.4</v>
      </c>
      <c r="S219" s="75">
        <f>VLOOKUP($A219,'Data Vlaue (Cr)'!$C:$FB,128)*100</f>
        <v>48.15</v>
      </c>
    </row>
    <row r="220" spans="1:19" x14ac:dyDescent="0.25">
      <c r="A220" s="96" t="str">
        <f>'Data Vlaue (Cr)'!C211</f>
        <v>UNOMINDA</v>
      </c>
      <c r="B220" s="75">
        <f>VLOOKUP($A220,'Data Vlaue (Cr)'!$C:$FB,2)</f>
        <v>550</v>
      </c>
      <c r="C220" s="75">
        <f>VLOOKUP($A220,'Data Vlaue (Cr)'!$C:$FB,8)</f>
        <v>1129.4000000000001</v>
      </c>
      <c r="D220" s="75">
        <f>VLOOKUP($A220,'Data Vlaue (Cr)'!$C:$FB,4)</f>
        <v>1127.5</v>
      </c>
      <c r="E220" s="75">
        <f>VLOOKUP($A220,'Data Vlaue (Cr)'!$C:$FB,5)</f>
        <v>1098.0999999999999</v>
      </c>
      <c r="F220" s="75">
        <f t="shared" si="36"/>
        <v>-1.9000000000000909</v>
      </c>
      <c r="G220" s="75">
        <f t="shared" si="37"/>
        <v>2.6075388026607622</v>
      </c>
      <c r="H220" s="75">
        <f>VLOOKUP($A220,'Data Vlaue (Cr)'!$C:$FB,99)</f>
        <v>816</v>
      </c>
      <c r="I220" s="75">
        <f>VLOOKUP($A220,'Data Vlaue (Cr)'!$C:$FB,100)</f>
        <v>802</v>
      </c>
      <c r="J220" s="75">
        <f t="shared" si="38"/>
        <v>14</v>
      </c>
      <c r="K220" s="75">
        <f t="shared" si="39"/>
        <v>1.715686274509804</v>
      </c>
      <c r="L220" s="75">
        <f>VLOOKUP($A220,'Data Vlaue (Cr)'!$C:$FB,67)</f>
        <v>933</v>
      </c>
      <c r="M220" s="75">
        <f>VLOOKUP($A220,'Data Vlaue (Cr)'!$C:$FB,68)</f>
        <v>229</v>
      </c>
      <c r="N220" s="75">
        <f t="shared" si="40"/>
        <v>704</v>
      </c>
      <c r="O220" s="75">
        <f t="shared" si="41"/>
        <v>75.455519828510191</v>
      </c>
      <c r="P220" s="75">
        <f>VLOOKUP($A220,'Data Vlaue (Cr)'!$C:$FB,119)</f>
        <v>0.41</v>
      </c>
      <c r="Q220" s="75">
        <f>VLOOKUP($A220,'Data Vlaue (Cr)'!$C:$FB,122)*100</f>
        <v>0</v>
      </c>
      <c r="R220" s="75">
        <f>VLOOKUP($A220,'Data Vlaue (Cr)'!$C:$FB,125)</f>
        <v>0.15</v>
      </c>
      <c r="S220" s="75">
        <f>VLOOKUP($A220,'Data Vlaue (Cr)'!$C:$FB,128)*100</f>
        <v>-31.819999999999997</v>
      </c>
    </row>
    <row r="221" spans="1:19" x14ac:dyDescent="0.25">
      <c r="A221" s="96" t="str">
        <f>'Data Vlaue (Cr)'!C212</f>
        <v>UPL</v>
      </c>
      <c r="B221" s="75">
        <f>VLOOKUP($A221,'Data Vlaue (Cr)'!$C:$FB,2)</f>
        <v>1355</v>
      </c>
      <c r="C221" s="75">
        <f>VLOOKUP($A221,'Data Vlaue (Cr)'!$C:$FB,8)</f>
        <v>656.65</v>
      </c>
      <c r="D221" s="75">
        <f>VLOOKUP($A221,'Data Vlaue (Cr)'!$C:$FB,4)</f>
        <v>657.75</v>
      </c>
      <c r="E221" s="75">
        <f>VLOOKUP($A221,'Data Vlaue (Cr)'!$C:$FB,5)</f>
        <v>666.35</v>
      </c>
      <c r="F221" s="75">
        <f t="shared" si="36"/>
        <v>1.1000000000000227</v>
      </c>
      <c r="G221" s="75">
        <f t="shared" si="37"/>
        <v>-1.3074876472824055</v>
      </c>
      <c r="H221" s="75">
        <f>VLOOKUP($A221,'Data Vlaue (Cr)'!$C:$FB,99)</f>
        <v>3133</v>
      </c>
      <c r="I221" s="75">
        <f>VLOOKUP($A221,'Data Vlaue (Cr)'!$C:$FB,100)</f>
        <v>3112</v>
      </c>
      <c r="J221" s="75">
        <f t="shared" si="38"/>
        <v>21</v>
      </c>
      <c r="K221" s="75">
        <f t="shared" si="39"/>
        <v>0.67028407277369928</v>
      </c>
      <c r="L221" s="75">
        <f>VLOOKUP($A221,'Data Vlaue (Cr)'!$C:$FB,67)</f>
        <v>724</v>
      </c>
      <c r="M221" s="75">
        <f>VLOOKUP($A221,'Data Vlaue (Cr)'!$C:$FB,68)</f>
        <v>976</v>
      </c>
      <c r="N221" s="75">
        <f t="shared" si="40"/>
        <v>-252</v>
      </c>
      <c r="O221" s="75">
        <f t="shared" si="41"/>
        <v>-34.806629834254146</v>
      </c>
      <c r="P221" s="75">
        <f>VLOOKUP($A221,'Data Vlaue (Cr)'!$C:$FB,119)</f>
        <v>0.75</v>
      </c>
      <c r="Q221" s="75">
        <f>VLOOKUP($A221,'Data Vlaue (Cr)'!$C:$FB,122)*100</f>
        <v>0</v>
      </c>
      <c r="R221" s="75">
        <f>VLOOKUP($A221,'Data Vlaue (Cr)'!$C:$FB,125)</f>
        <v>0.65</v>
      </c>
      <c r="S221" s="75">
        <f>VLOOKUP($A221,'Data Vlaue (Cr)'!$C:$FB,128)*100</f>
        <v>-9.7199999999999989</v>
      </c>
    </row>
    <row r="222" spans="1:19" x14ac:dyDescent="0.25">
      <c r="A222" s="96" t="str">
        <f>'Data Vlaue (Cr)'!C213</f>
        <v>VBL</v>
      </c>
      <c r="B222" s="75">
        <f>VLOOKUP($A222,'Data Vlaue (Cr)'!$C:$FB,2)</f>
        <v>1125</v>
      </c>
      <c r="C222" s="75">
        <f>VLOOKUP($A222,'Data Vlaue (Cr)'!$C:$FB,8)</f>
        <v>466.55</v>
      </c>
      <c r="D222" s="75">
        <f>VLOOKUP($A222,'Data Vlaue (Cr)'!$C:$FB,4)</f>
        <v>467.75</v>
      </c>
      <c r="E222" s="75">
        <f>VLOOKUP($A222,'Data Vlaue (Cr)'!$C:$FB,5)</f>
        <v>473.65</v>
      </c>
      <c r="F222" s="75">
        <f t="shared" ref="F222:F229" si="42">D222-C222</f>
        <v>1.1999999999999886</v>
      </c>
      <c r="G222" s="75">
        <f t="shared" ref="G222:G229" si="43">(D222-E222)/D222*100</f>
        <v>-1.2613575628006366</v>
      </c>
      <c r="H222" s="75">
        <f>VLOOKUP($A222,'Data Vlaue (Cr)'!$C:$FB,99)</f>
        <v>3650</v>
      </c>
      <c r="I222" s="75">
        <f>VLOOKUP($A222,'Data Vlaue (Cr)'!$C:$FB,100)</f>
        <v>3462</v>
      </c>
      <c r="J222" s="75">
        <f t="shared" ref="J222:J229" si="44">H222-I222</f>
        <v>188</v>
      </c>
      <c r="K222" s="75">
        <f t="shared" ref="K222:K229" si="45">J222/H222*100</f>
        <v>5.1506849315068495</v>
      </c>
      <c r="L222" s="75">
        <f>VLOOKUP($A222,'Data Vlaue (Cr)'!$C:$FB,67)</f>
        <v>1367</v>
      </c>
      <c r="M222" s="75">
        <f>VLOOKUP($A222,'Data Vlaue (Cr)'!$C:$FB,68)</f>
        <v>3042</v>
      </c>
      <c r="N222" s="75">
        <f t="shared" ref="N222:N229" si="46">L222-M222</f>
        <v>-1675</v>
      </c>
      <c r="O222" s="75">
        <f t="shared" ref="O222:O229" si="47">N222/L222*100</f>
        <v>-122.53108997805413</v>
      </c>
      <c r="P222" s="75">
        <f>VLOOKUP($A222,'Data Vlaue (Cr)'!$C:$FB,119)</f>
        <v>0.57999999999999996</v>
      </c>
      <c r="Q222" s="75">
        <f>VLOOKUP($A222,'Data Vlaue (Cr)'!$C:$FB,122)*100</f>
        <v>-6.45</v>
      </c>
      <c r="R222" s="75">
        <f>VLOOKUP($A222,'Data Vlaue (Cr)'!$C:$FB,125)</f>
        <v>0.5</v>
      </c>
      <c r="S222" s="75">
        <f>VLOOKUP($A222,'Data Vlaue (Cr)'!$C:$FB,128)*100</f>
        <v>11.110000000000001</v>
      </c>
    </row>
    <row r="223" spans="1:19" x14ac:dyDescent="0.25">
      <c r="A223" s="96" t="str">
        <f>'Data Vlaue (Cr)'!C214</f>
        <v>VEDL</v>
      </c>
      <c r="B223" s="75">
        <f>VLOOKUP($A223,'Data Vlaue (Cr)'!$C:$FB,2)</f>
        <v>1150</v>
      </c>
      <c r="C223" s="75">
        <f>VLOOKUP($A223,'Data Vlaue (Cr)'!$C:$FB,8)</f>
        <v>771</v>
      </c>
      <c r="D223" s="75">
        <f>VLOOKUP($A223,'Data Vlaue (Cr)'!$C:$FB,4)</f>
        <v>772.45</v>
      </c>
      <c r="E223" s="75">
        <f>VLOOKUP($A223,'Data Vlaue (Cr)'!$C:$FB,5)</f>
        <v>788.75</v>
      </c>
      <c r="F223" s="75">
        <f t="shared" si="42"/>
        <v>1.4500000000000455</v>
      </c>
      <c r="G223" s="75">
        <f t="shared" si="43"/>
        <v>-2.1101689429736492</v>
      </c>
      <c r="H223" s="75">
        <f>VLOOKUP($A223,'Data Vlaue (Cr)'!$C:$FB,99)</f>
        <v>9033</v>
      </c>
      <c r="I223" s="75">
        <f>VLOOKUP($A223,'Data Vlaue (Cr)'!$C:$FB,100)</f>
        <v>8788</v>
      </c>
      <c r="J223" s="75">
        <f t="shared" si="44"/>
        <v>245</v>
      </c>
      <c r="K223" s="75">
        <f t="shared" si="45"/>
        <v>2.7122772058009521</v>
      </c>
      <c r="L223" s="75">
        <f>VLOOKUP($A223,'Data Vlaue (Cr)'!$C:$FB,67)</f>
        <v>4707</v>
      </c>
      <c r="M223" s="75">
        <f>VLOOKUP($A223,'Data Vlaue (Cr)'!$C:$FB,68)</f>
        <v>6975</v>
      </c>
      <c r="N223" s="75">
        <f t="shared" si="46"/>
        <v>-2268</v>
      </c>
      <c r="O223" s="75">
        <f t="shared" si="47"/>
        <v>-48.183556405353727</v>
      </c>
      <c r="P223" s="75">
        <f>VLOOKUP($A223,'Data Vlaue (Cr)'!$C:$FB,119)</f>
        <v>0.9</v>
      </c>
      <c r="Q223" s="75">
        <f>VLOOKUP($A223,'Data Vlaue (Cr)'!$C:$FB,122)*100</f>
        <v>-8.16</v>
      </c>
      <c r="R223" s="75">
        <f>VLOOKUP($A223,'Data Vlaue (Cr)'!$C:$FB,125)</f>
        <v>0.72</v>
      </c>
      <c r="S223" s="75">
        <f>VLOOKUP($A223,'Data Vlaue (Cr)'!$C:$FB,128)*100</f>
        <v>2.86</v>
      </c>
    </row>
    <row r="224" spans="1:19" x14ac:dyDescent="0.25">
      <c r="A224" s="96" t="str">
        <f>'Data Vlaue (Cr)'!C215</f>
        <v>VMM</v>
      </c>
      <c r="B224" s="75">
        <f>VLOOKUP($A224,'Data Vlaue (Cr)'!$C:$FB,2)</f>
        <v>4850</v>
      </c>
      <c r="C224" s="75">
        <f>VLOOKUP($A224,'Data Vlaue (Cr)'!$C:$FB,8)</f>
        <v>118.61</v>
      </c>
      <c r="D224" s="75">
        <f>VLOOKUP($A224,'Data Vlaue (Cr)'!$C:$FB,4)</f>
        <v>118.48</v>
      </c>
      <c r="E224" s="75">
        <f>VLOOKUP($A224,'Data Vlaue (Cr)'!$C:$FB,5)</f>
        <v>118.85</v>
      </c>
      <c r="F224" s="75">
        <f t="shared" si="42"/>
        <v>-0.12999999999999545</v>
      </c>
      <c r="G224" s="75">
        <f t="shared" si="43"/>
        <v>-0.31228899392301684</v>
      </c>
      <c r="H224" s="75">
        <f>VLOOKUP($A224,'Data Vlaue (Cr)'!$C:$FB,99)</f>
        <v>472</v>
      </c>
      <c r="I224" s="75">
        <f>VLOOKUP($A224,'Data Vlaue (Cr)'!$C:$FB,100)</f>
        <v>452</v>
      </c>
      <c r="J224" s="75">
        <f t="shared" si="44"/>
        <v>20</v>
      </c>
      <c r="K224" s="75">
        <f t="shared" si="45"/>
        <v>4.2372881355932197</v>
      </c>
      <c r="L224" s="75">
        <f>VLOOKUP($A224,'Data Vlaue (Cr)'!$C:$FB,67)</f>
        <v>162</v>
      </c>
      <c r="M224" s="75">
        <f>VLOOKUP($A224,'Data Vlaue (Cr)'!$C:$FB,68)</f>
        <v>330</v>
      </c>
      <c r="N224" s="75">
        <f t="shared" si="46"/>
        <v>-168</v>
      </c>
      <c r="O224" s="75">
        <f t="shared" si="47"/>
        <v>-103.7037037037037</v>
      </c>
      <c r="P224" s="75">
        <f>VLOOKUP($A224,'Data Vlaue (Cr)'!$C:$FB,119)</f>
        <v>0.53</v>
      </c>
      <c r="Q224" s="75">
        <f>VLOOKUP($A224,'Data Vlaue (Cr)'!$C:$FB,122)*100</f>
        <v>-13.11</v>
      </c>
      <c r="R224" s="75">
        <f>VLOOKUP($A224,'Data Vlaue (Cr)'!$C:$FB,125)</f>
        <v>0.24</v>
      </c>
      <c r="S224" s="75">
        <f>VLOOKUP($A224,'Data Vlaue (Cr)'!$C:$FB,128)*100</f>
        <v>41.18</v>
      </c>
    </row>
    <row r="225" spans="1:19" x14ac:dyDescent="0.25">
      <c r="A225" s="96" t="str">
        <f>'Data Vlaue (Cr)'!C216</f>
        <v>VOLTAS</v>
      </c>
      <c r="B225" s="75">
        <f>VLOOKUP($A225,'Data Vlaue (Cr)'!$C:$FB,2)</f>
        <v>375</v>
      </c>
      <c r="C225" s="75">
        <f>VLOOKUP($A225,'Data Vlaue (Cr)'!$C:$FB,8)</f>
        <v>1438</v>
      </c>
      <c r="D225" s="75">
        <f>VLOOKUP($A225,'Data Vlaue (Cr)'!$C:$FB,4)</f>
        <v>1440.9</v>
      </c>
      <c r="E225" s="75">
        <f>VLOOKUP($A225,'Data Vlaue (Cr)'!$C:$FB,5)</f>
        <v>1441.5</v>
      </c>
      <c r="F225" s="75">
        <f t="shared" si="42"/>
        <v>2.9000000000000909</v>
      </c>
      <c r="G225" s="75">
        <f t="shared" si="43"/>
        <v>-4.164064126586918E-2</v>
      </c>
      <c r="H225" s="75">
        <f>VLOOKUP($A225,'Data Vlaue (Cr)'!$C:$FB,99)</f>
        <v>3027</v>
      </c>
      <c r="I225" s="75">
        <f>VLOOKUP($A225,'Data Vlaue (Cr)'!$C:$FB,100)</f>
        <v>2978</v>
      </c>
      <c r="J225" s="75">
        <f t="shared" si="44"/>
        <v>49</v>
      </c>
      <c r="K225" s="75">
        <f t="shared" si="45"/>
        <v>1.6187644532540468</v>
      </c>
      <c r="L225" s="75">
        <f>VLOOKUP($A225,'Data Vlaue (Cr)'!$C:$FB,67)</f>
        <v>2620</v>
      </c>
      <c r="M225" s="75">
        <f>VLOOKUP($A225,'Data Vlaue (Cr)'!$C:$FB,68)</f>
        <v>2164</v>
      </c>
      <c r="N225" s="75">
        <f t="shared" si="46"/>
        <v>456</v>
      </c>
      <c r="O225" s="75">
        <f t="shared" si="47"/>
        <v>17.404580152671755</v>
      </c>
      <c r="P225" s="75">
        <f>VLOOKUP($A225,'Data Vlaue (Cr)'!$C:$FB,119)</f>
        <v>0.86</v>
      </c>
      <c r="Q225" s="75">
        <f>VLOOKUP($A225,'Data Vlaue (Cr)'!$C:$FB,122)*100</f>
        <v>-9.4700000000000006</v>
      </c>
      <c r="R225" s="75">
        <f>VLOOKUP($A225,'Data Vlaue (Cr)'!$C:$FB,125)</f>
        <v>0.46</v>
      </c>
      <c r="S225" s="75">
        <f>VLOOKUP($A225,'Data Vlaue (Cr)'!$C:$FB,128)*100</f>
        <v>-11.540000000000001</v>
      </c>
    </row>
    <row r="226" spans="1:19" x14ac:dyDescent="0.25">
      <c r="A226" s="96" t="str">
        <f>'Data Vlaue (Cr)'!C217</f>
        <v>WAAREEENER</v>
      </c>
      <c r="B226" s="75">
        <f>VLOOKUP($A226,'Data Vlaue (Cr)'!$C:$FB,2)</f>
        <v>175</v>
      </c>
      <c r="C226" s="75">
        <f>VLOOKUP($A226,'Data Vlaue (Cr)'!$C:$FB,8)</f>
        <v>3489.1</v>
      </c>
      <c r="D226" s="75">
        <f>VLOOKUP($A226,'Data Vlaue (Cr)'!$C:$FB,4)</f>
        <v>3496.8</v>
      </c>
      <c r="E226" s="75">
        <f>VLOOKUP($A226,'Data Vlaue (Cr)'!$C:$FB,5)</f>
        <v>3470.3</v>
      </c>
      <c r="F226" s="75">
        <f t="shared" si="42"/>
        <v>7.7000000000002728</v>
      </c>
      <c r="G226" s="75">
        <f t="shared" si="43"/>
        <v>0.75783573552962702</v>
      </c>
      <c r="H226" s="75">
        <f>VLOOKUP($A226,'Data Vlaue (Cr)'!$C:$FB,99)</f>
        <v>3031</v>
      </c>
      <c r="I226" s="75">
        <f>VLOOKUP($A226,'Data Vlaue (Cr)'!$C:$FB,100)</f>
        <v>2976</v>
      </c>
      <c r="J226" s="75">
        <f t="shared" si="44"/>
        <v>55</v>
      </c>
      <c r="K226" s="75">
        <f t="shared" si="45"/>
        <v>1.8145826459914218</v>
      </c>
      <c r="L226" s="75">
        <f>VLOOKUP($A226,'Data Vlaue (Cr)'!$C:$FB,67)</f>
        <v>3084</v>
      </c>
      <c r="M226" s="75">
        <f>VLOOKUP($A226,'Data Vlaue (Cr)'!$C:$FB,68)</f>
        <v>4338</v>
      </c>
      <c r="N226" s="75">
        <f t="shared" si="46"/>
        <v>-1254</v>
      </c>
      <c r="O226" s="75">
        <f t="shared" si="47"/>
        <v>-40.661478599221788</v>
      </c>
      <c r="P226" s="75">
        <f>VLOOKUP($A226,'Data Vlaue (Cr)'!$C:$FB,119)</f>
        <v>0.76</v>
      </c>
      <c r="Q226" s="75">
        <f>VLOOKUP($A226,'Data Vlaue (Cr)'!$C:$FB,122)*100</f>
        <v>2.7</v>
      </c>
      <c r="R226" s="75">
        <f>VLOOKUP($A226,'Data Vlaue (Cr)'!$C:$FB,125)</f>
        <v>0.45</v>
      </c>
      <c r="S226" s="75">
        <f>VLOOKUP($A226,'Data Vlaue (Cr)'!$C:$FB,128)*100</f>
        <v>-8.16</v>
      </c>
    </row>
    <row r="227" spans="1:19" x14ac:dyDescent="0.25">
      <c r="A227" s="96" t="str">
        <f>'Data Vlaue (Cr)'!C218</f>
        <v>WIPRO</v>
      </c>
      <c r="B227" s="75">
        <f>VLOOKUP($A227,'Data Vlaue (Cr)'!$C:$FB,2)</f>
        <v>3000</v>
      </c>
      <c r="C227" s="75">
        <f>VLOOKUP($A227,'Data Vlaue (Cr)'!$C:$FB,8)</f>
        <v>202.48</v>
      </c>
      <c r="D227" s="75">
        <f>VLOOKUP($A227,'Data Vlaue (Cr)'!$C:$FB,4)</f>
        <v>201.8</v>
      </c>
      <c r="E227" s="75">
        <f>VLOOKUP($A227,'Data Vlaue (Cr)'!$C:$FB,5)</f>
        <v>202.37</v>
      </c>
      <c r="F227" s="75">
        <f t="shared" si="42"/>
        <v>-0.6799999999999784</v>
      </c>
      <c r="G227" s="75">
        <f t="shared" si="43"/>
        <v>-0.28245787908820275</v>
      </c>
      <c r="H227" s="75">
        <f>VLOOKUP($A227,'Data Vlaue (Cr)'!$C:$FB,99)</f>
        <v>11697</v>
      </c>
      <c r="I227" s="75">
        <f>VLOOKUP($A227,'Data Vlaue (Cr)'!$C:$FB,100)</f>
        <v>11617</v>
      </c>
      <c r="J227" s="75">
        <f t="shared" si="44"/>
        <v>80</v>
      </c>
      <c r="K227" s="75">
        <f t="shared" si="45"/>
        <v>0.68393605197913987</v>
      </c>
      <c r="L227" s="75">
        <f>VLOOKUP($A227,'Data Vlaue (Cr)'!$C:$FB,67)</f>
        <v>5231</v>
      </c>
      <c r="M227" s="75">
        <f>VLOOKUP($A227,'Data Vlaue (Cr)'!$C:$FB,68)</f>
        <v>16124</v>
      </c>
      <c r="N227" s="75">
        <f t="shared" si="46"/>
        <v>-10893</v>
      </c>
      <c r="O227" s="75">
        <f t="shared" si="47"/>
        <v>-208.23934238195375</v>
      </c>
      <c r="P227" s="75">
        <f>VLOOKUP($A227,'Data Vlaue (Cr)'!$C:$FB,119)</f>
        <v>0.48</v>
      </c>
      <c r="Q227" s="75">
        <f>VLOOKUP($A227,'Data Vlaue (Cr)'!$C:$FB,122)*100</f>
        <v>-2.04</v>
      </c>
      <c r="R227" s="75">
        <f>VLOOKUP($A227,'Data Vlaue (Cr)'!$C:$FB,125)</f>
        <v>0.44</v>
      </c>
      <c r="S227" s="75">
        <f>VLOOKUP($A227,'Data Vlaue (Cr)'!$C:$FB,128)*100</f>
        <v>-15.379999999999999</v>
      </c>
    </row>
    <row r="228" spans="1:19" x14ac:dyDescent="0.25">
      <c r="A228" s="96" t="str">
        <f>'Data Vlaue (Cr)'!C219</f>
        <v>YESBANK</v>
      </c>
      <c r="B228" s="75">
        <f>VLOOKUP($A228,'Data Vlaue (Cr)'!$C:$FB,2)</f>
        <v>31100</v>
      </c>
      <c r="C228" s="75">
        <f>VLOOKUP($A228,'Data Vlaue (Cr)'!$C:$FB,8)</f>
        <v>19.84</v>
      </c>
      <c r="D228" s="75">
        <f>VLOOKUP($A228,'Data Vlaue (Cr)'!$C:$FB,4)</f>
        <v>19.82</v>
      </c>
      <c r="E228" s="75">
        <f>VLOOKUP($A228,'Data Vlaue (Cr)'!$C:$FB,5)</f>
        <v>20.260000000000002</v>
      </c>
      <c r="F228" s="75">
        <f t="shared" si="42"/>
        <v>-1.9999999999999574E-2</v>
      </c>
      <c r="G228" s="75">
        <f t="shared" si="43"/>
        <v>-2.2199798183652941</v>
      </c>
      <c r="H228" s="75">
        <f>VLOOKUP($A228,'Data Vlaue (Cr)'!$C:$FB,99)</f>
        <v>4618</v>
      </c>
      <c r="I228" s="75">
        <f>VLOOKUP($A228,'Data Vlaue (Cr)'!$C:$FB,100)</f>
        <v>4079</v>
      </c>
      <c r="J228" s="75">
        <f t="shared" si="44"/>
        <v>539</v>
      </c>
      <c r="K228" s="75">
        <f t="shared" si="45"/>
        <v>11.671719359029883</v>
      </c>
      <c r="L228" s="75">
        <f>VLOOKUP($A228,'Data Vlaue (Cr)'!$C:$FB,67)</f>
        <v>5881</v>
      </c>
      <c r="M228" s="75">
        <f>VLOOKUP($A228,'Data Vlaue (Cr)'!$C:$FB,68)</f>
        <v>3576</v>
      </c>
      <c r="N228" s="75">
        <f t="shared" si="46"/>
        <v>2305</v>
      </c>
      <c r="O228" s="75">
        <f t="shared" si="47"/>
        <v>39.194014623363373</v>
      </c>
      <c r="P228" s="75">
        <f>VLOOKUP($A228,'Data Vlaue (Cr)'!$C:$FB,119)</f>
        <v>0.53</v>
      </c>
      <c r="Q228" s="75">
        <f>VLOOKUP($A228,'Data Vlaue (Cr)'!$C:$FB,122)*100</f>
        <v>-15.870000000000001</v>
      </c>
      <c r="R228" s="75">
        <f>VLOOKUP($A228,'Data Vlaue (Cr)'!$C:$FB,125)</f>
        <v>0.21</v>
      </c>
      <c r="S228" s="75">
        <f>VLOOKUP($A228,'Data Vlaue (Cr)'!$C:$FB,128)*100</f>
        <v>0</v>
      </c>
    </row>
    <row r="229" spans="1:19" x14ac:dyDescent="0.25">
      <c r="A229" s="96" t="str">
        <f>'Data Vlaue (Cr)'!C220</f>
        <v>ZYDUSLIFE</v>
      </c>
      <c r="B229" s="75">
        <f>VLOOKUP($A229,'Data Vlaue (Cr)'!$C:$FB,2)</f>
        <v>900</v>
      </c>
      <c r="C229" s="75">
        <f>VLOOKUP($A229,'Data Vlaue (Cr)'!$C:$FB,8)</f>
        <v>936.5</v>
      </c>
      <c r="D229" s="75">
        <f>VLOOKUP($A229,'Data Vlaue (Cr)'!$C:$FB,4)</f>
        <v>935.5</v>
      </c>
      <c r="E229" s="75">
        <f>VLOOKUP($A229,'Data Vlaue (Cr)'!$C:$FB,5)</f>
        <v>946.25</v>
      </c>
      <c r="F229" s="75">
        <f t="shared" si="42"/>
        <v>-1</v>
      </c>
      <c r="G229" s="75">
        <f t="shared" si="43"/>
        <v>-1.1491181186531267</v>
      </c>
      <c r="H229" s="75">
        <f>VLOOKUP($A229,'Data Vlaue (Cr)'!$C:$FB,99)</f>
        <v>1378</v>
      </c>
      <c r="I229" s="75">
        <f>VLOOKUP($A229,'Data Vlaue (Cr)'!$C:$FB,100)</f>
        <v>1356</v>
      </c>
      <c r="J229" s="75">
        <f t="shared" si="44"/>
        <v>22</v>
      </c>
      <c r="K229" s="75">
        <f t="shared" si="45"/>
        <v>1.5965166908563133</v>
      </c>
      <c r="L229" s="75">
        <f>VLOOKUP($A229,'Data Vlaue (Cr)'!$C:$FB,67)</f>
        <v>449</v>
      </c>
      <c r="M229" s="75">
        <f>VLOOKUP($A229,'Data Vlaue (Cr)'!$C:$FB,68)</f>
        <v>540</v>
      </c>
      <c r="N229" s="75">
        <f t="shared" si="46"/>
        <v>-91</v>
      </c>
      <c r="O229" s="75">
        <f t="shared" si="47"/>
        <v>-20.26726057906459</v>
      </c>
      <c r="P229" s="75">
        <f>VLOOKUP($A229,'Data Vlaue (Cr)'!$C:$FB,119)</f>
        <v>0.7</v>
      </c>
      <c r="Q229" s="75">
        <f>VLOOKUP($A229,'Data Vlaue (Cr)'!$C:$FB,122)*100</f>
        <v>-9.09</v>
      </c>
      <c r="R229" s="75">
        <f>VLOOKUP($A229,'Data Vlaue (Cr)'!$C:$FB,125)</f>
        <v>0.37</v>
      </c>
      <c r="S229" s="75">
        <f>VLOOKUP($A229,'Data Vlaue (Cr)'!$C:$FB,128)*100</f>
        <v>2.78</v>
      </c>
    </row>
    <row r="230" spans="1:19" x14ac:dyDescent="0.25">
      <c r="A230" s="96"/>
      <c r="B230" s="75"/>
      <c r="C230" s="75"/>
      <c r="D230" s="75"/>
      <c r="E230" s="75"/>
      <c r="F230" s="75"/>
      <c r="G230" s="75"/>
      <c r="H230" s="75"/>
      <c r="I230" s="75"/>
      <c r="J230" s="75"/>
      <c r="K230" s="75"/>
      <c r="L230" s="75"/>
      <c r="M230" s="75"/>
      <c r="N230" s="75"/>
      <c r="O230" s="75"/>
      <c r="P230" s="75"/>
      <c r="Q230" s="75"/>
      <c r="R230" s="75"/>
      <c r="S230" s="75"/>
    </row>
    <row r="231" spans="1:19" x14ac:dyDescent="0.25">
      <c r="A231" s="96"/>
      <c r="B231" s="75"/>
      <c r="C231" s="75"/>
      <c r="D231" s="75"/>
      <c r="E231" s="75"/>
      <c r="F231" s="75"/>
      <c r="G231" s="75"/>
      <c r="H231" s="75"/>
      <c r="I231" s="75"/>
      <c r="J231" s="75"/>
      <c r="K231" s="75"/>
      <c r="L231" s="75"/>
      <c r="M231" s="75"/>
      <c r="N231" s="75"/>
      <c r="O231" s="75"/>
      <c r="P231" s="75"/>
      <c r="Q231" s="75"/>
      <c r="R231" s="75"/>
      <c r="S231" s="75"/>
    </row>
    <row r="232" spans="1:19" x14ac:dyDescent="0.25">
      <c r="A232" s="96"/>
      <c r="B232" s="75"/>
      <c r="C232" s="75"/>
      <c r="D232" s="75"/>
      <c r="E232" s="75"/>
      <c r="F232" s="75"/>
      <c r="G232" s="75"/>
      <c r="H232" s="75"/>
      <c r="I232" s="75"/>
      <c r="J232" s="75"/>
      <c r="K232" s="75"/>
      <c r="L232" s="75"/>
      <c r="M232" s="75"/>
      <c r="N232" s="75"/>
      <c r="O232" s="75"/>
      <c r="P232" s="75"/>
      <c r="Q232" s="75"/>
      <c r="R232" s="75"/>
      <c r="S232" s="75"/>
    </row>
    <row r="233" spans="1:19" x14ac:dyDescent="0.25">
      <c r="A233" s="96"/>
      <c r="B233" s="75"/>
      <c r="C233" s="75"/>
      <c r="D233" s="75"/>
      <c r="E233" s="75"/>
      <c r="F233" s="75"/>
      <c r="G233" s="75"/>
      <c r="H233" s="75"/>
      <c r="I233" s="75"/>
      <c r="J233" s="75"/>
      <c r="K233" s="75"/>
      <c r="L233" s="75"/>
      <c r="M233" s="75"/>
      <c r="N233" s="75"/>
      <c r="O233" s="75"/>
      <c r="P233" s="75"/>
      <c r="Q233" s="75"/>
      <c r="R233" s="75"/>
      <c r="S233" s="75"/>
    </row>
    <row r="234" spans="1:19" x14ac:dyDescent="0.25">
      <c r="A234" s="96"/>
      <c r="B234" s="75"/>
      <c r="C234" s="75"/>
      <c r="D234" s="75"/>
      <c r="E234" s="75"/>
      <c r="F234" s="75"/>
      <c r="G234" s="75"/>
      <c r="H234" s="75"/>
      <c r="I234" s="75"/>
      <c r="J234" s="75"/>
      <c r="K234" s="75"/>
      <c r="L234" s="75"/>
      <c r="M234" s="75"/>
      <c r="N234" s="75"/>
      <c r="O234" s="75"/>
      <c r="P234" s="75"/>
      <c r="Q234" s="75"/>
      <c r="R234" s="75"/>
      <c r="S234" s="75"/>
    </row>
    <row r="235" spans="1:19" x14ac:dyDescent="0.25">
      <c r="A235" s="96"/>
      <c r="B235" s="75"/>
      <c r="C235" s="75"/>
      <c r="D235" s="75"/>
      <c r="E235" s="75"/>
      <c r="F235" s="75"/>
      <c r="G235" s="75"/>
      <c r="H235" s="75"/>
      <c r="I235" s="75"/>
      <c r="J235" s="75"/>
      <c r="K235" s="75"/>
      <c r="L235" s="75"/>
      <c r="M235" s="75"/>
      <c r="N235" s="75"/>
      <c r="O235" s="75"/>
      <c r="P235" s="75"/>
      <c r="Q235" s="75"/>
      <c r="R235" s="75"/>
      <c r="S235" s="75"/>
    </row>
    <row r="236" spans="1:19" x14ac:dyDescent="0.25">
      <c r="A236" s="96"/>
      <c r="B236" s="75"/>
      <c r="C236" s="75"/>
      <c r="D236" s="75"/>
      <c r="E236" s="75"/>
      <c r="F236" s="75"/>
      <c r="G236" s="75"/>
      <c r="H236" s="75"/>
      <c r="I236" s="75"/>
      <c r="J236" s="75"/>
      <c r="K236" s="75"/>
      <c r="L236" s="75"/>
      <c r="M236" s="75"/>
      <c r="N236" s="75"/>
      <c r="O236" s="75"/>
      <c r="P236" s="75"/>
      <c r="Q236" s="75"/>
      <c r="R236" s="75"/>
      <c r="S236" s="75"/>
    </row>
    <row r="237" spans="1:19" x14ac:dyDescent="0.25">
      <c r="A237" s="98"/>
      <c r="B237" s="75"/>
      <c r="C237" s="75"/>
      <c r="D237" s="75"/>
      <c r="E237" s="75"/>
      <c r="F237" s="75"/>
      <c r="G237" s="75"/>
      <c r="H237" s="75"/>
      <c r="I237" s="75"/>
      <c r="J237" s="75"/>
      <c r="K237" s="75"/>
      <c r="L237" s="75"/>
      <c r="M237" s="75"/>
      <c r="N237" s="75"/>
      <c r="O237" s="75"/>
      <c r="P237" s="75"/>
      <c r="Q237" s="75"/>
      <c r="R237" s="75"/>
      <c r="S237" s="75"/>
    </row>
    <row r="238" spans="1:19" x14ac:dyDescent="0.25">
      <c r="A238" s="98"/>
      <c r="B238" s="75"/>
      <c r="C238" s="75"/>
      <c r="D238" s="75"/>
      <c r="E238" s="75"/>
      <c r="F238" s="75"/>
      <c r="G238" s="75"/>
      <c r="H238" s="75"/>
      <c r="I238" s="75"/>
      <c r="J238" s="75"/>
      <c r="K238" s="75"/>
      <c r="L238" s="75"/>
      <c r="M238" s="75"/>
      <c r="N238" s="75"/>
      <c r="O238" s="75"/>
      <c r="P238" s="75"/>
      <c r="Q238" s="75"/>
      <c r="R238" s="75"/>
      <c r="S238" s="75"/>
    </row>
    <row r="239" spans="1:19" x14ac:dyDescent="0.25">
      <c r="A239" s="98"/>
      <c r="B239" s="75"/>
      <c r="C239" s="75"/>
      <c r="D239" s="75"/>
      <c r="E239" s="75"/>
      <c r="F239" s="75"/>
      <c r="G239" s="75"/>
      <c r="H239" s="75"/>
      <c r="I239" s="75"/>
      <c r="J239" s="75"/>
      <c r="K239" s="75"/>
      <c r="L239" s="75"/>
      <c r="M239" s="75"/>
      <c r="N239" s="75"/>
      <c r="O239" s="75"/>
      <c r="P239" s="75"/>
      <c r="Q239" s="75"/>
      <c r="R239" s="75"/>
      <c r="S239" s="75"/>
    </row>
    <row r="240" spans="1:19" x14ac:dyDescent="0.25">
      <c r="A240" s="237"/>
      <c r="B240" s="237"/>
      <c r="C240" s="237"/>
      <c r="D240" s="237"/>
      <c r="E240" s="237"/>
      <c r="F240" s="237"/>
      <c r="G240" s="15"/>
      <c r="H240" s="16"/>
      <c r="I240" s="237"/>
      <c r="J240" s="237"/>
      <c r="K240" s="237"/>
      <c r="L240" s="237"/>
      <c r="M240" s="237"/>
      <c r="N240" s="16"/>
      <c r="O240" s="16"/>
      <c r="P240" s="16"/>
      <c r="Q240" s="237"/>
      <c r="R240" s="237"/>
      <c r="S240" s="237"/>
    </row>
    <row r="241" spans="1:19" x14ac:dyDescent="0.25">
      <c r="A241" s="234" t="s">
        <v>391</v>
      </c>
      <c r="B241" s="235"/>
      <c r="C241" s="235"/>
      <c r="D241" s="235"/>
      <c r="E241" s="235"/>
      <c r="F241" s="236"/>
      <c r="G241" s="18"/>
      <c r="H241" s="18">
        <f>SUM(H11:H236)</f>
        <v>2406467</v>
      </c>
      <c r="I241" s="18">
        <f>SUM(I11:I236)</f>
        <v>2389789</v>
      </c>
      <c r="J241" s="18">
        <f>H241-I241</f>
        <v>16678</v>
      </c>
      <c r="K241" s="19">
        <f>J241/I241</f>
        <v>6.9788588030156636E-3</v>
      </c>
      <c r="L241" s="18">
        <f>SUM(L11:L236)</f>
        <v>20000198</v>
      </c>
      <c r="M241" s="18">
        <f>SUM(M11:M236)</f>
        <v>12166168</v>
      </c>
      <c r="N241" s="18">
        <f>L241-M241</f>
        <v>7834030</v>
      </c>
      <c r="O241" s="19">
        <f>N241/M241</f>
        <v>0.6439192685815287</v>
      </c>
      <c r="P241" s="234"/>
      <c r="Q241" s="235"/>
      <c r="R241" s="235"/>
      <c r="S241" s="236"/>
    </row>
    <row r="245" spans="1:19" x14ac:dyDescent="0.25">
      <c r="A245" s="240" t="s">
        <v>334</v>
      </c>
      <c r="B245" s="240"/>
      <c r="C245" s="240"/>
      <c r="D245" s="6"/>
      <c r="E245" s="6"/>
      <c r="F245" s="6"/>
      <c r="G245" s="6"/>
      <c r="H245" s="8" t="s">
        <v>385</v>
      </c>
      <c r="J245" s="7"/>
      <c r="K245" s="7"/>
      <c r="L245" s="7"/>
      <c r="M245" s="7"/>
    </row>
    <row r="246" spans="1:19" x14ac:dyDescent="0.25">
      <c r="A246" s="22"/>
      <c r="B246" s="23" t="s">
        <v>182</v>
      </c>
      <c r="C246" s="24" t="s">
        <v>386</v>
      </c>
      <c r="D246" s="25" t="s">
        <v>266</v>
      </c>
      <c r="E246" s="24" t="s">
        <v>386</v>
      </c>
      <c r="F246" s="23" t="s">
        <v>461</v>
      </c>
      <c r="G246" s="23" t="s">
        <v>387</v>
      </c>
      <c r="H246" s="24" t="s">
        <v>386</v>
      </c>
    </row>
    <row r="247" spans="1:19" x14ac:dyDescent="0.25">
      <c r="A247" s="26" t="s">
        <v>388</v>
      </c>
      <c r="B247" s="9">
        <f>VLOOKUP(B246,'OI(Value)'!A7:E232,5,0)</f>
        <v>13773</v>
      </c>
      <c r="C247" s="146">
        <f>VLOOKUP(B246,'OI(Value)'!A7:G232,7,0)</f>
        <v>-6.4399999999999999E-2</v>
      </c>
      <c r="D247" s="9">
        <f>VLOOKUP(D246,'OI(Value)'!A7:E232,5,0)</f>
        <v>49141</v>
      </c>
      <c r="E247" s="147">
        <f>VLOOKUP(D246,'OI(Value)'!A7:G232,7,0)</f>
        <v>-1.6899999999999998E-2</v>
      </c>
      <c r="F247" s="9">
        <f>G247-D247-B247</f>
        <v>522981</v>
      </c>
      <c r="G247" s="10">
        <f>'OI(Value)'!E233</f>
        <v>585895</v>
      </c>
      <c r="H247" s="147">
        <f>'OI(Value)'!D240</f>
        <v>-2.7325715358554009E-3</v>
      </c>
    </row>
    <row r="248" spans="1:19" x14ac:dyDescent="0.25">
      <c r="A248" s="26" t="s">
        <v>389</v>
      </c>
      <c r="B248" s="9">
        <f>VLOOKUP(B246,'OI(Value)'!A7:H232,8,0)</f>
        <v>111868</v>
      </c>
      <c r="C248" s="146">
        <f>VLOOKUP(B246,'OI(Value)'!A7:J232,10,0)</f>
        <v>-7.6E-3</v>
      </c>
      <c r="D248" s="9">
        <f>VLOOKUP(D246,'OI(Value)'!A1:O233,8,0)</f>
        <v>570530</v>
      </c>
      <c r="E248" s="147">
        <f>VLOOKUP(D246,'OI(Value)'!A1:J232,10,0)</f>
        <v>-1.44E-2</v>
      </c>
      <c r="F248" s="9">
        <f>G248-D248-B248</f>
        <v>216397</v>
      </c>
      <c r="G248" s="9">
        <f>'OI(Value)'!H233</f>
        <v>898795</v>
      </c>
      <c r="H248" s="147">
        <f>'OI(Value)'!D241</f>
        <v>-3.664906903131415E-3</v>
      </c>
    </row>
    <row r="249" spans="1:19" x14ac:dyDescent="0.25">
      <c r="A249" s="26" t="s">
        <v>390</v>
      </c>
      <c r="B249" s="9">
        <f>VLOOKUP(B246,'OI(Value)'!A7:K232,11,0)</f>
        <v>111259</v>
      </c>
      <c r="C249" s="146">
        <f>VLOOKUP(B246,'OI(Value)'!A7:M232,13,0)</f>
        <v>5.8200000000000002E-2</v>
      </c>
      <c r="D249" s="9">
        <f>VLOOKUP(D246,'OI(Value)'!A2:O234,11,0)</f>
        <v>646843</v>
      </c>
      <c r="E249" s="147">
        <f>VLOOKUP(D246,'OI(Value)'!A7:M232,13,0)</f>
        <v>2.0799999999999999E-2</v>
      </c>
      <c r="F249" s="9">
        <f>G249-D249-B249</f>
        <v>163656</v>
      </c>
      <c r="G249" s="9">
        <f>'OI(Value)'!K233</f>
        <v>921758</v>
      </c>
      <c r="H249" s="147">
        <f>'OI(Volume)'!D247</f>
        <v>2.4580631087145022E-2</v>
      </c>
    </row>
    <row r="250" spans="1:19" x14ac:dyDescent="0.25">
      <c r="A250" s="22" t="s">
        <v>391</v>
      </c>
      <c r="B250" s="62">
        <f>SUM(B247:B249)</f>
        <v>236900</v>
      </c>
      <c r="C250" s="148">
        <f>VLOOKUP(B246,'OI(Value)'!A7:D148,4,0)</f>
        <v>1.8599999999999998E-2</v>
      </c>
      <c r="D250" s="62">
        <f>SUM(D247:D249)</f>
        <v>1266514</v>
      </c>
      <c r="E250" s="148">
        <f>VLOOKUP(D246,'OI(Value)'!A1:D233,4,0)</f>
        <v>3.2000000000000002E-3</v>
      </c>
      <c r="F250" s="62">
        <f>SUM(F247:F249)</f>
        <v>903034</v>
      </c>
      <c r="G250" s="62">
        <f>SUM(G247:G249)</f>
        <v>2406448</v>
      </c>
      <c r="H250" s="151">
        <f>'OI(Value)'!D243</f>
        <v>6.9272221963657642E-3</v>
      </c>
    </row>
    <row r="254" spans="1:19" x14ac:dyDescent="0.25">
      <c r="A254" s="20" t="s">
        <v>392</v>
      </c>
      <c r="B254" s="11"/>
      <c r="C254" s="11"/>
      <c r="D254" s="11"/>
      <c r="E254" s="11"/>
      <c r="F254" s="11"/>
      <c r="G254" s="11"/>
      <c r="H254" s="12"/>
    </row>
    <row r="255" spans="1:19" x14ac:dyDescent="0.25">
      <c r="A255" s="27"/>
      <c r="B255" s="27"/>
      <c r="C255" s="241" t="s">
        <v>459</v>
      </c>
      <c r="D255" s="242"/>
      <c r="E255" s="243"/>
      <c r="F255" s="241" t="s">
        <v>460</v>
      </c>
      <c r="G255" s="242"/>
      <c r="H255" s="243"/>
    </row>
    <row r="256" spans="1:19" x14ac:dyDescent="0.25">
      <c r="A256" s="28"/>
      <c r="B256" s="27"/>
      <c r="C256" s="31">
        <f>D10</f>
        <v>46132</v>
      </c>
      <c r="D256" s="31" t="s">
        <v>397</v>
      </c>
      <c r="E256" s="32" t="s">
        <v>321</v>
      </c>
      <c r="F256" s="31">
        <f>C256</f>
        <v>46132</v>
      </c>
      <c r="G256" s="31" t="str">
        <f>D256</f>
        <v>Preious</v>
      </c>
      <c r="H256" s="32" t="s">
        <v>386</v>
      </c>
    </row>
    <row r="257" spans="1:8" x14ac:dyDescent="0.25">
      <c r="A257" s="29" t="s">
        <v>393</v>
      </c>
      <c r="B257" s="30"/>
      <c r="C257" s="13">
        <f>FII!N3</f>
        <v>10391</v>
      </c>
      <c r="D257" s="13">
        <f>FII!J3</f>
        <v>10446</v>
      </c>
      <c r="E257" s="14">
        <f>(C257-D257)/C257</f>
        <v>-5.2930420556250605E-3</v>
      </c>
      <c r="F257" s="13">
        <f>FII!M3</f>
        <v>61179</v>
      </c>
      <c r="G257" s="13">
        <f>FII!I3</f>
        <v>61407</v>
      </c>
      <c r="H257" s="14">
        <f>(F257-G257)/F257</f>
        <v>-3.7267689893590939E-3</v>
      </c>
    </row>
    <row r="258" spans="1:8" x14ac:dyDescent="0.25">
      <c r="A258" s="238" t="s">
        <v>394</v>
      </c>
      <c r="B258" s="239"/>
      <c r="C258" s="13">
        <f>FII!N4</f>
        <v>85224</v>
      </c>
      <c r="D258" s="13">
        <f>FII!J4</f>
        <v>84881</v>
      </c>
      <c r="E258" s="14">
        <f>(C258-D258)/C258</f>
        <v>4.0246878813479771E-3</v>
      </c>
      <c r="F258" s="13">
        <f>FII!M4</f>
        <v>502062</v>
      </c>
      <c r="G258" s="13">
        <f>FII!I4</f>
        <v>500191</v>
      </c>
      <c r="H258" s="14">
        <f>(F258-G258)/F258</f>
        <v>3.7266313722209609E-3</v>
      </c>
    </row>
    <row r="259" spans="1:8" x14ac:dyDescent="0.25">
      <c r="A259" s="238" t="s">
        <v>395</v>
      </c>
      <c r="B259" s="239"/>
      <c r="C259" s="13">
        <f>FII!N15</f>
        <v>466258</v>
      </c>
      <c r="D259" s="13">
        <f>FII!J15</f>
        <v>468159</v>
      </c>
      <c r="E259" s="14">
        <f>(C259-D259)/C259</f>
        <v>-4.0771418399255348E-3</v>
      </c>
      <c r="F259" s="13">
        <f>FII!M15</f>
        <v>7272022</v>
      </c>
      <c r="G259" s="13">
        <f>FII!I15</f>
        <v>7270105</v>
      </c>
      <c r="H259" s="14">
        <f>(F259-G259)/F259</f>
        <v>2.6361306387686945E-4</v>
      </c>
    </row>
    <row r="260" spans="1:8" x14ac:dyDescent="0.25">
      <c r="A260" s="238" t="s">
        <v>396</v>
      </c>
      <c r="B260" s="239"/>
      <c r="C260" s="13">
        <f>FII!N16</f>
        <v>73160</v>
      </c>
      <c r="D260" s="13">
        <f>FII!J16</f>
        <v>70097</v>
      </c>
      <c r="E260" s="14">
        <f>(C260-D260)/C260</f>
        <v>4.1867140513942046E-2</v>
      </c>
      <c r="F260" s="13">
        <f>FII!M16</f>
        <v>1091197</v>
      </c>
      <c r="G260" s="13">
        <f>FII!I16</f>
        <v>1045489</v>
      </c>
      <c r="H260" s="14">
        <f>(F260-G260)/F260</f>
        <v>4.1887945073162777E-2</v>
      </c>
    </row>
    <row r="261" spans="1:8" x14ac:dyDescent="0.25">
      <c r="A261" s="238" t="s">
        <v>391</v>
      </c>
      <c r="B261" s="239"/>
      <c r="C261" s="155">
        <f>SUM(C257:C260)</f>
        <v>635033</v>
      </c>
      <c r="D261" s="155">
        <f>SUM(D257:D260)</f>
        <v>633583</v>
      </c>
      <c r="E261" s="156">
        <f>(C261-D261)/C261</f>
        <v>2.2833459048584876E-3</v>
      </c>
      <c r="F261" s="157">
        <f>SUM(F257:F260)</f>
        <v>8926460</v>
      </c>
      <c r="G261" s="158">
        <f>SUM(G257:G260)</f>
        <v>8877192</v>
      </c>
      <c r="H261" s="156">
        <f>(F261-G261)/F261</f>
        <v>5.5193212090795234E-3</v>
      </c>
    </row>
  </sheetData>
  <mergeCells count="24">
    <mergeCell ref="A6:S6"/>
    <mergeCell ref="A7:S7"/>
    <mergeCell ref="A8:A9"/>
    <mergeCell ref="H8:K8"/>
    <mergeCell ref="L8:O8"/>
    <mergeCell ref="P8:S8"/>
    <mergeCell ref="D9:G9"/>
    <mergeCell ref="H9:K9"/>
    <mergeCell ref="C8:G8"/>
    <mergeCell ref="L9:O9"/>
    <mergeCell ref="P9:Q9"/>
    <mergeCell ref="R9:S9"/>
    <mergeCell ref="A260:B260"/>
    <mergeCell ref="A261:B261"/>
    <mergeCell ref="A245:C245"/>
    <mergeCell ref="C255:E255"/>
    <mergeCell ref="F255:H255"/>
    <mergeCell ref="A258:B258"/>
    <mergeCell ref="A259:B259"/>
    <mergeCell ref="P241:S241"/>
    <mergeCell ref="A241:F241"/>
    <mergeCell ref="Q240:S240"/>
    <mergeCell ref="I240:M240"/>
    <mergeCell ref="A240:F240"/>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6"/>
  <sheetViews>
    <sheetView workbookViewId="0">
      <pane ySplit="5" topLeftCell="A210" activePane="bottomLeft" state="frozen"/>
      <selection pane="bottomLeft" activeCell="K229" sqref="K229"/>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10" t="s">
        <v>456</v>
      </c>
      <c r="B3" s="311"/>
      <c r="C3" s="311"/>
      <c r="D3" s="311"/>
      <c r="E3" s="311"/>
      <c r="F3" s="311"/>
      <c r="G3" s="312"/>
      <c r="H3" s="46"/>
    </row>
    <row r="4" spans="1:8" x14ac:dyDescent="0.25">
      <c r="A4" s="286" t="s">
        <v>366</v>
      </c>
      <c r="B4" s="106" t="s">
        <v>312</v>
      </c>
      <c r="C4" s="106" t="s">
        <v>313</v>
      </c>
      <c r="D4" s="286" t="s">
        <v>367</v>
      </c>
      <c r="E4" s="286"/>
      <c r="F4" s="286"/>
      <c r="G4" s="286"/>
      <c r="H4" s="47"/>
    </row>
    <row r="5" spans="1:8" x14ac:dyDescent="0.25">
      <c r="A5" s="305"/>
      <c r="B5" s="3">
        <f>PCR!B6</f>
        <v>46132</v>
      </c>
      <c r="C5" s="3">
        <f>B5</f>
        <v>46132</v>
      </c>
      <c r="D5" s="76" t="s">
        <v>367</v>
      </c>
      <c r="E5" s="76" t="s">
        <v>321</v>
      </c>
      <c r="F5" s="76" t="s">
        <v>368</v>
      </c>
      <c r="G5" s="76" t="s">
        <v>369</v>
      </c>
      <c r="H5" s="48"/>
    </row>
    <row r="6" spans="1:8" x14ac:dyDescent="0.25">
      <c r="A6" s="101" t="str">
        <f>'Data shares'!C2</f>
        <v>360ONE</v>
      </c>
      <c r="B6" s="144">
        <f>VLOOKUP($A6,'Data shares'!$C:$FA,7)</f>
        <v>1109.25</v>
      </c>
      <c r="C6" s="144">
        <f>VLOOKUP($A6,'Data shares'!$C:$FA,3)</f>
        <v>1101.6500000000001</v>
      </c>
      <c r="D6" s="144">
        <f>VLOOKUP($A6,'Data shares'!$C:$FA,23)</f>
        <v>-7.6</v>
      </c>
      <c r="E6" s="145">
        <f>VLOOKUP($A6,'Data shares'!$C:$FA,26)*100</f>
        <v>-0.69</v>
      </c>
      <c r="F6" s="144">
        <f>VLOOKUP($A6,'Data shares'!$C:$FA,24)</f>
        <v>1.35</v>
      </c>
      <c r="G6" s="144">
        <f>VLOOKUP($A6,'Data shares'!$C:$FA,25)</f>
        <v>-8.9499999999999993</v>
      </c>
    </row>
    <row r="7" spans="1:8" x14ac:dyDescent="0.25">
      <c r="A7" s="101" t="str">
        <f>'Data shares'!C3</f>
        <v>ABB</v>
      </c>
      <c r="B7" s="144">
        <f>VLOOKUP($A7,'Data shares'!$C:$FA,7)</f>
        <v>7158</v>
      </c>
      <c r="C7" s="144">
        <f>VLOOKUP($A7,'Data shares'!$C:$FA,3)</f>
        <v>7150.5</v>
      </c>
      <c r="D7" s="144">
        <f>VLOOKUP($A7,'Data shares'!$C:$FA,23)</f>
        <v>-7.5</v>
      </c>
      <c r="E7" s="145">
        <f>VLOOKUP($A7,'Data shares'!$C:$FA,26)*100</f>
        <v>-0.1</v>
      </c>
      <c r="F7" s="144">
        <f>VLOOKUP($A7,'Data shares'!$C:$FA,24)</f>
        <v>7.5</v>
      </c>
      <c r="G7" s="144">
        <f>VLOOKUP($A7,'Data shares'!$C:$FA,25)</f>
        <v>-15</v>
      </c>
    </row>
    <row r="8" spans="1:8" x14ac:dyDescent="0.25">
      <c r="A8" s="101" t="str">
        <f>'Data shares'!C4</f>
        <v>ABCAPITAL</v>
      </c>
      <c r="B8" s="144">
        <f>VLOOKUP($A8,'Data shares'!$C:$FA,7)</f>
        <v>341.6</v>
      </c>
      <c r="C8" s="144">
        <f>VLOOKUP($A8,'Data shares'!$C:$FA,3)</f>
        <v>341</v>
      </c>
      <c r="D8" s="144">
        <f>VLOOKUP($A8,'Data shares'!$C:$FA,23)</f>
        <v>-0.6</v>
      </c>
      <c r="E8" s="145">
        <f>VLOOKUP($A8,'Data shares'!$C:$FA,26)*100</f>
        <v>-0.18</v>
      </c>
      <c r="F8" s="144">
        <f>VLOOKUP($A8,'Data shares'!$C:$FA,24)</f>
        <v>0.4</v>
      </c>
      <c r="G8" s="144">
        <f>VLOOKUP($A8,'Data shares'!$C:$FA,25)</f>
        <v>-1</v>
      </c>
    </row>
    <row r="9" spans="1:8" x14ac:dyDescent="0.25">
      <c r="A9" s="101" t="str">
        <f>'Data shares'!C5</f>
        <v>ADANIENSOL</v>
      </c>
      <c r="B9" s="144">
        <f>VLOOKUP($A9,'Data shares'!$C:$FA,7)</f>
        <v>1259.4000000000001</v>
      </c>
      <c r="C9" s="144">
        <f>VLOOKUP($A9,'Data shares'!$C:$FA,3)</f>
        <v>1258.3</v>
      </c>
      <c r="D9" s="144">
        <f>VLOOKUP($A9,'Data shares'!$C:$FA,23)</f>
        <v>-1.1000000000000001</v>
      </c>
      <c r="E9" s="145">
        <f>VLOOKUP($A9,'Data shares'!$C:$FA,26)*100</f>
        <v>-0.09</v>
      </c>
      <c r="F9" s="144">
        <f>VLOOKUP($A9,'Data shares'!$C:$FA,24)</f>
        <v>1.9</v>
      </c>
      <c r="G9" s="144">
        <f>VLOOKUP($A9,'Data shares'!$C:$FA,25)</f>
        <v>-3</v>
      </c>
    </row>
    <row r="10" spans="1:8" x14ac:dyDescent="0.25">
      <c r="A10" s="101" t="str">
        <f>'Data shares'!C6</f>
        <v>ADANIENT</v>
      </c>
      <c r="B10" s="144">
        <f>VLOOKUP($A10,'Data shares'!$C:$FA,7)</f>
        <v>2229.6</v>
      </c>
      <c r="C10" s="144">
        <f>VLOOKUP($A10,'Data shares'!$C:$FA,3)</f>
        <v>2230.5</v>
      </c>
      <c r="D10" s="144">
        <f>VLOOKUP($A10,'Data shares'!$C:$FA,23)</f>
        <v>0.9</v>
      </c>
      <c r="E10" s="145">
        <f>VLOOKUP($A10,'Data shares'!$C:$FA,26)*100</f>
        <v>0.04</v>
      </c>
      <c r="F10" s="144">
        <f>VLOOKUP($A10,'Data shares'!$C:$FA,24)</f>
        <v>6.6</v>
      </c>
      <c r="G10" s="144">
        <f>VLOOKUP($A10,'Data shares'!$C:$FA,25)</f>
        <v>-5.7</v>
      </c>
    </row>
    <row r="11" spans="1:8" x14ac:dyDescent="0.25">
      <c r="A11" s="101" t="str">
        <f>'Data shares'!C7</f>
        <v>ADANIGREEN</v>
      </c>
      <c r="B11" s="144">
        <f>VLOOKUP($A11,'Data shares'!$C:$FA,7)</f>
        <v>1152.7</v>
      </c>
      <c r="C11" s="144">
        <f>VLOOKUP($A11,'Data shares'!$C:$FA,3)</f>
        <v>1154.5</v>
      </c>
      <c r="D11" s="144">
        <f>VLOOKUP($A11,'Data shares'!$C:$FA,23)</f>
        <v>1.8</v>
      </c>
      <c r="E11" s="145">
        <f>VLOOKUP($A11,'Data shares'!$C:$FA,26)*100</f>
        <v>0.16</v>
      </c>
      <c r="F11" s="144">
        <f>VLOOKUP($A11,'Data shares'!$C:$FA,24)</f>
        <v>1.85</v>
      </c>
      <c r="G11" s="144">
        <f>VLOOKUP($A11,'Data shares'!$C:$FA,25)</f>
        <v>-0.05</v>
      </c>
    </row>
    <row r="12" spans="1:8" x14ac:dyDescent="0.25">
      <c r="A12" s="101" t="str">
        <f>'Data shares'!C8</f>
        <v>ADANIPORTS</v>
      </c>
      <c r="B12" s="144">
        <f>VLOOKUP($A12,'Data shares'!$C:$FA,7)</f>
        <v>1578.4</v>
      </c>
      <c r="C12" s="144">
        <f>VLOOKUP($A12,'Data shares'!$C:$FA,3)</f>
        <v>1581.1</v>
      </c>
      <c r="D12" s="144">
        <f>VLOOKUP($A12,'Data shares'!$C:$FA,23)</f>
        <v>2.7</v>
      </c>
      <c r="E12" s="145">
        <f>VLOOKUP($A12,'Data shares'!$C:$FA,26)*100</f>
        <v>0.16999999999999998</v>
      </c>
      <c r="F12" s="144">
        <f>VLOOKUP($A12,'Data shares'!$C:$FA,24)</f>
        <v>-0.2</v>
      </c>
      <c r="G12" s="144">
        <f>VLOOKUP($A12,'Data shares'!$C:$FA,25)</f>
        <v>2.9</v>
      </c>
    </row>
    <row r="13" spans="1:8" x14ac:dyDescent="0.25">
      <c r="A13" s="101" t="str">
        <f>'Data shares'!C9</f>
        <v>ADANIPOWER</v>
      </c>
      <c r="B13" s="144">
        <f>VLOOKUP($A13,'Data shares'!$C:$FA,7)</f>
        <v>200.83</v>
      </c>
      <c r="C13" s="144">
        <f>VLOOKUP($A13,'Data shares'!$C:$FA,3)</f>
        <v>200.66</v>
      </c>
      <c r="D13" s="144">
        <f>VLOOKUP($A13,'Data shares'!$C:$FA,23)</f>
        <v>-0.17</v>
      </c>
      <c r="E13" s="145">
        <f>VLOOKUP($A13,'Data shares'!$C:$FA,26)*100</f>
        <v>-0.08</v>
      </c>
      <c r="F13" s="144">
        <f>VLOOKUP($A13,'Data shares'!$C:$FA,24)</f>
        <v>0.73</v>
      </c>
      <c r="G13" s="144">
        <f>VLOOKUP($A13,'Data shares'!$C:$FA,25)</f>
        <v>-0.9</v>
      </c>
    </row>
    <row r="14" spans="1:8" x14ac:dyDescent="0.25">
      <c r="A14" s="101" t="str">
        <f>'Data shares'!C10</f>
        <v>ALKEM</v>
      </c>
      <c r="B14" s="144">
        <f>VLOOKUP($A14,'Data shares'!$C:$FA,7)</f>
        <v>5642</v>
      </c>
      <c r="C14" s="144">
        <f>VLOOKUP($A14,'Data shares'!$C:$FA,3)</f>
        <v>5638</v>
      </c>
      <c r="D14" s="144">
        <f>VLOOKUP($A14,'Data shares'!$C:$FA,23)</f>
        <v>-4</v>
      </c>
      <c r="E14" s="145">
        <f>VLOOKUP($A14,'Data shares'!$C:$FA,26)*100</f>
        <v>-6.9999999999999993E-2</v>
      </c>
      <c r="F14" s="144">
        <f>VLOOKUP($A14,'Data shares'!$C:$FA,24)</f>
        <v>-3</v>
      </c>
      <c r="G14" s="144">
        <f>VLOOKUP($A14,'Data shares'!$C:$FA,25)</f>
        <v>-1</v>
      </c>
    </row>
    <row r="15" spans="1:8" x14ac:dyDescent="0.25">
      <c r="A15" s="101" t="str">
        <f>'Data shares'!C11</f>
        <v>AMBER</v>
      </c>
      <c r="B15" s="144">
        <f>VLOOKUP($A15,'Data shares'!$C:$FA,7)</f>
        <v>7980.5</v>
      </c>
      <c r="C15" s="144">
        <f>VLOOKUP($A15,'Data shares'!$C:$FA,3)</f>
        <v>7944</v>
      </c>
      <c r="D15" s="144">
        <f>VLOOKUP($A15,'Data shares'!$C:$FA,23)</f>
        <v>-36.5</v>
      </c>
      <c r="E15" s="145">
        <f>VLOOKUP($A15,'Data shares'!$C:$FA,26)*100</f>
        <v>-0.45999999999999996</v>
      </c>
      <c r="F15" s="144">
        <f>VLOOKUP($A15,'Data shares'!$C:$FA,24)</f>
        <v>-17</v>
      </c>
      <c r="G15" s="144">
        <f>VLOOKUP($A15,'Data shares'!$C:$FA,25)</f>
        <v>-19.5</v>
      </c>
    </row>
    <row r="16" spans="1:8" x14ac:dyDescent="0.25">
      <c r="A16" s="101" t="str">
        <f>'Data shares'!C12</f>
        <v>AMBUJACEM</v>
      </c>
      <c r="B16" s="144">
        <f>VLOOKUP($A16,'Data shares'!$C:$FA,7)</f>
        <v>454.9</v>
      </c>
      <c r="C16" s="144">
        <f>VLOOKUP($A16,'Data shares'!$C:$FA,3)</f>
        <v>454.95</v>
      </c>
      <c r="D16" s="144">
        <f>VLOOKUP($A16,'Data shares'!$C:$FA,23)</f>
        <v>0.05</v>
      </c>
      <c r="E16" s="145">
        <f>VLOOKUP($A16,'Data shares'!$C:$FA,26)*100</f>
        <v>0.01</v>
      </c>
      <c r="F16" s="144">
        <f>VLOOKUP($A16,'Data shares'!$C:$FA,24)</f>
        <v>-0.2</v>
      </c>
      <c r="G16" s="144">
        <f>VLOOKUP($A16,'Data shares'!$C:$FA,25)</f>
        <v>0.25</v>
      </c>
    </row>
    <row r="17" spans="1:7" x14ac:dyDescent="0.25">
      <c r="A17" s="101" t="str">
        <f>'Data shares'!C13</f>
        <v>ANGELONE</v>
      </c>
      <c r="B17" s="144">
        <f>VLOOKUP($A17,'Data shares'!$C:$FA,7)</f>
        <v>319.16000000000003</v>
      </c>
      <c r="C17" s="144">
        <f>VLOOKUP($A17,'Data shares'!$C:$FA,3)</f>
        <v>319.7</v>
      </c>
      <c r="D17" s="144">
        <f>VLOOKUP($A17,'Data shares'!$C:$FA,23)</f>
        <v>0.54</v>
      </c>
      <c r="E17" s="145">
        <f>VLOOKUP($A17,'Data shares'!$C:$FA,26)*100</f>
        <v>0.16999999999999998</v>
      </c>
      <c r="F17" s="144">
        <f>VLOOKUP($A17,'Data shares'!$C:$FA,24)</f>
        <v>0.13</v>
      </c>
      <c r="G17" s="144">
        <f>VLOOKUP($A17,'Data shares'!$C:$FA,25)</f>
        <v>0.41</v>
      </c>
    </row>
    <row r="18" spans="1:7" x14ac:dyDescent="0.25">
      <c r="A18" s="101" t="str">
        <f>'Data shares'!C14</f>
        <v>APLAPOLLO</v>
      </c>
      <c r="B18" s="144">
        <f>VLOOKUP($A18,'Data shares'!$C:$FA,7)</f>
        <v>2143.9</v>
      </c>
      <c r="C18" s="144">
        <f>VLOOKUP($A18,'Data shares'!$C:$FA,3)</f>
        <v>2140.5</v>
      </c>
      <c r="D18" s="144">
        <f>VLOOKUP($A18,'Data shares'!$C:$FA,23)</f>
        <v>-3.4</v>
      </c>
      <c r="E18" s="145">
        <f>VLOOKUP($A18,'Data shares'!$C:$FA,26)*100</f>
        <v>-0.16</v>
      </c>
      <c r="F18" s="144">
        <f>VLOOKUP($A18,'Data shares'!$C:$FA,24)</f>
        <v>0.2</v>
      </c>
      <c r="G18" s="144">
        <f>VLOOKUP($A18,'Data shares'!$C:$FA,25)</f>
        <v>-3.6</v>
      </c>
    </row>
    <row r="19" spans="1:7" x14ac:dyDescent="0.25">
      <c r="A19" s="101" t="str">
        <f>'Data shares'!C15</f>
        <v>APOLLOHOSP</v>
      </c>
      <c r="B19" s="144">
        <f>VLOOKUP($A19,'Data shares'!$C:$FA,7)</f>
        <v>7657</v>
      </c>
      <c r="C19" s="144">
        <f>VLOOKUP($A19,'Data shares'!$C:$FA,3)</f>
        <v>7650</v>
      </c>
      <c r="D19" s="144">
        <f>VLOOKUP($A19,'Data shares'!$C:$FA,23)</f>
        <v>-7</v>
      </c>
      <c r="E19" s="145">
        <f>VLOOKUP($A19,'Data shares'!$C:$FA,26)*100</f>
        <v>-0.09</v>
      </c>
      <c r="F19" s="144">
        <f>VLOOKUP($A19,'Data shares'!$C:$FA,24)</f>
        <v>-1</v>
      </c>
      <c r="G19" s="144">
        <f>VLOOKUP($A19,'Data shares'!$C:$FA,25)</f>
        <v>-6</v>
      </c>
    </row>
    <row r="20" spans="1:7" x14ac:dyDescent="0.25">
      <c r="A20" s="101" t="str">
        <f>'Data shares'!C16</f>
        <v>ASHOKLEY</v>
      </c>
      <c r="B20" s="144">
        <f>VLOOKUP($A20,'Data shares'!$C:$FA,7)</f>
        <v>175.96</v>
      </c>
      <c r="C20" s="144">
        <f>VLOOKUP($A20,'Data shares'!$C:$FA,3)</f>
        <v>176.18</v>
      </c>
      <c r="D20" s="144">
        <f>VLOOKUP($A20,'Data shares'!$C:$FA,23)</f>
        <v>0.22</v>
      </c>
      <c r="E20" s="145">
        <f>VLOOKUP($A20,'Data shares'!$C:$FA,26)*100</f>
        <v>0.13</v>
      </c>
      <c r="F20" s="144">
        <f>VLOOKUP($A20,'Data shares'!$C:$FA,24)</f>
        <v>0.19</v>
      </c>
      <c r="G20" s="144">
        <f>VLOOKUP($A20,'Data shares'!$C:$FA,25)</f>
        <v>0.03</v>
      </c>
    </row>
    <row r="21" spans="1:7" x14ac:dyDescent="0.25">
      <c r="A21" s="101" t="str">
        <f>'Data shares'!C17</f>
        <v>ASIANPAINT</v>
      </c>
      <c r="B21" s="144">
        <f>VLOOKUP($A21,'Data shares'!$C:$FA,7)</f>
        <v>2516.8000000000002</v>
      </c>
      <c r="C21" s="144">
        <f>VLOOKUP($A21,'Data shares'!$C:$FA,3)</f>
        <v>2514.6</v>
      </c>
      <c r="D21" s="144">
        <f>VLOOKUP($A21,'Data shares'!$C:$FA,23)</f>
        <v>-2.2000000000000002</v>
      </c>
      <c r="E21" s="145">
        <f>VLOOKUP($A21,'Data shares'!$C:$FA,26)*100</f>
        <v>-0.09</v>
      </c>
      <c r="F21" s="144">
        <f>VLOOKUP($A21,'Data shares'!$C:$FA,24)</f>
        <v>0.3</v>
      </c>
      <c r="G21" s="144">
        <f>VLOOKUP($A21,'Data shares'!$C:$FA,25)</f>
        <v>-2.5</v>
      </c>
    </row>
    <row r="22" spans="1:7" x14ac:dyDescent="0.25">
      <c r="A22" s="101" t="str">
        <f>'Data shares'!C18</f>
        <v>ASTRAL</v>
      </c>
      <c r="B22" s="144">
        <f>VLOOKUP($A22,'Data shares'!$C:$FA,7)</f>
        <v>1591.4</v>
      </c>
      <c r="C22" s="144">
        <f>VLOOKUP($A22,'Data shares'!$C:$FA,3)</f>
        <v>1542.6</v>
      </c>
      <c r="D22" s="144">
        <f>VLOOKUP($A22,'Data shares'!$C:$FA,23)</f>
        <v>-48.8</v>
      </c>
      <c r="E22" s="145">
        <f>VLOOKUP($A22,'Data shares'!$C:$FA,26)*100</f>
        <v>-3.0700000000000003</v>
      </c>
      <c r="F22" s="144">
        <f>VLOOKUP($A22,'Data shares'!$C:$FA,24)</f>
        <v>-60.3</v>
      </c>
      <c r="G22" s="144">
        <f>VLOOKUP($A22,'Data shares'!$C:$FA,25)</f>
        <v>11.5</v>
      </c>
    </row>
    <row r="23" spans="1:7" x14ac:dyDescent="0.25">
      <c r="A23" s="101" t="str">
        <f>'Data shares'!C19</f>
        <v>AUBANK</v>
      </c>
      <c r="B23" s="144">
        <f>VLOOKUP($A23,'Data shares'!$C:$FA,7)</f>
        <v>997.65</v>
      </c>
      <c r="C23" s="144">
        <f>VLOOKUP($A23,'Data shares'!$C:$FA,3)</f>
        <v>998.65</v>
      </c>
      <c r="D23" s="144">
        <f>VLOOKUP($A23,'Data shares'!$C:$FA,23)</f>
        <v>1</v>
      </c>
      <c r="E23" s="145">
        <f>VLOOKUP($A23,'Data shares'!$C:$FA,26)*100</f>
        <v>0.1</v>
      </c>
      <c r="F23" s="144">
        <f>VLOOKUP($A23,'Data shares'!$C:$FA,24)</f>
        <v>2.6</v>
      </c>
      <c r="G23" s="144">
        <f>VLOOKUP($A23,'Data shares'!$C:$FA,25)</f>
        <v>-1.6</v>
      </c>
    </row>
    <row r="24" spans="1:7" x14ac:dyDescent="0.25">
      <c r="A24" s="101" t="str">
        <f>'Data shares'!C20</f>
        <v>AUROPHARMA</v>
      </c>
      <c r="B24" s="144">
        <f>VLOOKUP($A24,'Data shares'!$C:$FA,7)</f>
        <v>1367.8</v>
      </c>
      <c r="C24" s="144">
        <f>VLOOKUP($A24,'Data shares'!$C:$FA,3)</f>
        <v>1369.6</v>
      </c>
      <c r="D24" s="144">
        <f>VLOOKUP($A24,'Data shares'!$C:$FA,23)</f>
        <v>1.8</v>
      </c>
      <c r="E24" s="145">
        <f>VLOOKUP($A24,'Data shares'!$C:$FA,26)*100</f>
        <v>0.13</v>
      </c>
      <c r="F24" s="144">
        <f>VLOOKUP($A24,'Data shares'!$C:$FA,24)</f>
        <v>2.6</v>
      </c>
      <c r="G24" s="144">
        <f>VLOOKUP($A24,'Data shares'!$C:$FA,25)</f>
        <v>-0.8</v>
      </c>
    </row>
    <row r="25" spans="1:7" x14ac:dyDescent="0.25">
      <c r="A25" s="101" t="str">
        <f>'Data shares'!C21</f>
        <v>AXISBANK</v>
      </c>
      <c r="B25" s="144">
        <f>VLOOKUP($A25,'Data shares'!$C:$FA,7)</f>
        <v>1354.7</v>
      </c>
      <c r="C25" s="144">
        <f>VLOOKUP($A25,'Data shares'!$C:$FA,3)</f>
        <v>1356.2</v>
      </c>
      <c r="D25" s="144">
        <f>VLOOKUP($A25,'Data shares'!$C:$FA,23)</f>
        <v>1.5</v>
      </c>
      <c r="E25" s="145">
        <f>VLOOKUP($A25,'Data shares'!$C:$FA,26)*100</f>
        <v>0.11</v>
      </c>
      <c r="F25" s="144">
        <f>VLOOKUP($A25,'Data shares'!$C:$FA,24)</f>
        <v>4.2</v>
      </c>
      <c r="G25" s="144">
        <f>VLOOKUP($A25,'Data shares'!$C:$FA,25)</f>
        <v>-2.7</v>
      </c>
    </row>
    <row r="26" spans="1:7" x14ac:dyDescent="0.25">
      <c r="A26" s="101" t="str">
        <f>'Data shares'!C22</f>
        <v>BAJAJ-AUTO</v>
      </c>
      <c r="B26" s="144">
        <f>VLOOKUP($A26,'Data shares'!$C:$FA,7)</f>
        <v>9803</v>
      </c>
      <c r="C26" s="144">
        <f>VLOOKUP($A26,'Data shares'!$C:$FA,3)</f>
        <v>9811</v>
      </c>
      <c r="D26" s="144">
        <f>VLOOKUP($A26,'Data shares'!$C:$FA,23)</f>
        <v>8</v>
      </c>
      <c r="E26" s="145">
        <f>VLOOKUP($A26,'Data shares'!$C:$FA,26)*100</f>
        <v>0.08</v>
      </c>
      <c r="F26" s="144">
        <f>VLOOKUP($A26,'Data shares'!$C:$FA,24)</f>
        <v>-12</v>
      </c>
      <c r="G26" s="144">
        <f>VLOOKUP($A26,'Data shares'!$C:$FA,25)</f>
        <v>20</v>
      </c>
    </row>
    <row r="27" spans="1:7" x14ac:dyDescent="0.25">
      <c r="A27" s="101" t="str">
        <f>'Data shares'!C23</f>
        <v>BAJAJFINSV</v>
      </c>
      <c r="B27" s="144">
        <f>VLOOKUP($A27,'Data shares'!$C:$FA,7)</f>
        <v>1830.6</v>
      </c>
      <c r="C27" s="144">
        <f>VLOOKUP($A27,'Data shares'!$C:$FA,3)</f>
        <v>1828.1</v>
      </c>
      <c r="D27" s="144">
        <f>VLOOKUP($A27,'Data shares'!$C:$FA,23)</f>
        <v>-2.5</v>
      </c>
      <c r="E27" s="145">
        <f>VLOOKUP($A27,'Data shares'!$C:$FA,26)*100</f>
        <v>-0.13999999999999999</v>
      </c>
      <c r="F27" s="144">
        <f>VLOOKUP($A27,'Data shares'!$C:$FA,24)</f>
        <v>0.5</v>
      </c>
      <c r="G27" s="144">
        <f>VLOOKUP($A27,'Data shares'!$C:$FA,25)</f>
        <v>-3</v>
      </c>
    </row>
    <row r="28" spans="1:7" x14ac:dyDescent="0.25">
      <c r="A28" s="101" t="str">
        <f>'Data shares'!C24</f>
        <v>BAJAJHLDNG</v>
      </c>
      <c r="B28" s="144">
        <f>VLOOKUP($A28,'Data shares'!$C:$FA,7)</f>
        <v>10388</v>
      </c>
      <c r="C28" s="144">
        <f>VLOOKUP($A28,'Data shares'!$C:$FA,3)</f>
        <v>10373</v>
      </c>
      <c r="D28" s="144">
        <f>VLOOKUP($A28,'Data shares'!$C:$FA,23)</f>
        <v>-15</v>
      </c>
      <c r="E28" s="145">
        <f>VLOOKUP($A28,'Data shares'!$C:$FA,26)*100</f>
        <v>-0.13999999999999999</v>
      </c>
      <c r="F28" s="144">
        <f>VLOOKUP($A28,'Data shares'!$C:$FA,24)</f>
        <v>2.5</v>
      </c>
      <c r="G28" s="144">
        <f>VLOOKUP($A28,'Data shares'!$C:$FA,25)</f>
        <v>-17.5</v>
      </c>
    </row>
    <row r="29" spans="1:7" x14ac:dyDescent="0.25">
      <c r="A29" s="101" t="str">
        <f>'Data shares'!C25</f>
        <v>BAJFINANCE</v>
      </c>
      <c r="B29" s="144">
        <f>VLOOKUP($A29,'Data shares'!$C:$FA,7)</f>
        <v>917.75</v>
      </c>
      <c r="C29" s="144">
        <f>VLOOKUP($A29,'Data shares'!$C:$FA,3)</f>
        <v>916.95</v>
      </c>
      <c r="D29" s="144">
        <f>VLOOKUP($A29,'Data shares'!$C:$FA,23)</f>
        <v>-0.8</v>
      </c>
      <c r="E29" s="145">
        <f>VLOOKUP($A29,'Data shares'!$C:$FA,26)*100</f>
        <v>-0.09</v>
      </c>
      <c r="F29" s="144">
        <f>VLOOKUP($A29,'Data shares'!$C:$FA,24)</f>
        <v>2.7</v>
      </c>
      <c r="G29" s="144">
        <f>VLOOKUP($A29,'Data shares'!$C:$FA,25)</f>
        <v>-3.5</v>
      </c>
    </row>
    <row r="30" spans="1:7" x14ac:dyDescent="0.25">
      <c r="A30" s="101" t="str">
        <f>'Data shares'!C26</f>
        <v>BANDHANBNK</v>
      </c>
      <c r="B30" s="144">
        <f>VLOOKUP($A30,'Data shares'!$C:$FA,7)</f>
        <v>175.43</v>
      </c>
      <c r="C30" s="144">
        <f>VLOOKUP($A30,'Data shares'!$C:$FA,3)</f>
        <v>175.22</v>
      </c>
      <c r="D30" s="144">
        <f>VLOOKUP($A30,'Data shares'!$C:$FA,23)</f>
        <v>-0.21</v>
      </c>
      <c r="E30" s="145">
        <f>VLOOKUP($A30,'Data shares'!$C:$FA,26)*100</f>
        <v>-0.12</v>
      </c>
      <c r="F30" s="144">
        <f>VLOOKUP($A30,'Data shares'!$C:$FA,24)</f>
        <v>0.55000000000000004</v>
      </c>
      <c r="G30" s="144">
        <f>VLOOKUP($A30,'Data shares'!$C:$FA,25)</f>
        <v>-0.76</v>
      </c>
    </row>
    <row r="31" spans="1:7" x14ac:dyDescent="0.25">
      <c r="A31" s="101" t="str">
        <f>'Data shares'!C27</f>
        <v>BANKBARODA</v>
      </c>
      <c r="B31" s="144">
        <f>VLOOKUP($A31,'Data shares'!$C:$FA,7)</f>
        <v>281.01</v>
      </c>
      <c r="C31" s="144">
        <f>VLOOKUP($A31,'Data shares'!$C:$FA,3)</f>
        <v>281</v>
      </c>
      <c r="D31" s="144">
        <f>VLOOKUP($A31,'Data shares'!$C:$FA,23)</f>
        <v>-0.01</v>
      </c>
      <c r="E31" s="145">
        <f>VLOOKUP($A31,'Data shares'!$C:$FA,26)*100</f>
        <v>0</v>
      </c>
      <c r="F31" s="144">
        <f>VLOOKUP($A31,'Data shares'!$C:$FA,24)</f>
        <v>0.72</v>
      </c>
      <c r="G31" s="144">
        <f>VLOOKUP($A31,'Data shares'!$C:$FA,25)</f>
        <v>-0.73</v>
      </c>
    </row>
    <row r="32" spans="1:7" x14ac:dyDescent="0.25">
      <c r="A32" s="101" t="str">
        <f>'Data shares'!C28</f>
        <v>BANKINDIA</v>
      </c>
      <c r="B32" s="144">
        <f>VLOOKUP($A32,'Data shares'!$C:$FA,7)</f>
        <v>148.31</v>
      </c>
      <c r="C32" s="144">
        <f>VLOOKUP($A32,'Data shares'!$C:$FA,3)</f>
        <v>148.55000000000001</v>
      </c>
      <c r="D32" s="144">
        <f>VLOOKUP($A32,'Data shares'!$C:$FA,23)</f>
        <v>0.24</v>
      </c>
      <c r="E32" s="145">
        <f>VLOOKUP($A32,'Data shares'!$C:$FA,26)*100</f>
        <v>0.16</v>
      </c>
      <c r="F32" s="144">
        <f>VLOOKUP($A32,'Data shares'!$C:$FA,24)</f>
        <v>0.18</v>
      </c>
      <c r="G32" s="144">
        <f>VLOOKUP($A32,'Data shares'!$C:$FA,25)</f>
        <v>0.06</v>
      </c>
    </row>
    <row r="33" spans="1:7" x14ac:dyDescent="0.25">
      <c r="A33" s="101" t="str">
        <f>'Data shares'!C29</f>
        <v>BANKNIFTY</v>
      </c>
      <c r="B33" s="144">
        <f>VLOOKUP($A33,'Data shares'!$C:$FA,7)</f>
        <v>56582.35</v>
      </c>
      <c r="C33" s="144">
        <f>VLOOKUP($A33,'Data shares'!$C:$FA,3)</f>
        <v>56568.800000000003</v>
      </c>
      <c r="D33" s="144">
        <f>VLOOKUP($A33,'Data shares'!$C:$FA,23)</f>
        <v>-13.55</v>
      </c>
      <c r="E33" s="145">
        <f>VLOOKUP($A33,'Data shares'!$C:$FA,26)*100</f>
        <v>-0.02</v>
      </c>
      <c r="F33" s="144">
        <f>VLOOKUP($A33,'Data shares'!$C:$FA,24)</f>
        <v>101.1</v>
      </c>
      <c r="G33" s="144">
        <f>VLOOKUP($A33,'Data shares'!$C:$FA,25)</f>
        <v>-114.65</v>
      </c>
    </row>
    <row r="34" spans="1:7" x14ac:dyDescent="0.25">
      <c r="A34" s="101" t="str">
        <f>'Data shares'!C30</f>
        <v>BDL</v>
      </c>
      <c r="B34" s="144">
        <f>VLOOKUP($A34,'Data shares'!$C:$FA,7)</f>
        <v>1369.8</v>
      </c>
      <c r="C34" s="144">
        <f>VLOOKUP($A34,'Data shares'!$C:$FA,3)</f>
        <v>1370.2</v>
      </c>
      <c r="D34" s="144">
        <f>VLOOKUP($A34,'Data shares'!$C:$FA,23)</f>
        <v>0.4</v>
      </c>
      <c r="E34" s="145">
        <f>VLOOKUP($A34,'Data shares'!$C:$FA,26)*100</f>
        <v>0.03</v>
      </c>
      <c r="F34" s="144">
        <f>VLOOKUP($A34,'Data shares'!$C:$FA,24)</f>
        <v>0.1</v>
      </c>
      <c r="G34" s="144">
        <f>VLOOKUP($A34,'Data shares'!$C:$FA,25)</f>
        <v>0.3</v>
      </c>
    </row>
    <row r="35" spans="1:7" x14ac:dyDescent="0.25">
      <c r="A35" s="101" t="str">
        <f>'Data shares'!C31</f>
        <v>BEL</v>
      </c>
      <c r="B35" s="144">
        <f>VLOOKUP($A35,'Data shares'!$C:$FA,7)</f>
        <v>457.55</v>
      </c>
      <c r="C35" s="144">
        <f>VLOOKUP($A35,'Data shares'!$C:$FA,3)</f>
        <v>457.8</v>
      </c>
      <c r="D35" s="144">
        <f>VLOOKUP($A35,'Data shares'!$C:$FA,23)</f>
        <v>0.25</v>
      </c>
      <c r="E35" s="145">
        <f>VLOOKUP($A35,'Data shares'!$C:$FA,26)*100</f>
        <v>0.05</v>
      </c>
      <c r="F35" s="144">
        <f>VLOOKUP($A35,'Data shares'!$C:$FA,24)</f>
        <v>0.15</v>
      </c>
      <c r="G35" s="144">
        <f>VLOOKUP($A35,'Data shares'!$C:$FA,25)</f>
        <v>0.1</v>
      </c>
    </row>
    <row r="36" spans="1:7" x14ac:dyDescent="0.25">
      <c r="A36" s="101" t="str">
        <f>'Data shares'!C32</f>
        <v>BHARATFORG</v>
      </c>
      <c r="B36" s="144">
        <f>VLOOKUP($A36,'Data shares'!$C:$FA,7)</f>
        <v>1866.2</v>
      </c>
      <c r="C36" s="144">
        <f>VLOOKUP($A36,'Data shares'!$C:$FA,3)</f>
        <v>1869.6</v>
      </c>
      <c r="D36" s="144">
        <f>VLOOKUP($A36,'Data shares'!$C:$FA,23)</f>
        <v>3.4</v>
      </c>
      <c r="E36" s="145">
        <f>VLOOKUP($A36,'Data shares'!$C:$FA,26)*100</f>
        <v>0.18</v>
      </c>
      <c r="F36" s="144">
        <f>VLOOKUP($A36,'Data shares'!$C:$FA,24)</f>
        <v>-2.4</v>
      </c>
      <c r="G36" s="144">
        <f>VLOOKUP($A36,'Data shares'!$C:$FA,25)</f>
        <v>5.8</v>
      </c>
    </row>
    <row r="37" spans="1:7" x14ac:dyDescent="0.25">
      <c r="A37" s="101" t="str">
        <f>'Data shares'!C33</f>
        <v>BHARTIARTL</v>
      </c>
      <c r="B37" s="144">
        <f>VLOOKUP($A37,'Data shares'!$C:$FA,7)</f>
        <v>1846.1</v>
      </c>
      <c r="C37" s="144">
        <f>VLOOKUP($A37,'Data shares'!$C:$FA,3)</f>
        <v>1845.6</v>
      </c>
      <c r="D37" s="144">
        <f>VLOOKUP($A37,'Data shares'!$C:$FA,23)</f>
        <v>-0.5</v>
      </c>
      <c r="E37" s="145">
        <f>VLOOKUP($A37,'Data shares'!$C:$FA,26)*100</f>
        <v>-0.03</v>
      </c>
      <c r="F37" s="144">
        <f>VLOOKUP($A37,'Data shares'!$C:$FA,24)</f>
        <v>2.1</v>
      </c>
      <c r="G37" s="144">
        <f>VLOOKUP($A37,'Data shares'!$C:$FA,25)</f>
        <v>-2.6</v>
      </c>
    </row>
    <row r="38" spans="1:7" x14ac:dyDescent="0.25">
      <c r="A38" s="101" t="str">
        <f>'Data shares'!C34</f>
        <v>BHEL</v>
      </c>
      <c r="B38" s="144">
        <f>VLOOKUP($A38,'Data shares'!$C:$FA,7)</f>
        <v>325.63</v>
      </c>
      <c r="C38" s="144">
        <f>VLOOKUP($A38,'Data shares'!$C:$FA,3)</f>
        <v>325.26</v>
      </c>
      <c r="D38" s="144">
        <f>VLOOKUP($A38,'Data shares'!$C:$FA,23)</f>
        <v>-0.37</v>
      </c>
      <c r="E38" s="145">
        <f>VLOOKUP($A38,'Data shares'!$C:$FA,26)*100</f>
        <v>-0.11</v>
      </c>
      <c r="F38" s="144">
        <f>VLOOKUP($A38,'Data shares'!$C:$FA,24)</f>
        <v>0.43</v>
      </c>
      <c r="G38" s="144">
        <f>VLOOKUP($A38,'Data shares'!$C:$FA,25)</f>
        <v>-0.8</v>
      </c>
    </row>
    <row r="39" spans="1:7" x14ac:dyDescent="0.25">
      <c r="A39" s="101" t="str">
        <f>'Data shares'!C35</f>
        <v>BIOCON</v>
      </c>
      <c r="B39" s="144">
        <f>VLOOKUP($A39,'Data shares'!$C:$FA,7)</f>
        <v>359.05</v>
      </c>
      <c r="C39" s="144">
        <f>VLOOKUP($A39,'Data shares'!$C:$FA,3)</f>
        <v>358.7</v>
      </c>
      <c r="D39" s="144">
        <f>VLOOKUP($A39,'Data shares'!$C:$FA,23)</f>
        <v>-0.35</v>
      </c>
      <c r="E39" s="145">
        <f>VLOOKUP($A39,'Data shares'!$C:$FA,26)*100</f>
        <v>-0.1</v>
      </c>
      <c r="F39" s="144">
        <f>VLOOKUP($A39,'Data shares'!$C:$FA,24)</f>
        <v>0.35</v>
      </c>
      <c r="G39" s="144">
        <f>VLOOKUP($A39,'Data shares'!$C:$FA,25)</f>
        <v>-0.7</v>
      </c>
    </row>
    <row r="40" spans="1:7" x14ac:dyDescent="0.25">
      <c r="A40" s="101" t="str">
        <f>'Data shares'!C36</f>
        <v>BLUESTARCO</v>
      </c>
      <c r="B40" s="144">
        <f>VLOOKUP($A40,'Data shares'!$C:$FA,7)</f>
        <v>1889</v>
      </c>
      <c r="C40" s="144">
        <f>VLOOKUP($A40,'Data shares'!$C:$FA,3)</f>
        <v>1864.6</v>
      </c>
      <c r="D40" s="144">
        <f>VLOOKUP($A40,'Data shares'!$C:$FA,23)</f>
        <v>-24.4</v>
      </c>
      <c r="E40" s="145">
        <f>VLOOKUP($A40,'Data shares'!$C:$FA,26)*100</f>
        <v>-1.29</v>
      </c>
      <c r="F40" s="144">
        <f>VLOOKUP($A40,'Data shares'!$C:$FA,24)</f>
        <v>-9.6</v>
      </c>
      <c r="G40" s="144">
        <f>VLOOKUP($A40,'Data shares'!$C:$FA,25)</f>
        <v>-14.8</v>
      </c>
    </row>
    <row r="41" spans="1:7" x14ac:dyDescent="0.25">
      <c r="A41" s="101" t="str">
        <f>'Data shares'!C37</f>
        <v>BOSCHLTD</v>
      </c>
      <c r="B41" s="144">
        <f>VLOOKUP($A41,'Data shares'!$C:$FA,7)</f>
        <v>37790</v>
      </c>
      <c r="C41" s="144">
        <f>VLOOKUP($A41,'Data shares'!$C:$FA,3)</f>
        <v>37770</v>
      </c>
      <c r="D41" s="144">
        <f>VLOOKUP($A41,'Data shares'!$C:$FA,23)</f>
        <v>-20</v>
      </c>
      <c r="E41" s="145">
        <f>VLOOKUP($A41,'Data shares'!$C:$FA,26)*100</f>
        <v>-0.05</v>
      </c>
      <c r="F41" s="144">
        <f>VLOOKUP($A41,'Data shares'!$C:$FA,24)</f>
        <v>75</v>
      </c>
      <c r="G41" s="144">
        <f>VLOOKUP($A41,'Data shares'!$C:$FA,25)</f>
        <v>-95</v>
      </c>
    </row>
    <row r="42" spans="1:7" x14ac:dyDescent="0.25">
      <c r="A42" s="101" t="str">
        <f>'Data shares'!C38</f>
        <v>BPCL</v>
      </c>
      <c r="B42" s="144">
        <f>VLOOKUP($A42,'Data shares'!$C:$FA,7)</f>
        <v>316.05</v>
      </c>
      <c r="C42" s="144">
        <f>VLOOKUP($A42,'Data shares'!$C:$FA,3)</f>
        <v>315.75</v>
      </c>
      <c r="D42" s="144">
        <f>VLOOKUP($A42,'Data shares'!$C:$FA,23)</f>
        <v>-0.3</v>
      </c>
      <c r="E42" s="145">
        <f>VLOOKUP($A42,'Data shares'!$C:$FA,26)*100</f>
        <v>-0.09</v>
      </c>
      <c r="F42" s="144">
        <f>VLOOKUP($A42,'Data shares'!$C:$FA,24)</f>
        <v>0.95</v>
      </c>
      <c r="G42" s="144">
        <f>VLOOKUP($A42,'Data shares'!$C:$FA,25)</f>
        <v>-1.25</v>
      </c>
    </row>
    <row r="43" spans="1:7" x14ac:dyDescent="0.25">
      <c r="A43" s="101" t="str">
        <f>'Data shares'!C39</f>
        <v>BRITANNIA</v>
      </c>
      <c r="B43" s="144">
        <f>VLOOKUP($A43,'Data shares'!$C:$FA,7)</f>
        <v>5700</v>
      </c>
      <c r="C43" s="144">
        <f>VLOOKUP($A43,'Data shares'!$C:$FA,3)</f>
        <v>5697.5</v>
      </c>
      <c r="D43" s="144">
        <f>VLOOKUP($A43,'Data shares'!$C:$FA,23)</f>
        <v>-2.5</v>
      </c>
      <c r="E43" s="145">
        <f>VLOOKUP($A43,'Data shares'!$C:$FA,26)*100</f>
        <v>-0.04</v>
      </c>
      <c r="F43" s="144">
        <f>VLOOKUP($A43,'Data shares'!$C:$FA,24)</f>
        <v>2</v>
      </c>
      <c r="G43" s="144">
        <f>VLOOKUP($A43,'Data shares'!$C:$FA,25)</f>
        <v>-4.5</v>
      </c>
    </row>
    <row r="44" spans="1:7" x14ac:dyDescent="0.25">
      <c r="A44" s="101" t="str">
        <f>'Data shares'!C40</f>
        <v>BSE</v>
      </c>
      <c r="B44" s="144">
        <f>VLOOKUP($A44,'Data shares'!$C:$FA,7)</f>
        <v>3470.7</v>
      </c>
      <c r="C44" s="144">
        <f>VLOOKUP($A44,'Data shares'!$C:$FA,3)</f>
        <v>3477.8</v>
      </c>
      <c r="D44" s="144">
        <f>VLOOKUP($A44,'Data shares'!$C:$FA,23)</f>
        <v>7.1</v>
      </c>
      <c r="E44" s="145">
        <f>VLOOKUP($A44,'Data shares'!$C:$FA,26)*100</f>
        <v>0.2</v>
      </c>
      <c r="F44" s="144">
        <f>VLOOKUP($A44,'Data shares'!$C:$FA,24)</f>
        <v>9.4</v>
      </c>
      <c r="G44" s="144">
        <f>VLOOKUP($A44,'Data shares'!$C:$FA,25)</f>
        <v>-2.2999999999999998</v>
      </c>
    </row>
    <row r="45" spans="1:7" x14ac:dyDescent="0.25">
      <c r="A45" s="101" t="str">
        <f>'Data shares'!C41</f>
        <v>CAMS</v>
      </c>
      <c r="B45" s="144">
        <f>VLOOKUP($A45,'Data shares'!$C:$FA,7)</f>
        <v>749.25</v>
      </c>
      <c r="C45" s="144">
        <f>VLOOKUP($A45,'Data shares'!$C:$FA,3)</f>
        <v>747.55</v>
      </c>
      <c r="D45" s="144">
        <f>VLOOKUP($A45,'Data shares'!$C:$FA,23)</f>
        <v>-1.7</v>
      </c>
      <c r="E45" s="145">
        <f>VLOOKUP($A45,'Data shares'!$C:$FA,26)*100</f>
        <v>-0.22999999999999998</v>
      </c>
      <c r="F45" s="144">
        <f>VLOOKUP($A45,'Data shares'!$C:$FA,24)</f>
        <v>2.2000000000000002</v>
      </c>
      <c r="G45" s="144">
        <f>VLOOKUP($A45,'Data shares'!$C:$FA,25)</f>
        <v>-3.9</v>
      </c>
    </row>
    <row r="46" spans="1:7" x14ac:dyDescent="0.25">
      <c r="A46" s="101" t="str">
        <f>'Data shares'!C42</f>
        <v>CANBK</v>
      </c>
      <c r="B46" s="144">
        <f>VLOOKUP($A46,'Data shares'!$C:$FA,7)</f>
        <v>142.74</v>
      </c>
      <c r="C46" s="144">
        <f>VLOOKUP($A46,'Data shares'!$C:$FA,3)</f>
        <v>143.07</v>
      </c>
      <c r="D46" s="144">
        <f>VLOOKUP($A46,'Data shares'!$C:$FA,23)</f>
        <v>0.33</v>
      </c>
      <c r="E46" s="145">
        <f>VLOOKUP($A46,'Data shares'!$C:$FA,26)*100</f>
        <v>0.22999999999999998</v>
      </c>
      <c r="F46" s="144">
        <f>VLOOKUP($A46,'Data shares'!$C:$FA,24)</f>
        <v>0.24</v>
      </c>
      <c r="G46" s="144">
        <f>VLOOKUP($A46,'Data shares'!$C:$FA,25)</f>
        <v>0.09</v>
      </c>
    </row>
    <row r="47" spans="1:7" x14ac:dyDescent="0.25">
      <c r="A47" s="101" t="str">
        <f>'Data shares'!C43</f>
        <v>CDSL</v>
      </c>
      <c r="B47" s="144">
        <f>VLOOKUP($A47,'Data shares'!$C:$FA,7)</f>
        <v>1370.3</v>
      </c>
      <c r="C47" s="144">
        <f>VLOOKUP($A47,'Data shares'!$C:$FA,3)</f>
        <v>1365.7</v>
      </c>
      <c r="D47" s="144">
        <f>VLOOKUP($A47,'Data shares'!$C:$FA,23)</f>
        <v>-4.5999999999999996</v>
      </c>
      <c r="E47" s="145">
        <f>VLOOKUP($A47,'Data shares'!$C:$FA,26)*100</f>
        <v>-0.33999999999999997</v>
      </c>
      <c r="F47" s="144">
        <f>VLOOKUP($A47,'Data shares'!$C:$FA,24)</f>
        <v>2.9</v>
      </c>
      <c r="G47" s="144">
        <f>VLOOKUP($A47,'Data shares'!$C:$FA,25)</f>
        <v>-7.5</v>
      </c>
    </row>
    <row r="48" spans="1:7" x14ac:dyDescent="0.25">
      <c r="A48" s="101" t="str">
        <f>'Data shares'!C44</f>
        <v>CGPOWER</v>
      </c>
      <c r="B48" s="144">
        <f>VLOOKUP($A48,'Data shares'!$C:$FA,7)</f>
        <v>795.7</v>
      </c>
      <c r="C48" s="144">
        <f>VLOOKUP($A48,'Data shares'!$C:$FA,3)</f>
        <v>795.55</v>
      </c>
      <c r="D48" s="144">
        <f>VLOOKUP($A48,'Data shares'!$C:$FA,23)</f>
        <v>-0.15</v>
      </c>
      <c r="E48" s="145">
        <f>VLOOKUP($A48,'Data shares'!$C:$FA,26)*100</f>
        <v>-0.02</v>
      </c>
      <c r="F48" s="144">
        <f>VLOOKUP($A48,'Data shares'!$C:$FA,24)</f>
        <v>-0.15</v>
      </c>
      <c r="G48" s="144">
        <f>VLOOKUP($A48,'Data shares'!$C:$FA,25)</f>
        <v>0</v>
      </c>
    </row>
    <row r="49" spans="1:7" x14ac:dyDescent="0.25">
      <c r="A49" s="101" t="str">
        <f>'Data shares'!C45</f>
        <v>CHOLAFIN</v>
      </c>
      <c r="B49" s="144">
        <f>VLOOKUP($A49,'Data shares'!$C:$FA,7)</f>
        <v>1569.3</v>
      </c>
      <c r="C49" s="144">
        <f>VLOOKUP($A49,'Data shares'!$C:$FA,3)</f>
        <v>1568.8</v>
      </c>
      <c r="D49" s="144">
        <f>VLOOKUP($A49,'Data shares'!$C:$FA,23)</f>
        <v>-0.5</v>
      </c>
      <c r="E49" s="145">
        <f>VLOOKUP($A49,'Data shares'!$C:$FA,26)*100</f>
        <v>-0.03</v>
      </c>
      <c r="F49" s="144">
        <f>VLOOKUP($A49,'Data shares'!$C:$FA,24)</f>
        <v>-0.6</v>
      </c>
      <c r="G49" s="144">
        <f>VLOOKUP($A49,'Data shares'!$C:$FA,25)</f>
        <v>0.1</v>
      </c>
    </row>
    <row r="50" spans="1:7" x14ac:dyDescent="0.25">
      <c r="A50" s="101" t="str">
        <f>'Data shares'!C46</f>
        <v>CIPLA</v>
      </c>
      <c r="B50" s="144">
        <f>VLOOKUP($A50,'Data shares'!$C:$FA,7)</f>
        <v>1229.5</v>
      </c>
      <c r="C50" s="144">
        <f>VLOOKUP($A50,'Data shares'!$C:$FA,3)</f>
        <v>1230.0999999999999</v>
      </c>
      <c r="D50" s="144">
        <f>VLOOKUP($A50,'Data shares'!$C:$FA,23)</f>
        <v>0.6</v>
      </c>
      <c r="E50" s="145">
        <f>VLOOKUP($A50,'Data shares'!$C:$FA,26)*100</f>
        <v>0.05</v>
      </c>
      <c r="F50" s="144">
        <f>VLOOKUP($A50,'Data shares'!$C:$FA,24)</f>
        <v>4.3</v>
      </c>
      <c r="G50" s="144">
        <f>VLOOKUP($A50,'Data shares'!$C:$FA,25)</f>
        <v>-3.7</v>
      </c>
    </row>
    <row r="51" spans="1:7" x14ac:dyDescent="0.25">
      <c r="A51" s="101" t="str">
        <f>'Data shares'!C47</f>
        <v>COALINDIA</v>
      </c>
      <c r="B51" s="144">
        <f>VLOOKUP($A51,'Data shares'!$C:$FA,7)</f>
        <v>441.75</v>
      </c>
      <c r="C51" s="144">
        <f>VLOOKUP($A51,'Data shares'!$C:$FA,3)</f>
        <v>442.35</v>
      </c>
      <c r="D51" s="144">
        <f>VLOOKUP($A51,'Data shares'!$C:$FA,23)</f>
        <v>0.6</v>
      </c>
      <c r="E51" s="145">
        <f>VLOOKUP($A51,'Data shares'!$C:$FA,26)*100</f>
        <v>0.13999999999999999</v>
      </c>
      <c r="F51" s="144">
        <f>VLOOKUP($A51,'Data shares'!$C:$FA,24)</f>
        <v>0.8</v>
      </c>
      <c r="G51" s="144">
        <f>VLOOKUP($A51,'Data shares'!$C:$FA,25)</f>
        <v>-0.2</v>
      </c>
    </row>
    <row r="52" spans="1:7" x14ac:dyDescent="0.25">
      <c r="A52" s="101" t="str">
        <f>'Data shares'!C48</f>
        <v>COCHINSHIP</v>
      </c>
      <c r="B52" s="144">
        <f>VLOOKUP($A52,'Data shares'!$C:$FA,7)</f>
        <v>1544.9</v>
      </c>
      <c r="C52" s="144">
        <f>VLOOKUP($A52,'Data shares'!$C:$FA,3)</f>
        <v>1545.7</v>
      </c>
      <c r="D52" s="144">
        <f>VLOOKUP($A52,'Data shares'!$C:$FA,23)</f>
        <v>0.8</v>
      </c>
      <c r="E52" s="145">
        <f>VLOOKUP($A52,'Data shares'!$C:$FA,26)*100</f>
        <v>0.05</v>
      </c>
      <c r="F52" s="144">
        <f>VLOOKUP($A52,'Data shares'!$C:$FA,24)</f>
        <v>5.0999999999999996</v>
      </c>
      <c r="G52" s="144">
        <f>VLOOKUP($A52,'Data shares'!$C:$FA,25)</f>
        <v>-4.3</v>
      </c>
    </row>
    <row r="53" spans="1:7" x14ac:dyDescent="0.25">
      <c r="A53" s="101" t="str">
        <f>'Data shares'!C49</f>
        <v>COFORGE</v>
      </c>
      <c r="B53" s="144">
        <f>VLOOKUP($A53,'Data shares'!$C:$FA,7)</f>
        <v>1288.0999999999999</v>
      </c>
      <c r="C53" s="144">
        <f>VLOOKUP($A53,'Data shares'!$C:$FA,3)</f>
        <v>1284.7</v>
      </c>
      <c r="D53" s="144">
        <f>VLOOKUP($A53,'Data shares'!$C:$FA,23)</f>
        <v>-3.4</v>
      </c>
      <c r="E53" s="145">
        <f>VLOOKUP($A53,'Data shares'!$C:$FA,26)*100</f>
        <v>-0.26</v>
      </c>
      <c r="F53" s="144">
        <f>VLOOKUP($A53,'Data shares'!$C:$FA,24)</f>
        <v>0</v>
      </c>
      <c r="G53" s="144">
        <f>VLOOKUP($A53,'Data shares'!$C:$FA,25)</f>
        <v>-3.4</v>
      </c>
    </row>
    <row r="54" spans="1:7" x14ac:dyDescent="0.25">
      <c r="A54" s="101" t="str">
        <f>'Data shares'!C50</f>
        <v>COLPAL</v>
      </c>
      <c r="B54" s="144">
        <f>VLOOKUP($A54,'Data shares'!$C:$FA,7)</f>
        <v>2129</v>
      </c>
      <c r="C54" s="144">
        <f>VLOOKUP($A54,'Data shares'!$C:$FA,3)</f>
        <v>2122.6</v>
      </c>
      <c r="D54" s="144">
        <f>VLOOKUP($A54,'Data shares'!$C:$FA,23)</f>
        <v>-6.4</v>
      </c>
      <c r="E54" s="145">
        <f>VLOOKUP($A54,'Data shares'!$C:$FA,26)*100</f>
        <v>-0.3</v>
      </c>
      <c r="F54" s="144">
        <f>VLOOKUP($A54,'Data shares'!$C:$FA,24)</f>
        <v>3.2</v>
      </c>
      <c r="G54" s="144">
        <f>VLOOKUP($A54,'Data shares'!$C:$FA,25)</f>
        <v>-9.6</v>
      </c>
    </row>
    <row r="55" spans="1:7" x14ac:dyDescent="0.25">
      <c r="A55" s="101" t="str">
        <f>'Data shares'!C51</f>
        <v>CONCOR</v>
      </c>
      <c r="B55" s="144">
        <f>VLOOKUP($A55,'Data shares'!$C:$FA,7)</f>
        <v>501.05</v>
      </c>
      <c r="C55" s="144">
        <f>VLOOKUP($A55,'Data shares'!$C:$FA,3)</f>
        <v>501.95</v>
      </c>
      <c r="D55" s="144">
        <f>VLOOKUP($A55,'Data shares'!$C:$FA,23)</f>
        <v>0.9</v>
      </c>
      <c r="E55" s="145">
        <f>VLOOKUP($A55,'Data shares'!$C:$FA,26)*100</f>
        <v>0.18</v>
      </c>
      <c r="F55" s="144">
        <f>VLOOKUP($A55,'Data shares'!$C:$FA,24)</f>
        <v>1.4</v>
      </c>
      <c r="G55" s="144">
        <f>VLOOKUP($A55,'Data shares'!$C:$FA,25)</f>
        <v>-0.5</v>
      </c>
    </row>
    <row r="56" spans="1:7" x14ac:dyDescent="0.25">
      <c r="A56" s="101" t="str">
        <f>'Data shares'!C52</f>
        <v>CROMPTON</v>
      </c>
      <c r="B56" s="144">
        <f>VLOOKUP($A56,'Data shares'!$C:$FA,7)</f>
        <v>261.22000000000003</v>
      </c>
      <c r="C56" s="144">
        <f>VLOOKUP($A56,'Data shares'!$C:$FA,3)</f>
        <v>260.98</v>
      </c>
      <c r="D56" s="144">
        <f>VLOOKUP($A56,'Data shares'!$C:$FA,23)</f>
        <v>-0.24</v>
      </c>
      <c r="E56" s="145">
        <f>VLOOKUP($A56,'Data shares'!$C:$FA,26)*100</f>
        <v>-0.09</v>
      </c>
      <c r="F56" s="144">
        <f>VLOOKUP($A56,'Data shares'!$C:$FA,24)</f>
        <v>-0.06</v>
      </c>
      <c r="G56" s="144">
        <f>VLOOKUP($A56,'Data shares'!$C:$FA,25)</f>
        <v>-0.18</v>
      </c>
    </row>
    <row r="57" spans="1:7" x14ac:dyDescent="0.25">
      <c r="A57" s="101" t="str">
        <f>'Data shares'!C53</f>
        <v>CUMMINSIND</v>
      </c>
      <c r="B57" s="144">
        <f>VLOOKUP($A57,'Data shares'!$C:$FA,7)</f>
        <v>5200.3</v>
      </c>
      <c r="C57" s="144">
        <f>VLOOKUP($A57,'Data shares'!$C:$FA,3)</f>
        <v>5196</v>
      </c>
      <c r="D57" s="144">
        <f>VLOOKUP($A57,'Data shares'!$C:$FA,23)</f>
        <v>-4.3</v>
      </c>
      <c r="E57" s="145">
        <f>VLOOKUP($A57,'Data shares'!$C:$FA,26)*100</f>
        <v>-0.08</v>
      </c>
      <c r="F57" s="144">
        <f>VLOOKUP($A57,'Data shares'!$C:$FA,24)</f>
        <v>10.8</v>
      </c>
      <c r="G57" s="144">
        <f>VLOOKUP($A57,'Data shares'!$C:$FA,25)</f>
        <v>-15.1</v>
      </c>
    </row>
    <row r="58" spans="1:7" x14ac:dyDescent="0.25">
      <c r="A58" s="101" t="str">
        <f>'Data shares'!C54</f>
        <v>DABUR</v>
      </c>
      <c r="B58" s="144">
        <f>VLOOKUP($A58,'Data shares'!$C:$FA,7)</f>
        <v>441.7</v>
      </c>
      <c r="C58" s="144">
        <f>VLOOKUP($A58,'Data shares'!$C:$FA,3)</f>
        <v>441.8</v>
      </c>
      <c r="D58" s="144">
        <f>VLOOKUP($A58,'Data shares'!$C:$FA,23)</f>
        <v>0.1</v>
      </c>
      <c r="E58" s="145">
        <f>VLOOKUP($A58,'Data shares'!$C:$FA,26)*100</f>
        <v>0.02</v>
      </c>
      <c r="F58" s="144">
        <f>VLOOKUP($A58,'Data shares'!$C:$FA,24)</f>
        <v>-0.1</v>
      </c>
      <c r="G58" s="144">
        <f>VLOOKUP($A58,'Data shares'!$C:$FA,25)</f>
        <v>0.2</v>
      </c>
    </row>
    <row r="59" spans="1:7" x14ac:dyDescent="0.25">
      <c r="A59" s="101" t="str">
        <f>'Data shares'!C55</f>
        <v>DALBHARAT</v>
      </c>
      <c r="B59" s="144">
        <f>VLOOKUP($A59,'Data shares'!$C:$FA,7)</f>
        <v>1981.8</v>
      </c>
      <c r="C59" s="144">
        <f>VLOOKUP($A59,'Data shares'!$C:$FA,3)</f>
        <v>1982.2</v>
      </c>
      <c r="D59" s="144">
        <f>VLOOKUP($A59,'Data shares'!$C:$FA,23)</f>
        <v>0.4</v>
      </c>
      <c r="E59" s="145">
        <f>VLOOKUP($A59,'Data shares'!$C:$FA,26)*100</f>
        <v>0.02</v>
      </c>
      <c r="F59" s="144">
        <f>VLOOKUP($A59,'Data shares'!$C:$FA,24)</f>
        <v>6.4</v>
      </c>
      <c r="G59" s="144">
        <f>VLOOKUP($A59,'Data shares'!$C:$FA,25)</f>
        <v>-6</v>
      </c>
    </row>
    <row r="60" spans="1:7" x14ac:dyDescent="0.25">
      <c r="A60" s="101" t="str">
        <f>'Data shares'!C56</f>
        <v>DELHIVERY</v>
      </c>
      <c r="B60" s="144">
        <f>VLOOKUP($A60,'Data shares'!$C:$FA,7)</f>
        <v>464.5</v>
      </c>
      <c r="C60" s="144">
        <f>VLOOKUP($A60,'Data shares'!$C:$FA,3)</f>
        <v>464.8</v>
      </c>
      <c r="D60" s="144">
        <f>VLOOKUP($A60,'Data shares'!$C:$FA,23)</f>
        <v>0.3</v>
      </c>
      <c r="E60" s="145">
        <f>VLOOKUP($A60,'Data shares'!$C:$FA,26)*100</f>
        <v>0.06</v>
      </c>
      <c r="F60" s="144">
        <f>VLOOKUP($A60,'Data shares'!$C:$FA,24)</f>
        <v>1.5</v>
      </c>
      <c r="G60" s="144">
        <f>VLOOKUP($A60,'Data shares'!$C:$FA,25)</f>
        <v>-1.2</v>
      </c>
    </row>
    <row r="61" spans="1:7" x14ac:dyDescent="0.25">
      <c r="A61" s="101" t="str">
        <f>'Data shares'!C57</f>
        <v>DIVISLAB</v>
      </c>
      <c r="B61" s="144">
        <f>VLOOKUP($A61,'Data shares'!$C:$FA,7)</f>
        <v>6280</v>
      </c>
      <c r="C61" s="144">
        <f>VLOOKUP($A61,'Data shares'!$C:$FA,3)</f>
        <v>6274.5</v>
      </c>
      <c r="D61" s="144">
        <f>VLOOKUP($A61,'Data shares'!$C:$FA,23)</f>
        <v>-5.5</v>
      </c>
      <c r="E61" s="145">
        <f>VLOOKUP($A61,'Data shares'!$C:$FA,26)*100</f>
        <v>-0.09</v>
      </c>
      <c r="F61" s="144">
        <f>VLOOKUP($A61,'Data shares'!$C:$FA,24)</f>
        <v>9</v>
      </c>
      <c r="G61" s="144">
        <f>VLOOKUP($A61,'Data shares'!$C:$FA,25)</f>
        <v>-14.5</v>
      </c>
    </row>
    <row r="62" spans="1:7" x14ac:dyDescent="0.25">
      <c r="A62" s="101" t="str">
        <f>'Data shares'!C58</f>
        <v>DIXON</v>
      </c>
      <c r="B62" s="144">
        <f>VLOOKUP($A62,'Data shares'!$C:$FA,7)</f>
        <v>11211</v>
      </c>
      <c r="C62" s="144">
        <f>VLOOKUP($A62,'Data shares'!$C:$FA,3)</f>
        <v>11195.5</v>
      </c>
      <c r="D62" s="144">
        <f>VLOOKUP($A62,'Data shares'!$C:$FA,23)</f>
        <v>-15.5</v>
      </c>
      <c r="E62" s="145">
        <f>VLOOKUP($A62,'Data shares'!$C:$FA,26)*100</f>
        <v>-0.13999999999999999</v>
      </c>
      <c r="F62" s="144">
        <f>VLOOKUP($A62,'Data shares'!$C:$FA,24)</f>
        <v>6</v>
      </c>
      <c r="G62" s="144">
        <f>VLOOKUP($A62,'Data shares'!$C:$FA,25)</f>
        <v>-21.5</v>
      </c>
    </row>
    <row r="63" spans="1:7" x14ac:dyDescent="0.25">
      <c r="A63" s="101" t="str">
        <f>'Data shares'!C59</f>
        <v>DLF</v>
      </c>
      <c r="B63" s="144">
        <f>VLOOKUP($A63,'Data shares'!$C:$FA,7)</f>
        <v>596.4</v>
      </c>
      <c r="C63" s="144">
        <f>VLOOKUP($A63,'Data shares'!$C:$FA,3)</f>
        <v>595.54999999999995</v>
      </c>
      <c r="D63" s="144">
        <f>VLOOKUP($A63,'Data shares'!$C:$FA,23)</f>
        <v>-0.85</v>
      </c>
      <c r="E63" s="145">
        <f>VLOOKUP($A63,'Data shares'!$C:$FA,26)*100</f>
        <v>-0.13999999999999999</v>
      </c>
      <c r="F63" s="144">
        <f>VLOOKUP($A63,'Data shares'!$C:$FA,24)</f>
        <v>-0.2</v>
      </c>
      <c r="G63" s="144">
        <f>VLOOKUP($A63,'Data shares'!$C:$FA,25)</f>
        <v>-0.65</v>
      </c>
    </row>
    <row r="64" spans="1:7" x14ac:dyDescent="0.25">
      <c r="A64" s="101" t="str">
        <f>'Data shares'!C60</f>
        <v>DMART</v>
      </c>
      <c r="B64" s="144">
        <f>VLOOKUP($A64,'Data shares'!$C:$FA,7)</f>
        <v>4605.2</v>
      </c>
      <c r="C64" s="144">
        <f>VLOOKUP($A64,'Data shares'!$C:$FA,3)</f>
        <v>4607.8</v>
      </c>
      <c r="D64" s="144">
        <f>VLOOKUP($A64,'Data shares'!$C:$FA,23)</f>
        <v>2.6</v>
      </c>
      <c r="E64" s="145">
        <f>VLOOKUP($A64,'Data shares'!$C:$FA,26)*100</f>
        <v>0.06</v>
      </c>
      <c r="F64" s="144">
        <f>VLOOKUP($A64,'Data shares'!$C:$FA,24)</f>
        <v>16.399999999999999</v>
      </c>
      <c r="G64" s="144">
        <f>VLOOKUP($A64,'Data shares'!$C:$FA,25)</f>
        <v>-13.8</v>
      </c>
    </row>
    <row r="65" spans="1:7" x14ac:dyDescent="0.25">
      <c r="A65" s="101" t="str">
        <f>'Data shares'!C61</f>
        <v>DRREDDY</v>
      </c>
      <c r="B65" s="144">
        <f>VLOOKUP($A65,'Data shares'!$C:$FA,7)</f>
        <v>1232.5999999999999</v>
      </c>
      <c r="C65" s="144">
        <f>VLOOKUP($A65,'Data shares'!$C:$FA,3)</f>
        <v>1224.0999999999999</v>
      </c>
      <c r="D65" s="144">
        <f>VLOOKUP($A65,'Data shares'!$C:$FA,23)</f>
        <v>-8.5</v>
      </c>
      <c r="E65" s="145">
        <f>VLOOKUP($A65,'Data shares'!$C:$FA,26)*100</f>
        <v>-0.69</v>
      </c>
      <c r="F65" s="144">
        <f>VLOOKUP($A65,'Data shares'!$C:$FA,24)</f>
        <v>-3.9</v>
      </c>
      <c r="G65" s="144">
        <f>VLOOKUP($A65,'Data shares'!$C:$FA,25)</f>
        <v>-4.5999999999999996</v>
      </c>
    </row>
    <row r="66" spans="1:7" x14ac:dyDescent="0.25">
      <c r="A66" s="101" t="str">
        <f>'Data shares'!C62</f>
        <v>EICHERMOT</v>
      </c>
      <c r="B66" s="144">
        <f>VLOOKUP($A66,'Data shares'!$C:$FA,7)</f>
        <v>7243</v>
      </c>
      <c r="C66" s="144">
        <f>VLOOKUP($A66,'Data shares'!$C:$FA,3)</f>
        <v>7233</v>
      </c>
      <c r="D66" s="144">
        <f>VLOOKUP($A66,'Data shares'!$C:$FA,23)</f>
        <v>-10</v>
      </c>
      <c r="E66" s="145">
        <f>VLOOKUP($A66,'Data shares'!$C:$FA,26)*100</f>
        <v>-0.13999999999999999</v>
      </c>
      <c r="F66" s="144">
        <f>VLOOKUP($A66,'Data shares'!$C:$FA,24)</f>
        <v>0</v>
      </c>
      <c r="G66" s="144">
        <f>VLOOKUP($A66,'Data shares'!$C:$FA,25)</f>
        <v>-10</v>
      </c>
    </row>
    <row r="67" spans="1:7" x14ac:dyDescent="0.25">
      <c r="A67" s="101" t="str">
        <f>'Data shares'!C63</f>
        <v>ETERNAL</v>
      </c>
      <c r="B67" s="144">
        <f>VLOOKUP($A67,'Data shares'!$C:$FA,7)</f>
        <v>254.88</v>
      </c>
      <c r="C67" s="144">
        <f>VLOOKUP($A67,'Data shares'!$C:$FA,3)</f>
        <v>254.72</v>
      </c>
      <c r="D67" s="144">
        <f>VLOOKUP($A67,'Data shares'!$C:$FA,23)</f>
        <v>-0.16</v>
      </c>
      <c r="E67" s="145">
        <f>VLOOKUP($A67,'Data shares'!$C:$FA,26)*100</f>
        <v>-0.06</v>
      </c>
      <c r="F67" s="144">
        <f>VLOOKUP($A67,'Data shares'!$C:$FA,24)</f>
        <v>-0.02</v>
      </c>
      <c r="G67" s="144">
        <f>VLOOKUP($A67,'Data shares'!$C:$FA,25)</f>
        <v>-0.14000000000000001</v>
      </c>
    </row>
    <row r="68" spans="1:7" x14ac:dyDescent="0.25">
      <c r="A68" s="101" t="str">
        <f>'Data shares'!C64</f>
        <v>EXIDEIND</v>
      </c>
      <c r="B68" s="144">
        <f>VLOOKUP($A68,'Data shares'!$C:$FA,7)</f>
        <v>329.7</v>
      </c>
      <c r="C68" s="144">
        <f>VLOOKUP($A68,'Data shares'!$C:$FA,3)</f>
        <v>329.75</v>
      </c>
      <c r="D68" s="144">
        <f>VLOOKUP($A68,'Data shares'!$C:$FA,23)</f>
        <v>0.05</v>
      </c>
      <c r="E68" s="145">
        <f>VLOOKUP($A68,'Data shares'!$C:$FA,26)*100</f>
        <v>0.02</v>
      </c>
      <c r="F68" s="144">
        <f>VLOOKUP($A68,'Data shares'!$C:$FA,24)</f>
        <v>0.25</v>
      </c>
      <c r="G68" s="144">
        <f>VLOOKUP($A68,'Data shares'!$C:$FA,25)</f>
        <v>-0.2</v>
      </c>
    </row>
    <row r="69" spans="1:7" x14ac:dyDescent="0.25">
      <c r="A69" s="101" t="str">
        <f>'Data shares'!C65</f>
        <v>FEDERALBNK</v>
      </c>
      <c r="B69" s="144">
        <f>VLOOKUP($A69,'Data shares'!$C:$FA,7)</f>
        <v>294.35000000000002</v>
      </c>
      <c r="C69" s="144">
        <f>VLOOKUP($A69,'Data shares'!$C:$FA,3)</f>
        <v>294.75</v>
      </c>
      <c r="D69" s="144">
        <f>VLOOKUP($A69,'Data shares'!$C:$FA,23)</f>
        <v>0.4</v>
      </c>
      <c r="E69" s="145">
        <f>VLOOKUP($A69,'Data shares'!$C:$FA,26)*100</f>
        <v>0.13999999999999999</v>
      </c>
      <c r="F69" s="144">
        <f>VLOOKUP($A69,'Data shares'!$C:$FA,24)</f>
        <v>-0.15</v>
      </c>
      <c r="G69" s="144">
        <f>VLOOKUP($A69,'Data shares'!$C:$FA,25)</f>
        <v>0.55000000000000004</v>
      </c>
    </row>
    <row r="70" spans="1:7" x14ac:dyDescent="0.25">
      <c r="A70" s="101" t="str">
        <f>'Data shares'!C66</f>
        <v>FINNIFTY</v>
      </c>
      <c r="B70" s="144">
        <f>VLOOKUP($A70,'Data shares'!$C:$FA,7)</f>
        <v>26537.1</v>
      </c>
      <c r="C70" s="144">
        <f>VLOOKUP($A70,'Data shares'!$C:$FA,3)</f>
        <v>26511.9</v>
      </c>
      <c r="D70" s="144">
        <f>VLOOKUP($A70,'Data shares'!$C:$FA,23)</f>
        <v>-25.2</v>
      </c>
      <c r="E70" s="145">
        <f>VLOOKUP($A70,'Data shares'!$C:$FA,26)*100</f>
        <v>-0.09</v>
      </c>
      <c r="F70" s="144">
        <f>VLOOKUP($A70,'Data shares'!$C:$FA,24)</f>
        <v>45.05</v>
      </c>
      <c r="G70" s="144">
        <f>VLOOKUP($A70,'Data shares'!$C:$FA,25)</f>
        <v>-70.25</v>
      </c>
    </row>
    <row r="71" spans="1:7" x14ac:dyDescent="0.25">
      <c r="A71" s="101" t="str">
        <f>'Data shares'!C67</f>
        <v>FORCEMOT</v>
      </c>
      <c r="B71" s="144">
        <f>VLOOKUP($A71,'Data shares'!$C:$FA,7)</f>
        <v>21925</v>
      </c>
      <c r="C71" s="144">
        <f>VLOOKUP($A71,'Data shares'!$C:$FA,3)</f>
        <v>21860</v>
      </c>
      <c r="D71" s="144">
        <f>VLOOKUP($A71,'Data shares'!$C:$FA,23)</f>
        <v>-65</v>
      </c>
      <c r="E71" s="145">
        <f>VLOOKUP($A71,'Data shares'!$C:$FA,26)*100</f>
        <v>-0.3</v>
      </c>
      <c r="F71" s="144">
        <f>VLOOKUP($A71,'Data shares'!$C:$FA,24)</f>
        <v>-7</v>
      </c>
      <c r="G71" s="144">
        <f>VLOOKUP($A71,'Data shares'!$C:$FA,25)</f>
        <v>-58</v>
      </c>
    </row>
    <row r="72" spans="1:7" x14ac:dyDescent="0.25">
      <c r="A72" s="101" t="str">
        <f>'Data shares'!C68</f>
        <v>FORTIS</v>
      </c>
      <c r="B72" s="144">
        <f>VLOOKUP($A72,'Data shares'!$C:$FA,7)</f>
        <v>890.9</v>
      </c>
      <c r="C72" s="144">
        <f>VLOOKUP($A72,'Data shares'!$C:$FA,3)</f>
        <v>890.1</v>
      </c>
      <c r="D72" s="144">
        <f>VLOOKUP($A72,'Data shares'!$C:$FA,23)</f>
        <v>-0.8</v>
      </c>
      <c r="E72" s="145">
        <f>VLOOKUP($A72,'Data shares'!$C:$FA,26)*100</f>
        <v>-0.09</v>
      </c>
      <c r="F72" s="144">
        <f>VLOOKUP($A72,'Data shares'!$C:$FA,24)</f>
        <v>0.7</v>
      </c>
      <c r="G72" s="144">
        <f>VLOOKUP($A72,'Data shares'!$C:$FA,25)</f>
        <v>-1.5</v>
      </c>
    </row>
    <row r="73" spans="1:7" x14ac:dyDescent="0.25">
      <c r="A73" s="101" t="str">
        <f>'Data shares'!C69</f>
        <v>GAIL</v>
      </c>
      <c r="B73" s="144">
        <f>VLOOKUP($A73,'Data shares'!$C:$FA,7)</f>
        <v>157.69999999999999</v>
      </c>
      <c r="C73" s="144">
        <f>VLOOKUP($A73,'Data shares'!$C:$FA,3)</f>
        <v>157.66</v>
      </c>
      <c r="D73" s="144">
        <f>VLOOKUP($A73,'Data shares'!$C:$FA,23)</f>
        <v>-0.04</v>
      </c>
      <c r="E73" s="145">
        <f>VLOOKUP($A73,'Data shares'!$C:$FA,26)*100</f>
        <v>-0.03</v>
      </c>
      <c r="F73" s="144">
        <f>VLOOKUP($A73,'Data shares'!$C:$FA,24)</f>
        <v>0.51</v>
      </c>
      <c r="G73" s="144">
        <f>VLOOKUP($A73,'Data shares'!$C:$FA,25)</f>
        <v>-0.55000000000000004</v>
      </c>
    </row>
    <row r="74" spans="1:7" x14ac:dyDescent="0.25">
      <c r="A74" s="101" t="str">
        <f>'Data shares'!C70</f>
        <v>GLENMARK</v>
      </c>
      <c r="B74" s="144">
        <f>VLOOKUP($A74,'Data shares'!$C:$FA,7)</f>
        <v>2230.6999999999998</v>
      </c>
      <c r="C74" s="144">
        <f>VLOOKUP($A74,'Data shares'!$C:$FA,3)</f>
        <v>2229.1</v>
      </c>
      <c r="D74" s="144">
        <f>VLOOKUP($A74,'Data shares'!$C:$FA,23)</f>
        <v>-1.6</v>
      </c>
      <c r="E74" s="145">
        <f>VLOOKUP($A74,'Data shares'!$C:$FA,26)*100</f>
        <v>-6.9999999999999993E-2</v>
      </c>
      <c r="F74" s="144">
        <f>VLOOKUP($A74,'Data shares'!$C:$FA,24)</f>
        <v>4.3</v>
      </c>
      <c r="G74" s="144">
        <f>VLOOKUP($A74,'Data shares'!$C:$FA,25)</f>
        <v>-5.9</v>
      </c>
    </row>
    <row r="75" spans="1:7" x14ac:dyDescent="0.25">
      <c r="A75" s="101" t="str">
        <f>'Data shares'!C71</f>
        <v>GMRAIRPORT</v>
      </c>
      <c r="B75" s="144">
        <f>VLOOKUP($A75,'Data shares'!$C:$FA,7)</f>
        <v>97.45</v>
      </c>
      <c r="C75" s="144">
        <f>VLOOKUP($A75,'Data shares'!$C:$FA,3)</f>
        <v>97.39</v>
      </c>
      <c r="D75" s="144">
        <f>VLOOKUP($A75,'Data shares'!$C:$FA,23)</f>
        <v>-0.06</v>
      </c>
      <c r="E75" s="145">
        <f>VLOOKUP($A75,'Data shares'!$C:$FA,26)*100</f>
        <v>-0.06</v>
      </c>
      <c r="F75" s="144">
        <f>VLOOKUP($A75,'Data shares'!$C:$FA,24)</f>
        <v>0.31</v>
      </c>
      <c r="G75" s="144">
        <f>VLOOKUP($A75,'Data shares'!$C:$FA,25)</f>
        <v>-0.37</v>
      </c>
    </row>
    <row r="76" spans="1:7" x14ac:dyDescent="0.25">
      <c r="A76" s="101" t="str">
        <f>'Data shares'!C72</f>
        <v>GODFRYPHLP</v>
      </c>
      <c r="B76" s="144">
        <f>VLOOKUP($A76,'Data shares'!$C:$FA,7)</f>
        <v>2137.8000000000002</v>
      </c>
      <c r="C76" s="144">
        <f>VLOOKUP($A76,'Data shares'!$C:$FA,3)</f>
        <v>2130.8000000000002</v>
      </c>
      <c r="D76" s="144">
        <f>VLOOKUP($A76,'Data shares'!$C:$FA,23)</f>
        <v>-7</v>
      </c>
      <c r="E76" s="145">
        <f>VLOOKUP($A76,'Data shares'!$C:$FA,26)*100</f>
        <v>-0.33</v>
      </c>
      <c r="F76" s="144">
        <f>VLOOKUP($A76,'Data shares'!$C:$FA,24)</f>
        <v>-23.5</v>
      </c>
      <c r="G76" s="144">
        <f>VLOOKUP($A76,'Data shares'!$C:$FA,25)</f>
        <v>16.5</v>
      </c>
    </row>
    <row r="77" spans="1:7" x14ac:dyDescent="0.25">
      <c r="A77" s="101" t="str">
        <f>'Data shares'!C73</f>
        <v>GODREJCP</v>
      </c>
      <c r="B77" s="144">
        <f>VLOOKUP($A77,'Data shares'!$C:$FA,7)</f>
        <v>1104.8</v>
      </c>
      <c r="C77" s="144">
        <f>VLOOKUP($A77,'Data shares'!$C:$FA,3)</f>
        <v>1105.5999999999999</v>
      </c>
      <c r="D77" s="144">
        <f>VLOOKUP($A77,'Data shares'!$C:$FA,23)</f>
        <v>0.8</v>
      </c>
      <c r="E77" s="145">
        <f>VLOOKUP($A77,'Data shares'!$C:$FA,26)*100</f>
        <v>6.9999999999999993E-2</v>
      </c>
      <c r="F77" s="144">
        <f>VLOOKUP($A77,'Data shares'!$C:$FA,24)</f>
        <v>3.25</v>
      </c>
      <c r="G77" s="144">
        <f>VLOOKUP($A77,'Data shares'!$C:$FA,25)</f>
        <v>-2.4500000000000002</v>
      </c>
    </row>
    <row r="78" spans="1:7" x14ac:dyDescent="0.25">
      <c r="A78" s="101" t="str">
        <f>'Data shares'!C74</f>
        <v>GODREJPROP</v>
      </c>
      <c r="B78" s="144">
        <f>VLOOKUP($A78,'Data shares'!$C:$FA,7)</f>
        <v>1759.7</v>
      </c>
      <c r="C78" s="144">
        <f>VLOOKUP($A78,'Data shares'!$C:$FA,3)</f>
        <v>1756.9</v>
      </c>
      <c r="D78" s="144">
        <f>VLOOKUP($A78,'Data shares'!$C:$FA,23)</f>
        <v>-2.8</v>
      </c>
      <c r="E78" s="145">
        <f>VLOOKUP($A78,'Data shares'!$C:$FA,26)*100</f>
        <v>-0.16</v>
      </c>
      <c r="F78" s="144">
        <f>VLOOKUP($A78,'Data shares'!$C:$FA,24)</f>
        <v>5.2</v>
      </c>
      <c r="G78" s="144">
        <f>VLOOKUP($A78,'Data shares'!$C:$FA,25)</f>
        <v>-8</v>
      </c>
    </row>
    <row r="79" spans="1:7" x14ac:dyDescent="0.25">
      <c r="A79" s="101" t="str">
        <f>'Data shares'!C75</f>
        <v>GRASIM</v>
      </c>
      <c r="B79" s="144">
        <f>VLOOKUP($A79,'Data shares'!$C:$FA,7)</f>
        <v>2760.1</v>
      </c>
      <c r="C79" s="144">
        <f>VLOOKUP($A79,'Data shares'!$C:$FA,3)</f>
        <v>2757</v>
      </c>
      <c r="D79" s="144">
        <f>VLOOKUP($A79,'Data shares'!$C:$FA,23)</f>
        <v>-3.1</v>
      </c>
      <c r="E79" s="145">
        <f>VLOOKUP($A79,'Data shares'!$C:$FA,26)*100</f>
        <v>-0.11</v>
      </c>
      <c r="F79" s="144">
        <f>VLOOKUP($A79,'Data shares'!$C:$FA,24)</f>
        <v>6.1</v>
      </c>
      <c r="G79" s="144">
        <f>VLOOKUP($A79,'Data shares'!$C:$FA,25)</f>
        <v>-9.1999999999999993</v>
      </c>
    </row>
    <row r="80" spans="1:7" x14ac:dyDescent="0.25">
      <c r="A80" s="101" t="str">
        <f>'Data shares'!C76</f>
        <v>HAL</v>
      </c>
      <c r="B80" s="144">
        <f>VLOOKUP($A80,'Data shares'!$C:$FA,7)</f>
        <v>4344.5</v>
      </c>
      <c r="C80" s="144">
        <f>VLOOKUP($A80,'Data shares'!$C:$FA,3)</f>
        <v>4343</v>
      </c>
      <c r="D80" s="144">
        <f>VLOOKUP($A80,'Data shares'!$C:$FA,23)</f>
        <v>-1.5</v>
      </c>
      <c r="E80" s="145">
        <f>VLOOKUP($A80,'Data shares'!$C:$FA,26)*100</f>
        <v>-0.03</v>
      </c>
      <c r="F80" s="144">
        <f>VLOOKUP($A80,'Data shares'!$C:$FA,24)</f>
        <v>5.2</v>
      </c>
      <c r="G80" s="144">
        <f>VLOOKUP($A80,'Data shares'!$C:$FA,25)</f>
        <v>-6.7</v>
      </c>
    </row>
    <row r="81" spans="1:7" x14ac:dyDescent="0.25">
      <c r="A81" s="101" t="str">
        <f>'Data shares'!C77</f>
        <v>HAVELLS</v>
      </c>
      <c r="B81" s="144">
        <f>VLOOKUP($A81,'Data shares'!$C:$FA,7)</f>
        <v>1302.0999999999999</v>
      </c>
      <c r="C81" s="144">
        <f>VLOOKUP($A81,'Data shares'!$C:$FA,3)</f>
        <v>1305.7</v>
      </c>
      <c r="D81" s="144">
        <f>VLOOKUP($A81,'Data shares'!$C:$FA,23)</f>
        <v>3.6</v>
      </c>
      <c r="E81" s="145">
        <f>VLOOKUP($A81,'Data shares'!$C:$FA,26)*100</f>
        <v>0.27999999999999997</v>
      </c>
      <c r="F81" s="144">
        <f>VLOOKUP($A81,'Data shares'!$C:$FA,24)</f>
        <v>3.4</v>
      </c>
      <c r="G81" s="144">
        <f>VLOOKUP($A81,'Data shares'!$C:$FA,25)</f>
        <v>0.2</v>
      </c>
    </row>
    <row r="82" spans="1:7" x14ac:dyDescent="0.25">
      <c r="A82" s="101" t="str">
        <f>'Data shares'!C78</f>
        <v>HCLTECH</v>
      </c>
      <c r="B82" s="144">
        <f>VLOOKUP($A82,'Data shares'!$C:$FA,7)</f>
        <v>1428.3</v>
      </c>
      <c r="C82" s="144">
        <f>VLOOKUP($A82,'Data shares'!$C:$FA,3)</f>
        <v>1407.1</v>
      </c>
      <c r="D82" s="144">
        <f>VLOOKUP($A82,'Data shares'!$C:$FA,23)</f>
        <v>-21.2</v>
      </c>
      <c r="E82" s="145">
        <f>VLOOKUP($A82,'Data shares'!$C:$FA,26)*100</f>
        <v>-1.48</v>
      </c>
      <c r="F82" s="144">
        <f>VLOOKUP($A82,'Data shares'!$C:$FA,24)</f>
        <v>-27</v>
      </c>
      <c r="G82" s="144">
        <f>VLOOKUP($A82,'Data shares'!$C:$FA,25)</f>
        <v>5.8</v>
      </c>
    </row>
    <row r="83" spans="1:7" x14ac:dyDescent="0.25">
      <c r="A83" s="101" t="str">
        <f>'Data shares'!C79</f>
        <v>HDFCAMC</v>
      </c>
      <c r="B83" s="144">
        <f>VLOOKUP($A83,'Data shares'!$C:$FA,7)</f>
        <v>2768.2</v>
      </c>
      <c r="C83" s="144">
        <f>VLOOKUP($A83,'Data shares'!$C:$FA,3)</f>
        <v>2763.8</v>
      </c>
      <c r="D83" s="144">
        <f>VLOOKUP($A83,'Data shares'!$C:$FA,23)</f>
        <v>-4.4000000000000004</v>
      </c>
      <c r="E83" s="145">
        <f>VLOOKUP($A83,'Data shares'!$C:$FA,26)*100</f>
        <v>-0.16</v>
      </c>
      <c r="F83" s="144">
        <f>VLOOKUP($A83,'Data shares'!$C:$FA,24)</f>
        <v>-0.8</v>
      </c>
      <c r="G83" s="144">
        <f>VLOOKUP($A83,'Data shares'!$C:$FA,25)</f>
        <v>-3.6</v>
      </c>
    </row>
    <row r="84" spans="1:7" x14ac:dyDescent="0.25">
      <c r="A84" s="101" t="str">
        <f>'Data shares'!C80</f>
        <v>HDFCBANK</v>
      </c>
      <c r="B84" s="144">
        <f>VLOOKUP($A84,'Data shares'!$C:$FA,7)</f>
        <v>795.45</v>
      </c>
      <c r="C84" s="144">
        <f>VLOOKUP($A84,'Data shares'!$C:$FA,3)</f>
        <v>794.9</v>
      </c>
      <c r="D84" s="144">
        <f>VLOOKUP($A84,'Data shares'!$C:$FA,23)</f>
        <v>-0.55000000000000004</v>
      </c>
      <c r="E84" s="145">
        <f>VLOOKUP($A84,'Data shares'!$C:$FA,26)*100</f>
        <v>-6.9999999999999993E-2</v>
      </c>
      <c r="F84" s="144">
        <f>VLOOKUP($A84,'Data shares'!$C:$FA,24)</f>
        <v>1.7</v>
      </c>
      <c r="G84" s="144">
        <f>VLOOKUP($A84,'Data shares'!$C:$FA,25)</f>
        <v>-2.25</v>
      </c>
    </row>
    <row r="85" spans="1:7" x14ac:dyDescent="0.25">
      <c r="A85" s="101" t="str">
        <f>'Data shares'!C81</f>
        <v>HDFCLIFE</v>
      </c>
      <c r="B85" s="144">
        <f>VLOOKUP($A85,'Data shares'!$C:$FA,7)</f>
        <v>609.75</v>
      </c>
      <c r="C85" s="144">
        <f>VLOOKUP($A85,'Data shares'!$C:$FA,3)</f>
        <v>611</v>
      </c>
      <c r="D85" s="144">
        <f>VLOOKUP($A85,'Data shares'!$C:$FA,23)</f>
        <v>1.25</v>
      </c>
      <c r="E85" s="145">
        <f>VLOOKUP($A85,'Data shares'!$C:$FA,26)*100</f>
        <v>0.21</v>
      </c>
      <c r="F85" s="144">
        <f>VLOOKUP($A85,'Data shares'!$C:$FA,24)</f>
        <v>-0.15</v>
      </c>
      <c r="G85" s="144">
        <f>VLOOKUP($A85,'Data shares'!$C:$FA,25)</f>
        <v>1.4</v>
      </c>
    </row>
    <row r="86" spans="1:7" x14ac:dyDescent="0.25">
      <c r="A86" s="101" t="str">
        <f>'Data shares'!C82</f>
        <v>HEROMOTOCO</v>
      </c>
      <c r="B86" s="144">
        <f>VLOOKUP($A86,'Data shares'!$C:$FA,7)</f>
        <v>5282.5</v>
      </c>
      <c r="C86" s="144">
        <f>VLOOKUP($A86,'Data shares'!$C:$FA,3)</f>
        <v>5288</v>
      </c>
      <c r="D86" s="144">
        <f>VLOOKUP($A86,'Data shares'!$C:$FA,23)</f>
        <v>5.5</v>
      </c>
      <c r="E86" s="145">
        <f>VLOOKUP($A86,'Data shares'!$C:$FA,26)*100</f>
        <v>0.1</v>
      </c>
      <c r="F86" s="144">
        <f>VLOOKUP($A86,'Data shares'!$C:$FA,24)</f>
        <v>14</v>
      </c>
      <c r="G86" s="144">
        <f>VLOOKUP($A86,'Data shares'!$C:$FA,25)</f>
        <v>-8.5</v>
      </c>
    </row>
    <row r="87" spans="1:7" x14ac:dyDescent="0.25">
      <c r="A87" s="101" t="str">
        <f>'Data shares'!C83</f>
        <v>HINDALCO</v>
      </c>
      <c r="B87" s="144">
        <f>VLOOKUP($A87,'Data shares'!$C:$FA,7)</f>
        <v>1015.25</v>
      </c>
      <c r="C87" s="144">
        <f>VLOOKUP($A87,'Data shares'!$C:$FA,3)</f>
        <v>1015.8</v>
      </c>
      <c r="D87" s="144">
        <f>VLOOKUP($A87,'Data shares'!$C:$FA,23)</f>
        <v>0.55000000000000004</v>
      </c>
      <c r="E87" s="145">
        <f>VLOOKUP($A87,'Data shares'!$C:$FA,26)*100</f>
        <v>0.05</v>
      </c>
      <c r="F87" s="144">
        <f>VLOOKUP($A87,'Data shares'!$C:$FA,24)</f>
        <v>1.95</v>
      </c>
      <c r="G87" s="144">
        <f>VLOOKUP($A87,'Data shares'!$C:$FA,25)</f>
        <v>-1.4</v>
      </c>
    </row>
    <row r="88" spans="1:7" x14ac:dyDescent="0.25">
      <c r="A88" s="101" t="str">
        <f>'Data shares'!C84</f>
        <v>HINDPETRO</v>
      </c>
      <c r="B88" s="144">
        <f>VLOOKUP($A88,'Data shares'!$C:$FA,7)</f>
        <v>379.5</v>
      </c>
      <c r="C88" s="144">
        <f>VLOOKUP($A88,'Data shares'!$C:$FA,3)</f>
        <v>378.8</v>
      </c>
      <c r="D88" s="144">
        <f>VLOOKUP($A88,'Data shares'!$C:$FA,23)</f>
        <v>-0.7</v>
      </c>
      <c r="E88" s="145">
        <f>VLOOKUP($A88,'Data shares'!$C:$FA,26)*100</f>
        <v>-0.18</v>
      </c>
      <c r="F88" s="144">
        <f>VLOOKUP($A88,'Data shares'!$C:$FA,24)</f>
        <v>1.5</v>
      </c>
      <c r="G88" s="144">
        <f>VLOOKUP($A88,'Data shares'!$C:$FA,25)</f>
        <v>-2.2000000000000002</v>
      </c>
    </row>
    <row r="89" spans="1:7" x14ac:dyDescent="0.25">
      <c r="A89" s="101" t="str">
        <f>'Data shares'!C85</f>
        <v>HINDUNILVR</v>
      </c>
      <c r="B89" s="144">
        <f>VLOOKUP($A89,'Data shares'!$C:$FA,7)</f>
        <v>2231.5</v>
      </c>
      <c r="C89" s="144">
        <f>VLOOKUP($A89,'Data shares'!$C:$FA,3)</f>
        <v>2235.1999999999998</v>
      </c>
      <c r="D89" s="144">
        <f>VLOOKUP($A89,'Data shares'!$C:$FA,23)</f>
        <v>3.7</v>
      </c>
      <c r="E89" s="145">
        <f>VLOOKUP($A89,'Data shares'!$C:$FA,26)*100</f>
        <v>0.16999999999999998</v>
      </c>
      <c r="F89" s="144">
        <f>VLOOKUP($A89,'Data shares'!$C:$FA,24)</f>
        <v>-0.1</v>
      </c>
      <c r="G89" s="144">
        <f>VLOOKUP($A89,'Data shares'!$C:$FA,25)</f>
        <v>3.8</v>
      </c>
    </row>
    <row r="90" spans="1:7" x14ac:dyDescent="0.25">
      <c r="A90" s="101" t="str">
        <f>'Data shares'!C86</f>
        <v>HINDZINC</v>
      </c>
      <c r="B90" s="144">
        <f>VLOOKUP($A90,'Data shares'!$C:$FA,7)</f>
        <v>590.29999999999995</v>
      </c>
      <c r="C90" s="144">
        <f>VLOOKUP($A90,'Data shares'!$C:$FA,3)</f>
        <v>590.29999999999995</v>
      </c>
      <c r="D90" s="144">
        <f>VLOOKUP($A90,'Data shares'!$C:$FA,23)</f>
        <v>0</v>
      </c>
      <c r="E90" s="145">
        <f>VLOOKUP($A90,'Data shares'!$C:$FA,26)*100</f>
        <v>0</v>
      </c>
      <c r="F90" s="144">
        <f>VLOOKUP($A90,'Data shares'!$C:$FA,24)</f>
        <v>0.9</v>
      </c>
      <c r="G90" s="144">
        <f>VLOOKUP($A90,'Data shares'!$C:$FA,25)</f>
        <v>-0.9</v>
      </c>
    </row>
    <row r="91" spans="1:7" x14ac:dyDescent="0.25">
      <c r="A91" s="101" t="str">
        <f>'Data shares'!C87</f>
        <v>HUDCO</v>
      </c>
      <c r="B91" s="144">
        <f>VLOOKUP($A91,'Data shares'!$C:$FA,7)</f>
        <v>199.4</v>
      </c>
      <c r="C91" s="144">
        <f>VLOOKUP($A91,'Data shares'!$C:$FA,3)</f>
        <v>199.26</v>
      </c>
      <c r="D91" s="144">
        <f>VLOOKUP($A91,'Data shares'!$C:$FA,23)</f>
        <v>-0.14000000000000001</v>
      </c>
      <c r="E91" s="145">
        <f>VLOOKUP($A91,'Data shares'!$C:$FA,26)*100</f>
        <v>-6.9999999999999993E-2</v>
      </c>
      <c r="F91" s="144">
        <f>VLOOKUP($A91,'Data shares'!$C:$FA,24)</f>
        <v>0.69</v>
      </c>
      <c r="G91" s="144">
        <f>VLOOKUP($A91,'Data shares'!$C:$FA,25)</f>
        <v>-0.83</v>
      </c>
    </row>
    <row r="92" spans="1:7" x14ac:dyDescent="0.25">
      <c r="A92" s="101" t="str">
        <f>'Data shares'!C88</f>
        <v>HYUNDAI</v>
      </c>
      <c r="B92" s="144">
        <f>VLOOKUP($A92,'Data shares'!$C:$FA,7)</f>
        <v>1886</v>
      </c>
      <c r="C92" s="144">
        <f>VLOOKUP($A92,'Data shares'!$C:$FA,3)</f>
        <v>1868.7</v>
      </c>
      <c r="D92" s="144">
        <f>VLOOKUP($A92,'Data shares'!$C:$FA,23)</f>
        <v>-17.3</v>
      </c>
      <c r="E92" s="145">
        <f>VLOOKUP($A92,'Data shares'!$C:$FA,26)*100</f>
        <v>-0.91999999999999993</v>
      </c>
      <c r="F92" s="144">
        <f>VLOOKUP($A92,'Data shares'!$C:$FA,24)</f>
        <v>-33.4</v>
      </c>
      <c r="G92" s="144">
        <f>VLOOKUP($A92,'Data shares'!$C:$FA,25)</f>
        <v>16.100000000000001</v>
      </c>
    </row>
    <row r="93" spans="1:7" x14ac:dyDescent="0.25">
      <c r="A93" s="101" t="str">
        <f>'Data shares'!C89</f>
        <v>ICICIBANK</v>
      </c>
      <c r="B93" s="144">
        <f>VLOOKUP($A93,'Data shares'!$C:$FA,7)</f>
        <v>1356.2</v>
      </c>
      <c r="C93" s="144">
        <f>VLOOKUP($A93,'Data shares'!$C:$FA,3)</f>
        <v>1357.3</v>
      </c>
      <c r="D93" s="144">
        <f>VLOOKUP($A93,'Data shares'!$C:$FA,23)</f>
        <v>1.1000000000000001</v>
      </c>
      <c r="E93" s="145">
        <f>VLOOKUP($A93,'Data shares'!$C:$FA,26)*100</f>
        <v>0.08</v>
      </c>
      <c r="F93" s="144">
        <f>VLOOKUP($A93,'Data shares'!$C:$FA,24)</f>
        <v>4.8</v>
      </c>
      <c r="G93" s="144">
        <f>VLOOKUP($A93,'Data shares'!$C:$FA,25)</f>
        <v>-3.7</v>
      </c>
    </row>
    <row r="94" spans="1:7" x14ac:dyDescent="0.25">
      <c r="A94" s="101" t="str">
        <f>'Data shares'!C90</f>
        <v>ICICIGI</v>
      </c>
      <c r="B94" s="144">
        <f>VLOOKUP($A94,'Data shares'!$C:$FA,7)</f>
        <v>1876.5</v>
      </c>
      <c r="C94" s="144">
        <f>VLOOKUP($A94,'Data shares'!$C:$FA,3)</f>
        <v>1872.3</v>
      </c>
      <c r="D94" s="144">
        <f>VLOOKUP($A94,'Data shares'!$C:$FA,23)</f>
        <v>-4.2</v>
      </c>
      <c r="E94" s="145">
        <f>VLOOKUP($A94,'Data shares'!$C:$FA,26)*100</f>
        <v>-0.22</v>
      </c>
      <c r="F94" s="144">
        <f>VLOOKUP($A94,'Data shares'!$C:$FA,24)</f>
        <v>-0.7</v>
      </c>
      <c r="G94" s="144">
        <f>VLOOKUP($A94,'Data shares'!$C:$FA,25)</f>
        <v>-3.5</v>
      </c>
    </row>
    <row r="95" spans="1:7" x14ac:dyDescent="0.25">
      <c r="A95" s="101" t="str">
        <f>'Data shares'!C91</f>
        <v>ICICIPRULI</v>
      </c>
      <c r="B95" s="144">
        <f>VLOOKUP($A95,'Data shares'!$C:$FA,7)</f>
        <v>557.9</v>
      </c>
      <c r="C95" s="144">
        <f>VLOOKUP($A95,'Data shares'!$C:$FA,3)</f>
        <v>559.20000000000005</v>
      </c>
      <c r="D95" s="144">
        <f>VLOOKUP($A95,'Data shares'!$C:$FA,23)</f>
        <v>1.3</v>
      </c>
      <c r="E95" s="145">
        <f>VLOOKUP($A95,'Data shares'!$C:$FA,26)*100</f>
        <v>0.22999999999999998</v>
      </c>
      <c r="F95" s="144">
        <f>VLOOKUP($A95,'Data shares'!$C:$FA,24)</f>
        <v>0.75</v>
      </c>
      <c r="G95" s="144">
        <f>VLOOKUP($A95,'Data shares'!$C:$FA,25)</f>
        <v>0.55000000000000004</v>
      </c>
    </row>
    <row r="96" spans="1:7" x14ac:dyDescent="0.25">
      <c r="A96" s="101" t="str">
        <f>'Data shares'!C92</f>
        <v>IDEA</v>
      </c>
      <c r="B96" s="144">
        <f>VLOOKUP($A96,'Data shares'!$C:$FA,7)</f>
        <v>9.4700000000000006</v>
      </c>
      <c r="C96" s="144">
        <f>VLOOKUP($A96,'Data shares'!$C:$FA,3)</f>
        <v>9.4499999999999993</v>
      </c>
      <c r="D96" s="144">
        <f>VLOOKUP($A96,'Data shares'!$C:$FA,23)</f>
        <v>-0.02</v>
      </c>
      <c r="E96" s="145">
        <f>VLOOKUP($A96,'Data shares'!$C:$FA,26)*100</f>
        <v>-0.21</v>
      </c>
      <c r="F96" s="144">
        <f>VLOOKUP($A96,'Data shares'!$C:$FA,24)</f>
        <v>0</v>
      </c>
      <c r="G96" s="144">
        <f>VLOOKUP($A96,'Data shares'!$C:$FA,25)</f>
        <v>-0.02</v>
      </c>
    </row>
    <row r="97" spans="1:7" x14ac:dyDescent="0.25">
      <c r="A97" s="101" t="str">
        <f>'Data shares'!C93</f>
        <v>IDFCFIRSTB</v>
      </c>
      <c r="B97" s="144">
        <f>VLOOKUP($A97,'Data shares'!$C:$FA,7)</f>
        <v>67.5</v>
      </c>
      <c r="C97" s="144">
        <f>VLOOKUP($A97,'Data shares'!$C:$FA,3)</f>
        <v>67.599999999999994</v>
      </c>
      <c r="D97" s="144">
        <f>VLOOKUP($A97,'Data shares'!$C:$FA,23)</f>
        <v>0.1</v>
      </c>
      <c r="E97" s="145">
        <f>VLOOKUP($A97,'Data shares'!$C:$FA,26)*100</f>
        <v>0.15</v>
      </c>
      <c r="F97" s="144">
        <f>VLOOKUP($A97,'Data shares'!$C:$FA,24)</f>
        <v>0.02</v>
      </c>
      <c r="G97" s="144">
        <f>VLOOKUP($A97,'Data shares'!$C:$FA,25)</f>
        <v>0.08</v>
      </c>
    </row>
    <row r="98" spans="1:7" x14ac:dyDescent="0.25">
      <c r="A98" s="101" t="str">
        <f>'Data shares'!C94</f>
        <v>IEX</v>
      </c>
      <c r="B98" s="144">
        <f>VLOOKUP($A98,'Data shares'!$C:$FA,7)</f>
        <v>124.99</v>
      </c>
      <c r="C98" s="144">
        <f>VLOOKUP($A98,'Data shares'!$C:$FA,3)</f>
        <v>124.98</v>
      </c>
      <c r="D98" s="144">
        <f>VLOOKUP($A98,'Data shares'!$C:$FA,23)</f>
        <v>-0.01</v>
      </c>
      <c r="E98" s="145">
        <f>VLOOKUP($A98,'Data shares'!$C:$FA,26)*100</f>
        <v>-0.01</v>
      </c>
      <c r="F98" s="144">
        <f>VLOOKUP($A98,'Data shares'!$C:$FA,24)</f>
        <v>0.01</v>
      </c>
      <c r="G98" s="144">
        <f>VLOOKUP($A98,'Data shares'!$C:$FA,25)</f>
        <v>-0.02</v>
      </c>
    </row>
    <row r="99" spans="1:7" x14ac:dyDescent="0.25">
      <c r="A99" s="101" t="str">
        <f>'Data shares'!C95</f>
        <v>INDHOTEL</v>
      </c>
      <c r="B99" s="144">
        <f>VLOOKUP($A99,'Data shares'!$C:$FA,7)</f>
        <v>659.5</v>
      </c>
      <c r="C99" s="144">
        <f>VLOOKUP($A99,'Data shares'!$C:$FA,3)</f>
        <v>657.95</v>
      </c>
      <c r="D99" s="144">
        <f>VLOOKUP($A99,'Data shares'!$C:$FA,23)</f>
        <v>-1.55</v>
      </c>
      <c r="E99" s="145">
        <f>VLOOKUP($A99,'Data shares'!$C:$FA,26)*100</f>
        <v>-0.24</v>
      </c>
      <c r="F99" s="144">
        <f>VLOOKUP($A99,'Data shares'!$C:$FA,24)</f>
        <v>0.25</v>
      </c>
      <c r="G99" s="144">
        <f>VLOOKUP($A99,'Data shares'!$C:$FA,25)</f>
        <v>-1.8</v>
      </c>
    </row>
    <row r="100" spans="1:7" x14ac:dyDescent="0.25">
      <c r="A100" s="101" t="str">
        <f>'Data shares'!C96</f>
        <v>INDIANB</v>
      </c>
      <c r="B100" s="144">
        <f>VLOOKUP($A100,'Data shares'!$C:$FA,7)</f>
        <v>928.3</v>
      </c>
      <c r="C100" s="144">
        <f>VLOOKUP($A100,'Data shares'!$C:$FA,3)</f>
        <v>931.2</v>
      </c>
      <c r="D100" s="144">
        <f>VLOOKUP($A100,'Data shares'!$C:$FA,23)</f>
        <v>2.9</v>
      </c>
      <c r="E100" s="145">
        <f>VLOOKUP($A100,'Data shares'!$C:$FA,26)*100</f>
        <v>0.31</v>
      </c>
      <c r="F100" s="144">
        <f>VLOOKUP($A100,'Data shares'!$C:$FA,24)</f>
        <v>2.8</v>
      </c>
      <c r="G100" s="144">
        <f>VLOOKUP($A100,'Data shares'!$C:$FA,25)</f>
        <v>0.1</v>
      </c>
    </row>
    <row r="101" spans="1:7" x14ac:dyDescent="0.25">
      <c r="A101" s="101" t="str">
        <f>'Data shares'!C97</f>
        <v>INDIAVIX</v>
      </c>
      <c r="B101" s="144">
        <f>VLOOKUP($A101,'Data shares'!$C:$FA,7)</f>
        <v>18.79</v>
      </c>
      <c r="C101" s="144">
        <f>VLOOKUP($A101,'Data shares'!$C:$FA,3)</f>
        <v>18.79</v>
      </c>
      <c r="D101" s="144">
        <f>VLOOKUP($A101,'Data shares'!$C:$FA,23)</f>
        <v>0</v>
      </c>
      <c r="E101" s="145">
        <f>VLOOKUP($A101,'Data shares'!$C:$FA,26)*100</f>
        <v>0</v>
      </c>
      <c r="F101" s="144">
        <f>VLOOKUP($A101,'Data shares'!$C:$FA,24)</f>
        <v>0</v>
      </c>
      <c r="G101" s="144">
        <f>VLOOKUP($A101,'Data shares'!$C:$FA,25)</f>
        <v>0</v>
      </c>
    </row>
    <row r="102" spans="1:7" x14ac:dyDescent="0.25">
      <c r="A102" s="101" t="str">
        <f>'Data shares'!C98</f>
        <v>INDIGO</v>
      </c>
      <c r="B102" s="144">
        <f>VLOOKUP($A102,'Data shares'!$C:$FA,7)</f>
        <v>4678.2</v>
      </c>
      <c r="C102" s="144">
        <f>VLOOKUP($A102,'Data shares'!$C:$FA,3)</f>
        <v>4672.3</v>
      </c>
      <c r="D102" s="144">
        <f>VLOOKUP($A102,'Data shares'!$C:$FA,23)</f>
        <v>-5.9</v>
      </c>
      <c r="E102" s="145">
        <f>VLOOKUP($A102,'Data shares'!$C:$FA,26)*100</f>
        <v>-0.13</v>
      </c>
      <c r="F102" s="144">
        <f>VLOOKUP($A102,'Data shares'!$C:$FA,24)</f>
        <v>9.5</v>
      </c>
      <c r="G102" s="144">
        <f>VLOOKUP($A102,'Data shares'!$C:$FA,25)</f>
        <v>-15.4</v>
      </c>
    </row>
    <row r="103" spans="1:7" x14ac:dyDescent="0.25">
      <c r="A103" s="101" t="str">
        <f>'Data shares'!C99</f>
        <v>INDUSINDBK</v>
      </c>
      <c r="B103" s="144">
        <f>VLOOKUP($A103,'Data shares'!$C:$FA,7)</f>
        <v>851.95</v>
      </c>
      <c r="C103" s="144">
        <f>VLOOKUP($A103,'Data shares'!$C:$FA,3)</f>
        <v>850.2</v>
      </c>
      <c r="D103" s="144">
        <f>VLOOKUP($A103,'Data shares'!$C:$FA,23)</f>
        <v>-1.75</v>
      </c>
      <c r="E103" s="145">
        <f>VLOOKUP($A103,'Data shares'!$C:$FA,26)*100</f>
        <v>-0.21</v>
      </c>
      <c r="F103" s="144">
        <f>VLOOKUP($A103,'Data shares'!$C:$FA,24)</f>
        <v>-1.55</v>
      </c>
      <c r="G103" s="144">
        <f>VLOOKUP($A103,'Data shares'!$C:$FA,25)</f>
        <v>-0.2</v>
      </c>
    </row>
    <row r="104" spans="1:7" x14ac:dyDescent="0.25">
      <c r="A104" s="101" t="str">
        <f>'Data shares'!C100</f>
        <v>INDUSTOWER</v>
      </c>
      <c r="B104" s="144">
        <f>VLOOKUP($A104,'Data shares'!$C:$FA,7)</f>
        <v>405.8</v>
      </c>
      <c r="C104" s="144">
        <f>VLOOKUP($A104,'Data shares'!$C:$FA,3)</f>
        <v>406.95</v>
      </c>
      <c r="D104" s="144">
        <f>VLOOKUP($A104,'Data shares'!$C:$FA,23)</f>
        <v>1.1499999999999999</v>
      </c>
      <c r="E104" s="145">
        <f>VLOOKUP($A104,'Data shares'!$C:$FA,26)*100</f>
        <v>0.27999999999999997</v>
      </c>
      <c r="F104" s="144">
        <f>VLOOKUP($A104,'Data shares'!$C:$FA,24)</f>
        <v>1.1000000000000001</v>
      </c>
      <c r="G104" s="144">
        <f>VLOOKUP($A104,'Data shares'!$C:$FA,25)</f>
        <v>0.05</v>
      </c>
    </row>
    <row r="105" spans="1:7" x14ac:dyDescent="0.25">
      <c r="A105" s="101" t="str">
        <f>'Data shares'!C101</f>
        <v>INFY</v>
      </c>
      <c r="B105" s="144">
        <f>VLOOKUP($A105,'Data shares'!$C:$FA,7)</f>
        <v>1312.6</v>
      </c>
      <c r="C105" s="144">
        <f>VLOOKUP($A105,'Data shares'!$C:$FA,3)</f>
        <v>1309.3</v>
      </c>
      <c r="D105" s="144">
        <f>VLOOKUP($A105,'Data shares'!$C:$FA,23)</f>
        <v>-3.3</v>
      </c>
      <c r="E105" s="145">
        <f>VLOOKUP($A105,'Data shares'!$C:$FA,26)*100</f>
        <v>-0.25</v>
      </c>
      <c r="F105" s="144">
        <f>VLOOKUP($A105,'Data shares'!$C:$FA,24)</f>
        <v>2.2999999999999998</v>
      </c>
      <c r="G105" s="144">
        <f>VLOOKUP($A105,'Data shares'!$C:$FA,25)</f>
        <v>-5.6</v>
      </c>
    </row>
    <row r="106" spans="1:7" x14ac:dyDescent="0.25">
      <c r="A106" s="101" t="str">
        <f>'Data shares'!C102</f>
        <v>INOXWIND</v>
      </c>
      <c r="B106" s="144">
        <f>VLOOKUP($A106,'Data shares'!$C:$FA,7)</f>
        <v>97.35</v>
      </c>
      <c r="C106" s="144">
        <f>VLOOKUP($A106,'Data shares'!$C:$FA,3)</f>
        <v>97.14</v>
      </c>
      <c r="D106" s="144">
        <f>VLOOKUP($A106,'Data shares'!$C:$FA,23)</f>
        <v>-0.21</v>
      </c>
      <c r="E106" s="145">
        <f>VLOOKUP($A106,'Data shares'!$C:$FA,26)*100</f>
        <v>-0.22</v>
      </c>
      <c r="F106" s="144">
        <f>VLOOKUP($A106,'Data shares'!$C:$FA,24)</f>
        <v>-0.08</v>
      </c>
      <c r="G106" s="144">
        <f>VLOOKUP($A106,'Data shares'!$C:$FA,25)</f>
        <v>-0.13</v>
      </c>
    </row>
    <row r="107" spans="1:7" x14ac:dyDescent="0.25">
      <c r="A107" s="101" t="str">
        <f>'Data shares'!C103</f>
        <v>IOC</v>
      </c>
      <c r="B107" s="144">
        <f>VLOOKUP($A107,'Data shares'!$C:$FA,7)</f>
        <v>146.87</v>
      </c>
      <c r="C107" s="144">
        <f>VLOOKUP($A107,'Data shares'!$C:$FA,3)</f>
        <v>146.69</v>
      </c>
      <c r="D107" s="144">
        <f>VLOOKUP($A107,'Data shares'!$C:$FA,23)</f>
        <v>-0.18</v>
      </c>
      <c r="E107" s="145">
        <f>VLOOKUP($A107,'Data shares'!$C:$FA,26)*100</f>
        <v>-0.12</v>
      </c>
      <c r="F107" s="144">
        <f>VLOOKUP($A107,'Data shares'!$C:$FA,24)</f>
        <v>0.33</v>
      </c>
      <c r="G107" s="144">
        <f>VLOOKUP($A107,'Data shares'!$C:$FA,25)</f>
        <v>-0.51</v>
      </c>
    </row>
    <row r="108" spans="1:7" x14ac:dyDescent="0.25">
      <c r="A108" s="101" t="str">
        <f>'Data shares'!C104</f>
        <v>IREDA</v>
      </c>
      <c r="B108" s="144">
        <f>VLOOKUP($A108,'Data shares'!$C:$FA,7)</f>
        <v>130.13999999999999</v>
      </c>
      <c r="C108" s="144">
        <f>VLOOKUP($A108,'Data shares'!$C:$FA,3)</f>
        <v>130.34</v>
      </c>
      <c r="D108" s="144">
        <f>VLOOKUP($A108,'Data shares'!$C:$FA,23)</f>
        <v>0.2</v>
      </c>
      <c r="E108" s="145">
        <f>VLOOKUP($A108,'Data shares'!$C:$FA,26)*100</f>
        <v>0.15</v>
      </c>
      <c r="F108" s="144">
        <f>VLOOKUP($A108,'Data shares'!$C:$FA,24)</f>
        <v>0.35</v>
      </c>
      <c r="G108" s="144">
        <f>VLOOKUP($A108,'Data shares'!$C:$FA,25)</f>
        <v>-0.15</v>
      </c>
    </row>
    <row r="109" spans="1:7" x14ac:dyDescent="0.25">
      <c r="A109" s="101" t="str">
        <f>'Data shares'!C105</f>
        <v>IRFC</v>
      </c>
      <c r="B109" s="144">
        <f>VLOOKUP($A109,'Data shares'!$C:$FA,7)</f>
        <v>103.02</v>
      </c>
      <c r="C109" s="144">
        <f>VLOOKUP($A109,'Data shares'!$C:$FA,3)</f>
        <v>103.09</v>
      </c>
      <c r="D109" s="144">
        <f>VLOOKUP($A109,'Data shares'!$C:$FA,23)</f>
        <v>7.0000000000000007E-2</v>
      </c>
      <c r="E109" s="145">
        <f>VLOOKUP($A109,'Data shares'!$C:$FA,26)*100</f>
        <v>6.9999999999999993E-2</v>
      </c>
      <c r="F109" s="144">
        <f>VLOOKUP($A109,'Data shares'!$C:$FA,24)</f>
        <v>0</v>
      </c>
      <c r="G109" s="144">
        <f>VLOOKUP($A109,'Data shares'!$C:$FA,25)</f>
        <v>7.0000000000000007E-2</v>
      </c>
    </row>
    <row r="110" spans="1:7" x14ac:dyDescent="0.25">
      <c r="A110" s="101" t="str">
        <f>'Data shares'!C106</f>
        <v>ITC</v>
      </c>
      <c r="B110" s="144">
        <f>VLOOKUP($A110,'Data shares'!$C:$FA,7)</f>
        <v>305</v>
      </c>
      <c r="C110" s="144">
        <f>VLOOKUP($A110,'Data shares'!$C:$FA,3)</f>
        <v>305.25</v>
      </c>
      <c r="D110" s="144">
        <f>VLOOKUP($A110,'Data shares'!$C:$FA,23)</f>
        <v>0.25</v>
      </c>
      <c r="E110" s="145">
        <f>VLOOKUP($A110,'Data shares'!$C:$FA,26)*100</f>
        <v>0.08</v>
      </c>
      <c r="F110" s="144">
        <f>VLOOKUP($A110,'Data shares'!$C:$FA,24)</f>
        <v>0.7</v>
      </c>
      <c r="G110" s="144">
        <f>VLOOKUP($A110,'Data shares'!$C:$FA,25)</f>
        <v>-0.45</v>
      </c>
    </row>
    <row r="111" spans="1:7" x14ac:dyDescent="0.25">
      <c r="A111" s="101" t="str">
        <f>'Data shares'!C107</f>
        <v>JINDALSTEL</v>
      </c>
      <c r="B111" s="144">
        <f>VLOOKUP($A111,'Data shares'!$C:$FA,7)</f>
        <v>1287.7</v>
      </c>
      <c r="C111" s="144">
        <f>VLOOKUP($A111,'Data shares'!$C:$FA,3)</f>
        <v>1287</v>
      </c>
      <c r="D111" s="144">
        <f>VLOOKUP($A111,'Data shares'!$C:$FA,23)</f>
        <v>-0.7</v>
      </c>
      <c r="E111" s="145">
        <f>VLOOKUP($A111,'Data shares'!$C:$FA,26)*100</f>
        <v>-0.05</v>
      </c>
      <c r="F111" s="144">
        <f>VLOOKUP($A111,'Data shares'!$C:$FA,24)</f>
        <v>1.4</v>
      </c>
      <c r="G111" s="144">
        <f>VLOOKUP($A111,'Data shares'!$C:$FA,25)</f>
        <v>-2.1</v>
      </c>
    </row>
    <row r="112" spans="1:7" x14ac:dyDescent="0.25">
      <c r="A112" s="101" t="str">
        <f>'Data shares'!C108</f>
        <v>JIOFIN</v>
      </c>
      <c r="B112" s="144">
        <f>VLOOKUP($A112,'Data shares'!$C:$FA,7)</f>
        <v>237.15</v>
      </c>
      <c r="C112" s="144">
        <f>VLOOKUP($A112,'Data shares'!$C:$FA,3)</f>
        <v>236.9</v>
      </c>
      <c r="D112" s="144">
        <f>VLOOKUP($A112,'Data shares'!$C:$FA,23)</f>
        <v>-0.25</v>
      </c>
      <c r="E112" s="145">
        <f>VLOOKUP($A112,'Data shares'!$C:$FA,26)*100</f>
        <v>-0.11</v>
      </c>
      <c r="F112" s="144">
        <f>VLOOKUP($A112,'Data shares'!$C:$FA,24)</f>
        <v>0.74</v>
      </c>
      <c r="G112" s="144">
        <f>VLOOKUP($A112,'Data shares'!$C:$FA,25)</f>
        <v>-0.99</v>
      </c>
    </row>
    <row r="113" spans="1:7" x14ac:dyDescent="0.25">
      <c r="A113" s="101" t="str">
        <f>'Data shares'!C109</f>
        <v>JSWENERGY</v>
      </c>
      <c r="B113" s="144">
        <f>VLOOKUP($A113,'Data shares'!$C:$FA,7)</f>
        <v>543.04999999999995</v>
      </c>
      <c r="C113" s="144">
        <f>VLOOKUP($A113,'Data shares'!$C:$FA,3)</f>
        <v>542.95000000000005</v>
      </c>
      <c r="D113" s="144">
        <f>VLOOKUP($A113,'Data shares'!$C:$FA,23)</f>
        <v>-0.1</v>
      </c>
      <c r="E113" s="145">
        <f>VLOOKUP($A113,'Data shares'!$C:$FA,26)*100</f>
        <v>-0.02</v>
      </c>
      <c r="F113" s="144">
        <f>VLOOKUP($A113,'Data shares'!$C:$FA,24)</f>
        <v>0.05</v>
      </c>
      <c r="G113" s="144">
        <f>VLOOKUP($A113,'Data shares'!$C:$FA,25)</f>
        <v>-0.15</v>
      </c>
    </row>
    <row r="114" spans="1:7" x14ac:dyDescent="0.25">
      <c r="A114" s="101" t="str">
        <f>'Data shares'!C110</f>
        <v>JSWSTEEL</v>
      </c>
      <c r="B114" s="144">
        <f>VLOOKUP($A114,'Data shares'!$C:$FA,7)</f>
        <v>1274.5</v>
      </c>
      <c r="C114" s="144">
        <f>VLOOKUP($A114,'Data shares'!$C:$FA,3)</f>
        <v>1273.2</v>
      </c>
      <c r="D114" s="144">
        <f>VLOOKUP($A114,'Data shares'!$C:$FA,23)</f>
        <v>-1.3</v>
      </c>
      <c r="E114" s="145">
        <f>VLOOKUP($A114,'Data shares'!$C:$FA,26)*100</f>
        <v>-0.1</v>
      </c>
      <c r="F114" s="144">
        <f>VLOOKUP($A114,'Data shares'!$C:$FA,24)</f>
        <v>-0.1</v>
      </c>
      <c r="G114" s="144">
        <f>VLOOKUP($A114,'Data shares'!$C:$FA,25)</f>
        <v>-1.2</v>
      </c>
    </row>
    <row r="115" spans="1:7" x14ac:dyDescent="0.25">
      <c r="A115" s="101" t="str">
        <f>'Data shares'!C111</f>
        <v>JUBLFOOD</v>
      </c>
      <c r="B115" s="144">
        <f>VLOOKUP($A115,'Data shares'!$C:$FA,7)</f>
        <v>456.15</v>
      </c>
      <c r="C115" s="144">
        <f>VLOOKUP($A115,'Data shares'!$C:$FA,3)</f>
        <v>454.35</v>
      </c>
      <c r="D115" s="144">
        <f>VLOOKUP($A115,'Data shares'!$C:$FA,23)</f>
        <v>-1.8</v>
      </c>
      <c r="E115" s="145">
        <f>VLOOKUP($A115,'Data shares'!$C:$FA,26)*100</f>
        <v>-0.38999999999999996</v>
      </c>
      <c r="F115" s="144">
        <f>VLOOKUP($A115,'Data shares'!$C:$FA,24)</f>
        <v>-0.15</v>
      </c>
      <c r="G115" s="144">
        <f>VLOOKUP($A115,'Data shares'!$C:$FA,25)</f>
        <v>-1.65</v>
      </c>
    </row>
    <row r="116" spans="1:7" x14ac:dyDescent="0.25">
      <c r="A116" s="101" t="str">
        <f>'Data shares'!C112</f>
        <v>KALYANKJIL</v>
      </c>
      <c r="B116" s="144">
        <f>VLOOKUP($A116,'Data shares'!$C:$FA,7)</f>
        <v>417.5</v>
      </c>
      <c r="C116" s="144">
        <f>VLOOKUP($A116,'Data shares'!$C:$FA,3)</f>
        <v>417.2</v>
      </c>
      <c r="D116" s="144">
        <f>VLOOKUP($A116,'Data shares'!$C:$FA,23)</f>
        <v>-0.3</v>
      </c>
      <c r="E116" s="145">
        <f>VLOOKUP($A116,'Data shares'!$C:$FA,26)*100</f>
        <v>-6.9999999999999993E-2</v>
      </c>
      <c r="F116" s="144">
        <f>VLOOKUP($A116,'Data shares'!$C:$FA,24)</f>
        <v>1.1000000000000001</v>
      </c>
      <c r="G116" s="144">
        <f>VLOOKUP($A116,'Data shares'!$C:$FA,25)</f>
        <v>-1.4</v>
      </c>
    </row>
    <row r="117" spans="1:7" x14ac:dyDescent="0.25">
      <c r="A117" s="101" t="str">
        <f>'Data shares'!C113</f>
        <v>KAYNES</v>
      </c>
      <c r="B117" s="144">
        <f>VLOOKUP($A117,'Data shares'!$C:$FA,7)</f>
        <v>4222.6000000000004</v>
      </c>
      <c r="C117" s="144">
        <f>VLOOKUP($A117,'Data shares'!$C:$FA,3)</f>
        <v>4206.2</v>
      </c>
      <c r="D117" s="144">
        <f>VLOOKUP($A117,'Data shares'!$C:$FA,23)</f>
        <v>-16.399999999999999</v>
      </c>
      <c r="E117" s="145">
        <f>VLOOKUP($A117,'Data shares'!$C:$FA,26)*100</f>
        <v>-0.38999999999999996</v>
      </c>
      <c r="F117" s="144">
        <f>VLOOKUP($A117,'Data shares'!$C:$FA,24)</f>
        <v>-5.7</v>
      </c>
      <c r="G117" s="144">
        <f>VLOOKUP($A117,'Data shares'!$C:$FA,25)</f>
        <v>-10.7</v>
      </c>
    </row>
    <row r="118" spans="1:7" x14ac:dyDescent="0.25">
      <c r="A118" s="101" t="str">
        <f>'Data shares'!C114</f>
        <v>KEI</v>
      </c>
      <c r="B118" s="144">
        <f>VLOOKUP($A118,'Data shares'!$C:$FA,7)</f>
        <v>4880.6000000000004</v>
      </c>
      <c r="C118" s="144">
        <f>VLOOKUP($A118,'Data shares'!$C:$FA,3)</f>
        <v>4878</v>
      </c>
      <c r="D118" s="144">
        <f>VLOOKUP($A118,'Data shares'!$C:$FA,23)</f>
        <v>-2.6</v>
      </c>
      <c r="E118" s="145">
        <f>VLOOKUP($A118,'Data shares'!$C:$FA,26)*100</f>
        <v>-0.05</v>
      </c>
      <c r="F118" s="144">
        <f>VLOOKUP($A118,'Data shares'!$C:$FA,24)</f>
        <v>-15.8</v>
      </c>
      <c r="G118" s="144">
        <f>VLOOKUP($A118,'Data shares'!$C:$FA,25)</f>
        <v>13.2</v>
      </c>
    </row>
    <row r="119" spans="1:7" x14ac:dyDescent="0.25">
      <c r="A119" s="101" t="str">
        <f>'Data shares'!C115</f>
        <v>KFINTECH</v>
      </c>
      <c r="B119" s="144">
        <f>VLOOKUP($A119,'Data shares'!$C:$FA,7)</f>
        <v>975.1</v>
      </c>
      <c r="C119" s="144">
        <f>VLOOKUP($A119,'Data shares'!$C:$FA,3)</f>
        <v>973.05</v>
      </c>
      <c r="D119" s="144">
        <f>VLOOKUP($A119,'Data shares'!$C:$FA,23)</f>
        <v>-2.0499999999999998</v>
      </c>
      <c r="E119" s="145">
        <f>VLOOKUP($A119,'Data shares'!$C:$FA,26)*100</f>
        <v>-0.21</v>
      </c>
      <c r="F119" s="144">
        <f>VLOOKUP($A119,'Data shares'!$C:$FA,24)</f>
        <v>1.6</v>
      </c>
      <c r="G119" s="144">
        <f>VLOOKUP($A119,'Data shares'!$C:$FA,25)</f>
        <v>-3.65</v>
      </c>
    </row>
    <row r="120" spans="1:7" x14ac:dyDescent="0.25">
      <c r="A120" s="101" t="str">
        <f>'Data shares'!C116</f>
        <v>KOTAKBANK</v>
      </c>
      <c r="B120" s="144">
        <f>VLOOKUP($A120,'Data shares'!$C:$FA,7)</f>
        <v>379.2</v>
      </c>
      <c r="C120" s="144">
        <f>VLOOKUP($A120,'Data shares'!$C:$FA,3)</f>
        <v>378.9</v>
      </c>
      <c r="D120" s="144">
        <f>VLOOKUP($A120,'Data shares'!$C:$FA,23)</f>
        <v>-0.3</v>
      </c>
      <c r="E120" s="145">
        <f>VLOOKUP($A120,'Data shares'!$C:$FA,26)*100</f>
        <v>-0.08</v>
      </c>
      <c r="F120" s="144">
        <f>VLOOKUP($A120,'Data shares'!$C:$FA,24)</f>
        <v>0</v>
      </c>
      <c r="G120" s="144">
        <f>VLOOKUP($A120,'Data shares'!$C:$FA,25)</f>
        <v>-0.3</v>
      </c>
    </row>
    <row r="121" spans="1:7" x14ac:dyDescent="0.25">
      <c r="A121" s="101" t="str">
        <f>'Data shares'!C117</f>
        <v>KPITTECH</v>
      </c>
      <c r="B121" s="144">
        <f>VLOOKUP($A121,'Data shares'!$C:$FA,7)</f>
        <v>734.4</v>
      </c>
      <c r="C121" s="144">
        <f>VLOOKUP($A121,'Data shares'!$C:$FA,3)</f>
        <v>736.15</v>
      </c>
      <c r="D121" s="144">
        <f>VLOOKUP($A121,'Data shares'!$C:$FA,23)</f>
        <v>1.75</v>
      </c>
      <c r="E121" s="145">
        <f>VLOOKUP($A121,'Data shares'!$C:$FA,26)*100</f>
        <v>0.24</v>
      </c>
      <c r="F121" s="144">
        <f>VLOOKUP($A121,'Data shares'!$C:$FA,24)</f>
        <v>0.05</v>
      </c>
      <c r="G121" s="144">
        <f>VLOOKUP($A121,'Data shares'!$C:$FA,25)</f>
        <v>1.7</v>
      </c>
    </row>
    <row r="122" spans="1:7" x14ac:dyDescent="0.25">
      <c r="A122" s="101" t="str">
        <f>'Data shares'!C118</f>
        <v>LAURUSLABS</v>
      </c>
      <c r="B122" s="144">
        <f>VLOOKUP($A122,'Data shares'!$C:$FA,7)</f>
        <v>1129.5</v>
      </c>
      <c r="C122" s="144">
        <f>VLOOKUP($A122,'Data shares'!$C:$FA,3)</f>
        <v>1128.95</v>
      </c>
      <c r="D122" s="144">
        <f>VLOOKUP($A122,'Data shares'!$C:$FA,23)</f>
        <v>-0.55000000000000004</v>
      </c>
      <c r="E122" s="145">
        <f>VLOOKUP($A122,'Data shares'!$C:$FA,26)*100</f>
        <v>-0.05</v>
      </c>
      <c r="F122" s="144">
        <f>VLOOKUP($A122,'Data shares'!$C:$FA,24)</f>
        <v>1.95</v>
      </c>
      <c r="G122" s="144">
        <f>VLOOKUP($A122,'Data shares'!$C:$FA,25)</f>
        <v>-2.5</v>
      </c>
    </row>
    <row r="123" spans="1:7" x14ac:dyDescent="0.25">
      <c r="A123" s="101" t="str">
        <f>'Data shares'!C119</f>
        <v>LICHSGFIN</v>
      </c>
      <c r="B123" s="144">
        <f>VLOOKUP($A123,'Data shares'!$C:$FA,7)</f>
        <v>536.70000000000005</v>
      </c>
      <c r="C123" s="144">
        <f>VLOOKUP($A123,'Data shares'!$C:$FA,3)</f>
        <v>536.15</v>
      </c>
      <c r="D123" s="144">
        <f>VLOOKUP($A123,'Data shares'!$C:$FA,23)</f>
        <v>-0.55000000000000004</v>
      </c>
      <c r="E123" s="145">
        <f>VLOOKUP($A123,'Data shares'!$C:$FA,26)*100</f>
        <v>-0.1</v>
      </c>
      <c r="F123" s="144">
        <f>VLOOKUP($A123,'Data shares'!$C:$FA,24)</f>
        <v>-0.25</v>
      </c>
      <c r="G123" s="144">
        <f>VLOOKUP($A123,'Data shares'!$C:$FA,25)</f>
        <v>-0.3</v>
      </c>
    </row>
    <row r="124" spans="1:7" x14ac:dyDescent="0.25">
      <c r="A124" s="101" t="str">
        <f>'Data shares'!C120</f>
        <v>LICI</v>
      </c>
      <c r="B124" s="144">
        <f>VLOOKUP($A124,'Data shares'!$C:$FA,7)</f>
        <v>828.1</v>
      </c>
      <c r="C124" s="144">
        <f>VLOOKUP($A124,'Data shares'!$C:$FA,3)</f>
        <v>827.25</v>
      </c>
      <c r="D124" s="144">
        <f>VLOOKUP($A124,'Data shares'!$C:$FA,23)</f>
        <v>-0.85</v>
      </c>
      <c r="E124" s="145">
        <f>VLOOKUP($A124,'Data shares'!$C:$FA,26)*100</f>
        <v>-0.1</v>
      </c>
      <c r="F124" s="144">
        <f>VLOOKUP($A124,'Data shares'!$C:$FA,24)</f>
        <v>1.95</v>
      </c>
      <c r="G124" s="144">
        <f>VLOOKUP($A124,'Data shares'!$C:$FA,25)</f>
        <v>-2.8</v>
      </c>
    </row>
    <row r="125" spans="1:7" x14ac:dyDescent="0.25">
      <c r="A125" s="101" t="str">
        <f>'Data shares'!C121</f>
        <v>LODHA</v>
      </c>
      <c r="B125" s="144">
        <f>VLOOKUP($A125,'Data shares'!$C:$FA,7)</f>
        <v>856.55</v>
      </c>
      <c r="C125" s="144">
        <f>VLOOKUP($A125,'Data shares'!$C:$FA,3)</f>
        <v>857.25</v>
      </c>
      <c r="D125" s="144">
        <f>VLOOKUP($A125,'Data shares'!$C:$FA,23)</f>
        <v>0.7</v>
      </c>
      <c r="E125" s="145">
        <f>VLOOKUP($A125,'Data shares'!$C:$FA,26)*100</f>
        <v>0.08</v>
      </c>
      <c r="F125" s="144">
        <f>VLOOKUP($A125,'Data shares'!$C:$FA,24)</f>
        <v>0.3</v>
      </c>
      <c r="G125" s="144">
        <f>VLOOKUP($A125,'Data shares'!$C:$FA,25)</f>
        <v>0.4</v>
      </c>
    </row>
    <row r="126" spans="1:7" x14ac:dyDescent="0.25">
      <c r="A126" s="101" t="str">
        <f>'Data shares'!C122</f>
        <v>LT</v>
      </c>
      <c r="B126" s="144">
        <f>VLOOKUP($A126,'Data shares'!$C:$FA,7)</f>
        <v>4051</v>
      </c>
      <c r="C126" s="144">
        <f>VLOOKUP($A126,'Data shares'!$C:$FA,3)</f>
        <v>4056.4</v>
      </c>
      <c r="D126" s="144">
        <f>VLOOKUP($A126,'Data shares'!$C:$FA,23)</f>
        <v>5.4</v>
      </c>
      <c r="E126" s="145">
        <f>VLOOKUP($A126,'Data shares'!$C:$FA,26)*100</f>
        <v>0.13</v>
      </c>
      <c r="F126" s="144">
        <f>VLOOKUP($A126,'Data shares'!$C:$FA,24)</f>
        <v>10.8</v>
      </c>
      <c r="G126" s="144">
        <f>VLOOKUP($A126,'Data shares'!$C:$FA,25)</f>
        <v>-5.4</v>
      </c>
    </row>
    <row r="127" spans="1:7" x14ac:dyDescent="0.25">
      <c r="A127" s="101" t="str">
        <f>'Data shares'!C123</f>
        <v>LTF</v>
      </c>
      <c r="B127" s="144">
        <f>VLOOKUP($A127,'Data shares'!$C:$FA,7)</f>
        <v>290.14999999999998</v>
      </c>
      <c r="C127" s="144">
        <f>VLOOKUP($A127,'Data shares'!$C:$FA,3)</f>
        <v>290.5</v>
      </c>
      <c r="D127" s="144">
        <f>VLOOKUP($A127,'Data shares'!$C:$FA,23)</f>
        <v>0.35</v>
      </c>
      <c r="E127" s="145">
        <f>VLOOKUP($A127,'Data shares'!$C:$FA,26)*100</f>
        <v>0.12</v>
      </c>
      <c r="F127" s="144">
        <f>VLOOKUP($A127,'Data shares'!$C:$FA,24)</f>
        <v>0.21</v>
      </c>
      <c r="G127" s="144">
        <f>VLOOKUP($A127,'Data shares'!$C:$FA,25)</f>
        <v>0.14000000000000001</v>
      </c>
    </row>
    <row r="128" spans="1:7" x14ac:dyDescent="0.25">
      <c r="A128" s="101" t="str">
        <f>'Data shares'!C124</f>
        <v>LTM</v>
      </c>
      <c r="B128" s="144">
        <f>VLOOKUP($A128,'Data shares'!$C:$FA,7)</f>
        <v>4715.8</v>
      </c>
      <c r="C128" s="144">
        <f>VLOOKUP($A128,'Data shares'!$C:$FA,3)</f>
        <v>4632</v>
      </c>
      <c r="D128" s="144">
        <f>VLOOKUP($A128,'Data shares'!$C:$FA,23)</f>
        <v>-83.8</v>
      </c>
      <c r="E128" s="145">
        <f>VLOOKUP($A128,'Data shares'!$C:$FA,26)*100</f>
        <v>-1.78</v>
      </c>
      <c r="F128" s="144">
        <f>VLOOKUP($A128,'Data shares'!$C:$FA,24)</f>
        <v>-61.8</v>
      </c>
      <c r="G128" s="144">
        <f>VLOOKUP($A128,'Data shares'!$C:$FA,25)</f>
        <v>-22</v>
      </c>
    </row>
    <row r="129" spans="1:7" x14ac:dyDescent="0.25">
      <c r="A129" s="101" t="str">
        <f>'Data shares'!C125</f>
        <v>LUPIN</v>
      </c>
      <c r="B129" s="144">
        <f>VLOOKUP($A129,'Data shares'!$C:$FA,7)</f>
        <v>2328.6999999999998</v>
      </c>
      <c r="C129" s="144">
        <f>VLOOKUP($A129,'Data shares'!$C:$FA,3)</f>
        <v>2325.1999999999998</v>
      </c>
      <c r="D129" s="144">
        <f>VLOOKUP($A129,'Data shares'!$C:$FA,23)</f>
        <v>-3.5</v>
      </c>
      <c r="E129" s="145">
        <f>VLOOKUP($A129,'Data shares'!$C:$FA,26)*100</f>
        <v>-0.15</v>
      </c>
      <c r="F129" s="144">
        <f>VLOOKUP($A129,'Data shares'!$C:$FA,24)</f>
        <v>2.2999999999999998</v>
      </c>
      <c r="G129" s="144">
        <f>VLOOKUP($A129,'Data shares'!$C:$FA,25)</f>
        <v>-5.8</v>
      </c>
    </row>
    <row r="130" spans="1:7" x14ac:dyDescent="0.25">
      <c r="A130" s="101" t="str">
        <f>'Data shares'!C126</f>
        <v>M&amp;M</v>
      </c>
      <c r="B130" s="144">
        <f>VLOOKUP($A130,'Data shares'!$C:$FA,7)</f>
        <v>3221.6</v>
      </c>
      <c r="C130" s="144">
        <f>VLOOKUP($A130,'Data shares'!$C:$FA,3)</f>
        <v>3218.3</v>
      </c>
      <c r="D130" s="144">
        <f>VLOOKUP($A130,'Data shares'!$C:$FA,23)</f>
        <v>-3.3</v>
      </c>
      <c r="E130" s="145">
        <f>VLOOKUP($A130,'Data shares'!$C:$FA,26)*100</f>
        <v>-0.1</v>
      </c>
      <c r="F130" s="144">
        <f>VLOOKUP($A130,'Data shares'!$C:$FA,24)</f>
        <v>7</v>
      </c>
      <c r="G130" s="144">
        <f>VLOOKUP($A130,'Data shares'!$C:$FA,25)</f>
        <v>-10.3</v>
      </c>
    </row>
    <row r="131" spans="1:7" x14ac:dyDescent="0.25">
      <c r="A131" s="101" t="str">
        <f>'Data shares'!C127</f>
        <v>MANAPPURAM</v>
      </c>
      <c r="B131" s="144">
        <f>VLOOKUP($A131,'Data shares'!$C:$FA,7)</f>
        <v>269.10000000000002</v>
      </c>
      <c r="C131" s="144">
        <f>VLOOKUP($A131,'Data shares'!$C:$FA,3)</f>
        <v>269.5</v>
      </c>
      <c r="D131" s="144">
        <f>VLOOKUP($A131,'Data shares'!$C:$FA,23)</f>
        <v>0.4</v>
      </c>
      <c r="E131" s="145">
        <f>VLOOKUP($A131,'Data shares'!$C:$FA,26)*100</f>
        <v>0.15</v>
      </c>
      <c r="F131" s="144">
        <f>VLOOKUP($A131,'Data shares'!$C:$FA,24)</f>
        <v>1.1499999999999999</v>
      </c>
      <c r="G131" s="144">
        <f>VLOOKUP($A131,'Data shares'!$C:$FA,25)</f>
        <v>-0.75</v>
      </c>
    </row>
    <row r="132" spans="1:7" x14ac:dyDescent="0.25">
      <c r="A132" s="101" t="str">
        <f>'Data shares'!C128</f>
        <v>MANKIND</v>
      </c>
      <c r="B132" s="144">
        <f>VLOOKUP($A132,'Data shares'!$C:$FA,7)</f>
        <v>2144</v>
      </c>
      <c r="C132" s="144">
        <f>VLOOKUP($A132,'Data shares'!$C:$FA,3)</f>
        <v>2138.8000000000002</v>
      </c>
      <c r="D132" s="144">
        <f>VLOOKUP($A132,'Data shares'!$C:$FA,23)</f>
        <v>-5.2</v>
      </c>
      <c r="E132" s="145">
        <f>VLOOKUP($A132,'Data shares'!$C:$FA,26)*100</f>
        <v>-0.24</v>
      </c>
      <c r="F132" s="144">
        <f>VLOOKUP($A132,'Data shares'!$C:$FA,24)</f>
        <v>4.4000000000000004</v>
      </c>
      <c r="G132" s="144">
        <f>VLOOKUP($A132,'Data shares'!$C:$FA,25)</f>
        <v>-9.6</v>
      </c>
    </row>
    <row r="133" spans="1:7" x14ac:dyDescent="0.25">
      <c r="A133" s="101" t="str">
        <f>'Data shares'!C129</f>
        <v>MARICO</v>
      </c>
      <c r="B133" s="144">
        <f>VLOOKUP($A133,'Data shares'!$C:$FA,7)</f>
        <v>760.7</v>
      </c>
      <c r="C133" s="144">
        <f>VLOOKUP($A133,'Data shares'!$C:$FA,3)</f>
        <v>760</v>
      </c>
      <c r="D133" s="144">
        <f>VLOOKUP($A133,'Data shares'!$C:$FA,23)</f>
        <v>-0.7</v>
      </c>
      <c r="E133" s="145">
        <f>VLOOKUP($A133,'Data shares'!$C:$FA,26)*100</f>
        <v>-0.09</v>
      </c>
      <c r="F133" s="144">
        <f>VLOOKUP($A133,'Data shares'!$C:$FA,24)</f>
        <v>1.1499999999999999</v>
      </c>
      <c r="G133" s="144">
        <f>VLOOKUP($A133,'Data shares'!$C:$FA,25)</f>
        <v>-1.85</v>
      </c>
    </row>
    <row r="134" spans="1:7" x14ac:dyDescent="0.25">
      <c r="A134" s="101" t="str">
        <f>'Data shares'!C130</f>
        <v>MARUTI</v>
      </c>
      <c r="B134" s="144">
        <f>VLOOKUP($A134,'Data shares'!$C:$FA,7)</f>
        <v>13450</v>
      </c>
      <c r="C134" s="144">
        <f>VLOOKUP($A134,'Data shares'!$C:$FA,3)</f>
        <v>13442</v>
      </c>
      <c r="D134" s="144">
        <f>VLOOKUP($A134,'Data shares'!$C:$FA,23)</f>
        <v>-8</v>
      </c>
      <c r="E134" s="145">
        <f>VLOOKUP($A134,'Data shares'!$C:$FA,26)*100</f>
        <v>-0.06</v>
      </c>
      <c r="F134" s="144">
        <f>VLOOKUP($A134,'Data shares'!$C:$FA,24)</f>
        <v>37</v>
      </c>
      <c r="G134" s="144">
        <f>VLOOKUP($A134,'Data shares'!$C:$FA,25)</f>
        <v>-45</v>
      </c>
    </row>
    <row r="135" spans="1:7" x14ac:dyDescent="0.25">
      <c r="A135" s="101" t="str">
        <f>'Data shares'!C131</f>
        <v>MAXHEALTH</v>
      </c>
      <c r="B135" s="144">
        <f>VLOOKUP($A135,'Data shares'!$C:$FA,7)</f>
        <v>1011.35</v>
      </c>
      <c r="C135" s="144">
        <f>VLOOKUP($A135,'Data shares'!$C:$FA,3)</f>
        <v>1009.95</v>
      </c>
      <c r="D135" s="144">
        <f>VLOOKUP($A135,'Data shares'!$C:$FA,23)</f>
        <v>-1.4</v>
      </c>
      <c r="E135" s="145">
        <f>VLOOKUP($A135,'Data shares'!$C:$FA,26)*100</f>
        <v>-0.13999999999999999</v>
      </c>
      <c r="F135" s="144">
        <f>VLOOKUP($A135,'Data shares'!$C:$FA,24)</f>
        <v>-0.2</v>
      </c>
      <c r="G135" s="144">
        <f>VLOOKUP($A135,'Data shares'!$C:$FA,25)</f>
        <v>-1.2</v>
      </c>
    </row>
    <row r="136" spans="1:7" x14ac:dyDescent="0.25">
      <c r="A136" s="101" t="str">
        <f>'Data shares'!C132</f>
        <v>MAZDOCK</v>
      </c>
      <c r="B136" s="144">
        <f>VLOOKUP($A136,'Data shares'!$C:$FA,7)</f>
        <v>2621.1999999999998</v>
      </c>
      <c r="C136" s="144">
        <f>VLOOKUP($A136,'Data shares'!$C:$FA,3)</f>
        <v>2625.6</v>
      </c>
      <c r="D136" s="144">
        <f>VLOOKUP($A136,'Data shares'!$C:$FA,23)</f>
        <v>4.4000000000000004</v>
      </c>
      <c r="E136" s="145">
        <f>VLOOKUP($A136,'Data shares'!$C:$FA,26)*100</f>
        <v>0.16999999999999998</v>
      </c>
      <c r="F136" s="144">
        <f>VLOOKUP($A136,'Data shares'!$C:$FA,24)</f>
        <v>8.3000000000000007</v>
      </c>
      <c r="G136" s="144">
        <f>VLOOKUP($A136,'Data shares'!$C:$FA,25)</f>
        <v>-3.9</v>
      </c>
    </row>
    <row r="137" spans="1:7" x14ac:dyDescent="0.25">
      <c r="A137" s="101" t="str">
        <f>'Data shares'!C133</f>
        <v>MCX</v>
      </c>
      <c r="B137" s="144">
        <f>VLOOKUP($A137,'Data shares'!$C:$FA,7)</f>
        <v>2859.1</v>
      </c>
      <c r="C137" s="144">
        <f>VLOOKUP($A137,'Data shares'!$C:$FA,3)</f>
        <v>2858.9</v>
      </c>
      <c r="D137" s="144">
        <f>VLOOKUP($A137,'Data shares'!$C:$FA,23)</f>
        <v>-0.2</v>
      </c>
      <c r="E137" s="145">
        <f>VLOOKUP($A137,'Data shares'!$C:$FA,26)*100</f>
        <v>-0.01</v>
      </c>
      <c r="F137" s="144">
        <f>VLOOKUP($A137,'Data shares'!$C:$FA,24)</f>
        <v>5.8</v>
      </c>
      <c r="G137" s="144">
        <f>VLOOKUP($A137,'Data shares'!$C:$FA,25)</f>
        <v>-6</v>
      </c>
    </row>
    <row r="138" spans="1:7" x14ac:dyDescent="0.25">
      <c r="A138" s="101" t="str">
        <f>'Data shares'!C134</f>
        <v>MFSL</v>
      </c>
      <c r="B138" s="144">
        <f>VLOOKUP($A138,'Data shares'!$C:$FA,7)</f>
        <v>1688.8</v>
      </c>
      <c r="C138" s="144">
        <f>VLOOKUP($A138,'Data shares'!$C:$FA,3)</f>
        <v>1686.9</v>
      </c>
      <c r="D138" s="144">
        <f>VLOOKUP($A138,'Data shares'!$C:$FA,23)</f>
        <v>-1.9</v>
      </c>
      <c r="E138" s="145">
        <f>VLOOKUP($A138,'Data shares'!$C:$FA,26)*100</f>
        <v>-0.11</v>
      </c>
      <c r="F138" s="144">
        <f>VLOOKUP($A138,'Data shares'!$C:$FA,24)</f>
        <v>-1.4</v>
      </c>
      <c r="G138" s="144">
        <f>VLOOKUP($A138,'Data shares'!$C:$FA,25)</f>
        <v>-0.5</v>
      </c>
    </row>
    <row r="139" spans="1:7" x14ac:dyDescent="0.25">
      <c r="A139" s="101" t="str">
        <f>'Data shares'!C135</f>
        <v>MIDCPNIFTY</v>
      </c>
      <c r="B139" s="144">
        <f>VLOOKUP($A139,'Data shares'!$C:$FA,7)</f>
        <v>13807.25</v>
      </c>
      <c r="C139" s="144">
        <f>VLOOKUP($A139,'Data shares'!$C:$FA,3)</f>
        <v>13785.25</v>
      </c>
      <c r="D139" s="144">
        <f>VLOOKUP($A139,'Data shares'!$C:$FA,23)</f>
        <v>-22</v>
      </c>
      <c r="E139" s="145">
        <f>VLOOKUP($A139,'Data shares'!$C:$FA,26)*100</f>
        <v>-0.16</v>
      </c>
      <c r="F139" s="144">
        <f>VLOOKUP($A139,'Data shares'!$C:$FA,24)</f>
        <v>10.35</v>
      </c>
      <c r="G139" s="144">
        <f>VLOOKUP($A139,'Data shares'!$C:$FA,25)</f>
        <v>-32.35</v>
      </c>
    </row>
    <row r="140" spans="1:7" x14ac:dyDescent="0.25">
      <c r="A140" s="101" t="str">
        <f>'Data shares'!C136</f>
        <v>MOTHERSON</v>
      </c>
      <c r="B140" s="144">
        <f>VLOOKUP($A140,'Data shares'!$C:$FA,7)</f>
        <v>123.19</v>
      </c>
      <c r="C140" s="144">
        <f>VLOOKUP($A140,'Data shares'!$C:$FA,3)</f>
        <v>123.34</v>
      </c>
      <c r="D140" s="144">
        <f>VLOOKUP($A140,'Data shares'!$C:$FA,23)</f>
        <v>0.15</v>
      </c>
      <c r="E140" s="145">
        <f>VLOOKUP($A140,'Data shares'!$C:$FA,26)*100</f>
        <v>0.12</v>
      </c>
      <c r="F140" s="144">
        <f>VLOOKUP($A140,'Data shares'!$C:$FA,24)</f>
        <v>0.02</v>
      </c>
      <c r="G140" s="144">
        <f>VLOOKUP($A140,'Data shares'!$C:$FA,25)</f>
        <v>0.13</v>
      </c>
    </row>
    <row r="141" spans="1:7" x14ac:dyDescent="0.25">
      <c r="A141" s="101" t="str">
        <f>'Data shares'!C137</f>
        <v>MOTILALOFS</v>
      </c>
      <c r="B141" s="144">
        <f>VLOOKUP($A141,'Data shares'!$C:$FA,7)</f>
        <v>807.95</v>
      </c>
      <c r="C141" s="144">
        <f>VLOOKUP($A141,'Data shares'!$C:$FA,3)</f>
        <v>807.4</v>
      </c>
      <c r="D141" s="144">
        <f>VLOOKUP($A141,'Data shares'!$C:$FA,23)</f>
        <v>-0.55000000000000004</v>
      </c>
      <c r="E141" s="145">
        <f>VLOOKUP($A141,'Data shares'!$C:$FA,26)*100</f>
        <v>-6.9999999999999993E-2</v>
      </c>
      <c r="F141" s="144">
        <f>VLOOKUP($A141,'Data shares'!$C:$FA,24)</f>
        <v>2.2999999999999998</v>
      </c>
      <c r="G141" s="144">
        <f>VLOOKUP($A141,'Data shares'!$C:$FA,25)</f>
        <v>-2.85</v>
      </c>
    </row>
    <row r="142" spans="1:7" x14ac:dyDescent="0.25">
      <c r="A142" s="101" t="str">
        <f>'Data shares'!C138</f>
        <v>MPHASIS</v>
      </c>
      <c r="B142" s="144">
        <f>VLOOKUP($A142,'Data shares'!$C:$FA,7)</f>
        <v>2417</v>
      </c>
      <c r="C142" s="144">
        <f>VLOOKUP($A142,'Data shares'!$C:$FA,3)</f>
        <v>2415.3000000000002</v>
      </c>
      <c r="D142" s="144">
        <f>VLOOKUP($A142,'Data shares'!$C:$FA,23)</f>
        <v>-1.7</v>
      </c>
      <c r="E142" s="145">
        <f>VLOOKUP($A142,'Data shares'!$C:$FA,26)*100</f>
        <v>-6.9999999999999993E-2</v>
      </c>
      <c r="F142" s="144">
        <f>VLOOKUP($A142,'Data shares'!$C:$FA,24)</f>
        <v>7.8</v>
      </c>
      <c r="G142" s="144">
        <f>VLOOKUP($A142,'Data shares'!$C:$FA,25)</f>
        <v>-9.5</v>
      </c>
    </row>
    <row r="143" spans="1:7" x14ac:dyDescent="0.25">
      <c r="A143" s="101" t="str">
        <f>'Data shares'!C139</f>
        <v>MUTHOOTFIN</v>
      </c>
      <c r="B143" s="144">
        <f>VLOOKUP($A143,'Data shares'!$C:$FA,7)</f>
        <v>3531.2</v>
      </c>
      <c r="C143" s="144">
        <f>VLOOKUP($A143,'Data shares'!$C:$FA,3)</f>
        <v>3541.5</v>
      </c>
      <c r="D143" s="144">
        <f>VLOOKUP($A143,'Data shares'!$C:$FA,23)</f>
        <v>10.3</v>
      </c>
      <c r="E143" s="145">
        <f>VLOOKUP($A143,'Data shares'!$C:$FA,26)*100</f>
        <v>0.28999999999999998</v>
      </c>
      <c r="F143" s="144">
        <f>VLOOKUP($A143,'Data shares'!$C:$FA,24)</f>
        <v>0.7</v>
      </c>
      <c r="G143" s="144">
        <f>VLOOKUP($A143,'Data shares'!$C:$FA,25)</f>
        <v>9.6</v>
      </c>
    </row>
    <row r="144" spans="1:7" x14ac:dyDescent="0.25">
      <c r="A144" s="101" t="str">
        <f>'Data shares'!C140</f>
        <v>NAM-INDIA</v>
      </c>
      <c r="B144" s="144">
        <f>VLOOKUP($A144,'Data shares'!$C:$FA,7)</f>
        <v>1003</v>
      </c>
      <c r="C144" s="144">
        <f>VLOOKUP($A144,'Data shares'!$C:$FA,3)</f>
        <v>1003.5</v>
      </c>
      <c r="D144" s="144">
        <f>VLOOKUP($A144,'Data shares'!$C:$FA,23)</f>
        <v>0.5</v>
      </c>
      <c r="E144" s="145">
        <f>VLOOKUP($A144,'Data shares'!$C:$FA,26)*100</f>
        <v>0.05</v>
      </c>
      <c r="F144" s="144">
        <f>VLOOKUP($A144,'Data shares'!$C:$FA,24)</f>
        <v>-15</v>
      </c>
      <c r="G144" s="144">
        <f>VLOOKUP($A144,'Data shares'!$C:$FA,25)</f>
        <v>15.5</v>
      </c>
    </row>
    <row r="145" spans="1:7" x14ac:dyDescent="0.25">
      <c r="A145" s="101" t="str">
        <f>'Data shares'!C141</f>
        <v>NATIONALUM</v>
      </c>
      <c r="B145" s="144">
        <f>VLOOKUP($A145,'Data shares'!$C:$FA,7)</f>
        <v>426.65</v>
      </c>
      <c r="C145" s="144">
        <f>VLOOKUP($A145,'Data shares'!$C:$FA,3)</f>
        <v>427.1</v>
      </c>
      <c r="D145" s="144">
        <f>VLOOKUP($A145,'Data shares'!$C:$FA,23)</f>
        <v>0.45</v>
      </c>
      <c r="E145" s="145">
        <f>VLOOKUP($A145,'Data shares'!$C:$FA,26)*100</f>
        <v>0.11</v>
      </c>
      <c r="F145" s="144">
        <f>VLOOKUP($A145,'Data shares'!$C:$FA,24)</f>
        <v>-0.1</v>
      </c>
      <c r="G145" s="144">
        <f>VLOOKUP($A145,'Data shares'!$C:$FA,25)</f>
        <v>0.55000000000000004</v>
      </c>
    </row>
    <row r="146" spans="1:7" x14ac:dyDescent="0.25">
      <c r="A146" s="101" t="str">
        <f>'Data shares'!C142</f>
        <v>NAUKRI</v>
      </c>
      <c r="B146" s="144">
        <f>VLOOKUP($A146,'Data shares'!$C:$FA,7)</f>
        <v>1067.9000000000001</v>
      </c>
      <c r="C146" s="144">
        <f>VLOOKUP($A146,'Data shares'!$C:$FA,3)</f>
        <v>1066.45</v>
      </c>
      <c r="D146" s="144">
        <f>VLOOKUP($A146,'Data shares'!$C:$FA,23)</f>
        <v>-1.45</v>
      </c>
      <c r="E146" s="145">
        <f>VLOOKUP($A146,'Data shares'!$C:$FA,26)*100</f>
        <v>-0.13999999999999999</v>
      </c>
      <c r="F146" s="144">
        <f>VLOOKUP($A146,'Data shares'!$C:$FA,24)</f>
        <v>0.95</v>
      </c>
      <c r="G146" s="144">
        <f>VLOOKUP($A146,'Data shares'!$C:$FA,25)</f>
        <v>-2.4</v>
      </c>
    </row>
    <row r="147" spans="1:7" x14ac:dyDescent="0.25">
      <c r="A147" s="101" t="str">
        <f>'Data shares'!C143</f>
        <v>NBCC</v>
      </c>
      <c r="B147" s="144">
        <f>VLOOKUP($A147,'Data shares'!$C:$FA,7)</f>
        <v>93.32</v>
      </c>
      <c r="C147" s="144">
        <f>VLOOKUP($A147,'Data shares'!$C:$FA,3)</f>
        <v>93.47</v>
      </c>
      <c r="D147" s="144">
        <f>VLOOKUP($A147,'Data shares'!$C:$FA,23)</f>
        <v>0.15</v>
      </c>
      <c r="E147" s="145">
        <f>VLOOKUP($A147,'Data shares'!$C:$FA,26)*100</f>
        <v>0.16</v>
      </c>
      <c r="F147" s="144">
        <f>VLOOKUP($A147,'Data shares'!$C:$FA,24)</f>
        <v>0.13</v>
      </c>
      <c r="G147" s="144">
        <f>VLOOKUP($A147,'Data shares'!$C:$FA,25)</f>
        <v>0.02</v>
      </c>
    </row>
    <row r="148" spans="1:7" x14ac:dyDescent="0.25">
      <c r="A148" s="101" t="str">
        <f>'Data shares'!C144</f>
        <v>NESTLEIND</v>
      </c>
      <c r="B148" s="144">
        <f>VLOOKUP($A148,'Data shares'!$C:$FA,7)</f>
        <v>1286.4000000000001</v>
      </c>
      <c r="C148" s="144">
        <f>VLOOKUP($A148,'Data shares'!$C:$FA,3)</f>
        <v>1287.7</v>
      </c>
      <c r="D148" s="144">
        <f>VLOOKUP($A148,'Data shares'!$C:$FA,23)</f>
        <v>1.3</v>
      </c>
      <c r="E148" s="145">
        <f>VLOOKUP($A148,'Data shares'!$C:$FA,26)*100</f>
        <v>0.1</v>
      </c>
      <c r="F148" s="144">
        <f>VLOOKUP($A148,'Data shares'!$C:$FA,24)</f>
        <v>0.4</v>
      </c>
      <c r="G148" s="144">
        <f>VLOOKUP($A148,'Data shares'!$C:$FA,25)</f>
        <v>0.9</v>
      </c>
    </row>
    <row r="149" spans="1:7" x14ac:dyDescent="0.25">
      <c r="A149" s="101" t="str">
        <f>'Data shares'!C145</f>
        <v>NHPC</v>
      </c>
      <c r="B149" s="144">
        <f>VLOOKUP($A149,'Data shares'!$C:$FA,7)</f>
        <v>83.1</v>
      </c>
      <c r="C149" s="144">
        <f>VLOOKUP($A149,'Data shares'!$C:$FA,3)</f>
        <v>82.7</v>
      </c>
      <c r="D149" s="144">
        <f>VLOOKUP($A149,'Data shares'!$C:$FA,23)</f>
        <v>-0.4</v>
      </c>
      <c r="E149" s="145">
        <f>VLOOKUP($A149,'Data shares'!$C:$FA,26)*100</f>
        <v>-0.48</v>
      </c>
      <c r="F149" s="144">
        <f>VLOOKUP($A149,'Data shares'!$C:$FA,24)</f>
        <v>-1.1499999999999999</v>
      </c>
      <c r="G149" s="144">
        <f>VLOOKUP($A149,'Data shares'!$C:$FA,25)</f>
        <v>0.75</v>
      </c>
    </row>
    <row r="150" spans="1:7" x14ac:dyDescent="0.25">
      <c r="A150" s="101" t="str">
        <f>'Data shares'!C146</f>
        <v>NIFTY</v>
      </c>
      <c r="B150" s="144">
        <f>VLOOKUP($A150,'Data shares'!$C:$FA,7)</f>
        <v>24364.85</v>
      </c>
      <c r="C150" s="144">
        <f>VLOOKUP($A150,'Data shares'!$C:$FA,3)</f>
        <v>24331.8</v>
      </c>
      <c r="D150" s="144">
        <f>VLOOKUP($A150,'Data shares'!$C:$FA,23)</f>
        <v>-33.049999999999997</v>
      </c>
      <c r="E150" s="145">
        <f>VLOOKUP($A150,'Data shares'!$C:$FA,26)*100</f>
        <v>-0.13999999999999999</v>
      </c>
      <c r="F150" s="144">
        <f>VLOOKUP($A150,'Data shares'!$C:$FA,24)</f>
        <v>14.45</v>
      </c>
      <c r="G150" s="144">
        <f>VLOOKUP($A150,'Data shares'!$C:$FA,25)</f>
        <v>-47.5</v>
      </c>
    </row>
    <row r="151" spans="1:7" x14ac:dyDescent="0.25">
      <c r="A151" s="101" t="str">
        <f>'Data shares'!C147</f>
        <v>NIFTYNXT50</v>
      </c>
      <c r="B151" s="144">
        <f>VLOOKUP($A151,'Data shares'!$C:$FA,7)</f>
        <v>70341</v>
      </c>
      <c r="C151" s="144">
        <f>VLOOKUP($A151,'Data shares'!$C:$FA,3)</f>
        <v>70229.600000000006</v>
      </c>
      <c r="D151" s="144">
        <f>VLOOKUP($A151,'Data shares'!$C:$FA,23)</f>
        <v>-111.4</v>
      </c>
      <c r="E151" s="145">
        <f>VLOOKUP($A151,'Data shares'!$C:$FA,26)*100</f>
        <v>-0.16</v>
      </c>
      <c r="F151" s="144">
        <f>VLOOKUP($A151,'Data shares'!$C:$FA,24)</f>
        <v>47.4</v>
      </c>
      <c r="G151" s="144">
        <f>VLOOKUP($A151,'Data shares'!$C:$FA,25)</f>
        <v>-158.80000000000001</v>
      </c>
    </row>
    <row r="152" spans="1:7" x14ac:dyDescent="0.25">
      <c r="A152" s="101" t="str">
        <f>'Data shares'!C148</f>
        <v>NMDC</v>
      </c>
      <c r="B152" s="144">
        <f>VLOOKUP($A152,'Data shares'!$C:$FA,7)</f>
        <v>88.9</v>
      </c>
      <c r="C152" s="144">
        <f>VLOOKUP($A152,'Data shares'!$C:$FA,3)</f>
        <v>88.77</v>
      </c>
      <c r="D152" s="144">
        <f>VLOOKUP($A152,'Data shares'!$C:$FA,23)</f>
        <v>-0.13</v>
      </c>
      <c r="E152" s="145">
        <f>VLOOKUP($A152,'Data shares'!$C:$FA,26)*100</f>
        <v>-0.15</v>
      </c>
      <c r="F152" s="144">
        <f>VLOOKUP($A152,'Data shares'!$C:$FA,24)</f>
        <v>0.17</v>
      </c>
      <c r="G152" s="144">
        <f>VLOOKUP($A152,'Data shares'!$C:$FA,25)</f>
        <v>-0.3</v>
      </c>
    </row>
    <row r="153" spans="1:7" x14ac:dyDescent="0.25">
      <c r="A153" s="101" t="str">
        <f>'Data shares'!C149</f>
        <v>NTPC</v>
      </c>
      <c r="B153" s="144">
        <f>VLOOKUP($A153,'Data shares'!$C:$FA,7)</f>
        <v>398</v>
      </c>
      <c r="C153" s="144">
        <f>VLOOKUP($A153,'Data shares'!$C:$FA,3)</f>
        <v>398.3</v>
      </c>
      <c r="D153" s="144">
        <f>VLOOKUP($A153,'Data shares'!$C:$FA,23)</f>
        <v>0.3</v>
      </c>
      <c r="E153" s="145">
        <f>VLOOKUP($A153,'Data shares'!$C:$FA,26)*100</f>
        <v>0.08</v>
      </c>
      <c r="F153" s="144">
        <f>VLOOKUP($A153,'Data shares'!$C:$FA,24)</f>
        <v>1.6</v>
      </c>
      <c r="G153" s="144">
        <f>VLOOKUP($A153,'Data shares'!$C:$FA,25)</f>
        <v>-1.3</v>
      </c>
    </row>
    <row r="154" spans="1:7" x14ac:dyDescent="0.25">
      <c r="A154" s="101" t="str">
        <f>'Data shares'!C150</f>
        <v>NUVAMA</v>
      </c>
      <c r="B154" s="144">
        <f>VLOOKUP($A154,'Data shares'!$C:$FA,7)</f>
        <v>1379.1</v>
      </c>
      <c r="C154" s="144">
        <f>VLOOKUP($A154,'Data shares'!$C:$FA,3)</f>
        <v>1379.9</v>
      </c>
      <c r="D154" s="144">
        <f>VLOOKUP($A154,'Data shares'!$C:$FA,23)</f>
        <v>0.8</v>
      </c>
      <c r="E154" s="145">
        <f>VLOOKUP($A154,'Data shares'!$C:$FA,26)*100</f>
        <v>0.06</v>
      </c>
      <c r="F154" s="144">
        <f>VLOOKUP($A154,'Data shares'!$C:$FA,24)</f>
        <v>-5.9</v>
      </c>
      <c r="G154" s="144">
        <f>VLOOKUP($A154,'Data shares'!$C:$FA,25)</f>
        <v>6.7</v>
      </c>
    </row>
    <row r="155" spans="1:7" x14ac:dyDescent="0.25">
      <c r="A155" s="101" t="str">
        <f>'Data shares'!C151</f>
        <v>NYKAA</v>
      </c>
      <c r="B155" s="144">
        <f>VLOOKUP($A155,'Data shares'!$C:$FA,7)</f>
        <v>264.55</v>
      </c>
      <c r="C155" s="144">
        <f>VLOOKUP($A155,'Data shares'!$C:$FA,3)</f>
        <v>265.18</v>
      </c>
      <c r="D155" s="144">
        <f>VLOOKUP($A155,'Data shares'!$C:$FA,23)</f>
        <v>0.63</v>
      </c>
      <c r="E155" s="145">
        <f>VLOOKUP($A155,'Data shares'!$C:$FA,26)*100</f>
        <v>0.24</v>
      </c>
      <c r="F155" s="144">
        <f>VLOOKUP($A155,'Data shares'!$C:$FA,24)</f>
        <v>0.37</v>
      </c>
      <c r="G155" s="144">
        <f>VLOOKUP($A155,'Data shares'!$C:$FA,25)</f>
        <v>0.26</v>
      </c>
    </row>
    <row r="156" spans="1:7" x14ac:dyDescent="0.25">
      <c r="A156" s="101" t="str">
        <f>'Data shares'!C152</f>
        <v>OBEROIRLTY</v>
      </c>
      <c r="B156" s="144">
        <f>VLOOKUP($A156,'Data shares'!$C:$FA,7)</f>
        <v>1694.9</v>
      </c>
      <c r="C156" s="144">
        <f>VLOOKUP($A156,'Data shares'!$C:$FA,3)</f>
        <v>1698.8</v>
      </c>
      <c r="D156" s="144">
        <f>VLOOKUP($A156,'Data shares'!$C:$FA,23)</f>
        <v>3.9</v>
      </c>
      <c r="E156" s="145">
        <f>VLOOKUP($A156,'Data shares'!$C:$FA,26)*100</f>
        <v>0.22999999999999998</v>
      </c>
      <c r="F156" s="144">
        <f>VLOOKUP($A156,'Data shares'!$C:$FA,24)</f>
        <v>2.5</v>
      </c>
      <c r="G156" s="144">
        <f>VLOOKUP($A156,'Data shares'!$C:$FA,25)</f>
        <v>1.4</v>
      </c>
    </row>
    <row r="157" spans="1:7" x14ac:dyDescent="0.25">
      <c r="A157" s="101" t="str">
        <f>'Data shares'!C153</f>
        <v>OFSS</v>
      </c>
      <c r="B157" s="144">
        <f>VLOOKUP($A157,'Data shares'!$C:$FA,7)</f>
        <v>8082.5</v>
      </c>
      <c r="C157" s="144">
        <f>VLOOKUP($A157,'Data shares'!$C:$FA,3)</f>
        <v>8106</v>
      </c>
      <c r="D157" s="144">
        <f>VLOOKUP($A157,'Data shares'!$C:$FA,23)</f>
        <v>23.5</v>
      </c>
      <c r="E157" s="145">
        <f>VLOOKUP($A157,'Data shares'!$C:$FA,26)*100</f>
        <v>0.28999999999999998</v>
      </c>
      <c r="F157" s="144">
        <f>VLOOKUP($A157,'Data shares'!$C:$FA,24)</f>
        <v>19</v>
      </c>
      <c r="G157" s="144">
        <f>VLOOKUP($A157,'Data shares'!$C:$FA,25)</f>
        <v>4.5</v>
      </c>
    </row>
    <row r="158" spans="1:7" x14ac:dyDescent="0.25">
      <c r="A158" s="101" t="str">
        <f>'Data shares'!C154</f>
        <v>OIL</v>
      </c>
      <c r="B158" s="144">
        <f>VLOOKUP($A158,'Data shares'!$C:$FA,7)</f>
        <v>471.7</v>
      </c>
      <c r="C158" s="144">
        <f>VLOOKUP($A158,'Data shares'!$C:$FA,3)</f>
        <v>471.35</v>
      </c>
      <c r="D158" s="144">
        <f>VLOOKUP($A158,'Data shares'!$C:$FA,23)</f>
        <v>-0.35</v>
      </c>
      <c r="E158" s="145">
        <f>VLOOKUP($A158,'Data shares'!$C:$FA,26)*100</f>
        <v>-6.9999999999999993E-2</v>
      </c>
      <c r="F158" s="144">
        <f>VLOOKUP($A158,'Data shares'!$C:$FA,24)</f>
        <v>0.5</v>
      </c>
      <c r="G158" s="144">
        <f>VLOOKUP($A158,'Data shares'!$C:$FA,25)</f>
        <v>-0.85</v>
      </c>
    </row>
    <row r="159" spans="1:7" x14ac:dyDescent="0.25">
      <c r="A159" s="101" t="str">
        <f>'Data shares'!C155</f>
        <v>ONGC</v>
      </c>
      <c r="B159" s="144">
        <f>VLOOKUP($A159,'Data shares'!$C:$FA,7)</f>
        <v>283.35000000000002</v>
      </c>
      <c r="C159" s="144">
        <f>VLOOKUP($A159,'Data shares'!$C:$FA,3)</f>
        <v>284</v>
      </c>
      <c r="D159" s="144">
        <f>VLOOKUP($A159,'Data shares'!$C:$FA,23)</f>
        <v>0.65</v>
      </c>
      <c r="E159" s="145">
        <f>VLOOKUP($A159,'Data shares'!$C:$FA,26)*100</f>
        <v>0.22999999999999998</v>
      </c>
      <c r="F159" s="144">
        <f>VLOOKUP($A159,'Data shares'!$C:$FA,24)</f>
        <v>0.85</v>
      </c>
      <c r="G159" s="144">
        <f>VLOOKUP($A159,'Data shares'!$C:$FA,25)</f>
        <v>-0.2</v>
      </c>
    </row>
    <row r="160" spans="1:7" x14ac:dyDescent="0.25">
      <c r="A160" s="101" t="str">
        <f>'Data shares'!C156</f>
        <v>PAGEIND</v>
      </c>
      <c r="B160" s="144">
        <f>VLOOKUP($A160,'Data shares'!$C:$FA,7)</f>
        <v>38405</v>
      </c>
      <c r="C160" s="144">
        <f>VLOOKUP($A160,'Data shares'!$C:$FA,3)</f>
        <v>38365</v>
      </c>
      <c r="D160" s="144">
        <f>VLOOKUP($A160,'Data shares'!$C:$FA,23)</f>
        <v>-40</v>
      </c>
      <c r="E160" s="145">
        <f>VLOOKUP($A160,'Data shares'!$C:$FA,26)*100</f>
        <v>-0.1</v>
      </c>
      <c r="F160" s="144">
        <f>VLOOKUP($A160,'Data shares'!$C:$FA,24)</f>
        <v>-45</v>
      </c>
      <c r="G160" s="144">
        <f>VLOOKUP($A160,'Data shares'!$C:$FA,25)</f>
        <v>5</v>
      </c>
    </row>
    <row r="161" spans="1:7" x14ac:dyDescent="0.25">
      <c r="A161" s="101" t="str">
        <f>'Data shares'!C157</f>
        <v>PATANJALI</v>
      </c>
      <c r="B161" s="144">
        <f>VLOOKUP($A161,'Data shares'!$C:$FA,7)</f>
        <v>459.65</v>
      </c>
      <c r="C161" s="144">
        <f>VLOOKUP($A161,'Data shares'!$C:$FA,3)</f>
        <v>459.5</v>
      </c>
      <c r="D161" s="144">
        <f>VLOOKUP($A161,'Data shares'!$C:$FA,23)</f>
        <v>-0.15</v>
      </c>
      <c r="E161" s="145">
        <f>VLOOKUP($A161,'Data shares'!$C:$FA,26)*100</f>
        <v>-0.03</v>
      </c>
      <c r="F161" s="144">
        <f>VLOOKUP($A161,'Data shares'!$C:$FA,24)</f>
        <v>0.7</v>
      </c>
      <c r="G161" s="144">
        <f>VLOOKUP($A161,'Data shares'!$C:$FA,25)</f>
        <v>-0.85</v>
      </c>
    </row>
    <row r="162" spans="1:7" x14ac:dyDescent="0.25">
      <c r="A162" s="101" t="str">
        <f>'Data shares'!C158</f>
        <v>PAYTM</v>
      </c>
      <c r="B162" s="144">
        <f>VLOOKUP($A162,'Data shares'!$C:$FA,7)</f>
        <v>1161.3499999999999</v>
      </c>
      <c r="C162" s="144">
        <f>VLOOKUP($A162,'Data shares'!$C:$FA,3)</f>
        <v>1162.7</v>
      </c>
      <c r="D162" s="144">
        <f>VLOOKUP($A162,'Data shares'!$C:$FA,23)</f>
        <v>1.35</v>
      </c>
      <c r="E162" s="145">
        <f>VLOOKUP($A162,'Data shares'!$C:$FA,26)*100</f>
        <v>0.12</v>
      </c>
      <c r="F162" s="144">
        <f>VLOOKUP($A162,'Data shares'!$C:$FA,24)</f>
        <v>0.05</v>
      </c>
      <c r="G162" s="144">
        <f>VLOOKUP($A162,'Data shares'!$C:$FA,25)</f>
        <v>1.3</v>
      </c>
    </row>
    <row r="163" spans="1:7" x14ac:dyDescent="0.25">
      <c r="A163" s="101" t="str">
        <f>'Data shares'!C159</f>
        <v>PERSISTENT</v>
      </c>
      <c r="B163" s="144">
        <f>VLOOKUP($A163,'Data shares'!$C:$FA,7)</f>
        <v>5325.2</v>
      </c>
      <c r="C163" s="144">
        <f>VLOOKUP($A163,'Data shares'!$C:$FA,3)</f>
        <v>5330.4</v>
      </c>
      <c r="D163" s="144">
        <f>VLOOKUP($A163,'Data shares'!$C:$FA,23)</f>
        <v>5.2</v>
      </c>
      <c r="E163" s="145">
        <f>VLOOKUP($A163,'Data shares'!$C:$FA,26)*100</f>
        <v>0.1</v>
      </c>
      <c r="F163" s="144">
        <f>VLOOKUP($A163,'Data shares'!$C:$FA,24)</f>
        <v>5.7</v>
      </c>
      <c r="G163" s="144">
        <f>VLOOKUP($A163,'Data shares'!$C:$FA,25)</f>
        <v>-0.5</v>
      </c>
    </row>
    <row r="164" spans="1:7" x14ac:dyDescent="0.25">
      <c r="A164" s="101" t="str">
        <f>'Data shares'!C160</f>
        <v>PETRONET</v>
      </c>
      <c r="B164" s="144">
        <f>VLOOKUP($A164,'Data shares'!$C:$FA,7)</f>
        <v>272.13</v>
      </c>
      <c r="C164" s="144">
        <f>VLOOKUP($A164,'Data shares'!$C:$FA,3)</f>
        <v>272.26</v>
      </c>
      <c r="D164" s="144">
        <f>VLOOKUP($A164,'Data shares'!$C:$FA,23)</f>
        <v>0.13</v>
      </c>
      <c r="E164" s="145">
        <f>VLOOKUP($A164,'Data shares'!$C:$FA,26)*100</f>
        <v>0.05</v>
      </c>
      <c r="F164" s="144">
        <f>VLOOKUP($A164,'Data shares'!$C:$FA,24)</f>
        <v>-0.03</v>
      </c>
      <c r="G164" s="144">
        <f>VLOOKUP($A164,'Data shares'!$C:$FA,25)</f>
        <v>0.16</v>
      </c>
    </row>
    <row r="165" spans="1:7" x14ac:dyDescent="0.25">
      <c r="A165" s="101" t="str">
        <f>'Data shares'!C161</f>
        <v>PFC</v>
      </c>
      <c r="B165" s="144">
        <f>VLOOKUP($A165,'Data shares'!$C:$FA,7)</f>
        <v>472.85</v>
      </c>
      <c r="C165" s="144">
        <f>VLOOKUP($A165,'Data shares'!$C:$FA,3)</f>
        <v>474.3</v>
      </c>
      <c r="D165" s="144">
        <f>VLOOKUP($A165,'Data shares'!$C:$FA,23)</f>
        <v>1.45</v>
      </c>
      <c r="E165" s="145">
        <f>VLOOKUP($A165,'Data shares'!$C:$FA,26)*100</f>
        <v>0.31</v>
      </c>
      <c r="F165" s="144">
        <f>VLOOKUP($A165,'Data shares'!$C:$FA,24)</f>
        <v>1.1499999999999999</v>
      </c>
      <c r="G165" s="144">
        <f>VLOOKUP($A165,'Data shares'!$C:$FA,25)</f>
        <v>0.3</v>
      </c>
    </row>
    <row r="166" spans="1:7" x14ac:dyDescent="0.25">
      <c r="A166" s="101" t="str">
        <f>'Data shares'!C162</f>
        <v>PGEL</v>
      </c>
      <c r="B166" s="144">
        <f>VLOOKUP($A166,'Data shares'!$C:$FA,7)</f>
        <v>559.04999999999995</v>
      </c>
      <c r="C166" s="144">
        <f>VLOOKUP($A166,'Data shares'!$C:$FA,3)</f>
        <v>560.35</v>
      </c>
      <c r="D166" s="144">
        <f>VLOOKUP($A166,'Data shares'!$C:$FA,23)</f>
        <v>1.3</v>
      </c>
      <c r="E166" s="145">
        <f>VLOOKUP($A166,'Data shares'!$C:$FA,26)*100</f>
        <v>0.22999999999999998</v>
      </c>
      <c r="F166" s="144">
        <f>VLOOKUP($A166,'Data shares'!$C:$FA,24)</f>
        <v>1.25</v>
      </c>
      <c r="G166" s="144">
        <f>VLOOKUP($A166,'Data shares'!$C:$FA,25)</f>
        <v>0.05</v>
      </c>
    </row>
    <row r="167" spans="1:7" x14ac:dyDescent="0.25">
      <c r="A167" s="101" t="str">
        <f>'Data shares'!C163</f>
        <v>PHOENIXLTD</v>
      </c>
      <c r="B167" s="144">
        <f>VLOOKUP($A167,'Data shares'!$C:$FA,7)</f>
        <v>1767.9</v>
      </c>
      <c r="C167" s="144">
        <f>VLOOKUP($A167,'Data shares'!$C:$FA,3)</f>
        <v>1772.5</v>
      </c>
      <c r="D167" s="144">
        <f>VLOOKUP($A167,'Data shares'!$C:$FA,23)</f>
        <v>4.5999999999999996</v>
      </c>
      <c r="E167" s="145">
        <f>VLOOKUP($A167,'Data shares'!$C:$FA,26)*100</f>
        <v>0.26</v>
      </c>
      <c r="F167" s="144">
        <f>VLOOKUP($A167,'Data shares'!$C:$FA,24)</f>
        <v>6.4</v>
      </c>
      <c r="G167" s="144">
        <f>VLOOKUP($A167,'Data shares'!$C:$FA,25)</f>
        <v>-1.8</v>
      </c>
    </row>
    <row r="168" spans="1:7" s="175" customFormat="1" x14ac:dyDescent="0.25">
      <c r="A168" s="101" t="str">
        <f>'Data shares'!C164</f>
        <v>PIDILITIND</v>
      </c>
      <c r="B168" s="144">
        <f>VLOOKUP($A168,'Data shares'!$C:$FA,7)</f>
        <v>1390.5</v>
      </c>
      <c r="C168" s="144">
        <f>VLOOKUP($A168,'Data shares'!$C:$FA,3)</f>
        <v>1393.3</v>
      </c>
      <c r="D168" s="144">
        <f>VLOOKUP($A168,'Data shares'!$C:$FA,23)</f>
        <v>2.8</v>
      </c>
      <c r="E168" s="145">
        <f>VLOOKUP($A168,'Data shares'!$C:$FA,26)*100</f>
        <v>0.2</v>
      </c>
      <c r="F168" s="144">
        <f>VLOOKUP($A168,'Data shares'!$C:$FA,24)</f>
        <v>3.5</v>
      </c>
      <c r="G168" s="144">
        <f>VLOOKUP($A168,'Data shares'!$C:$FA,25)</f>
        <v>-0.7</v>
      </c>
    </row>
    <row r="169" spans="1:7" x14ac:dyDescent="0.25">
      <c r="A169" s="101" t="str">
        <f>'Data shares'!C165</f>
        <v>PIIND</v>
      </c>
      <c r="B169" s="144">
        <f>VLOOKUP($A169,'Data shares'!$C:$FA,7)</f>
        <v>3037</v>
      </c>
      <c r="C169" s="144">
        <f>VLOOKUP($A169,'Data shares'!$C:$FA,3)</f>
        <v>3020.8</v>
      </c>
      <c r="D169" s="144">
        <f>VLOOKUP($A169,'Data shares'!$C:$FA,23)</f>
        <v>-16.2</v>
      </c>
      <c r="E169" s="145">
        <f>VLOOKUP($A169,'Data shares'!$C:$FA,26)*100</f>
        <v>-0.53</v>
      </c>
      <c r="F169" s="144">
        <f>VLOOKUP($A169,'Data shares'!$C:$FA,24)</f>
        <v>-22.9</v>
      </c>
      <c r="G169" s="144">
        <f>VLOOKUP($A169,'Data shares'!$C:$FA,25)</f>
        <v>6.7</v>
      </c>
    </row>
    <row r="170" spans="1:7" x14ac:dyDescent="0.25">
      <c r="A170" s="101" t="str">
        <f>'Data shares'!C166</f>
        <v>PNB</v>
      </c>
      <c r="B170" s="144">
        <f>VLOOKUP($A170,'Data shares'!$C:$FA,7)</f>
        <v>113.74</v>
      </c>
      <c r="C170" s="144">
        <f>VLOOKUP($A170,'Data shares'!$C:$FA,3)</f>
        <v>113.9</v>
      </c>
      <c r="D170" s="144">
        <f>VLOOKUP($A170,'Data shares'!$C:$FA,23)</f>
        <v>0.16</v>
      </c>
      <c r="E170" s="145">
        <f>VLOOKUP($A170,'Data shares'!$C:$FA,26)*100</f>
        <v>0.13999999999999999</v>
      </c>
      <c r="F170" s="144">
        <f>VLOOKUP($A170,'Data shares'!$C:$FA,24)</f>
        <v>0.25</v>
      </c>
      <c r="G170" s="144">
        <f>VLOOKUP($A170,'Data shares'!$C:$FA,25)</f>
        <v>-0.09</v>
      </c>
    </row>
    <row r="171" spans="1:7" x14ac:dyDescent="0.25">
      <c r="A171" s="101" t="str">
        <f>'Data shares'!C167</f>
        <v>PNBHOUSING</v>
      </c>
      <c r="B171" s="144">
        <f>VLOOKUP($A171,'Data shares'!$C:$FA,7)</f>
        <v>906.75</v>
      </c>
      <c r="C171" s="144">
        <f>VLOOKUP($A171,'Data shares'!$C:$FA,3)</f>
        <v>908.05</v>
      </c>
      <c r="D171" s="144">
        <f>VLOOKUP($A171,'Data shares'!$C:$FA,23)</f>
        <v>1.3</v>
      </c>
      <c r="E171" s="145">
        <f>VLOOKUP($A171,'Data shares'!$C:$FA,26)*100</f>
        <v>0.13999999999999999</v>
      </c>
      <c r="F171" s="144">
        <f>VLOOKUP($A171,'Data shares'!$C:$FA,24)</f>
        <v>0.7</v>
      </c>
      <c r="G171" s="144">
        <f>VLOOKUP($A171,'Data shares'!$C:$FA,25)</f>
        <v>0.6</v>
      </c>
    </row>
    <row r="172" spans="1:7" x14ac:dyDescent="0.25">
      <c r="A172" s="101" t="str">
        <f>'Data shares'!C168</f>
        <v>POLICYBZR</v>
      </c>
      <c r="B172" s="144">
        <f>VLOOKUP($A172,'Data shares'!$C:$FA,7)</f>
        <v>1616.8</v>
      </c>
      <c r="C172" s="144">
        <f>VLOOKUP($A172,'Data shares'!$C:$FA,3)</f>
        <v>1613</v>
      </c>
      <c r="D172" s="144">
        <f>VLOOKUP($A172,'Data shares'!$C:$FA,23)</f>
        <v>-3.8</v>
      </c>
      <c r="E172" s="145">
        <f>VLOOKUP($A172,'Data shares'!$C:$FA,26)*100</f>
        <v>-0.24</v>
      </c>
      <c r="F172" s="144">
        <f>VLOOKUP($A172,'Data shares'!$C:$FA,24)</f>
        <v>0.5</v>
      </c>
      <c r="G172" s="144">
        <f>VLOOKUP($A172,'Data shares'!$C:$FA,25)</f>
        <v>-4.3</v>
      </c>
    </row>
    <row r="173" spans="1:7" x14ac:dyDescent="0.25">
      <c r="A173" s="101" t="str">
        <f>'Data shares'!C169</f>
        <v>POLYCAB</v>
      </c>
      <c r="B173" s="144">
        <f>VLOOKUP($A173,'Data shares'!$C:$FA,7)</f>
        <v>8198.5</v>
      </c>
      <c r="C173" s="144">
        <f>VLOOKUP($A173,'Data shares'!$C:$FA,3)</f>
        <v>8188</v>
      </c>
      <c r="D173" s="144">
        <f>VLOOKUP($A173,'Data shares'!$C:$FA,23)</f>
        <v>-10.5</v>
      </c>
      <c r="E173" s="145">
        <f>VLOOKUP($A173,'Data shares'!$C:$FA,26)*100</f>
        <v>-0.13</v>
      </c>
      <c r="F173" s="144">
        <f>VLOOKUP($A173,'Data shares'!$C:$FA,24)</f>
        <v>-20.5</v>
      </c>
      <c r="G173" s="144">
        <f>VLOOKUP($A173,'Data shares'!$C:$FA,25)</f>
        <v>10</v>
      </c>
    </row>
    <row r="174" spans="1:7" x14ac:dyDescent="0.25">
      <c r="A174" s="101" t="str">
        <f>'Data shares'!C170</f>
        <v>POWERGRID</v>
      </c>
      <c r="B174" s="144">
        <f>VLOOKUP($A174,'Data shares'!$C:$FA,7)</f>
        <v>319.7</v>
      </c>
      <c r="C174" s="144">
        <f>VLOOKUP($A174,'Data shares'!$C:$FA,3)</f>
        <v>318.85000000000002</v>
      </c>
      <c r="D174" s="144">
        <f>VLOOKUP($A174,'Data shares'!$C:$FA,23)</f>
        <v>-0.85</v>
      </c>
      <c r="E174" s="145">
        <f>VLOOKUP($A174,'Data shares'!$C:$FA,26)*100</f>
        <v>-0.27</v>
      </c>
      <c r="F174" s="144">
        <f>VLOOKUP($A174,'Data shares'!$C:$FA,24)</f>
        <v>-0.45</v>
      </c>
      <c r="G174" s="144">
        <f>VLOOKUP($A174,'Data shares'!$C:$FA,25)</f>
        <v>-0.4</v>
      </c>
    </row>
    <row r="175" spans="1:7" x14ac:dyDescent="0.25">
      <c r="A175" s="101" t="str">
        <f>'Data shares'!C171</f>
        <v>POWERINDIA</v>
      </c>
      <c r="B175" s="144">
        <f>VLOOKUP($A175,'Data shares'!$C:$FA,7)</f>
        <v>29645</v>
      </c>
      <c r="C175" s="144">
        <f>VLOOKUP($A175,'Data shares'!$C:$FA,3)</f>
        <v>29700</v>
      </c>
      <c r="D175" s="144">
        <f>VLOOKUP($A175,'Data shares'!$C:$FA,23)</f>
        <v>55</v>
      </c>
      <c r="E175" s="145">
        <f>VLOOKUP($A175,'Data shares'!$C:$FA,26)*100</f>
        <v>0.19</v>
      </c>
      <c r="F175" s="144">
        <f>VLOOKUP($A175,'Data shares'!$C:$FA,24)</f>
        <v>45</v>
      </c>
      <c r="G175" s="144">
        <f>VLOOKUP($A175,'Data shares'!$C:$FA,25)</f>
        <v>10</v>
      </c>
    </row>
    <row r="176" spans="1:7" x14ac:dyDescent="0.25">
      <c r="A176" s="101" t="str">
        <f>'Data shares'!C172</f>
        <v>PPLPHARMA</v>
      </c>
      <c r="B176" s="144">
        <f>VLOOKUP($A176,'Data shares'!$C:$FA,7)</f>
        <v>148.79</v>
      </c>
      <c r="C176" s="144">
        <f>VLOOKUP($A176,'Data shares'!$C:$FA,3)</f>
        <v>148.21</v>
      </c>
      <c r="D176" s="144">
        <f>VLOOKUP($A176,'Data shares'!$C:$FA,23)</f>
        <v>-0.57999999999999996</v>
      </c>
      <c r="E176" s="145">
        <f>VLOOKUP($A176,'Data shares'!$C:$FA,26)*100</f>
        <v>-0.38999999999999996</v>
      </c>
      <c r="F176" s="144">
        <f>VLOOKUP($A176,'Data shares'!$C:$FA,24)</f>
        <v>-0.44</v>
      </c>
      <c r="G176" s="144">
        <f>VLOOKUP($A176,'Data shares'!$C:$FA,25)</f>
        <v>-0.14000000000000001</v>
      </c>
    </row>
    <row r="177" spans="1:7" x14ac:dyDescent="0.25">
      <c r="A177" s="101" t="str">
        <f>'Data shares'!C173</f>
        <v>PREMIERENE</v>
      </c>
      <c r="B177" s="144">
        <f>VLOOKUP($A177,'Data shares'!$C:$FA,7)</f>
        <v>1010.75</v>
      </c>
      <c r="C177" s="144">
        <f>VLOOKUP($A177,'Data shares'!$C:$FA,3)</f>
        <v>1004.1</v>
      </c>
      <c r="D177" s="144">
        <f>VLOOKUP($A177,'Data shares'!$C:$FA,23)</f>
        <v>-6.65</v>
      </c>
      <c r="E177" s="145">
        <f>VLOOKUP($A177,'Data shares'!$C:$FA,26)*100</f>
        <v>-0.66</v>
      </c>
      <c r="F177" s="144">
        <f>VLOOKUP($A177,'Data shares'!$C:$FA,24)</f>
        <v>-27.95</v>
      </c>
      <c r="G177" s="144">
        <f>VLOOKUP($A177,'Data shares'!$C:$FA,25)</f>
        <v>21.3</v>
      </c>
    </row>
    <row r="178" spans="1:7" x14ac:dyDescent="0.25">
      <c r="A178" s="101" t="str">
        <f>'Data shares'!C174</f>
        <v>PRESTIGE</v>
      </c>
      <c r="B178" s="144">
        <f>VLOOKUP($A178,'Data shares'!$C:$FA,7)</f>
        <v>1373.8</v>
      </c>
      <c r="C178" s="144">
        <f>VLOOKUP($A178,'Data shares'!$C:$FA,3)</f>
        <v>1372.2</v>
      </c>
      <c r="D178" s="144">
        <f>VLOOKUP($A178,'Data shares'!$C:$FA,23)</f>
        <v>-1.6</v>
      </c>
      <c r="E178" s="145">
        <f>VLOOKUP($A178,'Data shares'!$C:$FA,26)*100</f>
        <v>-0.12</v>
      </c>
      <c r="F178" s="144">
        <f>VLOOKUP($A178,'Data shares'!$C:$FA,24)</f>
        <v>0.8</v>
      </c>
      <c r="G178" s="144">
        <f>VLOOKUP($A178,'Data shares'!$C:$FA,25)</f>
        <v>-2.4</v>
      </c>
    </row>
    <row r="179" spans="1:7" x14ac:dyDescent="0.25">
      <c r="A179" s="101" t="str">
        <f>'Data shares'!C175</f>
        <v>RBLBANK</v>
      </c>
      <c r="B179" s="144">
        <f>VLOOKUP($A179,'Data shares'!$C:$FA,7)</f>
        <v>317.5</v>
      </c>
      <c r="C179" s="144">
        <f>VLOOKUP($A179,'Data shares'!$C:$FA,3)</f>
        <v>317.35000000000002</v>
      </c>
      <c r="D179" s="144">
        <f>VLOOKUP($A179,'Data shares'!$C:$FA,23)</f>
        <v>-0.15</v>
      </c>
      <c r="E179" s="145">
        <f>VLOOKUP($A179,'Data shares'!$C:$FA,26)*100</f>
        <v>-0.05</v>
      </c>
      <c r="F179" s="144">
        <f>VLOOKUP($A179,'Data shares'!$C:$FA,24)</f>
        <v>1.1000000000000001</v>
      </c>
      <c r="G179" s="144">
        <f>VLOOKUP($A179,'Data shares'!$C:$FA,25)</f>
        <v>-1.25</v>
      </c>
    </row>
    <row r="180" spans="1:7" x14ac:dyDescent="0.25">
      <c r="A180" s="101" t="str">
        <f>'Data shares'!C176</f>
        <v>RECLTD</v>
      </c>
      <c r="B180" s="144">
        <f>VLOOKUP($A180,'Data shares'!$C:$FA,7)</f>
        <v>382.7</v>
      </c>
      <c r="C180" s="144">
        <f>VLOOKUP($A180,'Data shares'!$C:$FA,3)</f>
        <v>382.2</v>
      </c>
      <c r="D180" s="144">
        <f>VLOOKUP($A180,'Data shares'!$C:$FA,23)</f>
        <v>-0.5</v>
      </c>
      <c r="E180" s="145">
        <f>VLOOKUP($A180,'Data shares'!$C:$FA,26)*100</f>
        <v>-0.13</v>
      </c>
      <c r="F180" s="144">
        <f>VLOOKUP($A180,'Data shares'!$C:$FA,24)</f>
        <v>1.1499999999999999</v>
      </c>
      <c r="G180" s="144">
        <f>VLOOKUP($A180,'Data shares'!$C:$FA,25)</f>
        <v>-1.65</v>
      </c>
    </row>
    <row r="181" spans="1:7" x14ac:dyDescent="0.25">
      <c r="A181" s="101" t="str">
        <f>'Data shares'!C177</f>
        <v>RELIANCE</v>
      </c>
      <c r="B181" s="144">
        <f>VLOOKUP($A181,'Data shares'!$C:$FA,7)</f>
        <v>1363.3</v>
      </c>
      <c r="C181" s="144">
        <f>VLOOKUP($A181,'Data shares'!$C:$FA,3)</f>
        <v>1362.4</v>
      </c>
      <c r="D181" s="144">
        <f>VLOOKUP($A181,'Data shares'!$C:$FA,23)</f>
        <v>-0.9</v>
      </c>
      <c r="E181" s="145">
        <f>VLOOKUP($A181,'Data shares'!$C:$FA,26)*100</f>
        <v>-6.9999999999999993E-2</v>
      </c>
      <c r="F181" s="144">
        <f>VLOOKUP($A181,'Data shares'!$C:$FA,24)</f>
        <v>1.3</v>
      </c>
      <c r="G181" s="144">
        <f>VLOOKUP($A181,'Data shares'!$C:$FA,25)</f>
        <v>-2.2000000000000002</v>
      </c>
    </row>
    <row r="182" spans="1:7" x14ac:dyDescent="0.25">
      <c r="A182" s="101" t="str">
        <f>'Data shares'!C178</f>
        <v>RVNL</v>
      </c>
      <c r="B182" s="144">
        <f>VLOOKUP($A182,'Data shares'!$C:$FA,7)</f>
        <v>296.33</v>
      </c>
      <c r="C182" s="144">
        <f>VLOOKUP($A182,'Data shares'!$C:$FA,3)</f>
        <v>294.82</v>
      </c>
      <c r="D182" s="144">
        <f>VLOOKUP($A182,'Data shares'!$C:$FA,23)</f>
        <v>-1.51</v>
      </c>
      <c r="E182" s="145">
        <f>VLOOKUP($A182,'Data shares'!$C:$FA,26)*100</f>
        <v>-0.51</v>
      </c>
      <c r="F182" s="144">
        <f>VLOOKUP($A182,'Data shares'!$C:$FA,24)</f>
        <v>-3.4</v>
      </c>
      <c r="G182" s="144">
        <f>VLOOKUP($A182,'Data shares'!$C:$FA,25)</f>
        <v>1.89</v>
      </c>
    </row>
    <row r="183" spans="1:7" x14ac:dyDescent="0.25">
      <c r="A183" s="101" t="str">
        <f>'Data shares'!C179</f>
        <v>SAIL</v>
      </c>
      <c r="B183" s="144">
        <f>VLOOKUP($A183,'Data shares'!$C:$FA,7)</f>
        <v>172.71</v>
      </c>
      <c r="C183" s="144">
        <f>VLOOKUP($A183,'Data shares'!$C:$FA,3)</f>
        <v>172.69</v>
      </c>
      <c r="D183" s="144">
        <f>VLOOKUP($A183,'Data shares'!$C:$FA,23)</f>
        <v>-0.02</v>
      </c>
      <c r="E183" s="145">
        <f>VLOOKUP($A183,'Data shares'!$C:$FA,26)*100</f>
        <v>-0.01</v>
      </c>
      <c r="F183" s="144">
        <f>VLOOKUP($A183,'Data shares'!$C:$FA,24)</f>
        <v>-0.1</v>
      </c>
      <c r="G183" s="144">
        <f>VLOOKUP($A183,'Data shares'!$C:$FA,25)</f>
        <v>0.08</v>
      </c>
    </row>
    <row r="184" spans="1:7" x14ac:dyDescent="0.25">
      <c r="A184" s="101" t="str">
        <f>'Data shares'!C180</f>
        <v>SAMMAANCAP</v>
      </c>
      <c r="B184" s="144">
        <f>VLOOKUP($A184,'Data shares'!$C:$FA,7)</f>
        <v>152.07</v>
      </c>
      <c r="C184" s="144">
        <f>VLOOKUP($A184,'Data shares'!$C:$FA,3)</f>
        <v>153.02000000000001</v>
      </c>
      <c r="D184" s="144">
        <f>VLOOKUP($A184,'Data shares'!$C:$FA,23)</f>
        <v>0.95</v>
      </c>
      <c r="E184" s="145">
        <f>VLOOKUP($A184,'Data shares'!$C:$FA,26)*100</f>
        <v>0.62</v>
      </c>
      <c r="F184" s="144">
        <f>VLOOKUP($A184,'Data shares'!$C:$FA,24)</f>
        <v>-0.02</v>
      </c>
      <c r="G184" s="144">
        <f>VLOOKUP($A184,'Data shares'!$C:$FA,25)</f>
        <v>0.97</v>
      </c>
    </row>
    <row r="185" spans="1:7" x14ac:dyDescent="0.25">
      <c r="A185" s="101" t="str">
        <f>'Data shares'!C181</f>
        <v>SBICARD</v>
      </c>
      <c r="B185" s="144">
        <f>VLOOKUP($A185,'Data shares'!$C:$FA,7)</f>
        <v>675.3</v>
      </c>
      <c r="C185" s="144">
        <f>VLOOKUP($A185,'Data shares'!$C:$FA,3)</f>
        <v>671.3</v>
      </c>
      <c r="D185" s="144">
        <f>VLOOKUP($A185,'Data shares'!$C:$FA,23)</f>
        <v>-4</v>
      </c>
      <c r="E185" s="145">
        <f>VLOOKUP($A185,'Data shares'!$C:$FA,26)*100</f>
        <v>-0.59</v>
      </c>
      <c r="F185" s="144">
        <f>VLOOKUP($A185,'Data shares'!$C:$FA,24)</f>
        <v>0.9</v>
      </c>
      <c r="G185" s="144">
        <f>VLOOKUP($A185,'Data shares'!$C:$FA,25)</f>
        <v>-4.9000000000000004</v>
      </c>
    </row>
    <row r="186" spans="1:7" x14ac:dyDescent="0.25">
      <c r="A186" s="101" t="str">
        <f>'Data shares'!C182</f>
        <v>SBILIFE</v>
      </c>
      <c r="B186" s="144">
        <f>VLOOKUP($A186,'Data shares'!$C:$FA,7)</f>
        <v>1982.5</v>
      </c>
      <c r="C186" s="144">
        <f>VLOOKUP($A186,'Data shares'!$C:$FA,3)</f>
        <v>1984.3</v>
      </c>
      <c r="D186" s="144">
        <f>VLOOKUP($A186,'Data shares'!$C:$FA,23)</f>
        <v>1.8</v>
      </c>
      <c r="E186" s="145">
        <f>VLOOKUP($A186,'Data shares'!$C:$FA,26)*100</f>
        <v>0.09</v>
      </c>
      <c r="F186" s="144">
        <f>VLOOKUP($A186,'Data shares'!$C:$FA,24)</f>
        <v>-0.5</v>
      </c>
      <c r="G186" s="144">
        <f>VLOOKUP($A186,'Data shares'!$C:$FA,25)</f>
        <v>2.2999999999999998</v>
      </c>
    </row>
    <row r="187" spans="1:7" x14ac:dyDescent="0.25">
      <c r="A187" s="101" t="str">
        <f>'Data shares'!C183</f>
        <v>SBIN</v>
      </c>
      <c r="B187" s="144">
        <f>VLOOKUP($A187,'Data shares'!$C:$FA,7)</f>
        <v>1107.8499999999999</v>
      </c>
      <c r="C187" s="144">
        <f>VLOOKUP($A187,'Data shares'!$C:$FA,3)</f>
        <v>1106.3</v>
      </c>
      <c r="D187" s="144">
        <f>VLOOKUP($A187,'Data shares'!$C:$FA,23)</f>
        <v>-1.55</v>
      </c>
      <c r="E187" s="145">
        <f>VLOOKUP($A187,'Data shares'!$C:$FA,26)*100</f>
        <v>-0.13999999999999999</v>
      </c>
      <c r="F187" s="144">
        <f>VLOOKUP($A187,'Data shares'!$C:$FA,24)</f>
        <v>2.5499999999999998</v>
      </c>
      <c r="G187" s="144">
        <f>VLOOKUP($A187,'Data shares'!$C:$FA,25)</f>
        <v>-4.0999999999999996</v>
      </c>
    </row>
    <row r="188" spans="1:7" x14ac:dyDescent="0.25">
      <c r="A188" s="101" t="str">
        <f>'Data shares'!C184</f>
        <v>SHREECEM</v>
      </c>
      <c r="B188" s="144">
        <f>VLOOKUP($A188,'Data shares'!$C:$FA,7)</f>
        <v>25490</v>
      </c>
      <c r="C188" s="144">
        <f>VLOOKUP($A188,'Data shares'!$C:$FA,3)</f>
        <v>25365</v>
      </c>
      <c r="D188" s="144">
        <f>VLOOKUP($A188,'Data shares'!$C:$FA,23)</f>
        <v>-125</v>
      </c>
      <c r="E188" s="145">
        <f>VLOOKUP($A188,'Data shares'!$C:$FA,26)*100</f>
        <v>-0.49</v>
      </c>
      <c r="F188" s="144">
        <f>VLOOKUP($A188,'Data shares'!$C:$FA,24)</f>
        <v>-10</v>
      </c>
      <c r="G188" s="144">
        <f>VLOOKUP($A188,'Data shares'!$C:$FA,25)</f>
        <v>-115</v>
      </c>
    </row>
    <row r="189" spans="1:7" x14ac:dyDescent="0.25">
      <c r="A189" s="101" t="str">
        <f>'Data shares'!C185</f>
        <v>SHRIRAMFIN</v>
      </c>
      <c r="B189" s="144">
        <f>VLOOKUP($A189,'Data shares'!$C:$FA,7)</f>
        <v>1045.1500000000001</v>
      </c>
      <c r="C189" s="144">
        <f>VLOOKUP($A189,'Data shares'!$C:$FA,3)</f>
        <v>1043.9000000000001</v>
      </c>
      <c r="D189" s="144">
        <f>VLOOKUP($A189,'Data shares'!$C:$FA,23)</f>
        <v>-1.25</v>
      </c>
      <c r="E189" s="145">
        <f>VLOOKUP($A189,'Data shares'!$C:$FA,26)*100</f>
        <v>-0.12</v>
      </c>
      <c r="F189" s="144">
        <f>VLOOKUP($A189,'Data shares'!$C:$FA,24)</f>
        <v>-0.25</v>
      </c>
      <c r="G189" s="144">
        <f>VLOOKUP($A189,'Data shares'!$C:$FA,25)</f>
        <v>-1</v>
      </c>
    </row>
    <row r="190" spans="1:7" x14ac:dyDescent="0.25">
      <c r="A190" s="101" t="str">
        <f>'Data shares'!C186</f>
        <v>SIEMENS</v>
      </c>
      <c r="B190" s="144">
        <f>VLOOKUP($A190,'Data shares'!$C:$FA,7)</f>
        <v>3709</v>
      </c>
      <c r="C190" s="144">
        <f>VLOOKUP($A190,'Data shares'!$C:$FA,3)</f>
        <v>3708.5</v>
      </c>
      <c r="D190" s="144">
        <f>VLOOKUP($A190,'Data shares'!$C:$FA,23)</f>
        <v>-0.5</v>
      </c>
      <c r="E190" s="145">
        <f>VLOOKUP($A190,'Data shares'!$C:$FA,26)*100</f>
        <v>-0.01</v>
      </c>
      <c r="F190" s="144">
        <f>VLOOKUP($A190,'Data shares'!$C:$FA,24)</f>
        <v>0.7</v>
      </c>
      <c r="G190" s="144">
        <f>VLOOKUP($A190,'Data shares'!$C:$FA,25)</f>
        <v>-1.2</v>
      </c>
    </row>
    <row r="191" spans="1:7" x14ac:dyDescent="0.25">
      <c r="A191" s="101" t="str">
        <f>'Data shares'!C187</f>
        <v>SOLARINDS</v>
      </c>
      <c r="B191" s="144">
        <f>VLOOKUP($A191,'Data shares'!$C:$FA,7)</f>
        <v>14907</v>
      </c>
      <c r="C191" s="144">
        <f>VLOOKUP($A191,'Data shares'!$C:$FA,3)</f>
        <v>14937</v>
      </c>
      <c r="D191" s="144">
        <f>VLOOKUP($A191,'Data shares'!$C:$FA,23)</f>
        <v>30</v>
      </c>
      <c r="E191" s="145">
        <f>VLOOKUP($A191,'Data shares'!$C:$FA,26)*100</f>
        <v>0.2</v>
      </c>
      <c r="F191" s="144">
        <f>VLOOKUP($A191,'Data shares'!$C:$FA,24)</f>
        <v>51</v>
      </c>
      <c r="G191" s="144">
        <f>VLOOKUP($A191,'Data shares'!$C:$FA,25)</f>
        <v>-21</v>
      </c>
    </row>
    <row r="192" spans="1:7" x14ac:dyDescent="0.25">
      <c r="A192" s="101" t="str">
        <f>'Data shares'!C188</f>
        <v>SONACOMS</v>
      </c>
      <c r="B192" s="144">
        <f>VLOOKUP($A192,'Data shares'!$C:$FA,7)</f>
        <v>576.54999999999995</v>
      </c>
      <c r="C192" s="144">
        <f>VLOOKUP($A192,'Data shares'!$C:$FA,3)</f>
        <v>576.54999999999995</v>
      </c>
      <c r="D192" s="144">
        <f>VLOOKUP($A192,'Data shares'!$C:$FA,23)</f>
        <v>0</v>
      </c>
      <c r="E192" s="145">
        <f>VLOOKUP($A192,'Data shares'!$C:$FA,26)*100</f>
        <v>0</v>
      </c>
      <c r="F192" s="144">
        <f>VLOOKUP($A192,'Data shares'!$C:$FA,24)</f>
        <v>1.1000000000000001</v>
      </c>
      <c r="G192" s="144">
        <f>VLOOKUP($A192,'Data shares'!$C:$FA,25)</f>
        <v>-1.1000000000000001</v>
      </c>
    </row>
    <row r="193" spans="1:7" x14ac:dyDescent="0.25">
      <c r="A193" s="101" t="str">
        <f>'Data shares'!C189</f>
        <v>SRF</v>
      </c>
      <c r="B193" s="144">
        <f>VLOOKUP($A193,'Data shares'!$C:$FA,7)</f>
        <v>2465.1</v>
      </c>
      <c r="C193" s="144">
        <f>VLOOKUP($A193,'Data shares'!$C:$FA,3)</f>
        <v>2466.6</v>
      </c>
      <c r="D193" s="144">
        <f>VLOOKUP($A193,'Data shares'!$C:$FA,23)</f>
        <v>1.5</v>
      </c>
      <c r="E193" s="145">
        <f>VLOOKUP($A193,'Data shares'!$C:$FA,26)*100</f>
        <v>0.06</v>
      </c>
      <c r="F193" s="144">
        <f>VLOOKUP($A193,'Data shares'!$C:$FA,24)</f>
        <v>0.8</v>
      </c>
      <c r="G193" s="144">
        <f>VLOOKUP($A193,'Data shares'!$C:$FA,25)</f>
        <v>0.7</v>
      </c>
    </row>
    <row r="194" spans="1:7" x14ac:dyDescent="0.25">
      <c r="A194" s="101" t="str">
        <f>'Data shares'!C190</f>
        <v>SUNPHARMA</v>
      </c>
      <c r="B194" s="144">
        <f>VLOOKUP($A194,'Data shares'!$C:$FA,7)</f>
        <v>1668.6</v>
      </c>
      <c r="C194" s="144">
        <f>VLOOKUP($A194,'Data shares'!$C:$FA,3)</f>
        <v>1667.3</v>
      </c>
      <c r="D194" s="144">
        <f>VLOOKUP($A194,'Data shares'!$C:$FA,23)</f>
        <v>-1.3</v>
      </c>
      <c r="E194" s="145">
        <f>VLOOKUP($A194,'Data shares'!$C:$FA,26)*100</f>
        <v>-0.08</v>
      </c>
      <c r="F194" s="144">
        <f>VLOOKUP($A194,'Data shares'!$C:$FA,24)</f>
        <v>-0.6</v>
      </c>
      <c r="G194" s="144">
        <f>VLOOKUP($A194,'Data shares'!$C:$FA,25)</f>
        <v>-0.7</v>
      </c>
    </row>
    <row r="195" spans="1:7" x14ac:dyDescent="0.25">
      <c r="A195" s="101" t="str">
        <f>'Data shares'!C191</f>
        <v>SUPREMEIND</v>
      </c>
      <c r="B195" s="144">
        <f>VLOOKUP($A195,'Data shares'!$C:$FA,7)</f>
        <v>3711.8</v>
      </c>
      <c r="C195" s="144">
        <f>VLOOKUP($A195,'Data shares'!$C:$FA,3)</f>
        <v>3715.2</v>
      </c>
      <c r="D195" s="144">
        <f>VLOOKUP($A195,'Data shares'!$C:$FA,23)</f>
        <v>3.4</v>
      </c>
      <c r="E195" s="145">
        <f>VLOOKUP($A195,'Data shares'!$C:$FA,26)*100</f>
        <v>0.09</v>
      </c>
      <c r="F195" s="144">
        <f>VLOOKUP($A195,'Data shares'!$C:$FA,24)</f>
        <v>11.7</v>
      </c>
      <c r="G195" s="144">
        <f>VLOOKUP($A195,'Data shares'!$C:$FA,25)</f>
        <v>-8.3000000000000007</v>
      </c>
    </row>
    <row r="196" spans="1:7" x14ac:dyDescent="0.25">
      <c r="A196" s="101" t="str">
        <f>'Data shares'!C192</f>
        <v>SUZLON</v>
      </c>
      <c r="B196" s="144">
        <f>VLOOKUP($A196,'Data shares'!$C:$FA,7)</f>
        <v>52.5</v>
      </c>
      <c r="C196" s="144">
        <f>VLOOKUP($A196,'Data shares'!$C:$FA,3)</f>
        <v>52.44</v>
      </c>
      <c r="D196" s="144">
        <f>VLOOKUP($A196,'Data shares'!$C:$FA,23)</f>
        <v>-0.06</v>
      </c>
      <c r="E196" s="145">
        <f>VLOOKUP($A196,'Data shares'!$C:$FA,26)*100</f>
        <v>-0.11</v>
      </c>
      <c r="F196" s="144">
        <f>VLOOKUP($A196,'Data shares'!$C:$FA,24)</f>
        <v>0.03</v>
      </c>
      <c r="G196" s="144">
        <f>VLOOKUP($A196,'Data shares'!$C:$FA,25)</f>
        <v>-0.09</v>
      </c>
    </row>
    <row r="197" spans="1:7" x14ac:dyDescent="0.25">
      <c r="A197" s="101" t="str">
        <f>'Data shares'!C193</f>
        <v>SWIGGY</v>
      </c>
      <c r="B197" s="144">
        <f>VLOOKUP($A197,'Data shares'!$C:$FA,7)</f>
        <v>279.14999999999998</v>
      </c>
      <c r="C197" s="144">
        <f>VLOOKUP($A197,'Data shares'!$C:$FA,3)</f>
        <v>279.14999999999998</v>
      </c>
      <c r="D197" s="144">
        <f>VLOOKUP($A197,'Data shares'!$C:$FA,23)</f>
        <v>0</v>
      </c>
      <c r="E197" s="145">
        <f>VLOOKUP($A197,'Data shares'!$C:$FA,26)*100</f>
        <v>0</v>
      </c>
      <c r="F197" s="144">
        <f>VLOOKUP($A197,'Data shares'!$C:$FA,24)</f>
        <v>0</v>
      </c>
      <c r="G197" s="144">
        <f>VLOOKUP($A197,'Data shares'!$C:$FA,25)</f>
        <v>0</v>
      </c>
    </row>
    <row r="198" spans="1:7" x14ac:dyDescent="0.25">
      <c r="A198" s="101" t="str">
        <f>'Data shares'!C194</f>
        <v>TATACONSUM</v>
      </c>
      <c r="B198" s="144">
        <f>VLOOKUP($A198,'Data shares'!$C:$FA,7)</f>
        <v>1120.4000000000001</v>
      </c>
      <c r="C198" s="144">
        <f>VLOOKUP($A198,'Data shares'!$C:$FA,3)</f>
        <v>1119.4000000000001</v>
      </c>
      <c r="D198" s="144">
        <f>VLOOKUP($A198,'Data shares'!$C:$FA,23)</f>
        <v>-1</v>
      </c>
      <c r="E198" s="145">
        <f>VLOOKUP($A198,'Data shares'!$C:$FA,26)*100</f>
        <v>-0.09</v>
      </c>
      <c r="F198" s="144">
        <f>VLOOKUP($A198,'Data shares'!$C:$FA,24)</f>
        <v>0.7</v>
      </c>
      <c r="G198" s="144">
        <f>VLOOKUP($A198,'Data shares'!$C:$FA,25)</f>
        <v>-1.7</v>
      </c>
    </row>
    <row r="199" spans="1:7" x14ac:dyDescent="0.25">
      <c r="A199" s="101" t="str">
        <f>'Data shares'!C195</f>
        <v>TATAELXSI</v>
      </c>
      <c r="B199" s="144">
        <f>VLOOKUP($A199,'Data shares'!$C:$FA,7)</f>
        <v>4516.6000000000004</v>
      </c>
      <c r="C199" s="144">
        <f>VLOOKUP($A199,'Data shares'!$C:$FA,3)</f>
        <v>4526.6000000000004</v>
      </c>
      <c r="D199" s="144">
        <f>VLOOKUP($A199,'Data shares'!$C:$FA,23)</f>
        <v>10</v>
      </c>
      <c r="E199" s="145">
        <f>VLOOKUP($A199,'Data shares'!$C:$FA,26)*100</f>
        <v>0.22</v>
      </c>
      <c r="F199" s="144">
        <f>VLOOKUP($A199,'Data shares'!$C:$FA,24)</f>
        <v>9.5</v>
      </c>
      <c r="G199" s="144">
        <f>VLOOKUP($A199,'Data shares'!$C:$FA,25)</f>
        <v>0.5</v>
      </c>
    </row>
    <row r="200" spans="1:7" x14ac:dyDescent="0.25">
      <c r="A200" s="101" t="str">
        <f>'Data shares'!C196</f>
        <v>TATAPOWER</v>
      </c>
      <c r="B200" s="144">
        <f>VLOOKUP($A200,'Data shares'!$C:$FA,7)</f>
        <v>433.6</v>
      </c>
      <c r="C200" s="144">
        <f>VLOOKUP($A200,'Data shares'!$C:$FA,3)</f>
        <v>433.8</v>
      </c>
      <c r="D200" s="144">
        <f>VLOOKUP($A200,'Data shares'!$C:$FA,23)</f>
        <v>0.2</v>
      </c>
      <c r="E200" s="145">
        <f>VLOOKUP($A200,'Data shares'!$C:$FA,26)*100</f>
        <v>0.05</v>
      </c>
      <c r="F200" s="144">
        <f>VLOOKUP($A200,'Data shares'!$C:$FA,24)</f>
        <v>0.35</v>
      </c>
      <c r="G200" s="144">
        <f>VLOOKUP($A200,'Data shares'!$C:$FA,25)</f>
        <v>-0.15</v>
      </c>
    </row>
    <row r="201" spans="1:7" x14ac:dyDescent="0.25">
      <c r="A201" s="101" t="str">
        <f>'Data shares'!C197</f>
        <v>TATASTEEL</v>
      </c>
      <c r="B201" s="144">
        <f>VLOOKUP($A201,'Data shares'!$C:$FA,7)</f>
        <v>211.72</v>
      </c>
      <c r="C201" s="144">
        <f>VLOOKUP($A201,'Data shares'!$C:$FA,3)</f>
        <v>211.52</v>
      </c>
      <c r="D201" s="144">
        <f>VLOOKUP($A201,'Data shares'!$C:$FA,23)</f>
        <v>-0.2</v>
      </c>
      <c r="E201" s="145">
        <f>VLOOKUP($A201,'Data shares'!$C:$FA,26)*100</f>
        <v>-0.09</v>
      </c>
      <c r="F201" s="144">
        <f>VLOOKUP($A201,'Data shares'!$C:$FA,24)</f>
        <v>0.18</v>
      </c>
      <c r="G201" s="144">
        <f>VLOOKUP($A201,'Data shares'!$C:$FA,25)</f>
        <v>-0.38</v>
      </c>
    </row>
    <row r="202" spans="1:7" x14ac:dyDescent="0.25">
      <c r="A202" s="101" t="str">
        <f>'Data shares'!C198</f>
        <v>TATATECH</v>
      </c>
      <c r="B202" s="144">
        <f>VLOOKUP($A202,'Data shares'!$C:$FA,7)</f>
        <v>576.45000000000005</v>
      </c>
      <c r="C202" s="144">
        <f>VLOOKUP($A202,'Data shares'!$C:$FA,3)</f>
        <v>576.6</v>
      </c>
      <c r="D202" s="144">
        <f>VLOOKUP($A202,'Data shares'!$C:$FA,23)</f>
        <v>0.15</v>
      </c>
      <c r="E202" s="145">
        <f>VLOOKUP($A202,'Data shares'!$C:$FA,26)*100</f>
        <v>0.03</v>
      </c>
      <c r="F202" s="144">
        <f>VLOOKUP($A202,'Data shares'!$C:$FA,24)</f>
        <v>1.6</v>
      </c>
      <c r="G202" s="144">
        <f>VLOOKUP($A202,'Data shares'!$C:$FA,25)</f>
        <v>-1.45</v>
      </c>
    </row>
    <row r="203" spans="1:7" x14ac:dyDescent="0.25">
      <c r="A203" s="101" t="str">
        <f>'Data shares'!C199</f>
        <v>TCS</v>
      </c>
      <c r="B203" s="144">
        <f>VLOOKUP($A203,'Data shares'!$C:$FA,7)</f>
        <v>2579.6</v>
      </c>
      <c r="C203" s="144">
        <f>VLOOKUP($A203,'Data shares'!$C:$FA,3)</f>
        <v>2565</v>
      </c>
      <c r="D203" s="144">
        <f>VLOOKUP($A203,'Data shares'!$C:$FA,23)</f>
        <v>-14.6</v>
      </c>
      <c r="E203" s="145">
        <f>VLOOKUP($A203,'Data shares'!$C:$FA,26)*100</f>
        <v>-0.57000000000000006</v>
      </c>
      <c r="F203" s="144">
        <f>VLOOKUP($A203,'Data shares'!$C:$FA,24)</f>
        <v>-20.3</v>
      </c>
      <c r="G203" s="144">
        <f>VLOOKUP($A203,'Data shares'!$C:$FA,25)</f>
        <v>5.7</v>
      </c>
    </row>
    <row r="204" spans="1:7" x14ac:dyDescent="0.25">
      <c r="A204" s="101" t="str">
        <f>'Data shares'!C200</f>
        <v>TECHM</v>
      </c>
      <c r="B204" s="144">
        <f>VLOOKUP($A204,'Data shares'!$C:$FA,7)</f>
        <v>1504.4</v>
      </c>
      <c r="C204" s="144">
        <f>VLOOKUP($A204,'Data shares'!$C:$FA,3)</f>
        <v>1497.7</v>
      </c>
      <c r="D204" s="144">
        <f>VLOOKUP($A204,'Data shares'!$C:$FA,23)</f>
        <v>-6.7</v>
      </c>
      <c r="E204" s="145">
        <f>VLOOKUP($A204,'Data shares'!$C:$FA,26)*100</f>
        <v>-0.44999999999999996</v>
      </c>
      <c r="F204" s="144">
        <f>VLOOKUP($A204,'Data shares'!$C:$FA,24)</f>
        <v>-8.3000000000000007</v>
      </c>
      <c r="G204" s="144">
        <f>VLOOKUP($A204,'Data shares'!$C:$FA,25)</f>
        <v>1.6</v>
      </c>
    </row>
    <row r="205" spans="1:7" x14ac:dyDescent="0.25">
      <c r="A205" s="101" t="str">
        <f>'Data shares'!C201</f>
        <v>TIINDIA</v>
      </c>
      <c r="B205" s="144">
        <f>VLOOKUP($A205,'Data shares'!$C:$FA,7)</f>
        <v>2873.1</v>
      </c>
      <c r="C205" s="144">
        <f>VLOOKUP($A205,'Data shares'!$C:$FA,3)</f>
        <v>2873.4</v>
      </c>
      <c r="D205" s="144">
        <f>VLOOKUP($A205,'Data shares'!$C:$FA,23)</f>
        <v>0.3</v>
      </c>
      <c r="E205" s="145">
        <f>VLOOKUP($A205,'Data shares'!$C:$FA,26)*100</f>
        <v>0.01</v>
      </c>
      <c r="F205" s="144">
        <f>VLOOKUP($A205,'Data shares'!$C:$FA,24)</f>
        <v>7.9</v>
      </c>
      <c r="G205" s="144">
        <f>VLOOKUP($A205,'Data shares'!$C:$FA,25)</f>
        <v>-7.6</v>
      </c>
    </row>
    <row r="206" spans="1:7" x14ac:dyDescent="0.25">
      <c r="A206" s="101" t="str">
        <f>'Data shares'!C202</f>
        <v>TITAN</v>
      </c>
      <c r="B206" s="144">
        <f>VLOOKUP($A206,'Data shares'!$C:$FA,7)</f>
        <v>4513</v>
      </c>
      <c r="C206" s="144">
        <f>VLOOKUP($A206,'Data shares'!$C:$FA,3)</f>
        <v>4510.2</v>
      </c>
      <c r="D206" s="144">
        <f>VLOOKUP($A206,'Data shares'!$C:$FA,23)</f>
        <v>-2.8</v>
      </c>
      <c r="E206" s="145">
        <f>VLOOKUP($A206,'Data shares'!$C:$FA,26)*100</f>
        <v>-0.06</v>
      </c>
      <c r="F206" s="144">
        <f>VLOOKUP($A206,'Data shares'!$C:$FA,24)</f>
        <v>-0.9</v>
      </c>
      <c r="G206" s="144">
        <f>VLOOKUP($A206,'Data shares'!$C:$FA,25)</f>
        <v>-1.9</v>
      </c>
    </row>
    <row r="207" spans="1:7" x14ac:dyDescent="0.25">
      <c r="A207" s="101" t="str">
        <f>'Data shares'!C203</f>
        <v>TMPV</v>
      </c>
      <c r="B207" s="144">
        <f>VLOOKUP($A207,'Data shares'!$C:$FA,7)</f>
        <v>355.7</v>
      </c>
      <c r="C207" s="144">
        <f>VLOOKUP($A207,'Data shares'!$C:$FA,3)</f>
        <v>354.55</v>
      </c>
      <c r="D207" s="144">
        <f>VLOOKUP($A207,'Data shares'!$C:$FA,23)</f>
        <v>-1.1499999999999999</v>
      </c>
      <c r="E207" s="145">
        <f>VLOOKUP($A207,'Data shares'!$C:$FA,26)*100</f>
        <v>-0.32</v>
      </c>
      <c r="F207" s="144">
        <f>VLOOKUP($A207,'Data shares'!$C:$FA,24)</f>
        <v>0.15</v>
      </c>
      <c r="G207" s="144">
        <f>VLOOKUP($A207,'Data shares'!$C:$FA,25)</f>
        <v>-1.3</v>
      </c>
    </row>
    <row r="208" spans="1:7" x14ac:dyDescent="0.25">
      <c r="A208" s="101" t="str">
        <f>'Data shares'!C204</f>
        <v>TORNTPHARM</v>
      </c>
      <c r="B208" s="144">
        <f>VLOOKUP($A208,'Data shares'!$C:$FA,7)</f>
        <v>4191.2</v>
      </c>
      <c r="C208" s="144">
        <f>VLOOKUP($A208,'Data shares'!$C:$FA,3)</f>
        <v>4175.2</v>
      </c>
      <c r="D208" s="144">
        <f>VLOOKUP($A208,'Data shares'!$C:$FA,23)</f>
        <v>-16</v>
      </c>
      <c r="E208" s="145">
        <f>VLOOKUP($A208,'Data shares'!$C:$FA,26)*100</f>
        <v>-0.38</v>
      </c>
      <c r="F208" s="144">
        <f>VLOOKUP($A208,'Data shares'!$C:$FA,24)</f>
        <v>-4.7</v>
      </c>
      <c r="G208" s="144">
        <f>VLOOKUP($A208,'Data shares'!$C:$FA,25)</f>
        <v>-11.3</v>
      </c>
    </row>
    <row r="209" spans="1:7" x14ac:dyDescent="0.25">
      <c r="A209" s="101" t="str">
        <f>'Data shares'!C205</f>
        <v>TORNTPOWER</v>
      </c>
      <c r="B209" s="144">
        <f>VLOOKUP($A209,'Data shares'!$C:$FA,7)</f>
        <v>1606.3</v>
      </c>
      <c r="C209" s="144">
        <f>VLOOKUP($A209,'Data shares'!$C:$FA,3)</f>
        <v>1609</v>
      </c>
      <c r="D209" s="144">
        <f>VLOOKUP($A209,'Data shares'!$C:$FA,23)</f>
        <v>2.7</v>
      </c>
      <c r="E209" s="145">
        <f>VLOOKUP($A209,'Data shares'!$C:$FA,26)*100</f>
        <v>0.16999999999999998</v>
      </c>
      <c r="F209" s="144">
        <f>VLOOKUP($A209,'Data shares'!$C:$FA,24)</f>
        <v>-0.2</v>
      </c>
      <c r="G209" s="144">
        <f>VLOOKUP($A209,'Data shares'!$C:$FA,25)</f>
        <v>2.9</v>
      </c>
    </row>
    <row r="210" spans="1:7" x14ac:dyDescent="0.25">
      <c r="A210" s="101" t="str">
        <f>'Data shares'!C206</f>
        <v>TRENT</v>
      </c>
      <c r="B210" s="144">
        <f>VLOOKUP($A210,'Data shares'!$C:$FA,7)</f>
        <v>4242.8</v>
      </c>
      <c r="C210" s="144">
        <f>VLOOKUP($A210,'Data shares'!$C:$FA,3)</f>
        <v>4238</v>
      </c>
      <c r="D210" s="144">
        <f>VLOOKUP($A210,'Data shares'!$C:$FA,23)</f>
        <v>-4.8</v>
      </c>
      <c r="E210" s="145">
        <f>VLOOKUP($A210,'Data shares'!$C:$FA,26)*100</f>
        <v>-0.11</v>
      </c>
      <c r="F210" s="144">
        <f>VLOOKUP($A210,'Data shares'!$C:$FA,24)</f>
        <v>0.7</v>
      </c>
      <c r="G210" s="144">
        <f>VLOOKUP($A210,'Data shares'!$C:$FA,25)</f>
        <v>-5.5</v>
      </c>
    </row>
    <row r="211" spans="1:7" x14ac:dyDescent="0.25">
      <c r="A211" s="101" t="str">
        <f>'Data shares'!C207</f>
        <v>TVSMOTOR</v>
      </c>
      <c r="B211" s="144">
        <f>VLOOKUP($A211,'Data shares'!$C:$FA,7)</f>
        <v>3761.9</v>
      </c>
      <c r="C211" s="144">
        <f>VLOOKUP($A211,'Data shares'!$C:$FA,3)</f>
        <v>3769.8</v>
      </c>
      <c r="D211" s="144">
        <f>VLOOKUP($A211,'Data shares'!$C:$FA,23)</f>
        <v>7.9</v>
      </c>
      <c r="E211" s="145">
        <f>VLOOKUP($A211,'Data shares'!$C:$FA,26)*100</f>
        <v>0.21</v>
      </c>
      <c r="F211" s="144">
        <f>VLOOKUP($A211,'Data shares'!$C:$FA,24)</f>
        <v>11.5</v>
      </c>
      <c r="G211" s="144">
        <f>VLOOKUP($A211,'Data shares'!$C:$FA,25)</f>
        <v>-3.6</v>
      </c>
    </row>
    <row r="212" spans="1:7" x14ac:dyDescent="0.25">
      <c r="A212" s="101" t="str">
        <f>'Data shares'!C208</f>
        <v>ULTRACEMCO</v>
      </c>
      <c r="B212" s="144">
        <f>VLOOKUP($A212,'Data shares'!$C:$FA,7)</f>
        <v>11917</v>
      </c>
      <c r="C212" s="144">
        <f>VLOOKUP($A212,'Data shares'!$C:$FA,3)</f>
        <v>11897</v>
      </c>
      <c r="D212" s="144">
        <f>VLOOKUP($A212,'Data shares'!$C:$FA,23)</f>
        <v>-20</v>
      </c>
      <c r="E212" s="145">
        <f>VLOOKUP($A212,'Data shares'!$C:$FA,26)*100</f>
        <v>-0.16999999999999998</v>
      </c>
      <c r="F212" s="144">
        <f>VLOOKUP($A212,'Data shares'!$C:$FA,24)</f>
        <v>-2</v>
      </c>
      <c r="G212" s="144">
        <f>VLOOKUP($A212,'Data shares'!$C:$FA,25)</f>
        <v>-18</v>
      </c>
    </row>
    <row r="213" spans="1:7" x14ac:dyDescent="0.25">
      <c r="A213" s="101" t="str">
        <f>'Data shares'!C209</f>
        <v>UNIONBANK</v>
      </c>
      <c r="B213" s="144">
        <f>VLOOKUP($A213,'Data shares'!$C:$FA,7)</f>
        <v>189.29</v>
      </c>
      <c r="C213" s="144">
        <f>VLOOKUP($A213,'Data shares'!$C:$FA,3)</f>
        <v>189.55</v>
      </c>
      <c r="D213" s="144">
        <f>VLOOKUP($A213,'Data shares'!$C:$FA,23)</f>
        <v>0.26</v>
      </c>
      <c r="E213" s="145">
        <f>VLOOKUP($A213,'Data shares'!$C:$FA,26)*100</f>
        <v>0.13999999999999999</v>
      </c>
      <c r="F213" s="144">
        <f>VLOOKUP($A213,'Data shares'!$C:$FA,24)</f>
        <v>-0.4</v>
      </c>
      <c r="G213" s="144">
        <f>VLOOKUP($A213,'Data shares'!$C:$FA,25)</f>
        <v>0.66</v>
      </c>
    </row>
    <row r="214" spans="1:7" x14ac:dyDescent="0.25">
      <c r="A214" s="101" t="str">
        <f>'Data shares'!C210</f>
        <v>UNITDSPR</v>
      </c>
      <c r="B214" s="144">
        <f>VLOOKUP($A214,'Data shares'!$C:$FA,7)</f>
        <v>1307.7</v>
      </c>
      <c r="C214" s="144">
        <f>VLOOKUP($A214,'Data shares'!$C:$FA,3)</f>
        <v>1309.7</v>
      </c>
      <c r="D214" s="144">
        <f>VLOOKUP($A214,'Data shares'!$C:$FA,23)</f>
        <v>2</v>
      </c>
      <c r="E214" s="145">
        <f>VLOOKUP($A214,'Data shares'!$C:$FA,26)*100</f>
        <v>0.15</v>
      </c>
      <c r="F214" s="144">
        <f>VLOOKUP($A214,'Data shares'!$C:$FA,24)</f>
        <v>2.8</v>
      </c>
      <c r="G214" s="144">
        <f>VLOOKUP($A214,'Data shares'!$C:$FA,25)</f>
        <v>-0.8</v>
      </c>
    </row>
    <row r="215" spans="1:7" x14ac:dyDescent="0.25">
      <c r="A215" s="101" t="str">
        <f>'Data shares'!C211</f>
        <v>UNOMINDA</v>
      </c>
      <c r="B215" s="144">
        <f>VLOOKUP($A215,'Data shares'!$C:$FA,7)</f>
        <v>1129.4000000000001</v>
      </c>
      <c r="C215" s="144">
        <f>VLOOKUP($A215,'Data shares'!$C:$FA,3)</f>
        <v>1127.5</v>
      </c>
      <c r="D215" s="144">
        <f>VLOOKUP($A215,'Data shares'!$C:$FA,23)</f>
        <v>-1.9</v>
      </c>
      <c r="E215" s="145">
        <f>VLOOKUP($A215,'Data shares'!$C:$FA,26)*100</f>
        <v>-0.16999999999999998</v>
      </c>
      <c r="F215" s="144">
        <f>VLOOKUP($A215,'Data shares'!$C:$FA,24)</f>
        <v>0.3</v>
      </c>
      <c r="G215" s="144">
        <f>VLOOKUP($A215,'Data shares'!$C:$FA,25)</f>
        <v>-2.2000000000000002</v>
      </c>
    </row>
    <row r="216" spans="1:7" x14ac:dyDescent="0.25">
      <c r="A216" s="101" t="str">
        <f>'Data shares'!C212</f>
        <v>UPL</v>
      </c>
      <c r="B216" s="144">
        <f>VLOOKUP($A216,'Data shares'!$C:$FA,7)</f>
        <v>656.65</v>
      </c>
      <c r="C216" s="144">
        <f>VLOOKUP($A216,'Data shares'!$C:$FA,3)</f>
        <v>657.75</v>
      </c>
      <c r="D216" s="144">
        <f>VLOOKUP($A216,'Data shares'!$C:$FA,23)</f>
        <v>1.1000000000000001</v>
      </c>
      <c r="E216" s="145">
        <f>VLOOKUP($A216,'Data shares'!$C:$FA,26)*100</f>
        <v>0.16999999999999998</v>
      </c>
      <c r="F216" s="144">
        <f>VLOOKUP($A216,'Data shares'!$C:$FA,24)</f>
        <v>1.65</v>
      </c>
      <c r="G216" s="144">
        <f>VLOOKUP($A216,'Data shares'!$C:$FA,25)</f>
        <v>-0.55000000000000004</v>
      </c>
    </row>
    <row r="217" spans="1:7" x14ac:dyDescent="0.25">
      <c r="A217" s="101" t="str">
        <f>'Data shares'!C213</f>
        <v>VBL</v>
      </c>
      <c r="B217" s="144">
        <f>VLOOKUP($A217,'Data shares'!$C:$FA,7)</f>
        <v>466.55</v>
      </c>
      <c r="C217" s="144">
        <f>VLOOKUP($A217,'Data shares'!$C:$FA,3)</f>
        <v>467.75</v>
      </c>
      <c r="D217" s="144">
        <f>VLOOKUP($A217,'Data shares'!$C:$FA,23)</f>
        <v>1.2</v>
      </c>
      <c r="E217" s="145">
        <f>VLOOKUP($A217,'Data shares'!$C:$FA,26)*100</f>
        <v>0.26</v>
      </c>
      <c r="F217" s="144">
        <f>VLOOKUP($A217,'Data shares'!$C:$FA,24)</f>
        <v>-0.25</v>
      </c>
      <c r="G217" s="144">
        <f>VLOOKUP($A217,'Data shares'!$C:$FA,25)</f>
        <v>1.45</v>
      </c>
    </row>
    <row r="218" spans="1:7" x14ac:dyDescent="0.25">
      <c r="A218" s="101" t="str">
        <f>'Data shares'!C214</f>
        <v>VEDL</v>
      </c>
      <c r="B218" s="144">
        <f>VLOOKUP($A218,'Data shares'!$C:$FA,7)</f>
        <v>771</v>
      </c>
      <c r="C218" s="144">
        <f>VLOOKUP($A218,'Data shares'!$C:$FA,3)</f>
        <v>772.45</v>
      </c>
      <c r="D218" s="144">
        <f>VLOOKUP($A218,'Data shares'!$C:$FA,23)</f>
        <v>1.45</v>
      </c>
      <c r="E218" s="145">
        <f>VLOOKUP($A218,'Data shares'!$C:$FA,26)*100</f>
        <v>0.19</v>
      </c>
      <c r="F218" s="144">
        <f>VLOOKUP($A218,'Data shares'!$C:$FA,24)</f>
        <v>1.25</v>
      </c>
      <c r="G218" s="144">
        <f>VLOOKUP($A218,'Data shares'!$C:$FA,25)</f>
        <v>0.2</v>
      </c>
    </row>
    <row r="219" spans="1:7" x14ac:dyDescent="0.25">
      <c r="A219" s="101" t="str">
        <f>'Data shares'!C215</f>
        <v>VMM</v>
      </c>
      <c r="B219" s="144">
        <f>VLOOKUP($A219,'Data shares'!$C:$FA,7)</f>
        <v>118.61</v>
      </c>
      <c r="C219" s="144">
        <f>VLOOKUP($A219,'Data shares'!$C:$FA,3)</f>
        <v>118.48</v>
      </c>
      <c r="D219" s="144">
        <f>VLOOKUP($A219,'Data shares'!$C:$FA,23)</f>
        <v>-0.13</v>
      </c>
      <c r="E219" s="145">
        <f>VLOOKUP($A219,'Data shares'!$C:$FA,26)*100</f>
        <v>-0.11</v>
      </c>
      <c r="F219" s="144">
        <f>VLOOKUP($A219,'Data shares'!$C:$FA,24)</f>
        <v>-0.1</v>
      </c>
      <c r="G219" s="144">
        <f>VLOOKUP($A219,'Data shares'!$C:$FA,25)</f>
        <v>-0.03</v>
      </c>
    </row>
    <row r="220" spans="1:7" x14ac:dyDescent="0.25">
      <c r="A220" s="101" t="str">
        <f>'Data shares'!C216</f>
        <v>VOLTAS</v>
      </c>
      <c r="B220" s="144">
        <f>VLOOKUP($A220,'Data shares'!$C:$FA,7)</f>
        <v>1438</v>
      </c>
      <c r="C220" s="144">
        <f>VLOOKUP($A220,'Data shares'!$C:$FA,3)</f>
        <v>1440.9</v>
      </c>
      <c r="D220" s="144">
        <f>VLOOKUP($A220,'Data shares'!$C:$FA,23)</f>
        <v>2.9</v>
      </c>
      <c r="E220" s="145">
        <f>VLOOKUP($A220,'Data shares'!$C:$FA,26)*100</f>
        <v>0.2</v>
      </c>
      <c r="F220" s="144">
        <f>VLOOKUP($A220,'Data shares'!$C:$FA,24)</f>
        <v>1.4</v>
      </c>
      <c r="G220" s="144">
        <f>VLOOKUP($A220,'Data shares'!$C:$FA,25)</f>
        <v>1.5</v>
      </c>
    </row>
    <row r="221" spans="1:7" x14ac:dyDescent="0.25">
      <c r="A221" s="101" t="str">
        <f>'Data shares'!C217</f>
        <v>WAAREEENER</v>
      </c>
      <c r="B221" s="144">
        <f>VLOOKUP($A221,'Data shares'!$C:$FA,7)</f>
        <v>3489.1</v>
      </c>
      <c r="C221" s="144">
        <f>VLOOKUP($A221,'Data shares'!$C:$FA,3)</f>
        <v>3496.8</v>
      </c>
      <c r="D221" s="144">
        <f>VLOOKUP($A221,'Data shares'!$C:$FA,23)</f>
        <v>7.7</v>
      </c>
      <c r="E221" s="145">
        <f>VLOOKUP($A221,'Data shares'!$C:$FA,26)*100</f>
        <v>0.22</v>
      </c>
      <c r="F221" s="144">
        <f>VLOOKUP($A221,'Data shares'!$C:$FA,24)</f>
        <v>4.0999999999999996</v>
      </c>
      <c r="G221" s="144">
        <f>VLOOKUP($A221,'Data shares'!$C:$FA,25)</f>
        <v>3.6</v>
      </c>
    </row>
    <row r="222" spans="1:7" x14ac:dyDescent="0.25">
      <c r="A222" s="101" t="str">
        <f>'Data shares'!C218</f>
        <v>WIPRO</v>
      </c>
      <c r="B222" s="144">
        <f>VLOOKUP($A222,'Data shares'!$C:$FA,7)</f>
        <v>202.48</v>
      </c>
      <c r="C222" s="144">
        <f>VLOOKUP($A222,'Data shares'!$C:$FA,3)</f>
        <v>201.8</v>
      </c>
      <c r="D222" s="144">
        <f>VLOOKUP($A222,'Data shares'!$C:$FA,23)</f>
        <v>-0.68</v>
      </c>
      <c r="E222" s="145">
        <f>VLOOKUP($A222,'Data shares'!$C:$FA,26)*100</f>
        <v>-0.33999999999999997</v>
      </c>
      <c r="F222" s="144">
        <f>VLOOKUP($A222,'Data shares'!$C:$FA,24)</f>
        <v>-1.95</v>
      </c>
      <c r="G222" s="144">
        <f>VLOOKUP($A222,'Data shares'!$C:$FA,25)</f>
        <v>1.27</v>
      </c>
    </row>
    <row r="223" spans="1:7" x14ac:dyDescent="0.25">
      <c r="A223" s="101" t="str">
        <f>'Data shares'!C219</f>
        <v>YESBANK</v>
      </c>
      <c r="B223" s="144">
        <f>VLOOKUP($A223,'Data shares'!$C:$FA,7)</f>
        <v>19.84</v>
      </c>
      <c r="C223" s="144">
        <f>VLOOKUP($A223,'Data shares'!$C:$FA,3)</f>
        <v>19.82</v>
      </c>
      <c r="D223" s="144">
        <f>VLOOKUP($A223,'Data shares'!$C:$FA,23)</f>
        <v>-0.02</v>
      </c>
      <c r="E223" s="145">
        <f>VLOOKUP($A223,'Data shares'!$C:$FA,26)*100</f>
        <v>-0.1</v>
      </c>
      <c r="F223" s="144">
        <f>VLOOKUP($A223,'Data shares'!$C:$FA,24)</f>
        <v>7.0000000000000007E-2</v>
      </c>
      <c r="G223" s="144">
        <f>VLOOKUP($A223,'Data shares'!$C:$FA,25)</f>
        <v>-0.09</v>
      </c>
    </row>
    <row r="224" spans="1:7" x14ac:dyDescent="0.25">
      <c r="A224" s="101" t="str">
        <f>'Data shares'!C220</f>
        <v>ZYDUSLIFE</v>
      </c>
      <c r="B224" s="144">
        <f>VLOOKUP($A224,'Data shares'!$C:$FA,7)</f>
        <v>936.5</v>
      </c>
      <c r="C224" s="144">
        <f>VLOOKUP($A224,'Data shares'!$C:$FA,3)</f>
        <v>935.5</v>
      </c>
      <c r="D224" s="144">
        <f>VLOOKUP($A224,'Data shares'!$C:$FA,23)</f>
        <v>-1</v>
      </c>
      <c r="E224" s="145">
        <f>VLOOKUP($A224,'Data shares'!$C:$FA,26)*100</f>
        <v>-0.11</v>
      </c>
      <c r="F224" s="144">
        <f>VLOOKUP($A224,'Data shares'!$C:$FA,24)</f>
        <v>2.2999999999999998</v>
      </c>
      <c r="G224" s="144">
        <f>VLOOKUP($A224,'Data shares'!$C:$FA,25)</f>
        <v>-3.3</v>
      </c>
    </row>
    <row r="225" spans="1:7" x14ac:dyDescent="0.25">
      <c r="A225" s="101"/>
      <c r="B225" s="144"/>
      <c r="C225" s="144"/>
      <c r="D225" s="144"/>
      <c r="E225" s="145"/>
      <c r="F225" s="144"/>
      <c r="G225" s="144"/>
    </row>
    <row r="226" spans="1:7" x14ac:dyDescent="0.25">
      <c r="A226" s="101"/>
      <c r="B226" s="144"/>
      <c r="C226" s="144"/>
      <c r="D226" s="144"/>
      <c r="E226" s="145"/>
      <c r="F226" s="144"/>
      <c r="G226" s="144"/>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29"/>
  <sheetViews>
    <sheetView workbookViewId="0">
      <pane ySplit="6" topLeftCell="A195" activePane="bottomLeft" state="frozen"/>
      <selection pane="bottomLeft" activeCell="A7" sqref="A7:A225"/>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3" t="s">
        <v>370</v>
      </c>
      <c r="B3" s="314"/>
      <c r="C3" s="314"/>
      <c r="D3" s="314"/>
      <c r="E3" s="314"/>
      <c r="F3" s="314"/>
      <c r="G3" s="315"/>
    </row>
    <row r="4" spans="1:7" x14ac:dyDescent="0.25">
      <c r="A4" s="317" t="s">
        <v>318</v>
      </c>
      <c r="B4" s="251" t="s">
        <v>371</v>
      </c>
      <c r="C4" s="251"/>
      <c r="D4" s="251"/>
      <c r="E4" s="251"/>
      <c r="F4" s="251"/>
      <c r="G4" s="251"/>
    </row>
    <row r="5" spans="1:7" x14ac:dyDescent="0.25">
      <c r="A5" s="318"/>
      <c r="B5" s="316" t="s">
        <v>372</v>
      </c>
      <c r="C5" s="316"/>
      <c r="D5" s="316"/>
      <c r="E5" s="316" t="s">
        <v>373</v>
      </c>
      <c r="F5" s="316"/>
      <c r="G5" s="316"/>
    </row>
    <row r="6" spans="1:7" x14ac:dyDescent="0.25">
      <c r="A6" s="251"/>
      <c r="B6" s="2" t="s">
        <v>374</v>
      </c>
      <c r="C6" s="2" t="s">
        <v>375</v>
      </c>
      <c r="D6" s="2" t="s">
        <v>376</v>
      </c>
      <c r="E6" s="2" t="s">
        <v>377</v>
      </c>
      <c r="F6" s="2" t="s">
        <v>378</v>
      </c>
      <c r="G6" s="2" t="s">
        <v>379</v>
      </c>
    </row>
    <row r="7" spans="1:7" x14ac:dyDescent="0.25">
      <c r="A7" s="49" t="str">
        <f>'Data Vlaue (Cr)'!C2</f>
        <v>360ONE</v>
      </c>
      <c r="B7" s="50">
        <f>VLOOKUP($A7,'Data shares'!$C:$FM,102)</f>
        <v>51.66</v>
      </c>
      <c r="C7" s="50">
        <f>VLOOKUP($A7,'Data shares'!$C:$FM,110)</f>
        <v>50.87</v>
      </c>
      <c r="D7" s="50">
        <f>VLOOKUP($A7,'Data shares'!$C:$FM,114)</f>
        <v>53.64</v>
      </c>
      <c r="E7" s="50">
        <f>VLOOKUP($A7,'Data shares'!$C:$FM,106)</f>
        <v>42.1</v>
      </c>
      <c r="F7" s="50">
        <f>VLOOKUP($A7,'Data shares'!$C:$FM,108)</f>
        <v>9.56</v>
      </c>
      <c r="G7" s="50">
        <f t="shared" ref="G7:G38" si="0">B7/E7</f>
        <v>1.2270783847980997</v>
      </c>
    </row>
    <row r="8" spans="1:7" x14ac:dyDescent="0.25">
      <c r="A8" s="49" t="str">
        <f>'Data Vlaue (Cr)'!C3</f>
        <v>ABB</v>
      </c>
      <c r="B8" s="50">
        <f>VLOOKUP($A8,'Data shares'!$C:$FM,102)</f>
        <v>39.119999999999997</v>
      </c>
      <c r="C8" s="50">
        <f>VLOOKUP($A8,'Data shares'!$C:$FM,110)</f>
        <v>38.549999999999997</v>
      </c>
      <c r="D8" s="50">
        <f>VLOOKUP($A8,'Data shares'!$C:$FM,114)</f>
        <v>40.71</v>
      </c>
      <c r="E8" s="50">
        <f>VLOOKUP($A8,'Data shares'!$C:$FM,106)</f>
        <v>37.090000000000003</v>
      </c>
      <c r="F8" s="50">
        <f>VLOOKUP($A8,'Data shares'!$C:$FM,108)</f>
        <v>2.0299999999999998</v>
      </c>
      <c r="G8" s="50">
        <f t="shared" si="0"/>
        <v>1.0547317336209219</v>
      </c>
    </row>
    <row r="9" spans="1:7" x14ac:dyDescent="0.25">
      <c r="A9" s="49" t="str">
        <f>'Data Vlaue (Cr)'!C4</f>
        <v>ABCAPITAL</v>
      </c>
      <c r="B9" s="50">
        <f>VLOOKUP($A9,'Data shares'!$C:$FM,102)</f>
        <v>42.57</v>
      </c>
      <c r="C9" s="50">
        <f>VLOOKUP($A9,'Data shares'!$C:$FM,110)</f>
        <v>41.91</v>
      </c>
      <c r="D9" s="50">
        <f>VLOOKUP($A9,'Data shares'!$C:$FM,114)</f>
        <v>44.03</v>
      </c>
      <c r="E9" s="50">
        <f>VLOOKUP($A9,'Data shares'!$C:$FM,106)</f>
        <v>41.39</v>
      </c>
      <c r="F9" s="50">
        <f>VLOOKUP($A9,'Data shares'!$C:$FM,108)</f>
        <v>1.18</v>
      </c>
      <c r="G9" s="50">
        <f t="shared" si="0"/>
        <v>1.028509301763711</v>
      </c>
    </row>
    <row r="10" spans="1:7" x14ac:dyDescent="0.25">
      <c r="A10" s="49" t="str">
        <f>'Data Vlaue (Cr)'!C5</f>
        <v>ADANIENSOL</v>
      </c>
      <c r="B10" s="50">
        <f>VLOOKUP($A10,'Data shares'!$C:$FM,102)</f>
        <v>55.23</v>
      </c>
      <c r="C10" s="50">
        <f>VLOOKUP($A10,'Data shares'!$C:$FM,110)</f>
        <v>55.51</v>
      </c>
      <c r="D10" s="50">
        <f>VLOOKUP($A10,'Data shares'!$C:$FM,114)</f>
        <v>54.49</v>
      </c>
      <c r="E10" s="50">
        <f>VLOOKUP($A10,'Data shares'!$C:$FM,106)</f>
        <v>55.67</v>
      </c>
      <c r="F10" s="50">
        <f>VLOOKUP($A10,'Data shares'!$C:$FM,108)</f>
        <v>-0.44</v>
      </c>
      <c r="G10" s="50">
        <f t="shared" si="0"/>
        <v>0.99209628165978081</v>
      </c>
    </row>
    <row r="11" spans="1:7" x14ac:dyDescent="0.25">
      <c r="A11" s="49" t="str">
        <f>'Data Vlaue (Cr)'!C6</f>
        <v>ADANIENT</v>
      </c>
      <c r="B11" s="50">
        <f>VLOOKUP($A11,'Data shares'!$C:$FM,102)</f>
        <v>42.31</v>
      </c>
      <c r="C11" s="50">
        <f>VLOOKUP($A11,'Data shares'!$C:$FM,110)</f>
        <v>41.18</v>
      </c>
      <c r="D11" s="50">
        <f>VLOOKUP($A11,'Data shares'!$C:$FM,114)</f>
        <v>44.49</v>
      </c>
      <c r="E11" s="50">
        <f>VLOOKUP($A11,'Data shares'!$C:$FM,106)</f>
        <v>49.51</v>
      </c>
      <c r="F11" s="50">
        <f>VLOOKUP($A11,'Data shares'!$C:$FM,108)</f>
        <v>-7.2</v>
      </c>
      <c r="G11" s="50">
        <f t="shared" si="0"/>
        <v>0.85457483336699669</v>
      </c>
    </row>
    <row r="12" spans="1:7" x14ac:dyDescent="0.25">
      <c r="A12" s="49" t="str">
        <f>'Data Vlaue (Cr)'!C7</f>
        <v>ADANIGREEN</v>
      </c>
      <c r="B12" s="50">
        <f>VLOOKUP($A12,'Data shares'!$C:$FM,102)</f>
        <v>53.56</v>
      </c>
      <c r="C12" s="50">
        <f>VLOOKUP($A12,'Data shares'!$C:$FM,110)</f>
        <v>52.6</v>
      </c>
      <c r="D12" s="50">
        <f>VLOOKUP($A12,'Data shares'!$C:$FM,114)</f>
        <v>55.81</v>
      </c>
      <c r="E12" s="50">
        <f>VLOOKUP($A12,'Data shares'!$C:$FM,106)</f>
        <v>59.22</v>
      </c>
      <c r="F12" s="50">
        <f>VLOOKUP($A12,'Data shares'!$C:$FM,108)</f>
        <v>-5.66</v>
      </c>
      <c r="G12" s="50">
        <f t="shared" si="0"/>
        <v>0.90442418101992572</v>
      </c>
    </row>
    <row r="13" spans="1:7" x14ac:dyDescent="0.25">
      <c r="A13" s="49" t="str">
        <f>'Data Vlaue (Cr)'!C8</f>
        <v>ADANIPORTS</v>
      </c>
      <c r="B13" s="50">
        <f>VLOOKUP($A13,'Data shares'!$C:$FM,102)</f>
        <v>35.619999999999997</v>
      </c>
      <c r="C13" s="50">
        <f>VLOOKUP($A13,'Data shares'!$C:$FM,110)</f>
        <v>34.18</v>
      </c>
      <c r="D13" s="50">
        <f>VLOOKUP($A13,'Data shares'!$C:$FM,114)</f>
        <v>38.130000000000003</v>
      </c>
      <c r="E13" s="50">
        <f>VLOOKUP($A13,'Data shares'!$C:$FM,106)</f>
        <v>40.22</v>
      </c>
      <c r="F13" s="50">
        <f>VLOOKUP($A13,'Data shares'!$C:$FM,108)</f>
        <v>-4.5999999999999996</v>
      </c>
      <c r="G13" s="50">
        <f t="shared" si="0"/>
        <v>0.88562904027846834</v>
      </c>
    </row>
    <row r="14" spans="1:7" x14ac:dyDescent="0.25">
      <c r="A14" s="49" t="str">
        <f>'Data Vlaue (Cr)'!C9</f>
        <v>ADANIPOWER</v>
      </c>
      <c r="B14" s="50">
        <f>VLOOKUP($A14,'Data shares'!$C:$FM,102)</f>
        <v>66.92</v>
      </c>
      <c r="C14" s="50">
        <f>VLOOKUP($A14,'Data shares'!$C:$FM,110)</f>
        <v>67.69</v>
      </c>
      <c r="D14" s="50">
        <f>VLOOKUP($A14,'Data shares'!$C:$FM,114)</f>
        <v>64.63</v>
      </c>
      <c r="E14" s="50">
        <f>VLOOKUP($A14,'Data shares'!$C:$FM,106)</f>
        <v>52.56</v>
      </c>
      <c r="F14" s="50">
        <f>VLOOKUP($A14,'Data shares'!$C:$FM,108)</f>
        <v>14.36</v>
      </c>
      <c r="G14" s="50">
        <f t="shared" si="0"/>
        <v>1.2732115677321156</v>
      </c>
    </row>
    <row r="15" spans="1:7" x14ac:dyDescent="0.25">
      <c r="A15" s="49" t="str">
        <f>'Data Vlaue (Cr)'!C10</f>
        <v>ALKEM</v>
      </c>
      <c r="B15" s="50">
        <f>VLOOKUP($A15,'Data shares'!$C:$FM,102)</f>
        <v>30.35</v>
      </c>
      <c r="C15" s="50">
        <f>VLOOKUP($A15,'Data shares'!$C:$FM,110)</f>
        <v>30.2</v>
      </c>
      <c r="D15" s="50">
        <f>VLOOKUP($A15,'Data shares'!$C:$FM,114)</f>
        <v>30.97</v>
      </c>
      <c r="E15" s="50">
        <f>VLOOKUP($A15,'Data shares'!$C:$FM,106)</f>
        <v>28.5</v>
      </c>
      <c r="F15" s="50">
        <f>VLOOKUP($A15,'Data shares'!$C:$FM,108)</f>
        <v>1.85</v>
      </c>
      <c r="G15" s="50">
        <f t="shared" si="0"/>
        <v>1.0649122807017544</v>
      </c>
    </row>
    <row r="16" spans="1:7" x14ac:dyDescent="0.25">
      <c r="A16" s="49" t="str">
        <f>'Data Vlaue (Cr)'!C11</f>
        <v>AMBER</v>
      </c>
      <c r="B16" s="50">
        <f>VLOOKUP($A16,'Data shares'!$C:$FM,102)</f>
        <v>48.08</v>
      </c>
      <c r="C16" s="50">
        <f>VLOOKUP($A16,'Data shares'!$C:$FM,110)</f>
        <v>47.39</v>
      </c>
      <c r="D16" s="50">
        <f>VLOOKUP($A16,'Data shares'!$C:$FM,114)</f>
        <v>48.99</v>
      </c>
      <c r="E16" s="50">
        <f>VLOOKUP($A16,'Data shares'!$C:$FM,106)</f>
        <v>54.19</v>
      </c>
      <c r="F16" s="50">
        <f>VLOOKUP($A16,'Data shares'!$C:$FM,108)</f>
        <v>-6.11</v>
      </c>
      <c r="G16" s="50">
        <f t="shared" si="0"/>
        <v>0.8872485698468352</v>
      </c>
    </row>
    <row r="17" spans="1:7" x14ac:dyDescent="0.25">
      <c r="A17" s="49" t="str">
        <f>'Data Vlaue (Cr)'!C12</f>
        <v>AMBUJACEM</v>
      </c>
      <c r="B17" s="50">
        <f>VLOOKUP($A17,'Data shares'!$C:$FM,102)</f>
        <v>39.33</v>
      </c>
      <c r="C17" s="50">
        <f>VLOOKUP($A17,'Data shares'!$C:$FM,110)</f>
        <v>39.15</v>
      </c>
      <c r="D17" s="50">
        <f>VLOOKUP($A17,'Data shares'!$C:$FM,114)</f>
        <v>39.85</v>
      </c>
      <c r="E17" s="50">
        <f>VLOOKUP($A17,'Data shares'!$C:$FM,106)</f>
        <v>36.71</v>
      </c>
      <c r="F17" s="50">
        <f>VLOOKUP($A17,'Data shares'!$C:$FM,108)</f>
        <v>2.62</v>
      </c>
      <c r="G17" s="50">
        <f t="shared" si="0"/>
        <v>1.0713701988558975</v>
      </c>
    </row>
    <row r="18" spans="1:7" x14ac:dyDescent="0.25">
      <c r="A18" s="49" t="str">
        <f>'Data Vlaue (Cr)'!C13</f>
        <v>ANGELONE</v>
      </c>
      <c r="B18" s="50">
        <f>VLOOKUP($A18,'Data shares'!$C:$FM,102)</f>
        <v>48.05</v>
      </c>
      <c r="C18" s="50">
        <f>VLOOKUP($A18,'Data shares'!$C:$FM,110)</f>
        <v>47.11</v>
      </c>
      <c r="D18" s="50">
        <f>VLOOKUP($A18,'Data shares'!$C:$FM,114)</f>
        <v>49.33</v>
      </c>
      <c r="E18" s="50">
        <f>VLOOKUP($A18,'Data shares'!$C:$FM,106)</f>
        <v>57.37</v>
      </c>
      <c r="F18" s="50">
        <f>VLOOKUP($A18,'Data shares'!$C:$FM,108)</f>
        <v>-9.32</v>
      </c>
      <c r="G18" s="50">
        <f t="shared" si="0"/>
        <v>0.83754575562140487</v>
      </c>
    </row>
    <row r="19" spans="1:7" x14ac:dyDescent="0.25">
      <c r="A19" s="49" t="str">
        <f>'Data Vlaue (Cr)'!C14</f>
        <v>APLAPOLLO</v>
      </c>
      <c r="B19" s="50">
        <f>VLOOKUP($A19,'Data shares'!$C:$FM,102)</f>
        <v>35.479999999999997</v>
      </c>
      <c r="C19" s="50">
        <f>VLOOKUP($A19,'Data shares'!$C:$FM,110)</f>
        <v>34.64</v>
      </c>
      <c r="D19" s="50">
        <f>VLOOKUP($A19,'Data shares'!$C:$FM,114)</f>
        <v>37.54</v>
      </c>
      <c r="E19" s="50">
        <f>VLOOKUP($A19,'Data shares'!$C:$FM,106)</f>
        <v>36.04</v>
      </c>
      <c r="F19" s="50">
        <f>VLOOKUP($A19,'Data shares'!$C:$FM,108)</f>
        <v>-0.56000000000000005</v>
      </c>
      <c r="G19" s="50">
        <f t="shared" si="0"/>
        <v>0.98446170921198661</v>
      </c>
    </row>
    <row r="20" spans="1:7" x14ac:dyDescent="0.25">
      <c r="A20" s="49" t="str">
        <f>'Data Vlaue (Cr)'!C15</f>
        <v>APOLLOHOSP</v>
      </c>
      <c r="B20" s="50">
        <f>VLOOKUP($A20,'Data shares'!$C:$FM,102)</f>
        <v>25.67</v>
      </c>
      <c r="C20" s="50">
        <f>VLOOKUP($A20,'Data shares'!$C:$FM,110)</f>
        <v>24.93</v>
      </c>
      <c r="D20" s="50">
        <f>VLOOKUP($A20,'Data shares'!$C:$FM,114)</f>
        <v>27.03</v>
      </c>
      <c r="E20" s="50">
        <f>VLOOKUP($A20,'Data shares'!$C:$FM,106)</f>
        <v>25.18</v>
      </c>
      <c r="F20" s="50">
        <f>VLOOKUP($A20,'Data shares'!$C:$FM,108)</f>
        <v>0.49</v>
      </c>
      <c r="G20" s="50">
        <f t="shared" si="0"/>
        <v>1.0194598888006354</v>
      </c>
    </row>
    <row r="21" spans="1:7" x14ac:dyDescent="0.25">
      <c r="A21" s="49" t="str">
        <f>'Data Vlaue (Cr)'!C16</f>
        <v>ASHOKLEY</v>
      </c>
      <c r="B21" s="50">
        <f>VLOOKUP($A21,'Data shares'!$C:$FM,102)</f>
        <v>44.63</v>
      </c>
      <c r="C21" s="50">
        <f>VLOOKUP($A21,'Data shares'!$C:$FM,110)</f>
        <v>43.31</v>
      </c>
      <c r="D21" s="50">
        <f>VLOOKUP($A21,'Data shares'!$C:$FM,114)</f>
        <v>47.51</v>
      </c>
      <c r="E21" s="50">
        <f>VLOOKUP($A21,'Data shares'!$C:$FM,106)</f>
        <v>42.5</v>
      </c>
      <c r="F21" s="50">
        <f>VLOOKUP($A21,'Data shares'!$C:$FM,108)</f>
        <v>2.13</v>
      </c>
      <c r="G21" s="50">
        <f t="shared" si="0"/>
        <v>1.0501176470588236</v>
      </c>
    </row>
    <row r="22" spans="1:7" x14ac:dyDescent="0.25">
      <c r="A22" s="49" t="str">
        <f>'Data Vlaue (Cr)'!C17</f>
        <v>ASIANPAINT</v>
      </c>
      <c r="B22" s="50">
        <f>VLOOKUP($A22,'Data shares'!$C:$FM,102)</f>
        <v>30.75</v>
      </c>
      <c r="C22" s="50">
        <f>VLOOKUP($A22,'Data shares'!$C:$FM,110)</f>
        <v>28.66</v>
      </c>
      <c r="D22" s="50">
        <f>VLOOKUP($A22,'Data shares'!$C:$FM,114)</f>
        <v>33.380000000000003</v>
      </c>
      <c r="E22" s="50">
        <f>VLOOKUP($A22,'Data shares'!$C:$FM,106)</f>
        <v>29.26</v>
      </c>
      <c r="F22" s="50">
        <f>VLOOKUP($A22,'Data shares'!$C:$FM,108)</f>
        <v>1.49</v>
      </c>
      <c r="G22" s="50">
        <f t="shared" si="0"/>
        <v>1.0509227614490773</v>
      </c>
    </row>
    <row r="23" spans="1:7" x14ac:dyDescent="0.25">
      <c r="A23" s="49" t="str">
        <f>'Data Vlaue (Cr)'!C18</f>
        <v>ASTRAL</v>
      </c>
      <c r="B23" s="50">
        <f>VLOOKUP($A23,'Data shares'!$C:$FM,102)</f>
        <v>40.08</v>
      </c>
      <c r="C23" s="50">
        <f>VLOOKUP($A23,'Data shares'!$C:$FM,110)</f>
        <v>40.28</v>
      </c>
      <c r="D23" s="50">
        <f>VLOOKUP($A23,'Data shares'!$C:$FM,114)</f>
        <v>39.56</v>
      </c>
      <c r="E23" s="50">
        <f>VLOOKUP($A23,'Data shares'!$C:$FM,106)</f>
        <v>35.93</v>
      </c>
      <c r="F23" s="50">
        <f>VLOOKUP($A23,'Data shares'!$C:$FM,108)</f>
        <v>4.1500000000000004</v>
      </c>
      <c r="G23" s="50">
        <f t="shared" si="0"/>
        <v>1.1155023657111049</v>
      </c>
    </row>
    <row r="24" spans="1:7" x14ac:dyDescent="0.25">
      <c r="A24" s="49" t="str">
        <f>'Data Vlaue (Cr)'!C19</f>
        <v>AUBANK</v>
      </c>
      <c r="B24" s="50">
        <f>VLOOKUP($A24,'Data shares'!$C:$FM,102)</f>
        <v>40.770000000000003</v>
      </c>
      <c r="C24" s="50">
        <f>VLOOKUP($A24,'Data shares'!$C:$FM,110)</f>
        <v>40.049999999999997</v>
      </c>
      <c r="D24" s="50">
        <f>VLOOKUP($A24,'Data shares'!$C:$FM,114)</f>
        <v>42.04</v>
      </c>
      <c r="E24" s="50">
        <f>VLOOKUP($A24,'Data shares'!$C:$FM,106)</f>
        <v>38.22</v>
      </c>
      <c r="F24" s="50">
        <f>VLOOKUP($A24,'Data shares'!$C:$FM,108)</f>
        <v>2.5499999999999998</v>
      </c>
      <c r="G24" s="50">
        <f t="shared" si="0"/>
        <v>1.0667189952904239</v>
      </c>
    </row>
    <row r="25" spans="1:7" x14ac:dyDescent="0.25">
      <c r="A25" s="49" t="str">
        <f>'Data Vlaue (Cr)'!C20</f>
        <v>AUROPHARMA</v>
      </c>
      <c r="B25" s="50">
        <f>VLOOKUP($A25,'Data shares'!$C:$FM,102)</f>
        <v>31.01</v>
      </c>
      <c r="C25" s="50">
        <f>VLOOKUP($A25,'Data shares'!$C:$FM,110)</f>
        <v>30.22</v>
      </c>
      <c r="D25" s="50">
        <f>VLOOKUP($A25,'Data shares'!$C:$FM,114)</f>
        <v>32.24</v>
      </c>
      <c r="E25" s="50">
        <f>VLOOKUP($A25,'Data shares'!$C:$FM,106)</f>
        <v>33.299999999999997</v>
      </c>
      <c r="F25" s="50">
        <f>VLOOKUP($A25,'Data shares'!$C:$FM,108)</f>
        <v>-2.29</v>
      </c>
      <c r="G25" s="50">
        <f t="shared" si="0"/>
        <v>0.9312312312312313</v>
      </c>
    </row>
    <row r="26" spans="1:7" x14ac:dyDescent="0.25">
      <c r="A26" s="49" t="str">
        <f>'Data Vlaue (Cr)'!C21</f>
        <v>AXISBANK</v>
      </c>
      <c r="B26" s="50">
        <f>VLOOKUP($A26,'Data shares'!$C:$FM,102)</f>
        <v>37.909999999999997</v>
      </c>
      <c r="C26" s="50">
        <f>VLOOKUP($A26,'Data shares'!$C:$FM,110)</f>
        <v>36.770000000000003</v>
      </c>
      <c r="D26" s="50">
        <f>VLOOKUP($A26,'Data shares'!$C:$FM,114)</f>
        <v>39.56</v>
      </c>
      <c r="E26" s="50">
        <f>VLOOKUP($A26,'Data shares'!$C:$FM,106)</f>
        <v>29.99</v>
      </c>
      <c r="F26" s="50">
        <f>VLOOKUP($A26,'Data shares'!$C:$FM,108)</f>
        <v>7.92</v>
      </c>
      <c r="G26" s="50">
        <f t="shared" si="0"/>
        <v>1.2640880293431143</v>
      </c>
    </row>
    <row r="27" spans="1:7" x14ac:dyDescent="0.25">
      <c r="A27" s="49" t="str">
        <f>'Data Vlaue (Cr)'!C22</f>
        <v>BAJAJ-AUTO</v>
      </c>
      <c r="B27" s="50">
        <f>VLOOKUP($A27,'Data shares'!$C:$FM,102)</f>
        <v>29.78</v>
      </c>
      <c r="C27" s="50">
        <f>VLOOKUP($A27,'Data shares'!$C:$FM,110)</f>
        <v>29.1</v>
      </c>
      <c r="D27" s="50">
        <f>VLOOKUP($A27,'Data shares'!$C:$FM,114)</f>
        <v>31.11</v>
      </c>
      <c r="E27" s="50">
        <f>VLOOKUP($A27,'Data shares'!$C:$FM,106)</f>
        <v>29.61</v>
      </c>
      <c r="F27" s="50">
        <f>VLOOKUP($A27,'Data shares'!$C:$FM,108)</f>
        <v>0.17</v>
      </c>
      <c r="G27" s="50">
        <f t="shared" si="0"/>
        <v>1.005741303613644</v>
      </c>
    </row>
    <row r="28" spans="1:7" x14ac:dyDescent="0.25">
      <c r="A28" s="49" t="str">
        <f>'Data Vlaue (Cr)'!C23</f>
        <v>BAJAJFINSV</v>
      </c>
      <c r="B28" s="50">
        <f>VLOOKUP($A28,'Data shares'!$C:$FM,102)</f>
        <v>30.67</v>
      </c>
      <c r="C28" s="50">
        <f>VLOOKUP($A28,'Data shares'!$C:$FM,110)</f>
        <v>30.09</v>
      </c>
      <c r="D28" s="50">
        <f>VLOOKUP($A28,'Data shares'!$C:$FM,114)</f>
        <v>31.57</v>
      </c>
      <c r="E28" s="50">
        <f>VLOOKUP($A28,'Data shares'!$C:$FM,106)</f>
        <v>30.55</v>
      </c>
      <c r="F28" s="50">
        <f>VLOOKUP($A28,'Data shares'!$C:$FM,108)</f>
        <v>0.12</v>
      </c>
      <c r="G28" s="50">
        <f t="shared" si="0"/>
        <v>1.0039279869067104</v>
      </c>
    </row>
    <row r="29" spans="1:7" x14ac:dyDescent="0.25">
      <c r="A29" s="49" t="str">
        <f>'Data Vlaue (Cr)'!C24</f>
        <v>BAJAJHLDNG</v>
      </c>
      <c r="B29" s="50">
        <f>VLOOKUP($A29,'Data shares'!$C:$FM,102)</f>
        <v>57.37</v>
      </c>
      <c r="C29" s="50">
        <f>VLOOKUP($A29,'Data shares'!$C:$FM,110)</f>
        <v>40.67</v>
      </c>
      <c r="D29" s="50">
        <f>VLOOKUP($A29,'Data shares'!$C:$FM,114)</f>
        <v>67.459999999999994</v>
      </c>
      <c r="E29" s="50">
        <f>VLOOKUP($A29,'Data shares'!$C:$FM,106)</f>
        <v>38.93</v>
      </c>
      <c r="F29" s="50">
        <f>VLOOKUP($A29,'Data shares'!$C:$FM,108)</f>
        <v>18.440000000000001</v>
      </c>
      <c r="G29" s="50">
        <f t="shared" si="0"/>
        <v>1.4736706909838171</v>
      </c>
    </row>
    <row r="30" spans="1:7" x14ac:dyDescent="0.25">
      <c r="A30" s="49" t="str">
        <f>'Data Vlaue (Cr)'!C25</f>
        <v>BAJFINANCE</v>
      </c>
      <c r="B30" s="50">
        <f>VLOOKUP($A30,'Data shares'!$C:$FM,102)</f>
        <v>35.74</v>
      </c>
      <c r="C30" s="50">
        <f>VLOOKUP($A30,'Data shares'!$C:$FM,110)</f>
        <v>34.020000000000003</v>
      </c>
      <c r="D30" s="50">
        <f>VLOOKUP($A30,'Data shares'!$C:$FM,114)</f>
        <v>38.82</v>
      </c>
      <c r="E30" s="50">
        <f>VLOOKUP($A30,'Data shares'!$C:$FM,106)</f>
        <v>35.94</v>
      </c>
      <c r="F30" s="50">
        <f>VLOOKUP($A30,'Data shares'!$C:$FM,108)</f>
        <v>-0.2</v>
      </c>
      <c r="G30" s="50">
        <f t="shared" si="0"/>
        <v>0.99443516972732349</v>
      </c>
    </row>
    <row r="31" spans="1:7" x14ac:dyDescent="0.25">
      <c r="A31" s="49" t="str">
        <f>'Data Vlaue (Cr)'!C26</f>
        <v>BANDHANBNK</v>
      </c>
      <c r="B31" s="50">
        <f>VLOOKUP($A31,'Data shares'!$C:$FM,102)</f>
        <v>47.67</v>
      </c>
      <c r="C31" s="50">
        <f>VLOOKUP($A31,'Data shares'!$C:$FM,110)</f>
        <v>46.37</v>
      </c>
      <c r="D31" s="50">
        <f>VLOOKUP($A31,'Data shares'!$C:$FM,114)</f>
        <v>49.82</v>
      </c>
      <c r="E31" s="50">
        <f>VLOOKUP($A31,'Data shares'!$C:$FM,106)</f>
        <v>45.91</v>
      </c>
      <c r="F31" s="50">
        <f>VLOOKUP($A31,'Data shares'!$C:$FM,108)</f>
        <v>1.76</v>
      </c>
      <c r="G31" s="50">
        <f t="shared" si="0"/>
        <v>1.038335874537138</v>
      </c>
    </row>
    <row r="32" spans="1:7" x14ac:dyDescent="0.25">
      <c r="A32" s="49" t="str">
        <f>'Data Vlaue (Cr)'!C27</f>
        <v>BANKBARODA</v>
      </c>
      <c r="B32" s="50">
        <f>VLOOKUP($A32,'Data shares'!$C:$FM,102)</f>
        <v>36.590000000000003</v>
      </c>
      <c r="C32" s="50">
        <f>VLOOKUP($A32,'Data shares'!$C:$FM,110)</f>
        <v>34.450000000000003</v>
      </c>
      <c r="D32" s="50">
        <f>VLOOKUP($A32,'Data shares'!$C:$FM,114)</f>
        <v>40.03</v>
      </c>
      <c r="E32" s="50">
        <f>VLOOKUP($A32,'Data shares'!$C:$FM,106)</f>
        <v>36.92</v>
      </c>
      <c r="F32" s="50">
        <f>VLOOKUP($A32,'Data shares'!$C:$FM,108)</f>
        <v>-0.33</v>
      </c>
      <c r="G32" s="50">
        <f t="shared" si="0"/>
        <v>0.99106175514626227</v>
      </c>
    </row>
    <row r="33" spans="1:7" x14ac:dyDescent="0.25">
      <c r="A33" s="49" t="str">
        <f>'Data Vlaue (Cr)'!C28</f>
        <v>BANKINDIA</v>
      </c>
      <c r="B33" s="50">
        <f>VLOOKUP($A33,'Data shares'!$C:$FM,102)</f>
        <v>45.59</v>
      </c>
      <c r="C33" s="50">
        <f>VLOOKUP($A33,'Data shares'!$C:$FM,110)</f>
        <v>45.39</v>
      </c>
      <c r="D33" s="50">
        <f>VLOOKUP($A33,'Data shares'!$C:$FM,114)</f>
        <v>46.4</v>
      </c>
      <c r="E33" s="50">
        <f>VLOOKUP($A33,'Data shares'!$C:$FM,106)</f>
        <v>42.95</v>
      </c>
      <c r="F33" s="50">
        <f>VLOOKUP($A33,'Data shares'!$C:$FM,108)</f>
        <v>2.64</v>
      </c>
      <c r="G33" s="50">
        <f t="shared" si="0"/>
        <v>1.0614668218859138</v>
      </c>
    </row>
    <row r="34" spans="1:7" x14ac:dyDescent="0.25">
      <c r="A34" s="49" t="str">
        <f>'Data Vlaue (Cr)'!C29</f>
        <v>BANKNIFTY</v>
      </c>
      <c r="B34" s="50">
        <f>VLOOKUP($A34,'Data shares'!$C:$FM,102)</f>
        <v>24.88</v>
      </c>
      <c r="C34" s="50">
        <f>VLOOKUP($A34,'Data shares'!$C:$FM,110)</f>
        <v>23.21</v>
      </c>
      <c r="D34" s="50">
        <f>VLOOKUP($A34,'Data shares'!$C:$FM,114)</f>
        <v>26.65</v>
      </c>
      <c r="E34" s="50">
        <f>VLOOKUP($A34,'Data shares'!$C:$FM,106)</f>
        <v>21.32</v>
      </c>
      <c r="F34" s="50">
        <f>VLOOKUP($A34,'Data shares'!$C:$FM,108)</f>
        <v>3.56</v>
      </c>
      <c r="G34" s="50">
        <f t="shared" si="0"/>
        <v>1.1669793621013134</v>
      </c>
    </row>
    <row r="35" spans="1:7" x14ac:dyDescent="0.25">
      <c r="A35" s="49" t="str">
        <f>'Data Vlaue (Cr)'!C30</f>
        <v>BDL</v>
      </c>
      <c r="B35" s="50">
        <f>VLOOKUP($A35,'Data shares'!$C:$FM,102)</f>
        <v>42.99</v>
      </c>
      <c r="C35" s="50">
        <f>VLOOKUP($A35,'Data shares'!$C:$FM,110)</f>
        <v>39.57</v>
      </c>
      <c r="D35" s="50">
        <f>VLOOKUP($A35,'Data shares'!$C:$FM,114)</f>
        <v>47.71</v>
      </c>
      <c r="E35" s="50">
        <f>VLOOKUP($A35,'Data shares'!$C:$FM,106)</f>
        <v>53.4</v>
      </c>
      <c r="F35" s="50">
        <f>VLOOKUP($A35,'Data shares'!$C:$FM,108)</f>
        <v>-10.41</v>
      </c>
      <c r="G35" s="50">
        <f t="shared" si="0"/>
        <v>0.80505617977528099</v>
      </c>
    </row>
    <row r="36" spans="1:7" x14ac:dyDescent="0.25">
      <c r="A36" s="49" t="str">
        <f>'Data Vlaue (Cr)'!C31</f>
        <v>BEL</v>
      </c>
      <c r="B36" s="50">
        <f>VLOOKUP($A36,'Data shares'!$C:$FM,102)</f>
        <v>34.29</v>
      </c>
      <c r="C36" s="50">
        <f>VLOOKUP($A36,'Data shares'!$C:$FM,110)</f>
        <v>33.56</v>
      </c>
      <c r="D36" s="50">
        <f>VLOOKUP($A36,'Data shares'!$C:$FM,114)</f>
        <v>35.53</v>
      </c>
      <c r="E36" s="50">
        <f>VLOOKUP($A36,'Data shares'!$C:$FM,106)</f>
        <v>37.21</v>
      </c>
      <c r="F36" s="50">
        <f>VLOOKUP($A36,'Data shares'!$C:$FM,108)</f>
        <v>-2.92</v>
      </c>
      <c r="G36" s="50">
        <f t="shared" si="0"/>
        <v>0.92152647137866162</v>
      </c>
    </row>
    <row r="37" spans="1:7" x14ac:dyDescent="0.25">
      <c r="A37" s="49" t="str">
        <f>'Data Vlaue (Cr)'!C32</f>
        <v>BHARATFORG</v>
      </c>
      <c r="B37" s="50">
        <f>VLOOKUP($A37,'Data shares'!$C:$FM,102)</f>
        <v>37.14</v>
      </c>
      <c r="C37" s="50">
        <f>VLOOKUP($A37,'Data shares'!$C:$FM,110)</f>
        <v>35.75</v>
      </c>
      <c r="D37" s="50">
        <f>VLOOKUP($A37,'Data shares'!$C:$FM,114)</f>
        <v>39.42</v>
      </c>
      <c r="E37" s="50">
        <f>VLOOKUP($A37,'Data shares'!$C:$FM,106)</f>
        <v>39.79</v>
      </c>
      <c r="F37" s="50">
        <f>VLOOKUP($A37,'Data shares'!$C:$FM,108)</f>
        <v>-2.65</v>
      </c>
      <c r="G37" s="50">
        <f t="shared" si="0"/>
        <v>0.93340035184719783</v>
      </c>
    </row>
    <row r="38" spans="1:7" x14ac:dyDescent="0.25">
      <c r="A38" s="49" t="str">
        <f>'Data Vlaue (Cr)'!C33</f>
        <v>BHARTIARTL</v>
      </c>
      <c r="B38" s="50">
        <f>VLOOKUP($A38,'Data shares'!$C:$FM,102)</f>
        <v>23.86</v>
      </c>
      <c r="C38" s="50">
        <f>VLOOKUP($A38,'Data shares'!$C:$FM,110)</f>
        <v>24.04</v>
      </c>
      <c r="D38" s="50">
        <f>VLOOKUP($A38,'Data shares'!$C:$FM,114)</f>
        <v>23.42</v>
      </c>
      <c r="E38" s="50">
        <f>VLOOKUP($A38,'Data shares'!$C:$FM,106)</f>
        <v>24.15</v>
      </c>
      <c r="F38" s="50">
        <f>VLOOKUP($A38,'Data shares'!$C:$FM,108)</f>
        <v>-0.28999999999999998</v>
      </c>
      <c r="G38" s="50">
        <f t="shared" si="0"/>
        <v>0.98799171842650102</v>
      </c>
    </row>
    <row r="39" spans="1:7" x14ac:dyDescent="0.25">
      <c r="A39" s="49" t="str">
        <f>'Data Vlaue (Cr)'!C34</f>
        <v>BHEL</v>
      </c>
      <c r="B39" s="50">
        <f>VLOOKUP($A39,'Data shares'!$C:$FM,102)</f>
        <v>44.3</v>
      </c>
      <c r="C39" s="50">
        <f>VLOOKUP($A39,'Data shares'!$C:$FM,110)</f>
        <v>43.54</v>
      </c>
      <c r="D39" s="50">
        <f>VLOOKUP($A39,'Data shares'!$C:$FM,114)</f>
        <v>45.74</v>
      </c>
      <c r="E39" s="50">
        <f>VLOOKUP($A39,'Data shares'!$C:$FM,106)</f>
        <v>47.37</v>
      </c>
      <c r="F39" s="50">
        <f>VLOOKUP($A39,'Data shares'!$C:$FM,108)</f>
        <v>-3.07</v>
      </c>
      <c r="G39" s="50">
        <f t="shared" ref="G39:G70" si="1">B39/E39</f>
        <v>0.93519104918724927</v>
      </c>
    </row>
    <row r="40" spans="1:7" x14ac:dyDescent="0.25">
      <c r="A40" s="49" t="str">
        <f>'Data Vlaue (Cr)'!C35</f>
        <v>BIOCON</v>
      </c>
      <c r="B40" s="50">
        <f>VLOOKUP($A40,'Data shares'!$C:$FM,102)</f>
        <v>34.04</v>
      </c>
      <c r="C40" s="50">
        <f>VLOOKUP($A40,'Data shares'!$C:$FM,110)</f>
        <v>33.03</v>
      </c>
      <c r="D40" s="50">
        <f>VLOOKUP($A40,'Data shares'!$C:$FM,114)</f>
        <v>36.479999999999997</v>
      </c>
      <c r="E40" s="50">
        <f>VLOOKUP($A40,'Data shares'!$C:$FM,106)</f>
        <v>36.25</v>
      </c>
      <c r="F40" s="50">
        <f>VLOOKUP($A40,'Data shares'!$C:$FM,108)</f>
        <v>-2.21</v>
      </c>
      <c r="G40" s="50">
        <f t="shared" si="1"/>
        <v>0.93903448275862067</v>
      </c>
    </row>
    <row r="41" spans="1:7" x14ac:dyDescent="0.25">
      <c r="A41" s="49" t="str">
        <f>'Data Vlaue (Cr)'!C36</f>
        <v>BLUESTARCO</v>
      </c>
      <c r="B41" s="50">
        <f>VLOOKUP($A41,'Data shares'!$C:$FM,102)</f>
        <v>42.33</v>
      </c>
      <c r="C41" s="50">
        <f>VLOOKUP($A41,'Data shares'!$C:$FM,110)</f>
        <v>42.66</v>
      </c>
      <c r="D41" s="50">
        <f>VLOOKUP($A41,'Data shares'!$C:$FM,114)</f>
        <v>41.45</v>
      </c>
      <c r="E41" s="50">
        <f>VLOOKUP($A41,'Data shares'!$C:$FM,106)</f>
        <v>42.55</v>
      </c>
      <c r="F41" s="50">
        <f>VLOOKUP($A41,'Data shares'!$C:$FM,108)</f>
        <v>-0.22</v>
      </c>
      <c r="G41" s="50">
        <f t="shared" si="1"/>
        <v>0.99482961222091659</v>
      </c>
    </row>
    <row r="42" spans="1:7" x14ac:dyDescent="0.25">
      <c r="A42" s="49" t="str">
        <f>'Data Vlaue (Cr)'!C37</f>
        <v>BOSCHLTD</v>
      </c>
      <c r="B42" s="50">
        <f>VLOOKUP($A42,'Data shares'!$C:$FM,102)</f>
        <v>39</v>
      </c>
      <c r="C42" s="50">
        <f>VLOOKUP($A42,'Data shares'!$C:$FM,110)</f>
        <v>36.65</v>
      </c>
      <c r="D42" s="50">
        <f>VLOOKUP($A42,'Data shares'!$C:$FM,114)</f>
        <v>41.11</v>
      </c>
      <c r="E42" s="50">
        <f>VLOOKUP($A42,'Data shares'!$C:$FM,106)</f>
        <v>34.92</v>
      </c>
      <c r="F42" s="50">
        <f>VLOOKUP($A42,'Data shares'!$C:$FM,108)</f>
        <v>4.08</v>
      </c>
      <c r="G42" s="50">
        <f t="shared" si="1"/>
        <v>1.1168384879725086</v>
      </c>
    </row>
    <row r="43" spans="1:7" x14ac:dyDescent="0.25">
      <c r="A43" s="49" t="str">
        <f>'Data Vlaue (Cr)'!C38</f>
        <v>BPCL</v>
      </c>
      <c r="B43" s="50">
        <f>VLOOKUP($A43,'Data shares'!$C:$FM,102)</f>
        <v>42.01</v>
      </c>
      <c r="C43" s="50">
        <f>VLOOKUP($A43,'Data shares'!$C:$FM,110)</f>
        <v>41.23</v>
      </c>
      <c r="D43" s="50">
        <f>VLOOKUP($A43,'Data shares'!$C:$FM,114)</f>
        <v>43.92</v>
      </c>
      <c r="E43" s="50">
        <f>VLOOKUP($A43,'Data shares'!$C:$FM,106)</f>
        <v>37.28</v>
      </c>
      <c r="F43" s="50">
        <f>VLOOKUP($A43,'Data shares'!$C:$FM,108)</f>
        <v>4.7300000000000004</v>
      </c>
      <c r="G43" s="50">
        <f t="shared" si="1"/>
        <v>1.1268776824034334</v>
      </c>
    </row>
    <row r="44" spans="1:7" x14ac:dyDescent="0.25">
      <c r="A44" s="49" t="str">
        <f>'Data Vlaue (Cr)'!C39</f>
        <v>BRITANNIA</v>
      </c>
      <c r="B44" s="50">
        <f>VLOOKUP($A44,'Data shares'!$C:$FM,102)</f>
        <v>27.19</v>
      </c>
      <c r="C44" s="50">
        <f>VLOOKUP($A44,'Data shares'!$C:$FM,110)</f>
        <v>26.59</v>
      </c>
      <c r="D44" s="50">
        <f>VLOOKUP($A44,'Data shares'!$C:$FM,114)</f>
        <v>28.47</v>
      </c>
      <c r="E44" s="50">
        <f>VLOOKUP($A44,'Data shares'!$C:$FM,106)</f>
        <v>24.74</v>
      </c>
      <c r="F44" s="50">
        <f>VLOOKUP($A44,'Data shares'!$C:$FM,108)</f>
        <v>2.4500000000000002</v>
      </c>
      <c r="G44" s="50">
        <f t="shared" si="1"/>
        <v>1.099029911075182</v>
      </c>
    </row>
    <row r="45" spans="1:7" x14ac:dyDescent="0.25">
      <c r="A45" s="49" t="str">
        <f>'Data Vlaue (Cr)'!C40</f>
        <v>BSE</v>
      </c>
      <c r="B45" s="50">
        <f>VLOOKUP($A45,'Data shares'!$C:$FM,102)</f>
        <v>45.62</v>
      </c>
      <c r="C45" s="50">
        <f>VLOOKUP($A45,'Data shares'!$C:$FM,110)</f>
        <v>42.94</v>
      </c>
      <c r="D45" s="50">
        <f>VLOOKUP($A45,'Data shares'!$C:$FM,114)</f>
        <v>47.68</v>
      </c>
      <c r="E45" s="50">
        <f>VLOOKUP($A45,'Data shares'!$C:$FM,106)</f>
        <v>59.12</v>
      </c>
      <c r="F45" s="50">
        <f>VLOOKUP($A45,'Data shares'!$C:$FM,108)</f>
        <v>-13.5</v>
      </c>
      <c r="G45" s="50">
        <f t="shared" si="1"/>
        <v>0.77165087956698242</v>
      </c>
    </row>
    <row r="46" spans="1:7" x14ac:dyDescent="0.25">
      <c r="A46" s="49" t="str">
        <f>'Data Vlaue (Cr)'!C41</f>
        <v>CAMS</v>
      </c>
      <c r="B46" s="50">
        <f>VLOOKUP($A46,'Data shares'!$C:$FM,102)</f>
        <v>34.97</v>
      </c>
      <c r="C46" s="50">
        <f>VLOOKUP($A46,'Data shares'!$C:$FM,110)</f>
        <v>33.21</v>
      </c>
      <c r="D46" s="50">
        <f>VLOOKUP($A46,'Data shares'!$C:$FM,114)</f>
        <v>37.049999999999997</v>
      </c>
      <c r="E46" s="50">
        <f>VLOOKUP($A46,'Data shares'!$C:$FM,106)</f>
        <v>40.86</v>
      </c>
      <c r="F46" s="50">
        <f>VLOOKUP($A46,'Data shares'!$C:$FM,108)</f>
        <v>-5.89</v>
      </c>
      <c r="G46" s="50">
        <f t="shared" si="1"/>
        <v>0.8558492413117964</v>
      </c>
    </row>
    <row r="47" spans="1:7" x14ac:dyDescent="0.25">
      <c r="A47" s="49" t="str">
        <f>'Data Vlaue (Cr)'!C42</f>
        <v>CANBK</v>
      </c>
      <c r="B47" s="50">
        <f>VLOOKUP($A47,'Data shares'!$C:$FM,102)</f>
        <v>39.24</v>
      </c>
      <c r="C47" s="50">
        <f>VLOOKUP($A47,'Data shares'!$C:$FM,110)</f>
        <v>37.39</v>
      </c>
      <c r="D47" s="50">
        <f>VLOOKUP($A47,'Data shares'!$C:$FM,114)</f>
        <v>41.91</v>
      </c>
      <c r="E47" s="50">
        <f>VLOOKUP($A47,'Data shares'!$C:$FM,106)</f>
        <v>39.04</v>
      </c>
      <c r="F47" s="50">
        <f>VLOOKUP($A47,'Data shares'!$C:$FM,108)</f>
        <v>0.2</v>
      </c>
      <c r="G47" s="50">
        <f t="shared" si="1"/>
        <v>1.0051229508196722</v>
      </c>
    </row>
    <row r="48" spans="1:7" x14ac:dyDescent="0.25">
      <c r="A48" s="49" t="str">
        <f>'Data Vlaue (Cr)'!C43</f>
        <v>CDSL</v>
      </c>
      <c r="B48" s="50">
        <f>VLOOKUP($A48,'Data shares'!$C:$FM,102)</f>
        <v>40.24</v>
      </c>
      <c r="C48" s="50">
        <f>VLOOKUP($A48,'Data shares'!$C:$FM,110)</f>
        <v>39.07</v>
      </c>
      <c r="D48" s="50">
        <f>VLOOKUP($A48,'Data shares'!$C:$FM,114)</f>
        <v>41.95</v>
      </c>
      <c r="E48" s="50">
        <f>VLOOKUP($A48,'Data shares'!$C:$FM,106)</f>
        <v>46.8</v>
      </c>
      <c r="F48" s="50">
        <f>VLOOKUP($A48,'Data shares'!$C:$FM,108)</f>
        <v>-6.56</v>
      </c>
      <c r="G48" s="50">
        <f t="shared" si="1"/>
        <v>0.85982905982905988</v>
      </c>
    </row>
    <row r="49" spans="1:7" x14ac:dyDescent="0.25">
      <c r="A49" s="49" t="str">
        <f>'Data Vlaue (Cr)'!C44</f>
        <v>CGPOWER</v>
      </c>
      <c r="B49" s="50">
        <f>VLOOKUP($A49,'Data shares'!$C:$FM,102)</f>
        <v>39.229999999999997</v>
      </c>
      <c r="C49" s="50">
        <f>VLOOKUP($A49,'Data shares'!$C:$FM,110)</f>
        <v>38.4</v>
      </c>
      <c r="D49" s="50">
        <f>VLOOKUP($A49,'Data shares'!$C:$FM,114)</f>
        <v>41.57</v>
      </c>
      <c r="E49" s="50">
        <f>VLOOKUP($A49,'Data shares'!$C:$FM,106)</f>
        <v>42.5</v>
      </c>
      <c r="F49" s="50">
        <f>VLOOKUP($A49,'Data shares'!$C:$FM,108)</f>
        <v>-3.27</v>
      </c>
      <c r="G49" s="50">
        <f t="shared" si="1"/>
        <v>0.92305882352941171</v>
      </c>
    </row>
    <row r="50" spans="1:7" x14ac:dyDescent="0.25">
      <c r="A50" s="49" t="str">
        <f>'Data Vlaue (Cr)'!C45</f>
        <v>CHOLAFIN</v>
      </c>
      <c r="B50" s="50">
        <f>VLOOKUP($A50,'Data shares'!$C:$FM,102)</f>
        <v>39.89</v>
      </c>
      <c r="C50" s="50">
        <f>VLOOKUP($A50,'Data shares'!$C:$FM,110)</f>
        <v>38.090000000000003</v>
      </c>
      <c r="D50" s="50">
        <f>VLOOKUP($A50,'Data shares'!$C:$FM,114)</f>
        <v>42.51</v>
      </c>
      <c r="E50" s="50">
        <f>VLOOKUP($A50,'Data shares'!$C:$FM,106)</f>
        <v>40.92</v>
      </c>
      <c r="F50" s="50">
        <f>VLOOKUP($A50,'Data shares'!$C:$FM,108)</f>
        <v>-1.03</v>
      </c>
      <c r="G50" s="50">
        <f t="shared" si="1"/>
        <v>0.97482893450635388</v>
      </c>
    </row>
    <row r="51" spans="1:7" x14ac:dyDescent="0.25">
      <c r="A51" s="49" t="str">
        <f>'Data Vlaue (Cr)'!C46</f>
        <v>CIPLA</v>
      </c>
      <c r="B51" s="50">
        <f>VLOOKUP($A51,'Data shares'!$C:$FM,102)</f>
        <v>25.07</v>
      </c>
      <c r="C51" s="50">
        <f>VLOOKUP($A51,'Data shares'!$C:$FM,110)</f>
        <v>25.03</v>
      </c>
      <c r="D51" s="50">
        <f>VLOOKUP($A51,'Data shares'!$C:$FM,114)</f>
        <v>25.21</v>
      </c>
      <c r="E51" s="50">
        <f>VLOOKUP($A51,'Data shares'!$C:$FM,106)</f>
        <v>25.02</v>
      </c>
      <c r="F51" s="50">
        <f>VLOOKUP($A51,'Data shares'!$C:$FM,108)</f>
        <v>0.05</v>
      </c>
      <c r="G51" s="50">
        <f t="shared" si="1"/>
        <v>1.0019984012789769</v>
      </c>
    </row>
    <row r="52" spans="1:7" x14ac:dyDescent="0.25">
      <c r="A52" s="49" t="str">
        <f>'Data Vlaue (Cr)'!C47</f>
        <v>COALINDIA</v>
      </c>
      <c r="B52" s="50">
        <f>VLOOKUP($A52,'Data shares'!$C:$FM,102)</f>
        <v>31.21</v>
      </c>
      <c r="C52" s="50">
        <f>VLOOKUP($A52,'Data shares'!$C:$FM,110)</f>
        <v>31.07</v>
      </c>
      <c r="D52" s="50">
        <f>VLOOKUP($A52,'Data shares'!$C:$FM,114)</f>
        <v>31.46</v>
      </c>
      <c r="E52" s="50">
        <f>VLOOKUP($A52,'Data shares'!$C:$FM,106)</f>
        <v>30.97</v>
      </c>
      <c r="F52" s="50">
        <f>VLOOKUP($A52,'Data shares'!$C:$FM,108)</f>
        <v>0.24</v>
      </c>
      <c r="G52" s="50">
        <f t="shared" si="1"/>
        <v>1.0077494349370359</v>
      </c>
    </row>
    <row r="53" spans="1:7" x14ac:dyDescent="0.25">
      <c r="A53" s="49" t="str">
        <f>'Data Vlaue (Cr)'!C48</f>
        <v>COCHINSHIP</v>
      </c>
      <c r="B53" s="50">
        <f>VLOOKUP($A53,'Data shares'!$C:$FM,102)</f>
        <v>60.41</v>
      </c>
      <c r="C53" s="50">
        <f>VLOOKUP($A53,'Data shares'!$C:$FM,110)</f>
        <v>59.94</v>
      </c>
      <c r="D53" s="50">
        <f>VLOOKUP($A53,'Data shares'!$C:$FM,114)</f>
        <v>61.94</v>
      </c>
      <c r="E53" s="50">
        <f>VLOOKUP($A53,'Data shares'!$C:$FM,106)</f>
        <v>54.79</v>
      </c>
      <c r="F53" s="50">
        <f>VLOOKUP($A53,'Data shares'!$C:$FM,108)</f>
        <v>5.62</v>
      </c>
      <c r="G53" s="50">
        <f t="shared" si="1"/>
        <v>1.1025734623106407</v>
      </c>
    </row>
    <row r="54" spans="1:7" x14ac:dyDescent="0.25">
      <c r="A54" s="49" t="str">
        <f>'Data Vlaue (Cr)'!C49</f>
        <v>COFORGE</v>
      </c>
      <c r="B54" s="50">
        <f>VLOOKUP($A54,'Data shares'!$C:$FM,102)</f>
        <v>46.1</v>
      </c>
      <c r="C54" s="50">
        <f>VLOOKUP($A54,'Data shares'!$C:$FM,110)</f>
        <v>45.3</v>
      </c>
      <c r="D54" s="50">
        <f>VLOOKUP($A54,'Data shares'!$C:$FM,114)</f>
        <v>47.48</v>
      </c>
      <c r="E54" s="50">
        <f>VLOOKUP($A54,'Data shares'!$C:$FM,106)</f>
        <v>43.2</v>
      </c>
      <c r="F54" s="50">
        <f>VLOOKUP($A54,'Data shares'!$C:$FM,108)</f>
        <v>2.9</v>
      </c>
      <c r="G54" s="50">
        <f t="shared" si="1"/>
        <v>1.0671296296296295</v>
      </c>
    </row>
    <row r="55" spans="1:7" x14ac:dyDescent="0.25">
      <c r="A55" s="49" t="str">
        <f>'Data Vlaue (Cr)'!C50</f>
        <v>COLPAL</v>
      </c>
      <c r="B55" s="50">
        <f>VLOOKUP($A55,'Data shares'!$C:$FM,102)</f>
        <v>33.619999999999997</v>
      </c>
      <c r="C55" s="50">
        <f>VLOOKUP($A55,'Data shares'!$C:$FM,110)</f>
        <v>33.020000000000003</v>
      </c>
      <c r="D55" s="50">
        <f>VLOOKUP($A55,'Data shares'!$C:$FM,114)</f>
        <v>35.049999999999997</v>
      </c>
      <c r="E55" s="50">
        <f>VLOOKUP($A55,'Data shares'!$C:$FM,106)</f>
        <v>30.68</v>
      </c>
      <c r="F55" s="50">
        <f>VLOOKUP($A55,'Data shares'!$C:$FM,108)</f>
        <v>2.94</v>
      </c>
      <c r="G55" s="50">
        <f t="shared" si="1"/>
        <v>1.0958279009126466</v>
      </c>
    </row>
    <row r="56" spans="1:7" x14ac:dyDescent="0.25">
      <c r="A56" s="49" t="str">
        <f>'Data Vlaue (Cr)'!C51</f>
        <v>CONCOR</v>
      </c>
      <c r="B56" s="50">
        <f>VLOOKUP($A56,'Data shares'!$C:$FM,102)</f>
        <v>33.9</v>
      </c>
      <c r="C56" s="50">
        <f>VLOOKUP($A56,'Data shares'!$C:$FM,110)</f>
        <v>33.200000000000003</v>
      </c>
      <c r="D56" s="50">
        <f>VLOOKUP($A56,'Data shares'!$C:$FM,114)</f>
        <v>35.700000000000003</v>
      </c>
      <c r="E56" s="50">
        <f>VLOOKUP($A56,'Data shares'!$C:$FM,106)</f>
        <v>34.94</v>
      </c>
      <c r="F56" s="50">
        <f>VLOOKUP($A56,'Data shares'!$C:$FM,108)</f>
        <v>-1.04</v>
      </c>
      <c r="G56" s="50">
        <f t="shared" si="1"/>
        <v>0.97023468803663426</v>
      </c>
    </row>
    <row r="57" spans="1:7" x14ac:dyDescent="0.25">
      <c r="A57" s="49" t="str">
        <f>'Data Vlaue (Cr)'!C52</f>
        <v>CROMPTON</v>
      </c>
      <c r="B57" s="50">
        <f>VLOOKUP($A57,'Data shares'!$C:$FM,102)</f>
        <v>40.840000000000003</v>
      </c>
      <c r="C57" s="50">
        <f>VLOOKUP($A57,'Data shares'!$C:$FM,110)</f>
        <v>40.11</v>
      </c>
      <c r="D57" s="50">
        <f>VLOOKUP($A57,'Data shares'!$C:$FM,114)</f>
        <v>43.37</v>
      </c>
      <c r="E57" s="50">
        <f>VLOOKUP($A57,'Data shares'!$C:$FM,106)</f>
        <v>35.380000000000003</v>
      </c>
      <c r="F57" s="50">
        <f>VLOOKUP($A57,'Data shares'!$C:$FM,108)</f>
        <v>5.46</v>
      </c>
      <c r="G57" s="50">
        <f t="shared" si="1"/>
        <v>1.1543244771057095</v>
      </c>
    </row>
    <row r="58" spans="1:7" x14ac:dyDescent="0.25">
      <c r="A58" s="49" t="str">
        <f>'Data Vlaue (Cr)'!C53</f>
        <v>CUMMINSIND</v>
      </c>
      <c r="B58" s="50">
        <f>VLOOKUP($A58,'Data shares'!$C:$FM,102)</f>
        <v>40.54</v>
      </c>
      <c r="C58" s="50">
        <f>VLOOKUP($A58,'Data shares'!$C:$FM,110)</f>
        <v>36.200000000000003</v>
      </c>
      <c r="D58" s="50">
        <f>VLOOKUP($A58,'Data shares'!$C:$FM,114)</f>
        <v>48.89</v>
      </c>
      <c r="E58" s="50">
        <f>VLOOKUP($A58,'Data shares'!$C:$FM,106)</f>
        <v>36.14</v>
      </c>
      <c r="F58" s="50">
        <f>VLOOKUP($A58,'Data shares'!$C:$FM,108)</f>
        <v>4.4000000000000004</v>
      </c>
      <c r="G58" s="50">
        <f t="shared" si="1"/>
        <v>1.12174875484228</v>
      </c>
    </row>
    <row r="59" spans="1:7" x14ac:dyDescent="0.25">
      <c r="A59" s="49" t="str">
        <f>'Data Vlaue (Cr)'!C54</f>
        <v>DABUR</v>
      </c>
      <c r="B59" s="50">
        <f>VLOOKUP($A59,'Data shares'!$C:$FM,102)</f>
        <v>32.71</v>
      </c>
      <c r="C59" s="50">
        <f>VLOOKUP($A59,'Data shares'!$C:$FM,110)</f>
        <v>32.75</v>
      </c>
      <c r="D59" s="50">
        <f>VLOOKUP($A59,'Data shares'!$C:$FM,114)</f>
        <v>32.590000000000003</v>
      </c>
      <c r="E59" s="50">
        <f>VLOOKUP($A59,'Data shares'!$C:$FM,106)</f>
        <v>27.2</v>
      </c>
      <c r="F59" s="50">
        <f>VLOOKUP($A59,'Data shares'!$C:$FM,108)</f>
        <v>5.51</v>
      </c>
      <c r="G59" s="50">
        <f t="shared" si="1"/>
        <v>1.2025735294117648</v>
      </c>
    </row>
    <row r="60" spans="1:7" x14ac:dyDescent="0.25">
      <c r="A60" s="49" t="str">
        <f>'Data Vlaue (Cr)'!C55</f>
        <v>DALBHARAT</v>
      </c>
      <c r="B60" s="50">
        <f>VLOOKUP($A60,'Data shares'!$C:$FM,102)</f>
        <v>40.43</v>
      </c>
      <c r="C60" s="50">
        <f>VLOOKUP($A60,'Data shares'!$C:$FM,110)</f>
        <v>39.61</v>
      </c>
      <c r="D60" s="50">
        <f>VLOOKUP($A60,'Data shares'!$C:$FM,114)</f>
        <v>42.98</v>
      </c>
      <c r="E60" s="50">
        <f>VLOOKUP($A60,'Data shares'!$C:$FM,106)</f>
        <v>34.06</v>
      </c>
      <c r="F60" s="50">
        <f>VLOOKUP($A60,'Data shares'!$C:$FM,108)</f>
        <v>6.37</v>
      </c>
      <c r="G60" s="50">
        <f t="shared" si="1"/>
        <v>1.1870229007633586</v>
      </c>
    </row>
    <row r="61" spans="1:7" x14ac:dyDescent="0.25">
      <c r="A61" s="49" t="str">
        <f>'Data Vlaue (Cr)'!C56</f>
        <v>DELHIVERY</v>
      </c>
      <c r="B61" s="50">
        <f>VLOOKUP($A61,'Data shares'!$C:$FM,102)</f>
        <v>38.979999999999997</v>
      </c>
      <c r="C61" s="50">
        <f>VLOOKUP($A61,'Data shares'!$C:$FM,110)</f>
        <v>38.950000000000003</v>
      </c>
      <c r="D61" s="50">
        <f>VLOOKUP($A61,'Data shares'!$C:$FM,114)</f>
        <v>39.119999999999997</v>
      </c>
      <c r="E61" s="50">
        <f>VLOOKUP($A61,'Data shares'!$C:$FM,106)</f>
        <v>39.36</v>
      </c>
      <c r="F61" s="50">
        <f>VLOOKUP($A61,'Data shares'!$C:$FM,108)</f>
        <v>-0.38</v>
      </c>
      <c r="G61" s="50">
        <f t="shared" si="1"/>
        <v>0.99034552845528445</v>
      </c>
    </row>
    <row r="62" spans="1:7" x14ac:dyDescent="0.25">
      <c r="A62" s="49" t="str">
        <f>'Data Vlaue (Cr)'!C57</f>
        <v>DIVISLAB</v>
      </c>
      <c r="B62" s="50">
        <f>VLOOKUP($A62,'Data shares'!$C:$FM,102)</f>
        <v>26.55</v>
      </c>
      <c r="C62" s="50">
        <f>VLOOKUP($A62,'Data shares'!$C:$FM,110)</f>
        <v>25.93</v>
      </c>
      <c r="D62" s="50">
        <f>VLOOKUP($A62,'Data shares'!$C:$FM,114)</f>
        <v>28.32</v>
      </c>
      <c r="E62" s="50">
        <f>VLOOKUP($A62,'Data shares'!$C:$FM,106)</f>
        <v>29.69</v>
      </c>
      <c r="F62" s="50">
        <f>VLOOKUP($A62,'Data shares'!$C:$FM,108)</f>
        <v>-3.14</v>
      </c>
      <c r="G62" s="50">
        <f t="shared" si="1"/>
        <v>0.89424048501178843</v>
      </c>
    </row>
    <row r="63" spans="1:7" x14ac:dyDescent="0.25">
      <c r="A63" s="49" t="str">
        <f>'Data Vlaue (Cr)'!C58</f>
        <v>DIXON</v>
      </c>
      <c r="B63" s="50">
        <f>VLOOKUP($A63,'Data shares'!$C:$FM,102)</f>
        <v>50.17</v>
      </c>
      <c r="C63" s="50">
        <f>VLOOKUP($A63,'Data shares'!$C:$FM,110)</f>
        <v>48.9</v>
      </c>
      <c r="D63" s="50">
        <f>VLOOKUP($A63,'Data shares'!$C:$FM,114)</f>
        <v>52.06</v>
      </c>
      <c r="E63" s="50">
        <f>VLOOKUP($A63,'Data shares'!$C:$FM,106)</f>
        <v>49.27</v>
      </c>
      <c r="F63" s="50">
        <f>VLOOKUP($A63,'Data shares'!$C:$FM,108)</f>
        <v>0.9</v>
      </c>
      <c r="G63" s="50">
        <f t="shared" si="1"/>
        <v>1.018266693728435</v>
      </c>
    </row>
    <row r="64" spans="1:7" x14ac:dyDescent="0.25">
      <c r="A64" s="49" t="str">
        <f>'Data Vlaue (Cr)'!C59</f>
        <v>DLF</v>
      </c>
      <c r="B64" s="50">
        <f>VLOOKUP($A64,'Data shares'!$C:$FM,102)</f>
        <v>37.520000000000003</v>
      </c>
      <c r="C64" s="50">
        <f>VLOOKUP($A64,'Data shares'!$C:$FM,110)</f>
        <v>36.659999999999997</v>
      </c>
      <c r="D64" s="50">
        <f>VLOOKUP($A64,'Data shares'!$C:$FM,114)</f>
        <v>38.799999999999997</v>
      </c>
      <c r="E64" s="50">
        <f>VLOOKUP($A64,'Data shares'!$C:$FM,106)</f>
        <v>37.979999999999997</v>
      </c>
      <c r="F64" s="50">
        <f>VLOOKUP($A64,'Data shares'!$C:$FM,108)</f>
        <v>-0.46</v>
      </c>
      <c r="G64" s="50">
        <f t="shared" si="1"/>
        <v>0.98788836229594534</v>
      </c>
    </row>
    <row r="65" spans="1:7" x14ac:dyDescent="0.25">
      <c r="A65" s="49" t="str">
        <f>'Data Vlaue (Cr)'!C60</f>
        <v>DMART</v>
      </c>
      <c r="B65" s="50">
        <f>VLOOKUP($A65,'Data shares'!$C:$FM,102)</f>
        <v>35.200000000000003</v>
      </c>
      <c r="C65" s="50">
        <f>VLOOKUP($A65,'Data shares'!$C:$FM,110)</f>
        <v>33.520000000000003</v>
      </c>
      <c r="D65" s="50">
        <f>VLOOKUP($A65,'Data shares'!$C:$FM,114)</f>
        <v>37.28</v>
      </c>
      <c r="E65" s="50">
        <f>VLOOKUP($A65,'Data shares'!$C:$FM,106)</f>
        <v>33.17</v>
      </c>
      <c r="F65" s="50">
        <f>VLOOKUP($A65,'Data shares'!$C:$FM,108)</f>
        <v>2.0299999999999998</v>
      </c>
      <c r="G65" s="50">
        <f t="shared" si="1"/>
        <v>1.0611998794091047</v>
      </c>
    </row>
    <row r="66" spans="1:7" x14ac:dyDescent="0.25">
      <c r="A66" s="49" t="str">
        <f>'Data Vlaue (Cr)'!C61</f>
        <v>DRREDDY</v>
      </c>
      <c r="B66" s="50">
        <f>VLOOKUP($A66,'Data shares'!$C:$FM,102)</f>
        <v>27.32</v>
      </c>
      <c r="C66" s="50">
        <f>VLOOKUP($A66,'Data shares'!$C:$FM,110)</f>
        <v>27.14</v>
      </c>
      <c r="D66" s="50">
        <f>VLOOKUP($A66,'Data shares'!$C:$FM,114)</f>
        <v>27.7</v>
      </c>
      <c r="E66" s="50">
        <f>VLOOKUP($A66,'Data shares'!$C:$FM,106)</f>
        <v>25.98</v>
      </c>
      <c r="F66" s="50">
        <f>VLOOKUP($A66,'Data shares'!$C:$FM,108)</f>
        <v>1.34</v>
      </c>
      <c r="G66" s="50">
        <f t="shared" si="1"/>
        <v>1.0515781370284834</v>
      </c>
    </row>
    <row r="67" spans="1:7" x14ac:dyDescent="0.25">
      <c r="A67" s="49" t="str">
        <f>'Data Vlaue (Cr)'!C62</f>
        <v>EICHERMOT</v>
      </c>
      <c r="B67" s="50">
        <f>VLOOKUP($A67,'Data shares'!$C:$FM,102)</f>
        <v>33.1</v>
      </c>
      <c r="C67" s="50">
        <f>VLOOKUP($A67,'Data shares'!$C:$FM,110)</f>
        <v>32.49</v>
      </c>
      <c r="D67" s="50">
        <f>VLOOKUP($A67,'Data shares'!$C:$FM,114)</f>
        <v>34.909999999999997</v>
      </c>
      <c r="E67" s="50">
        <f>VLOOKUP($A67,'Data shares'!$C:$FM,106)</f>
        <v>33.79</v>
      </c>
      <c r="F67" s="50">
        <f>VLOOKUP($A67,'Data shares'!$C:$FM,108)</f>
        <v>-0.69</v>
      </c>
      <c r="G67" s="50">
        <f t="shared" si="1"/>
        <v>0.9795797573246523</v>
      </c>
    </row>
    <row r="68" spans="1:7" x14ac:dyDescent="0.25">
      <c r="A68" s="49" t="str">
        <f>'Data Vlaue (Cr)'!C63</f>
        <v>ETERNAL</v>
      </c>
      <c r="B68" s="50">
        <f>VLOOKUP($A68,'Data shares'!$C:$FM,102)</f>
        <v>46.54</v>
      </c>
      <c r="C68" s="50">
        <f>VLOOKUP($A68,'Data shares'!$C:$FM,110)</f>
        <v>44.06</v>
      </c>
      <c r="D68" s="50">
        <f>VLOOKUP($A68,'Data shares'!$C:$FM,114)</f>
        <v>50.59</v>
      </c>
      <c r="E68" s="50">
        <f>VLOOKUP($A68,'Data shares'!$C:$FM,106)</f>
        <v>46.15</v>
      </c>
      <c r="F68" s="50">
        <f>VLOOKUP($A68,'Data shares'!$C:$FM,108)</f>
        <v>0.39</v>
      </c>
      <c r="G68" s="50">
        <f t="shared" si="1"/>
        <v>1.0084507042253521</v>
      </c>
    </row>
    <row r="69" spans="1:7" x14ac:dyDescent="0.25">
      <c r="A69" s="49" t="str">
        <f>'Data Vlaue (Cr)'!C64</f>
        <v>EXIDEIND</v>
      </c>
      <c r="B69" s="50">
        <f>VLOOKUP($A69,'Data shares'!$C:$FM,102)</f>
        <v>37.28</v>
      </c>
      <c r="C69" s="50">
        <f>VLOOKUP($A69,'Data shares'!$C:$FM,110)</f>
        <v>36.340000000000003</v>
      </c>
      <c r="D69" s="50">
        <f>VLOOKUP($A69,'Data shares'!$C:$FM,114)</f>
        <v>39.229999999999997</v>
      </c>
      <c r="E69" s="50">
        <f>VLOOKUP($A69,'Data shares'!$C:$FM,106)</f>
        <v>35.369999999999997</v>
      </c>
      <c r="F69" s="50">
        <f>VLOOKUP($A69,'Data shares'!$C:$FM,108)</f>
        <v>1.91</v>
      </c>
      <c r="G69" s="50">
        <f t="shared" si="1"/>
        <v>1.0540005654509472</v>
      </c>
    </row>
    <row r="70" spans="1:7" x14ac:dyDescent="0.25">
      <c r="A70" s="49" t="str">
        <f>'Data Vlaue (Cr)'!C65</f>
        <v>FEDERALBNK</v>
      </c>
      <c r="B70" s="50">
        <f>VLOOKUP($A70,'Data shares'!$C:$FM,102)</f>
        <v>31.18</v>
      </c>
      <c r="C70" s="50">
        <f>VLOOKUP($A70,'Data shares'!$C:$FM,110)</f>
        <v>30.08</v>
      </c>
      <c r="D70" s="50">
        <f>VLOOKUP($A70,'Data shares'!$C:$FM,114)</f>
        <v>33.75</v>
      </c>
      <c r="E70" s="50">
        <f>VLOOKUP($A70,'Data shares'!$C:$FM,106)</f>
        <v>32.33</v>
      </c>
      <c r="F70" s="50">
        <f>VLOOKUP($A70,'Data shares'!$C:$FM,108)</f>
        <v>-1.1499999999999999</v>
      </c>
      <c r="G70" s="50">
        <f t="shared" si="1"/>
        <v>0.96442932261057845</v>
      </c>
    </row>
    <row r="71" spans="1:7" x14ac:dyDescent="0.25">
      <c r="A71" s="49" t="str">
        <f>'Data Vlaue (Cr)'!C66</f>
        <v>FINNIFTY</v>
      </c>
      <c r="B71" s="50">
        <f>VLOOKUP($A71,'Data shares'!$C:$FM,102)</f>
        <v>25.45</v>
      </c>
      <c r="C71" s="50">
        <f>VLOOKUP($A71,'Data shares'!$C:$FM,110)</f>
        <v>24.46</v>
      </c>
      <c r="D71" s="50">
        <f>VLOOKUP($A71,'Data shares'!$C:$FM,114)</f>
        <v>26.61</v>
      </c>
      <c r="E71" s="50">
        <f>VLOOKUP($A71,'Data shares'!$C:$FM,106)</f>
        <v>21.71</v>
      </c>
      <c r="F71" s="50">
        <f>VLOOKUP($A71,'Data shares'!$C:$FM,108)</f>
        <v>3.74</v>
      </c>
      <c r="G71" s="50">
        <f t="shared" ref="G71:G102" si="2">B71/E71</f>
        <v>1.1722708429295254</v>
      </c>
    </row>
    <row r="72" spans="1:7" x14ac:dyDescent="0.25">
      <c r="A72" s="49" t="str">
        <f>'Data Vlaue (Cr)'!C67</f>
        <v>FORCEMOT</v>
      </c>
      <c r="B72" s="50">
        <f>VLOOKUP($A72,'Data shares'!$C:$FM,102)</f>
        <v>65</v>
      </c>
      <c r="C72" s="50">
        <f>VLOOKUP($A72,'Data shares'!$C:$FM,110)</f>
        <v>65.099999999999994</v>
      </c>
      <c r="D72" s="50">
        <f>VLOOKUP($A72,'Data shares'!$C:$FM,114)</f>
        <v>64.64</v>
      </c>
      <c r="E72" s="50">
        <f>VLOOKUP($A72,'Data shares'!$C:$FM,106)</f>
        <v>65.67</v>
      </c>
      <c r="F72" s="50">
        <f>VLOOKUP($A72,'Data shares'!$C:$FM,108)</f>
        <v>-0.67</v>
      </c>
      <c r="G72" s="50">
        <f t="shared" si="2"/>
        <v>0.98979747220953251</v>
      </c>
    </row>
    <row r="73" spans="1:7" x14ac:dyDescent="0.25">
      <c r="A73" s="49" t="str">
        <f>'Data Vlaue (Cr)'!C68</f>
        <v>FORTIS</v>
      </c>
      <c r="B73" s="50">
        <f>VLOOKUP($A73,'Data shares'!$C:$FM,102)</f>
        <v>32.93</v>
      </c>
      <c r="C73" s="50">
        <f>VLOOKUP($A73,'Data shares'!$C:$FM,110)</f>
        <v>31.8</v>
      </c>
      <c r="D73" s="50">
        <f>VLOOKUP($A73,'Data shares'!$C:$FM,114)</f>
        <v>34.89</v>
      </c>
      <c r="E73" s="50">
        <f>VLOOKUP($A73,'Data shares'!$C:$FM,106)</f>
        <v>35.31</v>
      </c>
      <c r="F73" s="50">
        <f>VLOOKUP($A73,'Data shares'!$C:$FM,108)</f>
        <v>-2.38</v>
      </c>
      <c r="G73" s="50">
        <f t="shared" si="2"/>
        <v>0.93259699801755869</v>
      </c>
    </row>
    <row r="74" spans="1:7" x14ac:dyDescent="0.25">
      <c r="A74" s="49" t="str">
        <f>'Data Vlaue (Cr)'!C69</f>
        <v>GAIL</v>
      </c>
      <c r="B74" s="50">
        <f>VLOOKUP($A74,'Data shares'!$C:$FM,102)</f>
        <v>33.04</v>
      </c>
      <c r="C74" s="50">
        <f>VLOOKUP($A74,'Data shares'!$C:$FM,110)</f>
        <v>31.12</v>
      </c>
      <c r="D74" s="50">
        <f>VLOOKUP($A74,'Data shares'!$C:$FM,114)</f>
        <v>34.78</v>
      </c>
      <c r="E74" s="50">
        <f>VLOOKUP($A74,'Data shares'!$C:$FM,106)</f>
        <v>35.5</v>
      </c>
      <c r="F74" s="50">
        <f>VLOOKUP($A74,'Data shares'!$C:$FM,108)</f>
        <v>-2.46</v>
      </c>
      <c r="G74" s="50">
        <f t="shared" si="2"/>
        <v>0.93070422535211261</v>
      </c>
    </row>
    <row r="75" spans="1:7" x14ac:dyDescent="0.25">
      <c r="A75" s="49" t="str">
        <f>'Data Vlaue (Cr)'!C70</f>
        <v>GLENMARK</v>
      </c>
      <c r="B75" s="50">
        <f>VLOOKUP($A75,'Data shares'!$C:$FM,102)</f>
        <v>40.69</v>
      </c>
      <c r="C75" s="50">
        <f>VLOOKUP($A75,'Data shares'!$C:$FM,110)</f>
        <v>37.79</v>
      </c>
      <c r="D75" s="50">
        <f>VLOOKUP($A75,'Data shares'!$C:$FM,114)</f>
        <v>44.45</v>
      </c>
      <c r="E75" s="50">
        <f>VLOOKUP($A75,'Data shares'!$C:$FM,106)</f>
        <v>35.979999999999997</v>
      </c>
      <c r="F75" s="50">
        <f>VLOOKUP($A75,'Data shares'!$C:$FM,108)</f>
        <v>4.71</v>
      </c>
      <c r="G75" s="50">
        <f t="shared" si="2"/>
        <v>1.1309060589216231</v>
      </c>
    </row>
    <row r="76" spans="1:7" x14ac:dyDescent="0.25">
      <c r="A76" s="49" t="str">
        <f>'Data Vlaue (Cr)'!C71</f>
        <v>GMRAIRPORT</v>
      </c>
      <c r="B76" s="50">
        <f>VLOOKUP($A76,'Data shares'!$C:$FM,102)</f>
        <v>42.42</v>
      </c>
      <c r="C76" s="50">
        <f>VLOOKUP($A76,'Data shares'!$C:$FM,110)</f>
        <v>42.49</v>
      </c>
      <c r="D76" s="50">
        <f>VLOOKUP($A76,'Data shares'!$C:$FM,114)</f>
        <v>42.24</v>
      </c>
      <c r="E76" s="50">
        <f>VLOOKUP($A76,'Data shares'!$C:$FM,106)</f>
        <v>41.42</v>
      </c>
      <c r="F76" s="50">
        <f>VLOOKUP($A76,'Data shares'!$C:$FM,108)</f>
        <v>1</v>
      </c>
      <c r="G76" s="50">
        <f t="shared" si="2"/>
        <v>1.024142926122646</v>
      </c>
    </row>
    <row r="77" spans="1:7" x14ac:dyDescent="0.25">
      <c r="A77" s="49" t="str">
        <f>'Data Vlaue (Cr)'!C72</f>
        <v>GODFRYPHLP</v>
      </c>
      <c r="B77" s="50">
        <f>VLOOKUP($A77,'Data shares'!$C:$FM,102)</f>
        <v>60.21</v>
      </c>
      <c r="C77" s="50">
        <f>VLOOKUP($A77,'Data shares'!$C:$FM,110)</f>
        <v>60.17</v>
      </c>
      <c r="D77" s="50">
        <f>VLOOKUP($A77,'Data shares'!$C:$FM,114)</f>
        <v>60.38</v>
      </c>
      <c r="E77" s="50">
        <f>VLOOKUP($A77,'Data shares'!$C:$FM,106)</f>
        <v>71.23</v>
      </c>
      <c r="F77" s="50">
        <f>VLOOKUP($A77,'Data shares'!$C:$FM,108)</f>
        <v>-11.02</v>
      </c>
      <c r="G77" s="50">
        <f t="shared" si="2"/>
        <v>0.84528990593850906</v>
      </c>
    </row>
    <row r="78" spans="1:7" x14ac:dyDescent="0.25">
      <c r="A78" s="49" t="str">
        <f>'Data Vlaue (Cr)'!C73</f>
        <v>GODREJCP</v>
      </c>
      <c r="B78" s="50">
        <f>VLOOKUP($A78,'Data shares'!$C:$FM,102)</f>
        <v>31.35</v>
      </c>
      <c r="C78" s="50">
        <f>VLOOKUP($A78,'Data shares'!$C:$FM,110)</f>
        <v>30.41</v>
      </c>
      <c r="D78" s="50">
        <f>VLOOKUP($A78,'Data shares'!$C:$FM,114)</f>
        <v>34.020000000000003</v>
      </c>
      <c r="E78" s="50">
        <f>VLOOKUP($A78,'Data shares'!$C:$FM,106)</f>
        <v>30.33</v>
      </c>
      <c r="F78" s="50">
        <f>VLOOKUP($A78,'Data shares'!$C:$FM,108)</f>
        <v>1.02</v>
      </c>
      <c r="G78" s="50">
        <f t="shared" si="2"/>
        <v>1.033630069238378</v>
      </c>
    </row>
    <row r="79" spans="1:7" x14ac:dyDescent="0.25">
      <c r="A79" s="49" t="str">
        <f>'Data Vlaue (Cr)'!C74</f>
        <v>GODREJPROP</v>
      </c>
      <c r="B79" s="50">
        <f>VLOOKUP($A79,'Data shares'!$C:$FM,102)</f>
        <v>41.89</v>
      </c>
      <c r="C79" s="50">
        <f>VLOOKUP($A79,'Data shares'!$C:$FM,110)</f>
        <v>38.9</v>
      </c>
      <c r="D79" s="50">
        <f>VLOOKUP($A79,'Data shares'!$C:$FM,114)</f>
        <v>45.86</v>
      </c>
      <c r="E79" s="50">
        <f>VLOOKUP($A79,'Data shares'!$C:$FM,106)</f>
        <v>45.67</v>
      </c>
      <c r="F79" s="50">
        <f>VLOOKUP($A79,'Data shares'!$C:$FM,108)</f>
        <v>-3.78</v>
      </c>
      <c r="G79" s="50">
        <f t="shared" si="2"/>
        <v>0.91723231880884604</v>
      </c>
    </row>
    <row r="80" spans="1:7" x14ac:dyDescent="0.25">
      <c r="A80" s="49" t="str">
        <f>'Data Vlaue (Cr)'!C75</f>
        <v>GRASIM</v>
      </c>
      <c r="B80" s="50">
        <f>VLOOKUP($A80,'Data shares'!$C:$FM,102)</f>
        <v>29.22</v>
      </c>
      <c r="C80" s="50">
        <f>VLOOKUP($A80,'Data shares'!$C:$FM,110)</f>
        <v>28.58</v>
      </c>
      <c r="D80" s="50">
        <f>VLOOKUP($A80,'Data shares'!$C:$FM,114)</f>
        <v>30.87</v>
      </c>
      <c r="E80" s="50">
        <f>VLOOKUP($A80,'Data shares'!$C:$FM,106)</f>
        <v>28.34</v>
      </c>
      <c r="F80" s="50">
        <f>VLOOKUP($A80,'Data shares'!$C:$FM,108)</f>
        <v>0.88</v>
      </c>
      <c r="G80" s="50">
        <f t="shared" si="2"/>
        <v>1.0310515172900494</v>
      </c>
    </row>
    <row r="81" spans="1:7" x14ac:dyDescent="0.25">
      <c r="A81" s="49" t="str">
        <f>'Data Vlaue (Cr)'!C76</f>
        <v>HAL</v>
      </c>
      <c r="B81" s="50">
        <f>VLOOKUP($A81,'Data shares'!$C:$FM,102)</f>
        <v>34.82</v>
      </c>
      <c r="C81" s="50">
        <f>VLOOKUP($A81,'Data shares'!$C:$FM,110)</f>
        <v>33.450000000000003</v>
      </c>
      <c r="D81" s="50">
        <f>VLOOKUP($A81,'Data shares'!$C:$FM,114)</f>
        <v>36.78</v>
      </c>
      <c r="E81" s="50">
        <f>VLOOKUP($A81,'Data shares'!$C:$FM,106)</f>
        <v>39.11</v>
      </c>
      <c r="F81" s="50">
        <f>VLOOKUP($A81,'Data shares'!$C:$FM,108)</f>
        <v>-4.29</v>
      </c>
      <c r="G81" s="50">
        <f t="shared" si="2"/>
        <v>0.89030938378931224</v>
      </c>
    </row>
    <row r="82" spans="1:7" x14ac:dyDescent="0.25">
      <c r="A82" s="49" t="str">
        <f>'Data Vlaue (Cr)'!C77</f>
        <v>HAVELLS</v>
      </c>
      <c r="B82" s="50">
        <f>VLOOKUP($A82,'Data shares'!$C:$FM,102)</f>
        <v>40.68</v>
      </c>
      <c r="C82" s="50">
        <f>VLOOKUP($A82,'Data shares'!$C:$FM,110)</f>
        <v>40.299999999999997</v>
      </c>
      <c r="D82" s="50">
        <f>VLOOKUP($A82,'Data shares'!$C:$FM,114)</f>
        <v>41.51</v>
      </c>
      <c r="E82" s="50">
        <f>VLOOKUP($A82,'Data shares'!$C:$FM,106)</f>
        <v>29.51</v>
      </c>
      <c r="F82" s="50">
        <f>VLOOKUP($A82,'Data shares'!$C:$FM,108)</f>
        <v>11.17</v>
      </c>
      <c r="G82" s="50">
        <f t="shared" si="2"/>
        <v>1.3785157573703828</v>
      </c>
    </row>
    <row r="83" spans="1:7" x14ac:dyDescent="0.25">
      <c r="A83" s="49" t="str">
        <f>'Data Vlaue (Cr)'!C78</f>
        <v>HCLTECH</v>
      </c>
      <c r="B83" s="50">
        <f>VLOOKUP($A83,'Data shares'!$C:$FM,102)</f>
        <v>41.04</v>
      </c>
      <c r="C83" s="50">
        <f>VLOOKUP($A83,'Data shares'!$C:$FM,110)</f>
        <v>40.83</v>
      </c>
      <c r="D83" s="50">
        <f>VLOOKUP($A83,'Data shares'!$C:$FM,114)</f>
        <v>41.41</v>
      </c>
      <c r="E83" s="50">
        <f>VLOOKUP($A83,'Data shares'!$C:$FM,106)</f>
        <v>29.29</v>
      </c>
      <c r="F83" s="50">
        <f>VLOOKUP($A83,'Data shares'!$C:$FM,108)</f>
        <v>11.75</v>
      </c>
      <c r="G83" s="50">
        <f t="shared" si="2"/>
        <v>1.4011608057357461</v>
      </c>
    </row>
    <row r="84" spans="1:7" x14ac:dyDescent="0.25">
      <c r="A84" s="49" t="str">
        <f>'Data Vlaue (Cr)'!C79</f>
        <v>HDFCAMC</v>
      </c>
      <c r="B84" s="50">
        <f>VLOOKUP($A84,'Data shares'!$C:$FM,102)</f>
        <v>36.33</v>
      </c>
      <c r="C84" s="50">
        <f>VLOOKUP($A84,'Data shares'!$C:$FM,110)</f>
        <v>33.549999999999997</v>
      </c>
      <c r="D84" s="50">
        <f>VLOOKUP($A84,'Data shares'!$C:$FM,114)</f>
        <v>39.799999999999997</v>
      </c>
      <c r="E84" s="50">
        <f>VLOOKUP($A84,'Data shares'!$C:$FM,106)</f>
        <v>39.340000000000003</v>
      </c>
      <c r="F84" s="50">
        <f>VLOOKUP($A84,'Data shares'!$C:$FM,108)</f>
        <v>-3.01</v>
      </c>
      <c r="G84" s="50">
        <f t="shared" si="2"/>
        <v>0.92348754448398562</v>
      </c>
    </row>
    <row r="85" spans="1:7" x14ac:dyDescent="0.25">
      <c r="A85" s="49" t="str">
        <f>'Data Vlaue (Cr)'!C80</f>
        <v>HDFCBANK</v>
      </c>
      <c r="B85" s="50">
        <f>VLOOKUP($A85,'Data shares'!$C:$FM,102)</f>
        <v>30.48</v>
      </c>
      <c r="C85" s="50">
        <f>VLOOKUP($A85,'Data shares'!$C:$FM,110)</f>
        <v>30.6</v>
      </c>
      <c r="D85" s="50">
        <f>VLOOKUP($A85,'Data shares'!$C:$FM,114)</f>
        <v>30.22</v>
      </c>
      <c r="E85" s="50">
        <f>VLOOKUP($A85,'Data shares'!$C:$FM,106)</f>
        <v>25.3</v>
      </c>
      <c r="F85" s="50">
        <f>VLOOKUP($A85,'Data shares'!$C:$FM,108)</f>
        <v>5.18</v>
      </c>
      <c r="G85" s="50">
        <f t="shared" si="2"/>
        <v>1.2047430830039525</v>
      </c>
    </row>
    <row r="86" spans="1:7" x14ac:dyDescent="0.25">
      <c r="A86" s="49" t="str">
        <f>'Data Vlaue (Cr)'!C81</f>
        <v>HDFCLIFE</v>
      </c>
      <c r="B86" s="50">
        <f>VLOOKUP($A86,'Data shares'!$C:$FM,102)</f>
        <v>29.85</v>
      </c>
      <c r="C86" s="50">
        <f>VLOOKUP($A86,'Data shares'!$C:$FM,110)</f>
        <v>30.12</v>
      </c>
      <c r="D86" s="50">
        <f>VLOOKUP($A86,'Data shares'!$C:$FM,114)</f>
        <v>29.38</v>
      </c>
      <c r="E86" s="50">
        <f>VLOOKUP($A86,'Data shares'!$C:$FM,106)</f>
        <v>27.75</v>
      </c>
      <c r="F86" s="50">
        <f>VLOOKUP($A86,'Data shares'!$C:$FM,108)</f>
        <v>2.1</v>
      </c>
      <c r="G86" s="50">
        <f t="shared" si="2"/>
        <v>1.0756756756756758</v>
      </c>
    </row>
    <row r="87" spans="1:7" x14ac:dyDescent="0.25">
      <c r="A87" s="49" t="str">
        <f>'Data Vlaue (Cr)'!C82</f>
        <v>HEROMOTOCO</v>
      </c>
      <c r="B87" s="50">
        <f>VLOOKUP($A87,'Data shares'!$C:$FM,102)</f>
        <v>33.58</v>
      </c>
      <c r="C87" s="50">
        <f>VLOOKUP($A87,'Data shares'!$C:$FM,110)</f>
        <v>32.729999999999997</v>
      </c>
      <c r="D87" s="50">
        <f>VLOOKUP($A87,'Data shares'!$C:$FM,114)</f>
        <v>35.909999999999997</v>
      </c>
      <c r="E87" s="50">
        <f>VLOOKUP($A87,'Data shares'!$C:$FM,106)</f>
        <v>33.54</v>
      </c>
      <c r="F87" s="50">
        <f>VLOOKUP($A87,'Data shares'!$C:$FM,108)</f>
        <v>0.04</v>
      </c>
      <c r="G87" s="50">
        <f t="shared" si="2"/>
        <v>1.0011926058437686</v>
      </c>
    </row>
    <row r="88" spans="1:7" x14ac:dyDescent="0.25">
      <c r="A88" s="49" t="str">
        <f>'Data Vlaue (Cr)'!C83</f>
        <v>HINDALCO</v>
      </c>
      <c r="B88" s="50">
        <f>VLOOKUP($A88,'Data shares'!$C:$FM,102)</f>
        <v>36.31</v>
      </c>
      <c r="C88" s="50">
        <f>VLOOKUP($A88,'Data shares'!$C:$FM,110)</f>
        <v>36.4</v>
      </c>
      <c r="D88" s="50">
        <f>VLOOKUP($A88,'Data shares'!$C:$FM,114)</f>
        <v>36.18</v>
      </c>
      <c r="E88" s="50">
        <f>VLOOKUP($A88,'Data shares'!$C:$FM,106)</f>
        <v>36.619999999999997</v>
      </c>
      <c r="F88" s="50">
        <f>VLOOKUP($A88,'Data shares'!$C:$FM,108)</f>
        <v>-0.31</v>
      </c>
      <c r="G88" s="50">
        <f t="shared" si="2"/>
        <v>0.99153468050245785</v>
      </c>
    </row>
    <row r="89" spans="1:7" x14ac:dyDescent="0.25">
      <c r="A89" s="49" t="str">
        <f>'Data Vlaue (Cr)'!C84</f>
        <v>HINDPETRO</v>
      </c>
      <c r="B89" s="50">
        <f>VLOOKUP($A89,'Data shares'!$C:$FM,102)</f>
        <v>46.92</v>
      </c>
      <c r="C89" s="50">
        <f>VLOOKUP($A89,'Data shares'!$C:$FM,110)</f>
        <v>45.94</v>
      </c>
      <c r="D89" s="50">
        <f>VLOOKUP($A89,'Data shares'!$C:$FM,114)</f>
        <v>48.59</v>
      </c>
      <c r="E89" s="50">
        <f>VLOOKUP($A89,'Data shares'!$C:$FM,106)</f>
        <v>44.29</v>
      </c>
      <c r="F89" s="50">
        <f>VLOOKUP($A89,'Data shares'!$C:$FM,108)</f>
        <v>2.63</v>
      </c>
      <c r="G89" s="50">
        <f t="shared" si="2"/>
        <v>1.0593813501919169</v>
      </c>
    </row>
    <row r="90" spans="1:7" x14ac:dyDescent="0.25">
      <c r="A90" s="49" t="str">
        <f>'Data Vlaue (Cr)'!C85</f>
        <v>HINDUNILVR</v>
      </c>
      <c r="B90" s="50">
        <f>VLOOKUP($A90,'Data shares'!$C:$FM,102)</f>
        <v>25.4</v>
      </c>
      <c r="C90" s="50">
        <f>VLOOKUP($A90,'Data shares'!$C:$FM,110)</f>
        <v>24.8</v>
      </c>
      <c r="D90" s="50">
        <f>VLOOKUP($A90,'Data shares'!$C:$FM,114)</f>
        <v>26.31</v>
      </c>
      <c r="E90" s="50">
        <f>VLOOKUP($A90,'Data shares'!$C:$FM,106)</f>
        <v>23.88</v>
      </c>
      <c r="F90" s="50">
        <f>VLOOKUP($A90,'Data shares'!$C:$FM,108)</f>
        <v>1.52</v>
      </c>
      <c r="G90" s="50">
        <f t="shared" si="2"/>
        <v>1.0636515912897822</v>
      </c>
    </row>
    <row r="91" spans="1:7" x14ac:dyDescent="0.25">
      <c r="A91" s="49" t="str">
        <f>'Data Vlaue (Cr)'!C86</f>
        <v>HINDZINC</v>
      </c>
      <c r="B91" s="50">
        <f>VLOOKUP($A91,'Data shares'!$C:$FM,102)</f>
        <v>46.37</v>
      </c>
      <c r="C91" s="50">
        <f>VLOOKUP($A91,'Data shares'!$C:$FM,110)</f>
        <v>46.23</v>
      </c>
      <c r="D91" s="50">
        <f>VLOOKUP($A91,'Data shares'!$C:$FM,114)</f>
        <v>46.62</v>
      </c>
      <c r="E91" s="50">
        <f>VLOOKUP($A91,'Data shares'!$C:$FM,106)</f>
        <v>50.43</v>
      </c>
      <c r="F91" s="50">
        <f>VLOOKUP($A91,'Data shares'!$C:$FM,108)</f>
        <v>-4.0599999999999996</v>
      </c>
      <c r="G91" s="50">
        <f t="shared" si="2"/>
        <v>0.91949236565536385</v>
      </c>
    </row>
    <row r="92" spans="1:7" x14ac:dyDescent="0.25">
      <c r="A92" s="49" t="str">
        <f>'Data Vlaue (Cr)'!C87</f>
        <v>HUDCO</v>
      </c>
      <c r="B92" s="50">
        <f>VLOOKUP($A92,'Data shares'!$C:$FM,102)</f>
        <v>42.88</v>
      </c>
      <c r="C92" s="50">
        <f>VLOOKUP($A92,'Data shares'!$C:$FM,110)</f>
        <v>40.909999999999997</v>
      </c>
      <c r="D92" s="50">
        <f>VLOOKUP($A92,'Data shares'!$C:$FM,114)</f>
        <v>46.71</v>
      </c>
      <c r="E92" s="50">
        <f>VLOOKUP($A92,'Data shares'!$C:$FM,106)</f>
        <v>50.23</v>
      </c>
      <c r="F92" s="50">
        <f>VLOOKUP($A92,'Data shares'!$C:$FM,108)</f>
        <v>-7.35</v>
      </c>
      <c r="G92" s="50">
        <f t="shared" si="2"/>
        <v>0.85367310372287486</v>
      </c>
    </row>
    <row r="93" spans="1:7" x14ac:dyDescent="0.25">
      <c r="A93" s="49" t="str">
        <f>'Data Vlaue (Cr)'!C88</f>
        <v>HYUNDAI</v>
      </c>
      <c r="B93" s="50">
        <f>VLOOKUP($A93,'Data shares'!$C:$FM,102)</f>
        <v>42.85</v>
      </c>
      <c r="C93" s="50">
        <f>VLOOKUP($A93,'Data shares'!$C:$FM,110)</f>
        <v>43.32</v>
      </c>
      <c r="D93" s="50">
        <f>VLOOKUP($A93,'Data shares'!$C:$FM,114)</f>
        <v>40.700000000000003</v>
      </c>
      <c r="E93" s="50">
        <f>VLOOKUP($A93,'Data shares'!$C:$FM,106)</f>
        <v>33.590000000000003</v>
      </c>
      <c r="F93" s="50">
        <f>VLOOKUP($A93,'Data shares'!$C:$FM,108)</f>
        <v>9.26</v>
      </c>
      <c r="G93" s="50">
        <f t="shared" si="2"/>
        <v>1.2756772849062219</v>
      </c>
    </row>
    <row r="94" spans="1:7" x14ac:dyDescent="0.25">
      <c r="A94" s="49" t="str">
        <f>'Data Vlaue (Cr)'!C89</f>
        <v>ICICIBANK</v>
      </c>
      <c r="B94" s="50">
        <f>VLOOKUP($A94,'Data shares'!$C:$FM,102)</f>
        <v>25.72</v>
      </c>
      <c r="C94" s="50">
        <f>VLOOKUP($A94,'Data shares'!$C:$FM,110)</f>
        <v>25.24</v>
      </c>
      <c r="D94" s="50">
        <f>VLOOKUP($A94,'Data shares'!$C:$FM,114)</f>
        <v>26.64</v>
      </c>
      <c r="E94" s="50">
        <f>VLOOKUP($A94,'Data shares'!$C:$FM,106)</f>
        <v>23.84</v>
      </c>
      <c r="F94" s="50">
        <f>VLOOKUP($A94,'Data shares'!$C:$FM,108)</f>
        <v>1.88</v>
      </c>
      <c r="G94" s="50">
        <f t="shared" si="2"/>
        <v>1.0788590604026844</v>
      </c>
    </row>
    <row r="95" spans="1:7" x14ac:dyDescent="0.25">
      <c r="A95" s="49" t="str">
        <f>'Data Vlaue (Cr)'!C90</f>
        <v>ICICIGI</v>
      </c>
      <c r="B95" s="50">
        <f>VLOOKUP($A95,'Data shares'!$C:$FM,102)</f>
        <v>27.53</v>
      </c>
      <c r="C95" s="50">
        <f>VLOOKUP($A95,'Data shares'!$C:$FM,110)</f>
        <v>27.11</v>
      </c>
      <c r="D95" s="50">
        <f>VLOOKUP($A95,'Data shares'!$C:$FM,114)</f>
        <v>28.22</v>
      </c>
      <c r="E95" s="50">
        <f>VLOOKUP($A95,'Data shares'!$C:$FM,106)</f>
        <v>27.13</v>
      </c>
      <c r="F95" s="50">
        <f>VLOOKUP($A95,'Data shares'!$C:$FM,108)</f>
        <v>0.4</v>
      </c>
      <c r="G95" s="50">
        <f t="shared" si="2"/>
        <v>1.014743826022853</v>
      </c>
    </row>
    <row r="96" spans="1:7" x14ac:dyDescent="0.25">
      <c r="A96" s="49" t="str">
        <f>'Data Vlaue (Cr)'!C91</f>
        <v>ICICIPRULI</v>
      </c>
      <c r="B96" s="50">
        <f>VLOOKUP($A96,'Data shares'!$C:$FM,102)</f>
        <v>32.840000000000003</v>
      </c>
      <c r="C96" s="50">
        <f>VLOOKUP($A96,'Data shares'!$C:$FM,110)</f>
        <v>32.630000000000003</v>
      </c>
      <c r="D96" s="50">
        <f>VLOOKUP($A96,'Data shares'!$C:$FM,114)</f>
        <v>33.14</v>
      </c>
      <c r="E96" s="50">
        <f>VLOOKUP($A96,'Data shares'!$C:$FM,106)</f>
        <v>28.84</v>
      </c>
      <c r="F96" s="50">
        <f>VLOOKUP($A96,'Data shares'!$C:$FM,108)</f>
        <v>4</v>
      </c>
      <c r="G96" s="50">
        <f t="shared" si="2"/>
        <v>1.1386962552011097</v>
      </c>
    </row>
    <row r="97" spans="1:7" x14ac:dyDescent="0.25">
      <c r="A97" s="49" t="str">
        <f>'Data Vlaue (Cr)'!C92</f>
        <v>IDEA</v>
      </c>
      <c r="B97" s="50">
        <f>VLOOKUP($A97,'Data shares'!$C:$FM,102)</f>
        <v>55.75</v>
      </c>
      <c r="C97" s="50">
        <f>VLOOKUP($A97,'Data shares'!$C:$FM,110)</f>
        <v>57.91</v>
      </c>
      <c r="D97" s="50">
        <f>VLOOKUP($A97,'Data shares'!$C:$FM,114)</f>
        <v>49.83</v>
      </c>
      <c r="E97" s="50">
        <f>VLOOKUP($A97,'Data shares'!$C:$FM,106)</f>
        <v>64.53</v>
      </c>
      <c r="F97" s="50">
        <f>VLOOKUP($A97,'Data shares'!$C:$FM,108)</f>
        <v>-8.7799999999999994</v>
      </c>
      <c r="G97" s="50">
        <f t="shared" si="2"/>
        <v>0.86393925306059194</v>
      </c>
    </row>
    <row r="98" spans="1:7" x14ac:dyDescent="0.25">
      <c r="A98" s="49" t="str">
        <f>'Data Vlaue (Cr)'!C93</f>
        <v>IDFCFIRSTB</v>
      </c>
      <c r="B98" s="50">
        <f>VLOOKUP($A98,'Data shares'!$C:$FM,102)</f>
        <v>48.98</v>
      </c>
      <c r="C98" s="50">
        <f>VLOOKUP($A98,'Data shares'!$C:$FM,110)</f>
        <v>45.4</v>
      </c>
      <c r="D98" s="50">
        <f>VLOOKUP($A98,'Data shares'!$C:$FM,114)</f>
        <v>53.16</v>
      </c>
      <c r="E98" s="50">
        <f>VLOOKUP($A98,'Data shares'!$C:$FM,106)</f>
        <v>41.52</v>
      </c>
      <c r="F98" s="50">
        <f>VLOOKUP($A98,'Data shares'!$C:$FM,108)</f>
        <v>7.46</v>
      </c>
      <c r="G98" s="50">
        <f t="shared" si="2"/>
        <v>1.1796724470134874</v>
      </c>
    </row>
    <row r="99" spans="1:7" x14ac:dyDescent="0.25">
      <c r="A99" s="49" t="str">
        <f>'Data Vlaue (Cr)'!C94</f>
        <v>IEX</v>
      </c>
      <c r="B99" s="50">
        <f>VLOOKUP($A99,'Data shares'!$C:$FM,102)</f>
        <v>47.28</v>
      </c>
      <c r="C99" s="50">
        <f>VLOOKUP($A99,'Data shares'!$C:$FM,110)</f>
        <v>46.88</v>
      </c>
      <c r="D99" s="50">
        <f>VLOOKUP($A99,'Data shares'!$C:$FM,114)</f>
        <v>47.65</v>
      </c>
      <c r="E99" s="50">
        <f>VLOOKUP($A99,'Data shares'!$C:$FM,106)</f>
        <v>52.72</v>
      </c>
      <c r="F99" s="50">
        <f>VLOOKUP($A99,'Data shares'!$C:$FM,108)</f>
        <v>-5.44</v>
      </c>
      <c r="G99" s="50">
        <f t="shared" si="2"/>
        <v>0.89681335356600911</v>
      </c>
    </row>
    <row r="100" spans="1:7" x14ac:dyDescent="0.25">
      <c r="A100" s="49" t="str">
        <f>'Data Vlaue (Cr)'!C95</f>
        <v>INDHOTEL</v>
      </c>
      <c r="B100" s="50">
        <f>VLOOKUP($A100,'Data shares'!$C:$FM,102)</f>
        <v>33.17</v>
      </c>
      <c r="C100" s="50">
        <f>VLOOKUP($A100,'Data shares'!$C:$FM,110)</f>
        <v>30.79</v>
      </c>
      <c r="D100" s="50">
        <f>VLOOKUP($A100,'Data shares'!$C:$FM,114)</f>
        <v>36.42</v>
      </c>
      <c r="E100" s="50">
        <f>VLOOKUP($A100,'Data shares'!$C:$FM,106)</f>
        <v>35.090000000000003</v>
      </c>
      <c r="F100" s="50">
        <f>VLOOKUP($A100,'Data shares'!$C:$FM,108)</f>
        <v>-1.92</v>
      </c>
      <c r="G100" s="50">
        <f t="shared" si="2"/>
        <v>0.94528355656882301</v>
      </c>
    </row>
    <row r="101" spans="1:7" x14ac:dyDescent="0.25">
      <c r="A101" s="49" t="str">
        <f>'Data Vlaue (Cr)'!C96</f>
        <v>INDIANB</v>
      </c>
      <c r="B101" s="50">
        <f>VLOOKUP($A101,'Data shares'!$C:$FM,102)</f>
        <v>43.54</v>
      </c>
      <c r="C101" s="50">
        <f>VLOOKUP($A101,'Data shares'!$C:$FM,110)</f>
        <v>43.46</v>
      </c>
      <c r="D101" s="50">
        <f>VLOOKUP($A101,'Data shares'!$C:$FM,114)</f>
        <v>43.79</v>
      </c>
      <c r="E101" s="50">
        <f>VLOOKUP($A101,'Data shares'!$C:$FM,106)</f>
        <v>41.73</v>
      </c>
      <c r="F101" s="50">
        <f>VLOOKUP($A101,'Data shares'!$C:$FM,108)</f>
        <v>1.81</v>
      </c>
      <c r="G101" s="50">
        <f t="shared" si="2"/>
        <v>1.0433740714114546</v>
      </c>
    </row>
    <row r="102" spans="1:7" x14ac:dyDescent="0.25">
      <c r="A102" s="49" t="str">
        <f>'Data Vlaue (Cr)'!C97</f>
        <v>INDIAVIX</v>
      </c>
      <c r="B102" s="50">
        <f>VLOOKUP($A102,'Data shares'!$C:$FM,102)</f>
        <v>0</v>
      </c>
      <c r="C102" s="50">
        <f>VLOOKUP($A102,'Data shares'!$C:$FM,110)</f>
        <v>0</v>
      </c>
      <c r="D102" s="50">
        <f>VLOOKUP($A102,'Data shares'!$C:$FM,114)</f>
        <v>0</v>
      </c>
      <c r="E102" s="50">
        <f>VLOOKUP($A102,'Data shares'!$C:$FM,106)</f>
        <v>0</v>
      </c>
      <c r="F102" s="50">
        <f>VLOOKUP($A102,'Data shares'!$C:$FM,108)</f>
        <v>0</v>
      </c>
      <c r="G102" s="50" t="e">
        <f t="shared" si="2"/>
        <v>#DIV/0!</v>
      </c>
    </row>
    <row r="103" spans="1:7" x14ac:dyDescent="0.25">
      <c r="A103" s="49" t="str">
        <f>'Data Vlaue (Cr)'!C98</f>
        <v>INDIGO</v>
      </c>
      <c r="B103" s="50">
        <f>VLOOKUP($A103,'Data shares'!$C:$FM,102)</f>
        <v>41.35</v>
      </c>
      <c r="C103" s="50">
        <f>VLOOKUP($A103,'Data shares'!$C:$FM,110)</f>
        <v>37.32</v>
      </c>
      <c r="D103" s="50">
        <f>VLOOKUP($A103,'Data shares'!$C:$FM,114)</f>
        <v>45.53</v>
      </c>
      <c r="E103" s="50">
        <f>VLOOKUP($A103,'Data shares'!$C:$FM,106)</f>
        <v>40.159999999999997</v>
      </c>
      <c r="F103" s="50">
        <f>VLOOKUP($A103,'Data shares'!$C:$FM,108)</f>
        <v>1.19</v>
      </c>
      <c r="G103" s="50">
        <f t="shared" ref="G103:G134" si="3">B103/E103</f>
        <v>1.0296314741035857</v>
      </c>
    </row>
    <row r="104" spans="1:7" x14ac:dyDescent="0.25">
      <c r="A104" s="49" t="str">
        <f>'Data Vlaue (Cr)'!C99</f>
        <v>INDUSINDBK</v>
      </c>
      <c r="B104" s="50">
        <f>VLOOKUP($A104,'Data shares'!$C:$FM,102)</f>
        <v>43.52</v>
      </c>
      <c r="C104" s="50">
        <f>VLOOKUP($A104,'Data shares'!$C:$FM,110)</f>
        <v>41.86</v>
      </c>
      <c r="D104" s="50">
        <f>VLOOKUP($A104,'Data shares'!$C:$FM,114)</f>
        <v>45.74</v>
      </c>
      <c r="E104" s="50">
        <f>VLOOKUP($A104,'Data shares'!$C:$FM,106)</f>
        <v>43.26</v>
      </c>
      <c r="F104" s="50">
        <f>VLOOKUP($A104,'Data shares'!$C:$FM,108)</f>
        <v>0.26</v>
      </c>
      <c r="G104" s="50">
        <f t="shared" si="3"/>
        <v>1.0060101710587148</v>
      </c>
    </row>
    <row r="105" spans="1:7" x14ac:dyDescent="0.25">
      <c r="A105" s="49" t="str">
        <f>'Data Vlaue (Cr)'!C100</f>
        <v>INDUSTOWER</v>
      </c>
      <c r="B105" s="50">
        <f>VLOOKUP($A105,'Data shares'!$C:$FM,102)</f>
        <v>35.119999999999997</v>
      </c>
      <c r="C105" s="50">
        <f>VLOOKUP($A105,'Data shares'!$C:$FM,110)</f>
        <v>35.369999999999997</v>
      </c>
      <c r="D105" s="50">
        <f>VLOOKUP($A105,'Data shares'!$C:$FM,114)</f>
        <v>34.479999999999997</v>
      </c>
      <c r="E105" s="50">
        <f>VLOOKUP($A105,'Data shares'!$C:$FM,106)</f>
        <v>37.72</v>
      </c>
      <c r="F105" s="50">
        <f>VLOOKUP($A105,'Data shares'!$C:$FM,108)</f>
        <v>-2.6</v>
      </c>
      <c r="G105" s="50">
        <f t="shared" si="3"/>
        <v>0.93107104984093314</v>
      </c>
    </row>
    <row r="106" spans="1:7" x14ac:dyDescent="0.25">
      <c r="A106" s="49" t="str">
        <f>'Data Vlaue (Cr)'!C101</f>
        <v>INFY</v>
      </c>
      <c r="B106" s="50">
        <f>VLOOKUP($A106,'Data shares'!$C:$FM,102)</f>
        <v>39.44</v>
      </c>
      <c r="C106" s="50">
        <f>VLOOKUP($A106,'Data shares'!$C:$FM,110)</f>
        <v>38.44</v>
      </c>
      <c r="D106" s="50">
        <f>VLOOKUP($A106,'Data shares'!$C:$FM,114)</f>
        <v>41.17</v>
      </c>
      <c r="E106" s="50">
        <f>VLOOKUP($A106,'Data shares'!$C:$FM,106)</f>
        <v>30.88</v>
      </c>
      <c r="F106" s="50">
        <f>VLOOKUP($A106,'Data shares'!$C:$FM,108)</f>
        <v>8.56</v>
      </c>
      <c r="G106" s="50">
        <f t="shared" si="3"/>
        <v>1.27720207253886</v>
      </c>
    </row>
    <row r="107" spans="1:7" x14ac:dyDescent="0.25">
      <c r="A107" s="49" t="str">
        <f>'Data Vlaue (Cr)'!C102</f>
        <v>INOXWIND</v>
      </c>
      <c r="B107" s="50">
        <f>VLOOKUP($A107,'Data shares'!$C:$FM,102)</f>
        <v>52.78</v>
      </c>
      <c r="C107" s="50">
        <f>VLOOKUP($A107,'Data shares'!$C:$FM,110)</f>
        <v>52.4</v>
      </c>
      <c r="D107" s="50">
        <f>VLOOKUP($A107,'Data shares'!$C:$FM,114)</f>
        <v>54</v>
      </c>
      <c r="E107" s="50">
        <f>VLOOKUP($A107,'Data shares'!$C:$FM,106)</f>
        <v>54.06</v>
      </c>
      <c r="F107" s="50">
        <f>VLOOKUP($A107,'Data shares'!$C:$FM,108)</f>
        <v>-1.28</v>
      </c>
      <c r="G107" s="50">
        <f t="shared" si="3"/>
        <v>0.9763226045135035</v>
      </c>
    </row>
    <row r="108" spans="1:7" x14ac:dyDescent="0.25">
      <c r="A108" s="49" t="str">
        <f>'Data Vlaue (Cr)'!C103</f>
        <v>IOC</v>
      </c>
      <c r="B108" s="50">
        <f>VLOOKUP($A108,'Data shares'!$C:$FM,102)</f>
        <v>37.28</v>
      </c>
      <c r="C108" s="50">
        <f>VLOOKUP($A108,'Data shares'!$C:$FM,110)</f>
        <v>36.270000000000003</v>
      </c>
      <c r="D108" s="50">
        <f>VLOOKUP($A108,'Data shares'!$C:$FM,114)</f>
        <v>38.79</v>
      </c>
      <c r="E108" s="50">
        <f>VLOOKUP($A108,'Data shares'!$C:$FM,106)</f>
        <v>34.03</v>
      </c>
      <c r="F108" s="50">
        <f>VLOOKUP($A108,'Data shares'!$C:$FM,108)</f>
        <v>3.25</v>
      </c>
      <c r="G108" s="50">
        <f t="shared" si="3"/>
        <v>1.0955039670878637</v>
      </c>
    </row>
    <row r="109" spans="1:7" x14ac:dyDescent="0.25">
      <c r="A109" s="49" t="str">
        <f>'Data Vlaue (Cr)'!C104</f>
        <v>IREDA</v>
      </c>
      <c r="B109" s="50">
        <f>VLOOKUP($A109,'Data shares'!$C:$FM,102)</f>
        <v>47.03</v>
      </c>
      <c r="C109" s="50">
        <f>VLOOKUP($A109,'Data shares'!$C:$FM,110)</f>
        <v>46.86</v>
      </c>
      <c r="D109" s="50">
        <f>VLOOKUP($A109,'Data shares'!$C:$FM,114)</f>
        <v>47.5</v>
      </c>
      <c r="E109" s="50">
        <f>VLOOKUP($A109,'Data shares'!$C:$FM,106)</f>
        <v>48.66</v>
      </c>
      <c r="F109" s="50">
        <f>VLOOKUP($A109,'Data shares'!$C:$FM,108)</f>
        <v>-1.63</v>
      </c>
      <c r="G109" s="50">
        <f t="shared" si="3"/>
        <v>0.96650226058364164</v>
      </c>
    </row>
    <row r="110" spans="1:7" x14ac:dyDescent="0.25">
      <c r="A110" s="49" t="str">
        <f>'Data Vlaue (Cr)'!C105</f>
        <v>IRFC</v>
      </c>
      <c r="B110" s="50">
        <f>VLOOKUP($A110,'Data shares'!$C:$FM,102)</f>
        <v>41.68</v>
      </c>
      <c r="C110" s="50">
        <f>VLOOKUP($A110,'Data shares'!$C:$FM,110)</f>
        <v>41.53</v>
      </c>
      <c r="D110" s="50">
        <f>VLOOKUP($A110,'Data shares'!$C:$FM,114)</f>
        <v>42</v>
      </c>
      <c r="E110" s="50">
        <f>VLOOKUP($A110,'Data shares'!$C:$FM,106)</f>
        <v>45.73</v>
      </c>
      <c r="F110" s="50">
        <f>VLOOKUP($A110,'Data shares'!$C:$FM,108)</f>
        <v>-4.05</v>
      </c>
      <c r="G110" s="50">
        <f t="shared" si="3"/>
        <v>0.91143669363656243</v>
      </c>
    </row>
    <row r="111" spans="1:7" x14ac:dyDescent="0.25">
      <c r="A111" s="49" t="str">
        <f>'Data Vlaue (Cr)'!C106</f>
        <v>ITC</v>
      </c>
      <c r="B111" s="50">
        <f>VLOOKUP($A111,'Data shares'!$C:$FM,102)</f>
        <v>23.45</v>
      </c>
      <c r="C111" s="50">
        <f>VLOOKUP($A111,'Data shares'!$C:$FM,110)</f>
        <v>23.96</v>
      </c>
      <c r="D111" s="50">
        <f>VLOOKUP($A111,'Data shares'!$C:$FM,114)</f>
        <v>21.94</v>
      </c>
      <c r="E111" s="50">
        <f>VLOOKUP($A111,'Data shares'!$C:$FM,106)</f>
        <v>24.42</v>
      </c>
      <c r="F111" s="50">
        <f>VLOOKUP($A111,'Data shares'!$C:$FM,108)</f>
        <v>-0.97</v>
      </c>
      <c r="G111" s="50">
        <f t="shared" si="3"/>
        <v>0.9602784602784602</v>
      </c>
    </row>
    <row r="112" spans="1:7" x14ac:dyDescent="0.25">
      <c r="A112" s="49" t="str">
        <f>'Data Vlaue (Cr)'!C107</f>
        <v>JINDALSTEL</v>
      </c>
      <c r="B112" s="50">
        <f>VLOOKUP($A112,'Data shares'!$C:$FM,102)</f>
        <v>33.4</v>
      </c>
      <c r="C112" s="50">
        <f>VLOOKUP($A112,'Data shares'!$C:$FM,110)</f>
        <v>32.450000000000003</v>
      </c>
      <c r="D112" s="50">
        <f>VLOOKUP($A112,'Data shares'!$C:$FM,114)</f>
        <v>35.22</v>
      </c>
      <c r="E112" s="50">
        <f>VLOOKUP($A112,'Data shares'!$C:$FM,106)</f>
        <v>38.020000000000003</v>
      </c>
      <c r="F112" s="50">
        <f>VLOOKUP($A112,'Data shares'!$C:$FM,108)</f>
        <v>-4.62</v>
      </c>
      <c r="G112" s="50">
        <f t="shared" si="3"/>
        <v>0.87848500789058381</v>
      </c>
    </row>
    <row r="113" spans="1:7" x14ac:dyDescent="0.25">
      <c r="A113" s="49" t="str">
        <f>'Data Vlaue (Cr)'!C108</f>
        <v>JIOFIN</v>
      </c>
      <c r="B113" s="50">
        <f>VLOOKUP($A113,'Data shares'!$C:$FM,102)</f>
        <v>39.840000000000003</v>
      </c>
      <c r="C113" s="50">
        <f>VLOOKUP($A113,'Data shares'!$C:$FM,110)</f>
        <v>39.35</v>
      </c>
      <c r="D113" s="50">
        <f>VLOOKUP($A113,'Data shares'!$C:$FM,114)</f>
        <v>40.72</v>
      </c>
      <c r="E113" s="50">
        <f>VLOOKUP($A113,'Data shares'!$C:$FM,106)</f>
        <v>37.549999999999997</v>
      </c>
      <c r="F113" s="50">
        <f>VLOOKUP($A113,'Data shares'!$C:$FM,108)</f>
        <v>2.29</v>
      </c>
      <c r="G113" s="50">
        <f t="shared" si="3"/>
        <v>1.0609853528628497</v>
      </c>
    </row>
    <row r="114" spans="1:7" x14ac:dyDescent="0.25">
      <c r="A114" s="49" t="str">
        <f>'Data Vlaue (Cr)'!C109</f>
        <v>JSWENERGY</v>
      </c>
      <c r="B114" s="50">
        <f>VLOOKUP($A114,'Data shares'!$C:$FM,102)</f>
        <v>35.21</v>
      </c>
      <c r="C114" s="50">
        <f>VLOOKUP($A114,'Data shares'!$C:$FM,110)</f>
        <v>34.29</v>
      </c>
      <c r="D114" s="50">
        <f>VLOOKUP($A114,'Data shares'!$C:$FM,114)</f>
        <v>38.19</v>
      </c>
      <c r="E114" s="50">
        <f>VLOOKUP($A114,'Data shares'!$C:$FM,106)</f>
        <v>42.81</v>
      </c>
      <c r="F114" s="50">
        <f>VLOOKUP($A114,'Data shares'!$C:$FM,108)</f>
        <v>-7.6</v>
      </c>
      <c r="G114" s="50">
        <f t="shared" si="3"/>
        <v>0.8224713851903761</v>
      </c>
    </row>
    <row r="115" spans="1:7" x14ac:dyDescent="0.25">
      <c r="A115" s="49" t="str">
        <f>'Data Vlaue (Cr)'!C110</f>
        <v>JSWSTEEL</v>
      </c>
      <c r="B115" s="50">
        <f>VLOOKUP($A115,'Data shares'!$C:$FM,102)</f>
        <v>31.32</v>
      </c>
      <c r="C115" s="50">
        <f>VLOOKUP($A115,'Data shares'!$C:$FM,110)</f>
        <v>30.36</v>
      </c>
      <c r="D115" s="50">
        <f>VLOOKUP($A115,'Data shares'!$C:$FM,114)</f>
        <v>33.44</v>
      </c>
      <c r="E115" s="50">
        <f>VLOOKUP($A115,'Data shares'!$C:$FM,106)</f>
        <v>32.19</v>
      </c>
      <c r="F115" s="50">
        <f>VLOOKUP($A115,'Data shares'!$C:$FM,108)</f>
        <v>-0.87</v>
      </c>
      <c r="G115" s="50">
        <f t="shared" si="3"/>
        <v>0.97297297297297303</v>
      </c>
    </row>
    <row r="116" spans="1:7" x14ac:dyDescent="0.25">
      <c r="A116" s="49" t="str">
        <f>'Data Vlaue (Cr)'!C111</f>
        <v>JUBLFOOD</v>
      </c>
      <c r="B116" s="50">
        <f>VLOOKUP($A116,'Data shares'!$C:$FM,102)</f>
        <v>38.36</v>
      </c>
      <c r="C116" s="50">
        <f>VLOOKUP($A116,'Data shares'!$C:$FM,110)</f>
        <v>37.74</v>
      </c>
      <c r="D116" s="50">
        <f>VLOOKUP($A116,'Data shares'!$C:$FM,114)</f>
        <v>39.950000000000003</v>
      </c>
      <c r="E116" s="50">
        <f>VLOOKUP($A116,'Data shares'!$C:$FM,106)</f>
        <v>38.03</v>
      </c>
      <c r="F116" s="50">
        <f>VLOOKUP($A116,'Data shares'!$C:$FM,108)</f>
        <v>0.33</v>
      </c>
      <c r="G116" s="50">
        <f t="shared" si="3"/>
        <v>1.008677359978964</v>
      </c>
    </row>
    <row r="117" spans="1:7" x14ac:dyDescent="0.25">
      <c r="A117" s="49" t="str">
        <f>'Data Vlaue (Cr)'!C112</f>
        <v>KALYANKJIL</v>
      </c>
      <c r="B117" s="50">
        <f>VLOOKUP($A117,'Data shares'!$C:$FM,102)</f>
        <v>47.69</v>
      </c>
      <c r="C117" s="50">
        <f>VLOOKUP($A117,'Data shares'!$C:$FM,110)</f>
        <v>47.75</v>
      </c>
      <c r="D117" s="50">
        <f>VLOOKUP($A117,'Data shares'!$C:$FM,114)</f>
        <v>47.57</v>
      </c>
      <c r="E117" s="50">
        <f>VLOOKUP($A117,'Data shares'!$C:$FM,106)</f>
        <v>52.41</v>
      </c>
      <c r="F117" s="50">
        <f>VLOOKUP($A117,'Data shares'!$C:$FM,108)</f>
        <v>-4.72</v>
      </c>
      <c r="G117" s="50">
        <f t="shared" si="3"/>
        <v>0.90994085098263688</v>
      </c>
    </row>
    <row r="118" spans="1:7" x14ac:dyDescent="0.25">
      <c r="A118" s="49" t="str">
        <f>'Data Vlaue (Cr)'!C113</f>
        <v>KAYNES</v>
      </c>
      <c r="B118" s="50">
        <f>VLOOKUP($A118,'Data shares'!$C:$FM,102)</f>
        <v>49.62</v>
      </c>
      <c r="C118" s="50">
        <f>VLOOKUP($A118,'Data shares'!$C:$FM,110)</f>
        <v>46.77</v>
      </c>
      <c r="D118" s="50">
        <f>VLOOKUP($A118,'Data shares'!$C:$FM,114)</f>
        <v>53.54</v>
      </c>
      <c r="E118" s="50">
        <f>VLOOKUP($A118,'Data shares'!$C:$FM,106)</f>
        <v>60.99</v>
      </c>
      <c r="F118" s="50">
        <f>VLOOKUP($A118,'Data shares'!$C:$FM,108)</f>
        <v>-11.37</v>
      </c>
      <c r="G118" s="50">
        <f t="shared" si="3"/>
        <v>0.81357599606492859</v>
      </c>
    </row>
    <row r="119" spans="1:7" x14ac:dyDescent="0.25">
      <c r="A119" s="49" t="str">
        <f>'Data Vlaue (Cr)'!C114</f>
        <v>KEI</v>
      </c>
      <c r="B119" s="50">
        <f>VLOOKUP($A119,'Data shares'!$C:$FM,102)</f>
        <v>39.57</v>
      </c>
      <c r="C119" s="50">
        <f>VLOOKUP($A119,'Data shares'!$C:$FM,110)</f>
        <v>38.369999999999997</v>
      </c>
      <c r="D119" s="50">
        <f>VLOOKUP($A119,'Data shares'!$C:$FM,114)</f>
        <v>42.7</v>
      </c>
      <c r="E119" s="50">
        <f>VLOOKUP($A119,'Data shares'!$C:$FM,106)</f>
        <v>46.54</v>
      </c>
      <c r="F119" s="50">
        <f>VLOOKUP($A119,'Data shares'!$C:$FM,108)</f>
        <v>-6.97</v>
      </c>
      <c r="G119" s="50">
        <f t="shared" si="3"/>
        <v>0.85023635582294799</v>
      </c>
    </row>
    <row r="120" spans="1:7" x14ac:dyDescent="0.25">
      <c r="A120" s="49" t="str">
        <f>'Data Vlaue (Cr)'!C115</f>
        <v>KFINTECH</v>
      </c>
      <c r="B120" s="50">
        <f>VLOOKUP($A120,'Data shares'!$C:$FM,102)</f>
        <v>40.92</v>
      </c>
      <c r="C120" s="50">
        <f>VLOOKUP($A120,'Data shares'!$C:$FM,110)</f>
        <v>40.4</v>
      </c>
      <c r="D120" s="50">
        <f>VLOOKUP($A120,'Data shares'!$C:$FM,114)</f>
        <v>42.59</v>
      </c>
      <c r="E120" s="50">
        <f>VLOOKUP($A120,'Data shares'!$C:$FM,106)</f>
        <v>50.23</v>
      </c>
      <c r="F120" s="50">
        <f>VLOOKUP($A120,'Data shares'!$C:$FM,108)</f>
        <v>-9.31</v>
      </c>
      <c r="G120" s="50">
        <f t="shared" si="3"/>
        <v>0.81465259804897483</v>
      </c>
    </row>
    <row r="121" spans="1:7" x14ac:dyDescent="0.25">
      <c r="A121" s="49" t="str">
        <f>'Data Vlaue (Cr)'!C116</f>
        <v>KOTAKBANK</v>
      </c>
      <c r="B121" s="50">
        <f>VLOOKUP($A121,'Data shares'!$C:$FM,102)</f>
        <v>28.35</v>
      </c>
      <c r="C121" s="50">
        <f>VLOOKUP($A121,'Data shares'!$C:$FM,110)</f>
        <v>28.34</v>
      </c>
      <c r="D121" s="50">
        <f>VLOOKUP($A121,'Data shares'!$C:$FM,114)</f>
        <v>28.38</v>
      </c>
      <c r="E121" s="50">
        <f>VLOOKUP($A121,'Data shares'!$C:$FM,106)</f>
        <v>27.33</v>
      </c>
      <c r="F121" s="50">
        <f>VLOOKUP($A121,'Data shares'!$C:$FM,108)</f>
        <v>1.02</v>
      </c>
      <c r="G121" s="50">
        <f t="shared" si="3"/>
        <v>1.0373216245883645</v>
      </c>
    </row>
    <row r="122" spans="1:7" x14ac:dyDescent="0.25">
      <c r="A122" s="49" t="str">
        <f>'Data Vlaue (Cr)'!C117</f>
        <v>KPITTECH</v>
      </c>
      <c r="B122" s="50">
        <f>VLOOKUP($A122,'Data shares'!$C:$FM,102)</f>
        <v>46.58</v>
      </c>
      <c r="C122" s="50">
        <f>VLOOKUP($A122,'Data shares'!$C:$FM,110)</f>
        <v>44.42</v>
      </c>
      <c r="D122" s="50">
        <f>VLOOKUP($A122,'Data shares'!$C:$FM,114)</f>
        <v>48.58</v>
      </c>
      <c r="E122" s="50">
        <f>VLOOKUP($A122,'Data shares'!$C:$FM,106)</f>
        <v>45.01</v>
      </c>
      <c r="F122" s="50">
        <f>VLOOKUP($A122,'Data shares'!$C:$FM,108)</f>
        <v>1.57</v>
      </c>
      <c r="G122" s="50">
        <f t="shared" si="3"/>
        <v>1.0348811375249944</v>
      </c>
    </row>
    <row r="123" spans="1:7" x14ac:dyDescent="0.25">
      <c r="A123" s="49" t="str">
        <f>'Data Vlaue (Cr)'!C118</f>
        <v>LAURUSLABS</v>
      </c>
      <c r="B123" s="50">
        <f>VLOOKUP($A123,'Data shares'!$C:$FM,102)</f>
        <v>33.32</v>
      </c>
      <c r="C123" s="50">
        <f>VLOOKUP($A123,'Data shares'!$C:$FM,110)</f>
        <v>31.94</v>
      </c>
      <c r="D123" s="50">
        <f>VLOOKUP($A123,'Data shares'!$C:$FM,114)</f>
        <v>35.840000000000003</v>
      </c>
      <c r="E123" s="50">
        <f>VLOOKUP($A123,'Data shares'!$C:$FM,106)</f>
        <v>39.369999999999997</v>
      </c>
      <c r="F123" s="50">
        <f>VLOOKUP($A123,'Data shares'!$C:$FM,108)</f>
        <v>-6.05</v>
      </c>
      <c r="G123" s="50">
        <f t="shared" si="3"/>
        <v>0.8463296926593854</v>
      </c>
    </row>
    <row r="124" spans="1:7" x14ac:dyDescent="0.25">
      <c r="A124" s="49" t="str">
        <f>'Data Vlaue (Cr)'!C119</f>
        <v>LICHSGFIN</v>
      </c>
      <c r="B124" s="50">
        <f>VLOOKUP($A124,'Data shares'!$C:$FM,102)</f>
        <v>30.66</v>
      </c>
      <c r="C124" s="50">
        <f>VLOOKUP($A124,'Data shares'!$C:$FM,110)</f>
        <v>30.51</v>
      </c>
      <c r="D124" s="50">
        <f>VLOOKUP($A124,'Data shares'!$C:$FM,114)</f>
        <v>31.05</v>
      </c>
      <c r="E124" s="50">
        <f>VLOOKUP($A124,'Data shares'!$C:$FM,106)</f>
        <v>33.119999999999997</v>
      </c>
      <c r="F124" s="50">
        <f>VLOOKUP($A124,'Data shares'!$C:$FM,108)</f>
        <v>-2.46</v>
      </c>
      <c r="G124" s="50">
        <f t="shared" si="3"/>
        <v>0.92572463768115953</v>
      </c>
    </row>
    <row r="125" spans="1:7" x14ac:dyDescent="0.25">
      <c r="A125" s="49" t="str">
        <f>'Data Vlaue (Cr)'!C120</f>
        <v>LICI</v>
      </c>
      <c r="B125" s="50">
        <f>VLOOKUP($A125,'Data shares'!$C:$FM,102)</f>
        <v>33.869999999999997</v>
      </c>
      <c r="C125" s="50">
        <f>VLOOKUP($A125,'Data shares'!$C:$FM,110)</f>
        <v>33.54</v>
      </c>
      <c r="D125" s="50">
        <f>VLOOKUP($A125,'Data shares'!$C:$FM,114)</f>
        <v>34.56</v>
      </c>
      <c r="E125" s="50">
        <f>VLOOKUP($A125,'Data shares'!$C:$FM,106)</f>
        <v>33.31</v>
      </c>
      <c r="F125" s="50">
        <f>VLOOKUP($A125,'Data shares'!$C:$FM,108)</f>
        <v>0.56000000000000005</v>
      </c>
      <c r="G125" s="50">
        <f t="shared" si="3"/>
        <v>1.0168117682377662</v>
      </c>
    </row>
    <row r="126" spans="1:7" x14ac:dyDescent="0.25">
      <c r="A126" s="49" t="str">
        <f>'Data Vlaue (Cr)'!C121</f>
        <v>LODHA</v>
      </c>
      <c r="B126" s="50">
        <f>VLOOKUP($A126,'Data shares'!$C:$FM,102)</f>
        <v>47.78</v>
      </c>
      <c r="C126" s="50">
        <f>VLOOKUP($A126,'Data shares'!$C:$FM,110)</f>
        <v>45.79</v>
      </c>
      <c r="D126" s="50">
        <f>VLOOKUP($A126,'Data shares'!$C:$FM,114)</f>
        <v>49.63</v>
      </c>
      <c r="E126" s="50">
        <f>VLOOKUP($A126,'Data shares'!$C:$FM,106)</f>
        <v>47.73</v>
      </c>
      <c r="F126" s="50">
        <f>VLOOKUP($A126,'Data shares'!$C:$FM,108)</f>
        <v>0.05</v>
      </c>
      <c r="G126" s="50">
        <f t="shared" si="3"/>
        <v>1.0010475591870942</v>
      </c>
    </row>
    <row r="127" spans="1:7" x14ac:dyDescent="0.25">
      <c r="A127" s="49" t="str">
        <f>'Data Vlaue (Cr)'!C122</f>
        <v>LT</v>
      </c>
      <c r="B127" s="50">
        <f>VLOOKUP($A127,'Data shares'!$C:$FM,102)</f>
        <v>33.869999999999997</v>
      </c>
      <c r="C127" s="50">
        <f>VLOOKUP($A127,'Data shares'!$C:$FM,110)</f>
        <v>32.32</v>
      </c>
      <c r="D127" s="50">
        <f>VLOOKUP($A127,'Data shares'!$C:$FM,114)</f>
        <v>35.83</v>
      </c>
      <c r="E127" s="50">
        <f>VLOOKUP($A127,'Data shares'!$C:$FM,106)</f>
        <v>33.96</v>
      </c>
      <c r="F127" s="50">
        <f>VLOOKUP($A127,'Data shares'!$C:$FM,108)</f>
        <v>-0.09</v>
      </c>
      <c r="G127" s="50">
        <f t="shared" si="3"/>
        <v>0.99734982332155464</v>
      </c>
    </row>
    <row r="128" spans="1:7" x14ac:dyDescent="0.25">
      <c r="A128" s="49" t="str">
        <f>'Data Vlaue (Cr)'!C123</f>
        <v>LTF</v>
      </c>
      <c r="B128" s="50">
        <f>VLOOKUP($A128,'Data shares'!$C:$FM,102)</f>
        <v>43.02</v>
      </c>
      <c r="C128" s="50">
        <f>VLOOKUP($A128,'Data shares'!$C:$FM,110)</f>
        <v>41.37</v>
      </c>
      <c r="D128" s="50">
        <f>VLOOKUP($A128,'Data shares'!$C:$FM,114)</f>
        <v>46.14</v>
      </c>
      <c r="E128" s="50">
        <f>VLOOKUP($A128,'Data shares'!$C:$FM,106)</f>
        <v>41.63</v>
      </c>
      <c r="F128" s="50">
        <f>VLOOKUP($A128,'Data shares'!$C:$FM,108)</f>
        <v>1.39</v>
      </c>
      <c r="G128" s="50">
        <f t="shared" si="3"/>
        <v>1.033389382656738</v>
      </c>
    </row>
    <row r="129" spans="1:7" x14ac:dyDescent="0.25">
      <c r="A129" s="49" t="str">
        <f>'Data Vlaue (Cr)'!C124</f>
        <v>LTM</v>
      </c>
      <c r="B129" s="50">
        <f>VLOOKUP($A129,'Data shares'!$C:$FM,102)</f>
        <v>41.41</v>
      </c>
      <c r="C129" s="50">
        <f>VLOOKUP($A129,'Data shares'!$C:$FM,110)</f>
        <v>40.46</v>
      </c>
      <c r="D129" s="50">
        <f>VLOOKUP($A129,'Data shares'!$C:$FM,114)</f>
        <v>42.91</v>
      </c>
      <c r="E129" s="50">
        <f>VLOOKUP($A129,'Data shares'!$C:$FM,106)</f>
        <v>35.82</v>
      </c>
      <c r="F129" s="50">
        <f>VLOOKUP($A129,'Data shares'!$C:$FM,108)</f>
        <v>5.59</v>
      </c>
      <c r="G129" s="50">
        <f t="shared" si="3"/>
        <v>1.1560580681183694</v>
      </c>
    </row>
    <row r="130" spans="1:7" x14ac:dyDescent="0.25">
      <c r="A130" s="49" t="str">
        <f>'Data Vlaue (Cr)'!C125</f>
        <v>LUPIN</v>
      </c>
      <c r="B130" s="50">
        <f>VLOOKUP($A130,'Data shares'!$C:$FM,102)</f>
        <v>28.06</v>
      </c>
      <c r="C130" s="50">
        <f>VLOOKUP($A130,'Data shares'!$C:$FM,110)</f>
        <v>27.61</v>
      </c>
      <c r="D130" s="50">
        <f>VLOOKUP($A130,'Data shares'!$C:$FM,114)</f>
        <v>28.97</v>
      </c>
      <c r="E130" s="50">
        <f>VLOOKUP($A130,'Data shares'!$C:$FM,106)</f>
        <v>27.85</v>
      </c>
      <c r="F130" s="50">
        <f>VLOOKUP($A130,'Data shares'!$C:$FM,108)</f>
        <v>0.21</v>
      </c>
      <c r="G130" s="50">
        <f t="shared" si="3"/>
        <v>1.0075403949730699</v>
      </c>
    </row>
    <row r="131" spans="1:7" x14ac:dyDescent="0.25">
      <c r="A131" s="49" t="str">
        <f>'Data Vlaue (Cr)'!C126</f>
        <v>M&amp;M</v>
      </c>
      <c r="B131" s="50">
        <f>VLOOKUP($A131,'Data shares'!$C:$FM,102)</f>
        <v>34.72</v>
      </c>
      <c r="C131" s="50">
        <f>VLOOKUP($A131,'Data shares'!$C:$FM,110)</f>
        <v>33.880000000000003</v>
      </c>
      <c r="D131" s="50">
        <f>VLOOKUP($A131,'Data shares'!$C:$FM,114)</f>
        <v>36.49</v>
      </c>
      <c r="E131" s="50">
        <f>VLOOKUP($A131,'Data shares'!$C:$FM,106)</f>
        <v>35.56</v>
      </c>
      <c r="F131" s="50">
        <f>VLOOKUP($A131,'Data shares'!$C:$FM,108)</f>
        <v>-0.84</v>
      </c>
      <c r="G131" s="50">
        <f t="shared" si="3"/>
        <v>0.97637795275590544</v>
      </c>
    </row>
    <row r="132" spans="1:7" x14ac:dyDescent="0.25">
      <c r="A132" s="49" t="str">
        <f>'Data Vlaue (Cr)'!C127</f>
        <v>MANAPPURAM</v>
      </c>
      <c r="B132" s="50">
        <f>VLOOKUP($A132,'Data shares'!$C:$FM,102)</f>
        <v>38.619999999999997</v>
      </c>
      <c r="C132" s="50">
        <f>VLOOKUP($A132,'Data shares'!$C:$FM,110)</f>
        <v>37.89</v>
      </c>
      <c r="D132" s="50">
        <f>VLOOKUP($A132,'Data shares'!$C:$FM,114)</f>
        <v>40.409999999999997</v>
      </c>
      <c r="E132" s="50">
        <f>VLOOKUP($A132,'Data shares'!$C:$FM,106)</f>
        <v>42.49</v>
      </c>
      <c r="F132" s="50">
        <f>VLOOKUP($A132,'Data shares'!$C:$FM,108)</f>
        <v>-3.87</v>
      </c>
      <c r="G132" s="50">
        <f t="shared" si="3"/>
        <v>0.90891974582254642</v>
      </c>
    </row>
    <row r="133" spans="1:7" x14ac:dyDescent="0.25">
      <c r="A133" s="49" t="str">
        <f>'Data Vlaue (Cr)'!C128</f>
        <v>MANKIND</v>
      </c>
      <c r="B133" s="50">
        <f>VLOOKUP($A133,'Data shares'!$C:$FM,102)</f>
        <v>39.24</v>
      </c>
      <c r="C133" s="50">
        <f>VLOOKUP($A133,'Data shares'!$C:$FM,110)</f>
        <v>31.39</v>
      </c>
      <c r="D133" s="50">
        <f>VLOOKUP($A133,'Data shares'!$C:$FM,114)</f>
        <v>48.58</v>
      </c>
      <c r="E133" s="50">
        <f>VLOOKUP($A133,'Data shares'!$C:$FM,106)</f>
        <v>33.729999999999997</v>
      </c>
      <c r="F133" s="50">
        <f>VLOOKUP($A133,'Data shares'!$C:$FM,108)</f>
        <v>5.51</v>
      </c>
      <c r="G133" s="50">
        <f t="shared" si="3"/>
        <v>1.1633560628520607</v>
      </c>
    </row>
    <row r="134" spans="1:7" x14ac:dyDescent="0.25">
      <c r="A134" s="49" t="str">
        <f>'Data Vlaue (Cr)'!C129</f>
        <v>MARICO</v>
      </c>
      <c r="B134" s="50">
        <f>VLOOKUP($A134,'Data shares'!$C:$FM,102)</f>
        <v>25.72</v>
      </c>
      <c r="C134" s="50">
        <f>VLOOKUP($A134,'Data shares'!$C:$FM,110)</f>
        <v>25.67</v>
      </c>
      <c r="D134" s="50">
        <f>VLOOKUP($A134,'Data shares'!$C:$FM,114)</f>
        <v>25.9</v>
      </c>
      <c r="E134" s="50">
        <f>VLOOKUP($A134,'Data shares'!$C:$FM,106)</f>
        <v>24.74</v>
      </c>
      <c r="F134" s="50">
        <f>VLOOKUP($A134,'Data shares'!$C:$FM,108)</f>
        <v>0.98</v>
      </c>
      <c r="G134" s="50">
        <f t="shared" si="3"/>
        <v>1.0396119644300728</v>
      </c>
    </row>
    <row r="135" spans="1:7" x14ac:dyDescent="0.25">
      <c r="A135" s="49" t="str">
        <f>'Data Vlaue (Cr)'!C130</f>
        <v>MARUTI</v>
      </c>
      <c r="B135" s="50">
        <f>VLOOKUP($A135,'Data shares'!$C:$FM,102)</f>
        <v>34.93</v>
      </c>
      <c r="C135" s="50">
        <f>VLOOKUP($A135,'Data shares'!$C:$FM,110)</f>
        <v>34.14</v>
      </c>
      <c r="D135" s="50">
        <f>VLOOKUP($A135,'Data shares'!$C:$FM,114)</f>
        <v>36.369999999999997</v>
      </c>
      <c r="E135" s="50">
        <f>VLOOKUP($A135,'Data shares'!$C:$FM,106)</f>
        <v>28.91</v>
      </c>
      <c r="F135" s="50">
        <f>VLOOKUP($A135,'Data shares'!$C:$FM,108)</f>
        <v>6.02</v>
      </c>
      <c r="G135" s="50">
        <f t="shared" ref="G135:G166" si="4">B135/E135</f>
        <v>1.2082324455205811</v>
      </c>
    </row>
    <row r="136" spans="1:7" x14ac:dyDescent="0.25">
      <c r="A136" s="49" t="str">
        <f>'Data Vlaue (Cr)'!C131</f>
        <v>MAXHEALTH</v>
      </c>
      <c r="B136" s="50">
        <f>VLOOKUP($A136,'Data shares'!$C:$FM,102)</f>
        <v>29.91</v>
      </c>
      <c r="C136" s="50">
        <f>VLOOKUP($A136,'Data shares'!$C:$FM,110)</f>
        <v>29.14</v>
      </c>
      <c r="D136" s="50">
        <f>VLOOKUP($A136,'Data shares'!$C:$FM,114)</f>
        <v>31.89</v>
      </c>
      <c r="E136" s="50">
        <f>VLOOKUP($A136,'Data shares'!$C:$FM,106)</f>
        <v>36.22</v>
      </c>
      <c r="F136" s="50">
        <f>VLOOKUP($A136,'Data shares'!$C:$FM,108)</f>
        <v>-6.31</v>
      </c>
      <c r="G136" s="50">
        <f t="shared" si="4"/>
        <v>0.8257868580894534</v>
      </c>
    </row>
    <row r="137" spans="1:7" x14ac:dyDescent="0.25">
      <c r="A137" s="49" t="str">
        <f>'Data Vlaue (Cr)'!C132</f>
        <v>MAZDOCK</v>
      </c>
      <c r="B137" s="50">
        <f>VLOOKUP($A137,'Data shares'!$C:$FM,102)</f>
        <v>45.49</v>
      </c>
      <c r="C137" s="50">
        <f>VLOOKUP($A137,'Data shares'!$C:$FM,110)</f>
        <v>44.9</v>
      </c>
      <c r="D137" s="50">
        <f>VLOOKUP($A137,'Data shares'!$C:$FM,114)</f>
        <v>47.17</v>
      </c>
      <c r="E137" s="50">
        <f>VLOOKUP($A137,'Data shares'!$C:$FM,106)</f>
        <v>56.04</v>
      </c>
      <c r="F137" s="50">
        <f>VLOOKUP($A137,'Data shares'!$C:$FM,108)</f>
        <v>-10.55</v>
      </c>
      <c r="G137" s="50">
        <f t="shared" si="4"/>
        <v>0.81174161313347615</v>
      </c>
    </row>
    <row r="138" spans="1:7" x14ac:dyDescent="0.25">
      <c r="A138" s="49" t="str">
        <f>'Data Vlaue (Cr)'!C133</f>
        <v>MCX</v>
      </c>
      <c r="B138" s="50">
        <f>VLOOKUP($A138,'Data shares'!$C:$FM,102)</f>
        <v>46.01</v>
      </c>
      <c r="C138" s="50">
        <f>VLOOKUP($A138,'Data shares'!$C:$FM,110)</f>
        <v>44.39</v>
      </c>
      <c r="D138" s="50">
        <f>VLOOKUP($A138,'Data shares'!$C:$FM,114)</f>
        <v>48.72</v>
      </c>
      <c r="E138" s="50">
        <f>VLOOKUP($A138,'Data shares'!$C:$FM,106)</f>
        <v>49.89</v>
      </c>
      <c r="F138" s="50">
        <f>VLOOKUP($A138,'Data shares'!$C:$FM,108)</f>
        <v>-3.88</v>
      </c>
      <c r="G138" s="50">
        <f t="shared" si="4"/>
        <v>0.92222890358789333</v>
      </c>
    </row>
    <row r="139" spans="1:7" x14ac:dyDescent="0.25">
      <c r="A139" s="49" t="str">
        <f>'Data Vlaue (Cr)'!C134</f>
        <v>MFSL</v>
      </c>
      <c r="B139" s="50">
        <f>VLOOKUP($A139,'Data shares'!$C:$FM,102)</f>
        <v>34.15</v>
      </c>
      <c r="C139" s="50">
        <f>VLOOKUP($A139,'Data shares'!$C:$FM,110)</f>
        <v>32.840000000000003</v>
      </c>
      <c r="D139" s="50">
        <f>VLOOKUP($A139,'Data shares'!$C:$FM,114)</f>
        <v>36.04</v>
      </c>
      <c r="E139" s="50">
        <f>VLOOKUP($A139,'Data shares'!$C:$FM,106)</f>
        <v>31.86</v>
      </c>
      <c r="F139" s="50">
        <f>VLOOKUP($A139,'Data shares'!$C:$FM,108)</f>
        <v>2.29</v>
      </c>
      <c r="G139" s="50">
        <f t="shared" si="4"/>
        <v>1.0718769617074702</v>
      </c>
    </row>
    <row r="140" spans="1:7" x14ac:dyDescent="0.25">
      <c r="A140" s="49" t="str">
        <f>'Data Vlaue (Cr)'!C135</f>
        <v>MIDCPNIFTY</v>
      </c>
      <c r="B140" s="50">
        <f>VLOOKUP($A140,'Data shares'!$C:$FM,102)</f>
        <v>27.48</v>
      </c>
      <c r="C140" s="50">
        <f>VLOOKUP($A140,'Data shares'!$C:$FM,110)</f>
        <v>25.47</v>
      </c>
      <c r="D140" s="50">
        <f>VLOOKUP($A140,'Data shares'!$C:$FM,114)</f>
        <v>29.73</v>
      </c>
      <c r="E140" s="50">
        <f>VLOOKUP($A140,'Data shares'!$C:$FM,106)</f>
        <v>25.23</v>
      </c>
      <c r="F140" s="50">
        <f>VLOOKUP($A140,'Data shares'!$C:$FM,108)</f>
        <v>2.25</v>
      </c>
      <c r="G140" s="50">
        <f t="shared" si="4"/>
        <v>1.0891795481569559</v>
      </c>
    </row>
    <row r="141" spans="1:7" x14ac:dyDescent="0.25">
      <c r="A141" s="49" t="str">
        <f>'Data Vlaue (Cr)'!C136</f>
        <v>MOTHERSON</v>
      </c>
      <c r="B141" s="50">
        <f>VLOOKUP($A141,'Data shares'!$C:$FM,102)</f>
        <v>43.3</v>
      </c>
      <c r="C141" s="50">
        <f>VLOOKUP($A141,'Data shares'!$C:$FM,110)</f>
        <v>40.36</v>
      </c>
      <c r="D141" s="50">
        <f>VLOOKUP($A141,'Data shares'!$C:$FM,114)</f>
        <v>46.59</v>
      </c>
      <c r="E141" s="50">
        <f>VLOOKUP($A141,'Data shares'!$C:$FM,106)</f>
        <v>43.21</v>
      </c>
      <c r="F141" s="50">
        <f>VLOOKUP($A141,'Data shares'!$C:$FM,108)</f>
        <v>0.09</v>
      </c>
      <c r="G141" s="50">
        <f t="shared" si="4"/>
        <v>1.0020828511918536</v>
      </c>
    </row>
    <row r="142" spans="1:7" x14ac:dyDescent="0.25">
      <c r="A142" s="49" t="str">
        <f>'Data Vlaue (Cr)'!C137</f>
        <v>MOTILALOFS</v>
      </c>
      <c r="B142" s="50">
        <f>VLOOKUP($A142,'Data shares'!$C:$FM,102)</f>
        <v>52.14</v>
      </c>
      <c r="C142" s="50">
        <f>VLOOKUP($A142,'Data shares'!$C:$FM,110)</f>
        <v>51.19</v>
      </c>
      <c r="D142" s="50">
        <f>VLOOKUP($A142,'Data shares'!$C:$FM,114)</f>
        <v>54.09</v>
      </c>
      <c r="E142" s="50">
        <f>VLOOKUP($A142,'Data shares'!$C:$FM,106)</f>
        <v>54.71</v>
      </c>
      <c r="F142" s="50">
        <f>VLOOKUP($A142,'Data shares'!$C:$FM,108)</f>
        <v>-2.57</v>
      </c>
      <c r="G142" s="50">
        <f t="shared" si="4"/>
        <v>0.95302504112593678</v>
      </c>
    </row>
    <row r="143" spans="1:7" x14ac:dyDescent="0.25">
      <c r="A143" s="49" t="str">
        <f>'Data Vlaue (Cr)'!C138</f>
        <v>MPHASIS</v>
      </c>
      <c r="B143" s="50">
        <f>VLOOKUP($A143,'Data shares'!$C:$FM,102)</f>
        <v>39.61</v>
      </c>
      <c r="C143" s="50">
        <f>VLOOKUP($A143,'Data shares'!$C:$FM,110)</f>
        <v>38.06</v>
      </c>
      <c r="D143" s="50">
        <f>VLOOKUP($A143,'Data shares'!$C:$FM,114)</f>
        <v>41.97</v>
      </c>
      <c r="E143" s="50">
        <f>VLOOKUP($A143,'Data shares'!$C:$FM,106)</f>
        <v>36.44</v>
      </c>
      <c r="F143" s="50">
        <f>VLOOKUP($A143,'Data shares'!$C:$FM,108)</f>
        <v>3.17</v>
      </c>
      <c r="G143" s="50">
        <f t="shared" si="4"/>
        <v>1.0869923161361141</v>
      </c>
    </row>
    <row r="144" spans="1:7" x14ac:dyDescent="0.25">
      <c r="A144" s="49" t="str">
        <f>'Data Vlaue (Cr)'!C139</f>
        <v>MUTHOOTFIN</v>
      </c>
      <c r="B144" s="233">
        <f>VLOOKUP($A144,'Data shares'!$C:$FM,102)</f>
        <v>39.79</v>
      </c>
      <c r="C144" s="233">
        <f>VLOOKUP($A144,'Data shares'!$C:$FM,110)</f>
        <v>38.35</v>
      </c>
      <c r="D144" s="233">
        <f>VLOOKUP($A144,'Data shares'!$C:$FM,114)</f>
        <v>42.96</v>
      </c>
      <c r="E144" s="233">
        <f>VLOOKUP($A144,'Data shares'!$C:$FM,106)</f>
        <v>44.17</v>
      </c>
      <c r="F144" s="233">
        <f>VLOOKUP($A144,'Data shares'!$C:$FM,108)</f>
        <v>-4.38</v>
      </c>
      <c r="G144" s="233">
        <f t="shared" si="4"/>
        <v>0.9008376726284808</v>
      </c>
    </row>
    <row r="145" spans="1:7" x14ac:dyDescent="0.25">
      <c r="A145" s="49" t="str">
        <f>'Data Vlaue (Cr)'!C140</f>
        <v>NAM-INDIA</v>
      </c>
      <c r="B145" s="50">
        <f>VLOOKUP($A145,'Data shares'!$C:$FM,102)</f>
        <v>57.09</v>
      </c>
      <c r="C145" s="50">
        <f>VLOOKUP($A145,'Data shares'!$C:$FM,110)</f>
        <v>55.5</v>
      </c>
      <c r="D145" s="50">
        <f>VLOOKUP($A145,'Data shares'!$C:$FM,114)</f>
        <v>62.76</v>
      </c>
      <c r="E145" s="50">
        <f>VLOOKUP($A145,'Data shares'!$C:$FM,106)</f>
        <v>49.89</v>
      </c>
      <c r="F145" s="50">
        <f>VLOOKUP($A145,'Data shares'!$C:$FM,108)</f>
        <v>7.2</v>
      </c>
      <c r="G145" s="50">
        <f t="shared" si="4"/>
        <v>1.1443174984966928</v>
      </c>
    </row>
    <row r="146" spans="1:7" x14ac:dyDescent="0.25">
      <c r="A146" s="49" t="str">
        <f>'Data Vlaue (Cr)'!C141</f>
        <v>NATIONALUM</v>
      </c>
      <c r="B146" s="50">
        <f>VLOOKUP($A146,'Data shares'!$C:$FM,102)</f>
        <v>44.19</v>
      </c>
      <c r="C146" s="50">
        <f>VLOOKUP($A146,'Data shares'!$C:$FM,110)</f>
        <v>43.7</v>
      </c>
      <c r="D146" s="50">
        <f>VLOOKUP($A146,'Data shares'!$C:$FM,114)</f>
        <v>45.02</v>
      </c>
      <c r="E146" s="50">
        <f>VLOOKUP($A146,'Data shares'!$C:$FM,106)</f>
        <v>51.69</v>
      </c>
      <c r="F146" s="50">
        <f>VLOOKUP($A146,'Data shares'!$C:$FM,108)</f>
        <v>-7.5</v>
      </c>
      <c r="G146" s="50">
        <f t="shared" si="4"/>
        <v>0.85490423679628558</v>
      </c>
    </row>
    <row r="147" spans="1:7" x14ac:dyDescent="0.25">
      <c r="A147" s="49" t="str">
        <f>'Data Vlaue (Cr)'!C142</f>
        <v>NAUKRI</v>
      </c>
      <c r="B147" s="50">
        <f>VLOOKUP($A147,'Data shares'!$C:$FM,102)</f>
        <v>34.46</v>
      </c>
      <c r="C147" s="50">
        <f>VLOOKUP($A147,'Data shares'!$C:$FM,110)</f>
        <v>33.840000000000003</v>
      </c>
      <c r="D147" s="50">
        <f>VLOOKUP($A147,'Data shares'!$C:$FM,114)</f>
        <v>36.979999999999997</v>
      </c>
      <c r="E147" s="50">
        <f>VLOOKUP($A147,'Data shares'!$C:$FM,106)</f>
        <v>36.619999999999997</v>
      </c>
      <c r="F147" s="50">
        <f>VLOOKUP($A147,'Data shares'!$C:$FM,108)</f>
        <v>-2.16</v>
      </c>
      <c r="G147" s="50">
        <f t="shared" si="4"/>
        <v>0.94101583833970515</v>
      </c>
    </row>
    <row r="148" spans="1:7" x14ac:dyDescent="0.25">
      <c r="A148" s="49" t="str">
        <f>'Data Vlaue (Cr)'!C143</f>
        <v>NBCC</v>
      </c>
      <c r="B148" s="50">
        <f>VLOOKUP($A148,'Data shares'!$C:$FM,102)</f>
        <v>46.12</v>
      </c>
      <c r="C148" s="50">
        <f>VLOOKUP($A148,'Data shares'!$C:$FM,110)</f>
        <v>43.85</v>
      </c>
      <c r="D148" s="50">
        <f>VLOOKUP($A148,'Data shares'!$C:$FM,114)</f>
        <v>50.08</v>
      </c>
      <c r="E148" s="50">
        <f>VLOOKUP($A148,'Data shares'!$C:$FM,106)</f>
        <v>51.74</v>
      </c>
      <c r="F148" s="50">
        <f>VLOOKUP($A148,'Data shares'!$C:$FM,108)</f>
        <v>-5.62</v>
      </c>
      <c r="G148" s="50">
        <f t="shared" si="4"/>
        <v>0.89137997680711245</v>
      </c>
    </row>
    <row r="149" spans="1:7" x14ac:dyDescent="0.25">
      <c r="A149" s="49" t="str">
        <f>'Data Vlaue (Cr)'!C144</f>
        <v>NESTLEIND</v>
      </c>
      <c r="B149" s="50">
        <f>VLOOKUP($A149,'Data shares'!$C:$FM,102)</f>
        <v>36.07</v>
      </c>
      <c r="C149" s="50">
        <f>VLOOKUP($A149,'Data shares'!$C:$FM,110)</f>
        <v>36.08</v>
      </c>
      <c r="D149" s="50">
        <f>VLOOKUP($A149,'Data shares'!$C:$FM,114)</f>
        <v>36.04</v>
      </c>
      <c r="E149" s="50">
        <f>VLOOKUP($A149,'Data shares'!$C:$FM,106)</f>
        <v>23.52</v>
      </c>
      <c r="F149" s="50">
        <f>VLOOKUP($A149,'Data shares'!$C:$FM,108)</f>
        <v>12.55</v>
      </c>
      <c r="G149" s="50">
        <f t="shared" si="4"/>
        <v>1.5335884353741498</v>
      </c>
    </row>
    <row r="150" spans="1:7" x14ac:dyDescent="0.25">
      <c r="A150" s="49" t="str">
        <f>'Data Vlaue (Cr)'!C145</f>
        <v>NHPC</v>
      </c>
      <c r="B150" s="50">
        <f>VLOOKUP($A150,'Data shares'!$C:$FM,102)</f>
        <v>33.93</v>
      </c>
      <c r="C150" s="50">
        <f>VLOOKUP($A150,'Data shares'!$C:$FM,110)</f>
        <v>33.630000000000003</v>
      </c>
      <c r="D150" s="50">
        <f>VLOOKUP($A150,'Data shares'!$C:$FM,114)</f>
        <v>34.54</v>
      </c>
      <c r="E150" s="50">
        <f>VLOOKUP($A150,'Data shares'!$C:$FM,106)</f>
        <v>34.869999999999997</v>
      </c>
      <c r="F150" s="50">
        <f>VLOOKUP($A150,'Data shares'!$C:$FM,108)</f>
        <v>-0.94</v>
      </c>
      <c r="G150" s="50">
        <f t="shared" si="4"/>
        <v>0.97304273014052201</v>
      </c>
    </row>
    <row r="151" spans="1:7" x14ac:dyDescent="0.25">
      <c r="A151" s="49" t="str">
        <f>'Data Vlaue (Cr)'!C146</f>
        <v>NIFTY</v>
      </c>
      <c r="B151" s="50">
        <f>VLOOKUP($A151,'Data shares'!$C:$FM,102)</f>
        <v>20.350000000000001</v>
      </c>
      <c r="C151" s="50">
        <f>VLOOKUP($A151,'Data shares'!$C:$FM,110)</f>
        <v>18.809999999999999</v>
      </c>
      <c r="D151" s="50">
        <f>VLOOKUP($A151,'Data shares'!$C:$FM,114)</f>
        <v>22.03</v>
      </c>
      <c r="E151" s="50">
        <f>VLOOKUP($A151,'Data shares'!$C:$FM,106)</f>
        <v>17.66</v>
      </c>
      <c r="F151" s="50">
        <f>VLOOKUP($A151,'Data shares'!$C:$FM,108)</f>
        <v>2.69</v>
      </c>
      <c r="G151" s="50">
        <f t="shared" si="4"/>
        <v>1.1523216308040771</v>
      </c>
    </row>
    <row r="152" spans="1:7" x14ac:dyDescent="0.25">
      <c r="A152" s="49" t="str">
        <f>'Data Vlaue (Cr)'!C147</f>
        <v>NIFTYNXT50</v>
      </c>
      <c r="B152" s="50">
        <f>VLOOKUP($A152,'Data shares'!$C:$FM,102)</f>
        <v>22.25</v>
      </c>
      <c r="C152" s="50">
        <f>VLOOKUP($A152,'Data shares'!$C:$FM,110)</f>
        <v>23.25</v>
      </c>
      <c r="D152" s="50">
        <f>VLOOKUP($A152,'Data shares'!$C:$FM,114)</f>
        <v>18.16</v>
      </c>
      <c r="E152" s="50">
        <f>VLOOKUP($A152,'Data shares'!$C:$FM,106)</f>
        <v>23.23</v>
      </c>
      <c r="F152" s="50">
        <f>VLOOKUP($A152,'Data shares'!$C:$FM,108)</f>
        <v>-0.98</v>
      </c>
      <c r="G152" s="50">
        <f t="shared" si="4"/>
        <v>0.95781317262160992</v>
      </c>
    </row>
    <row r="153" spans="1:7" x14ac:dyDescent="0.25">
      <c r="A153" s="49" t="str">
        <f>'Data Vlaue (Cr)'!C148</f>
        <v>NMDC</v>
      </c>
      <c r="B153" s="50">
        <f>VLOOKUP($A153,'Data shares'!$C:$FM,102)</f>
        <v>35.76</v>
      </c>
      <c r="C153" s="50">
        <f>VLOOKUP($A153,'Data shares'!$C:$FM,110)</f>
        <v>34.729999999999997</v>
      </c>
      <c r="D153" s="50">
        <f>VLOOKUP($A153,'Data shares'!$C:$FM,114)</f>
        <v>38.01</v>
      </c>
      <c r="E153" s="50">
        <f>VLOOKUP($A153,'Data shares'!$C:$FM,106)</f>
        <v>39.03</v>
      </c>
      <c r="F153" s="50">
        <f>VLOOKUP($A153,'Data shares'!$C:$FM,108)</f>
        <v>-3.27</v>
      </c>
      <c r="G153" s="50">
        <f t="shared" si="4"/>
        <v>0.91621829362029206</v>
      </c>
    </row>
    <row r="154" spans="1:7" x14ac:dyDescent="0.25">
      <c r="A154" s="49" t="str">
        <f>'Data Vlaue (Cr)'!C149</f>
        <v>NTPC</v>
      </c>
      <c r="B154" s="50">
        <f>VLOOKUP($A154,'Data shares'!$C:$FM,102)</f>
        <v>21.01</v>
      </c>
      <c r="C154" s="50">
        <f>VLOOKUP($A154,'Data shares'!$C:$FM,110)</f>
        <v>20.3</v>
      </c>
      <c r="D154" s="50">
        <f>VLOOKUP($A154,'Data shares'!$C:$FM,114)</f>
        <v>22.57</v>
      </c>
      <c r="E154" s="50">
        <f>VLOOKUP($A154,'Data shares'!$C:$FM,106)</f>
        <v>27.39</v>
      </c>
      <c r="F154" s="50">
        <f>VLOOKUP($A154,'Data shares'!$C:$FM,108)</f>
        <v>-6.38</v>
      </c>
      <c r="G154" s="50">
        <f t="shared" si="4"/>
        <v>0.76706827309236947</v>
      </c>
    </row>
    <row r="155" spans="1:7" x14ac:dyDescent="0.25">
      <c r="A155" s="49" t="str">
        <f>'Data Vlaue (Cr)'!C150</f>
        <v>NUVAMA</v>
      </c>
      <c r="B155" s="50">
        <f>VLOOKUP($A155,'Data shares'!$C:$FM,102)</f>
        <v>53.02</v>
      </c>
      <c r="C155" s="50">
        <f>VLOOKUP($A155,'Data shares'!$C:$FM,110)</f>
        <v>39.229999999999997</v>
      </c>
      <c r="D155" s="50">
        <f>VLOOKUP($A155,'Data shares'!$C:$FM,114)</f>
        <v>62.18</v>
      </c>
      <c r="E155" s="50">
        <f>VLOOKUP($A155,'Data shares'!$C:$FM,106)</f>
        <v>50.91</v>
      </c>
      <c r="F155" s="50">
        <f>VLOOKUP($A155,'Data shares'!$C:$FM,108)</f>
        <v>2.11</v>
      </c>
      <c r="G155" s="50">
        <f t="shared" si="4"/>
        <v>1.0414456884698489</v>
      </c>
    </row>
    <row r="156" spans="1:7" x14ac:dyDescent="0.25">
      <c r="A156" s="49" t="str">
        <f>'Data Vlaue (Cr)'!C151</f>
        <v>NYKAA</v>
      </c>
      <c r="B156" s="50">
        <f>VLOOKUP($A156,'Data shares'!$C:$FM,102)</f>
        <v>34.39</v>
      </c>
      <c r="C156" s="50">
        <f>VLOOKUP($A156,'Data shares'!$C:$FM,110)</f>
        <v>34.4</v>
      </c>
      <c r="D156" s="50">
        <f>VLOOKUP($A156,'Data shares'!$C:$FM,114)</f>
        <v>34.36</v>
      </c>
      <c r="E156" s="50">
        <f>VLOOKUP($A156,'Data shares'!$C:$FM,106)</f>
        <v>36.03</v>
      </c>
      <c r="F156" s="50">
        <f>VLOOKUP($A156,'Data shares'!$C:$FM,108)</f>
        <v>-1.64</v>
      </c>
      <c r="G156" s="50">
        <f t="shared" si="4"/>
        <v>0.95448237579794615</v>
      </c>
    </row>
    <row r="157" spans="1:7" x14ac:dyDescent="0.25">
      <c r="A157" s="49" t="str">
        <f>'Data Vlaue (Cr)'!C152</f>
        <v>OBEROIRLTY</v>
      </c>
      <c r="B157" s="50">
        <f>VLOOKUP($A157,'Data shares'!$C:$FM,102)</f>
        <v>38.590000000000003</v>
      </c>
      <c r="C157" s="50">
        <f>VLOOKUP($A157,'Data shares'!$C:$FM,110)</f>
        <v>34.68</v>
      </c>
      <c r="D157" s="50">
        <f>VLOOKUP($A157,'Data shares'!$C:$FM,114)</f>
        <v>41.72</v>
      </c>
      <c r="E157" s="50">
        <f>VLOOKUP($A157,'Data shares'!$C:$FM,106)</f>
        <v>36.880000000000003</v>
      </c>
      <c r="F157" s="50">
        <f>VLOOKUP($A157,'Data shares'!$C:$FM,108)</f>
        <v>1.71</v>
      </c>
      <c r="G157" s="50">
        <f t="shared" si="4"/>
        <v>1.0463665943600868</v>
      </c>
    </row>
    <row r="158" spans="1:7" x14ac:dyDescent="0.25">
      <c r="A158" s="49" t="str">
        <f>'Data Vlaue (Cr)'!C153</f>
        <v>OFSS</v>
      </c>
      <c r="B158" s="50">
        <f>VLOOKUP($A158,'Data shares'!$C:$FM,102)</f>
        <v>48.15</v>
      </c>
      <c r="C158" s="50">
        <f>VLOOKUP($A158,'Data shares'!$C:$FM,110)</f>
        <v>46.52</v>
      </c>
      <c r="D158" s="50">
        <f>VLOOKUP($A158,'Data shares'!$C:$FM,114)</f>
        <v>50.8</v>
      </c>
      <c r="E158" s="50">
        <f>VLOOKUP($A158,'Data shares'!$C:$FM,106)</f>
        <v>40.03</v>
      </c>
      <c r="F158" s="50">
        <f>VLOOKUP($A158,'Data shares'!$C:$FM,108)</f>
        <v>8.1199999999999992</v>
      </c>
      <c r="G158" s="50">
        <f t="shared" si="4"/>
        <v>1.2028478641019236</v>
      </c>
    </row>
    <row r="159" spans="1:7" x14ac:dyDescent="0.25">
      <c r="A159" s="49" t="str">
        <f>'Data Vlaue (Cr)'!C154</f>
        <v>OIL</v>
      </c>
      <c r="B159" s="50">
        <f>VLOOKUP($A159,'Data shares'!$C:$FM,102)</f>
        <v>33.78</v>
      </c>
      <c r="C159" s="50">
        <f>VLOOKUP($A159,'Data shares'!$C:$FM,110)</f>
        <v>33.75</v>
      </c>
      <c r="D159" s="50">
        <f>VLOOKUP($A159,'Data shares'!$C:$FM,114)</f>
        <v>33.880000000000003</v>
      </c>
      <c r="E159" s="50">
        <f>VLOOKUP($A159,'Data shares'!$C:$FM,106)</f>
        <v>41.53</v>
      </c>
      <c r="F159" s="50">
        <f>VLOOKUP($A159,'Data shares'!$C:$FM,108)</f>
        <v>-7.75</v>
      </c>
      <c r="G159" s="50">
        <f t="shared" si="4"/>
        <v>0.81338791235251628</v>
      </c>
    </row>
    <row r="160" spans="1:7" x14ac:dyDescent="0.25">
      <c r="A160" s="49" t="str">
        <f>'Data Vlaue (Cr)'!C155</f>
        <v>ONGC</v>
      </c>
      <c r="B160" s="50">
        <f>VLOOKUP($A160,'Data shares'!$C:$FM,102)</f>
        <v>26.77</v>
      </c>
      <c r="C160" s="50">
        <f>VLOOKUP($A160,'Data shares'!$C:$FM,110)</f>
        <v>26.56</v>
      </c>
      <c r="D160" s="50">
        <f>VLOOKUP($A160,'Data shares'!$C:$FM,114)</f>
        <v>27.42</v>
      </c>
      <c r="E160" s="50">
        <f>VLOOKUP($A160,'Data shares'!$C:$FM,106)</f>
        <v>31.65</v>
      </c>
      <c r="F160" s="50">
        <f>VLOOKUP($A160,'Data shares'!$C:$FM,108)</f>
        <v>-4.88</v>
      </c>
      <c r="G160" s="50">
        <f t="shared" si="4"/>
        <v>0.84581358609794632</v>
      </c>
    </row>
    <row r="161" spans="1:7" x14ac:dyDescent="0.25">
      <c r="A161" s="49" t="str">
        <f>'Data Vlaue (Cr)'!C156</f>
        <v>PAGEIND</v>
      </c>
      <c r="B161" s="50">
        <f>VLOOKUP($A161,'Data shares'!$C:$FM,102)</f>
        <v>31.69</v>
      </c>
      <c r="C161" s="50">
        <f>VLOOKUP($A161,'Data shares'!$C:$FM,110)</f>
        <v>31.02</v>
      </c>
      <c r="D161" s="50">
        <f>VLOOKUP($A161,'Data shares'!$C:$FM,114)</f>
        <v>32.06</v>
      </c>
      <c r="E161" s="50">
        <f>VLOOKUP($A161,'Data shares'!$C:$FM,106)</f>
        <v>28.91</v>
      </c>
      <c r="F161" s="50">
        <f>VLOOKUP($A161,'Data shares'!$C:$FM,108)</f>
        <v>2.78</v>
      </c>
      <c r="G161" s="50">
        <f t="shared" si="4"/>
        <v>1.0961604980975441</v>
      </c>
    </row>
    <row r="162" spans="1:7" x14ac:dyDescent="0.25">
      <c r="A162" s="49" t="str">
        <f>'Data Vlaue (Cr)'!C157</f>
        <v>PATANJALI</v>
      </c>
      <c r="B162" s="50">
        <f>VLOOKUP($A162,'Data shares'!$C:$FM,102)</f>
        <v>37.57</v>
      </c>
      <c r="C162" s="50">
        <f>VLOOKUP($A162,'Data shares'!$C:$FM,110)</f>
        <v>37.43</v>
      </c>
      <c r="D162" s="50">
        <f>VLOOKUP($A162,'Data shares'!$C:$FM,114)</f>
        <v>38.01</v>
      </c>
      <c r="E162" s="50">
        <f>VLOOKUP($A162,'Data shares'!$C:$FM,106)</f>
        <v>32.28</v>
      </c>
      <c r="F162" s="50">
        <f>VLOOKUP($A162,'Data shares'!$C:$FM,108)</f>
        <v>5.29</v>
      </c>
      <c r="G162" s="50">
        <f t="shared" si="4"/>
        <v>1.1638785625774473</v>
      </c>
    </row>
    <row r="163" spans="1:7" x14ac:dyDescent="0.25">
      <c r="A163" s="49" t="str">
        <f>'Data Vlaue (Cr)'!C158</f>
        <v>PAYTM</v>
      </c>
      <c r="B163" s="50">
        <f>VLOOKUP($A163,'Data shares'!$C:$FM,102)</f>
        <v>40.42</v>
      </c>
      <c r="C163" s="50">
        <f>VLOOKUP($A163,'Data shares'!$C:$FM,110)</f>
        <v>37.880000000000003</v>
      </c>
      <c r="D163" s="50">
        <f>VLOOKUP($A163,'Data shares'!$C:$FM,114)</f>
        <v>43.69</v>
      </c>
      <c r="E163" s="50">
        <f>VLOOKUP($A163,'Data shares'!$C:$FM,106)</f>
        <v>52.61</v>
      </c>
      <c r="F163" s="50">
        <f>VLOOKUP($A163,'Data shares'!$C:$FM,108)</f>
        <v>-12.19</v>
      </c>
      <c r="G163" s="50">
        <f t="shared" si="4"/>
        <v>0.76829500095038972</v>
      </c>
    </row>
    <row r="164" spans="1:7" x14ac:dyDescent="0.25">
      <c r="A164" s="49" t="str">
        <f>'Data Vlaue (Cr)'!C159</f>
        <v>PERSISTENT</v>
      </c>
      <c r="B164" s="50">
        <f>VLOOKUP($A164,'Data shares'!$C:$FM,102)</f>
        <v>58.36</v>
      </c>
      <c r="C164" s="50">
        <f>VLOOKUP($A164,'Data shares'!$C:$FM,110)</f>
        <v>57.68</v>
      </c>
      <c r="D164" s="50">
        <f>VLOOKUP($A164,'Data shares'!$C:$FM,114)</f>
        <v>59.42</v>
      </c>
      <c r="E164" s="50">
        <f>VLOOKUP($A164,'Data shares'!$C:$FM,106)</f>
        <v>40.1</v>
      </c>
      <c r="F164" s="50">
        <f>VLOOKUP($A164,'Data shares'!$C:$FM,108)</f>
        <v>18.260000000000002</v>
      </c>
      <c r="G164" s="50">
        <f t="shared" si="4"/>
        <v>1.4553615960099751</v>
      </c>
    </row>
    <row r="165" spans="1:7" x14ac:dyDescent="0.25">
      <c r="A165" s="49" t="str">
        <f>'Data Vlaue (Cr)'!C160</f>
        <v>PETRONET</v>
      </c>
      <c r="B165" s="50">
        <f>VLOOKUP($A165,'Data shares'!$C:$FM,102)</f>
        <v>42.79</v>
      </c>
      <c r="C165" s="50">
        <f>VLOOKUP($A165,'Data shares'!$C:$FM,110)</f>
        <v>42.13</v>
      </c>
      <c r="D165" s="50">
        <f>VLOOKUP($A165,'Data shares'!$C:$FM,114)</f>
        <v>44.15</v>
      </c>
      <c r="E165" s="50">
        <f>VLOOKUP($A165,'Data shares'!$C:$FM,106)</f>
        <v>39.06</v>
      </c>
      <c r="F165" s="50">
        <f>VLOOKUP($A165,'Data shares'!$C:$FM,108)</f>
        <v>3.73</v>
      </c>
      <c r="G165" s="50">
        <f t="shared" si="4"/>
        <v>1.0954941116231438</v>
      </c>
    </row>
    <row r="166" spans="1:7" x14ac:dyDescent="0.25">
      <c r="A166" s="49" t="str">
        <f>'Data Vlaue (Cr)'!C161</f>
        <v>PFC</v>
      </c>
      <c r="B166" s="50">
        <f>VLOOKUP($A166,'Data shares'!$C:$FM,102)</f>
        <v>35.76</v>
      </c>
      <c r="C166" s="50">
        <f>VLOOKUP($A166,'Data shares'!$C:$FM,110)</f>
        <v>33.21</v>
      </c>
      <c r="D166" s="50">
        <f>VLOOKUP($A166,'Data shares'!$C:$FM,114)</f>
        <v>40.21</v>
      </c>
      <c r="E166" s="50">
        <f>VLOOKUP($A166,'Data shares'!$C:$FM,106)</f>
        <v>42.31</v>
      </c>
      <c r="F166" s="50">
        <f>VLOOKUP($A166,'Data shares'!$C:$FM,108)</f>
        <v>-6.55</v>
      </c>
      <c r="G166" s="50">
        <f t="shared" si="4"/>
        <v>0.84519026234932626</v>
      </c>
    </row>
    <row r="167" spans="1:7" x14ac:dyDescent="0.25">
      <c r="A167" s="49" t="str">
        <f>'Data Vlaue (Cr)'!C162</f>
        <v>PGEL</v>
      </c>
      <c r="B167" s="50">
        <f>VLOOKUP($A167,'Data shares'!$C:$FM,102)</f>
        <v>54.69</v>
      </c>
      <c r="C167" s="50">
        <f>VLOOKUP($A167,'Data shares'!$C:$FM,110)</f>
        <v>52.1</v>
      </c>
      <c r="D167" s="50">
        <f>VLOOKUP($A167,'Data shares'!$C:$FM,114)</f>
        <v>57.34</v>
      </c>
      <c r="E167" s="50">
        <f>VLOOKUP($A167,'Data shares'!$C:$FM,106)</f>
        <v>68.05</v>
      </c>
      <c r="F167" s="50">
        <f>VLOOKUP($A167,'Data shares'!$C:$FM,108)</f>
        <v>-13.36</v>
      </c>
      <c r="G167" s="50">
        <f t="shared" ref="G167:G187" si="5">B167/E167</f>
        <v>0.80367376928728873</v>
      </c>
    </row>
    <row r="168" spans="1:7" x14ac:dyDescent="0.25">
      <c r="A168" s="49" t="str">
        <f>'Data Vlaue (Cr)'!C163</f>
        <v>PHOENIXLTD</v>
      </c>
      <c r="B168" s="50">
        <f>VLOOKUP($A168,'Data shares'!$C:$FM,102)</f>
        <v>37.26</v>
      </c>
      <c r="C168" s="50">
        <f>VLOOKUP($A168,'Data shares'!$C:$FM,110)</f>
        <v>32.909999999999997</v>
      </c>
      <c r="D168" s="50">
        <f>VLOOKUP($A168,'Data shares'!$C:$FM,114)</f>
        <v>41.86</v>
      </c>
      <c r="E168" s="50">
        <f>VLOOKUP($A168,'Data shares'!$C:$FM,106)</f>
        <v>39.97</v>
      </c>
      <c r="F168" s="50">
        <f>VLOOKUP($A168,'Data shares'!$C:$FM,108)</f>
        <v>-2.71</v>
      </c>
      <c r="G168" s="50">
        <f t="shared" si="5"/>
        <v>0.93219914936202153</v>
      </c>
    </row>
    <row r="169" spans="1:7" x14ac:dyDescent="0.25">
      <c r="A169" s="49" t="str">
        <f>'Data Vlaue (Cr)'!C164</f>
        <v>PIDILITIND</v>
      </c>
      <c r="B169" s="50">
        <f>VLOOKUP($A169,'Data shares'!$C:$FM,102)</f>
        <v>31.38</v>
      </c>
      <c r="C169" s="50">
        <f>VLOOKUP($A169,'Data shares'!$C:$FM,110)</f>
        <v>30.28</v>
      </c>
      <c r="D169" s="50">
        <f>VLOOKUP($A169,'Data shares'!$C:$FM,114)</f>
        <v>33.18</v>
      </c>
      <c r="E169" s="50">
        <f>VLOOKUP($A169,'Data shares'!$C:$FM,106)</f>
        <v>26.16</v>
      </c>
      <c r="F169" s="50">
        <f>VLOOKUP($A169,'Data shares'!$C:$FM,108)</f>
        <v>5.22</v>
      </c>
      <c r="G169" s="50">
        <f t="shared" si="5"/>
        <v>1.1995412844036697</v>
      </c>
    </row>
    <row r="170" spans="1:7" x14ac:dyDescent="0.25">
      <c r="A170" s="49" t="str">
        <f>'Data Vlaue (Cr)'!C165</f>
        <v>PIIND</v>
      </c>
      <c r="B170" s="50">
        <f>VLOOKUP($A170,'Data shares'!$C:$FM,102)</f>
        <v>35.229999999999997</v>
      </c>
      <c r="C170" s="50">
        <f>VLOOKUP($A170,'Data shares'!$C:$FM,110)</f>
        <v>34.25</v>
      </c>
      <c r="D170" s="50">
        <f>VLOOKUP($A170,'Data shares'!$C:$FM,114)</f>
        <v>36.43</v>
      </c>
      <c r="E170" s="50">
        <f>VLOOKUP($A170,'Data shares'!$C:$FM,106)</f>
        <v>31.82</v>
      </c>
      <c r="F170" s="50">
        <f>VLOOKUP($A170,'Data shares'!$C:$FM,108)</f>
        <v>3.41</v>
      </c>
      <c r="G170" s="50">
        <f t="shared" si="5"/>
        <v>1.1071653048397234</v>
      </c>
    </row>
    <row r="171" spans="1:7" x14ac:dyDescent="0.25">
      <c r="A171" s="49" t="str">
        <f>'Data Vlaue (Cr)'!C166</f>
        <v>PNB</v>
      </c>
      <c r="B171" s="50">
        <f>VLOOKUP($A171,'Data shares'!$C:$FM,102)</f>
        <v>36.590000000000003</v>
      </c>
      <c r="C171" s="50">
        <f>VLOOKUP($A171,'Data shares'!$C:$FM,110)</f>
        <v>35.270000000000003</v>
      </c>
      <c r="D171" s="50">
        <f>VLOOKUP($A171,'Data shares'!$C:$FM,114)</f>
        <v>39.020000000000003</v>
      </c>
      <c r="E171" s="50">
        <f>VLOOKUP($A171,'Data shares'!$C:$FM,106)</f>
        <v>37.89</v>
      </c>
      <c r="F171" s="50">
        <f>VLOOKUP($A171,'Data shares'!$C:$FM,108)</f>
        <v>-1.3</v>
      </c>
      <c r="G171" s="50">
        <f t="shared" si="5"/>
        <v>0.9656901557139087</v>
      </c>
    </row>
    <row r="172" spans="1:7" x14ac:dyDescent="0.25">
      <c r="A172" s="49" t="str">
        <f>'Data Vlaue (Cr)'!C167</f>
        <v>PNBHOUSING</v>
      </c>
      <c r="B172" s="50">
        <f>VLOOKUP($A172,'Data shares'!$C:$FM,102)</f>
        <v>53.87</v>
      </c>
      <c r="C172" s="50">
        <f>VLOOKUP($A172,'Data shares'!$C:$FM,110)</f>
        <v>53.81</v>
      </c>
      <c r="D172" s="50">
        <f>VLOOKUP($A172,'Data shares'!$C:$FM,114)</f>
        <v>53.97</v>
      </c>
      <c r="E172" s="50">
        <f>VLOOKUP($A172,'Data shares'!$C:$FM,106)</f>
        <v>47.24</v>
      </c>
      <c r="F172" s="50">
        <f>VLOOKUP($A172,'Data shares'!$C:$FM,108)</f>
        <v>6.63</v>
      </c>
      <c r="G172" s="50">
        <f t="shared" si="5"/>
        <v>1.1403471634208298</v>
      </c>
    </row>
    <row r="173" spans="1:7" x14ac:dyDescent="0.25">
      <c r="A173" s="49" t="str">
        <f>'Data Vlaue (Cr)'!C168</f>
        <v>POLICYBZR</v>
      </c>
      <c r="B173" s="50">
        <f>VLOOKUP($A173,'Data shares'!$C:$FM,102)</f>
        <v>40.53</v>
      </c>
      <c r="C173" s="50">
        <f>VLOOKUP($A173,'Data shares'!$C:$FM,110)</f>
        <v>38.97</v>
      </c>
      <c r="D173" s="50">
        <f>VLOOKUP($A173,'Data shares'!$C:$FM,114)</f>
        <v>42.92</v>
      </c>
      <c r="E173" s="50">
        <f>VLOOKUP($A173,'Data shares'!$C:$FM,106)</f>
        <v>45.8</v>
      </c>
      <c r="F173" s="50">
        <f>VLOOKUP($A173,'Data shares'!$C:$FM,108)</f>
        <v>-5.27</v>
      </c>
      <c r="G173" s="50">
        <f t="shared" si="5"/>
        <v>0.88493449781659395</v>
      </c>
    </row>
    <row r="174" spans="1:7" x14ac:dyDescent="0.25">
      <c r="A174" s="49" t="str">
        <f>'Data Vlaue (Cr)'!C169</f>
        <v>POLYCAB</v>
      </c>
      <c r="B174" s="50">
        <f>VLOOKUP($A174,'Data shares'!$C:$FM,102)</f>
        <v>41.47</v>
      </c>
      <c r="C174" s="50">
        <f>VLOOKUP($A174,'Data shares'!$C:$FM,110)</f>
        <v>37.36</v>
      </c>
      <c r="D174" s="50">
        <f>VLOOKUP($A174,'Data shares'!$C:$FM,114)</f>
        <v>44.43</v>
      </c>
      <c r="E174" s="50">
        <f>VLOOKUP($A174,'Data shares'!$C:$FM,106)</f>
        <v>41.61</v>
      </c>
      <c r="F174" s="50">
        <f>VLOOKUP($A174,'Data shares'!$C:$FM,108)</f>
        <v>-0.14000000000000001</v>
      </c>
      <c r="G174" s="50">
        <f t="shared" si="5"/>
        <v>0.99663542417688056</v>
      </c>
    </row>
    <row r="175" spans="1:7" x14ac:dyDescent="0.25">
      <c r="A175" s="49" t="str">
        <f>'Data Vlaue (Cr)'!C170</f>
        <v>POWERGRID</v>
      </c>
      <c r="B175" s="50">
        <f>VLOOKUP($A175,'Data shares'!$C:$FM,102)</f>
        <v>24.67</v>
      </c>
      <c r="C175" s="50">
        <f>VLOOKUP($A175,'Data shares'!$C:$FM,110)</f>
        <v>24.06</v>
      </c>
      <c r="D175" s="50">
        <f>VLOOKUP($A175,'Data shares'!$C:$FM,114)</f>
        <v>26.4</v>
      </c>
      <c r="E175" s="50">
        <f>VLOOKUP($A175,'Data shares'!$C:$FM,106)</f>
        <v>28.97</v>
      </c>
      <c r="F175" s="50">
        <f>VLOOKUP($A175,'Data shares'!$C:$FM,108)</f>
        <v>-4.3</v>
      </c>
      <c r="G175" s="50">
        <f t="shared" si="5"/>
        <v>0.85157059026579229</v>
      </c>
    </row>
    <row r="176" spans="1:7" x14ac:dyDescent="0.25">
      <c r="A176" s="49" t="str">
        <f>'Data Vlaue (Cr)'!C171</f>
        <v>POWERINDIA</v>
      </c>
      <c r="B176" s="50">
        <f>VLOOKUP($A176,'Data shares'!$C:$FM,102)</f>
        <v>37.979999999999997</v>
      </c>
      <c r="C176" s="50">
        <f>VLOOKUP($A176,'Data shares'!$C:$FM,110)</f>
        <v>35.369999999999997</v>
      </c>
      <c r="D176" s="50">
        <f>VLOOKUP($A176,'Data shares'!$C:$FM,114)</f>
        <v>42.61</v>
      </c>
      <c r="E176" s="50">
        <f>VLOOKUP($A176,'Data shares'!$C:$FM,106)</f>
        <v>57.43</v>
      </c>
      <c r="F176" s="50">
        <f>VLOOKUP($A176,'Data shares'!$C:$FM,108)</f>
        <v>-19.45</v>
      </c>
      <c r="G176" s="50">
        <f t="shared" si="5"/>
        <v>0.66132683266585401</v>
      </c>
    </row>
    <row r="177" spans="1:7" x14ac:dyDescent="0.25">
      <c r="A177" s="49" t="str">
        <f>'Data Vlaue (Cr)'!C172</f>
        <v>PPLPHARMA</v>
      </c>
      <c r="B177" s="50">
        <f>VLOOKUP($A177,'Data shares'!$C:$FM,102)</f>
        <v>44.31</v>
      </c>
      <c r="C177" s="50">
        <f>VLOOKUP($A177,'Data shares'!$C:$FM,110)</f>
        <v>42.49</v>
      </c>
      <c r="D177" s="50">
        <f>VLOOKUP($A177,'Data shares'!$C:$FM,114)</f>
        <v>49.66</v>
      </c>
      <c r="E177" s="50">
        <f>VLOOKUP($A177,'Data shares'!$C:$FM,106)</f>
        <v>43.16</v>
      </c>
      <c r="F177" s="50">
        <f>VLOOKUP($A177,'Data shares'!$C:$FM,108)</f>
        <v>1.1499999999999999</v>
      </c>
      <c r="G177" s="50">
        <f t="shared" si="5"/>
        <v>1.0266450417052828</v>
      </c>
    </row>
    <row r="178" spans="1:7" x14ac:dyDescent="0.25">
      <c r="A178" s="49" t="str">
        <f>'Data Vlaue (Cr)'!C173</f>
        <v>PREMIERENE</v>
      </c>
      <c r="B178" s="50">
        <f>VLOOKUP($A178,'Data shares'!$C:$FM,102)</f>
        <v>44.46</v>
      </c>
      <c r="C178" s="50">
        <f>VLOOKUP($A178,'Data shares'!$C:$FM,110)</f>
        <v>45.69</v>
      </c>
      <c r="D178" s="50">
        <f>VLOOKUP($A178,'Data shares'!$C:$FM,114)</f>
        <v>41.13</v>
      </c>
      <c r="E178" s="50">
        <f>VLOOKUP($A178,'Data shares'!$C:$FM,106)</f>
        <v>48.81</v>
      </c>
      <c r="F178" s="50">
        <f>VLOOKUP($A178,'Data shares'!$C:$FM,108)</f>
        <v>-4.3499999999999996</v>
      </c>
      <c r="G178" s="50">
        <f t="shared" si="5"/>
        <v>0.91087891825445599</v>
      </c>
    </row>
    <row r="179" spans="1:7" x14ac:dyDescent="0.25">
      <c r="A179" s="49" t="str">
        <f>'Data Vlaue (Cr)'!C174</f>
        <v>PRESTIGE</v>
      </c>
      <c r="B179" s="50">
        <f>VLOOKUP($A179,'Data shares'!$C:$FM,102)</f>
        <v>45.98</v>
      </c>
      <c r="C179" s="50">
        <f>VLOOKUP($A179,'Data shares'!$C:$FM,110)</f>
        <v>40.700000000000003</v>
      </c>
      <c r="D179" s="50">
        <f>VLOOKUP($A179,'Data shares'!$C:$FM,114)</f>
        <v>54.18</v>
      </c>
      <c r="E179" s="50">
        <f>VLOOKUP($A179,'Data shares'!$C:$FM,106)</f>
        <v>44.82</v>
      </c>
      <c r="F179" s="50">
        <f>VLOOKUP($A179,'Data shares'!$C:$FM,108)</f>
        <v>1.1599999999999999</v>
      </c>
      <c r="G179" s="50">
        <f t="shared" si="5"/>
        <v>1.0258813029897367</v>
      </c>
    </row>
    <row r="180" spans="1:7" x14ac:dyDescent="0.25">
      <c r="A180" s="49" t="str">
        <f>'Data Vlaue (Cr)'!C175</f>
        <v>RBLBANK</v>
      </c>
      <c r="B180" s="50">
        <f>VLOOKUP($A180,'Data shares'!$C:$FM,102)</f>
        <v>35.47</v>
      </c>
      <c r="C180" s="50">
        <f>VLOOKUP($A180,'Data shares'!$C:$FM,110)</f>
        <v>34.56</v>
      </c>
      <c r="D180" s="50">
        <f>VLOOKUP($A180,'Data shares'!$C:$FM,114)</f>
        <v>37.39</v>
      </c>
      <c r="E180" s="50">
        <f>VLOOKUP($A180,'Data shares'!$C:$FM,106)</f>
        <v>43.09</v>
      </c>
      <c r="F180" s="50">
        <f>VLOOKUP($A180,'Data shares'!$C:$FM,108)</f>
        <v>-7.62</v>
      </c>
      <c r="G180" s="50">
        <f t="shared" si="5"/>
        <v>0.82316082617776742</v>
      </c>
    </row>
    <row r="181" spans="1:7" x14ac:dyDescent="0.25">
      <c r="A181" s="49" t="str">
        <f>'Data Vlaue (Cr)'!C176</f>
        <v>RECLTD</v>
      </c>
      <c r="B181" s="50">
        <f>VLOOKUP($A181,'Data shares'!$C:$FM,102)</f>
        <v>36.9</v>
      </c>
      <c r="C181" s="50">
        <f>VLOOKUP($A181,'Data shares'!$C:$FM,110)</f>
        <v>34.450000000000003</v>
      </c>
      <c r="D181" s="50">
        <f>VLOOKUP($A181,'Data shares'!$C:$FM,114)</f>
        <v>41.16</v>
      </c>
      <c r="E181" s="50">
        <f>VLOOKUP($A181,'Data shares'!$C:$FM,106)</f>
        <v>42.79</v>
      </c>
      <c r="F181" s="50">
        <f>VLOOKUP($A181,'Data shares'!$C:$FM,108)</f>
        <v>-5.89</v>
      </c>
      <c r="G181" s="50">
        <f t="shared" si="5"/>
        <v>0.86235101659266178</v>
      </c>
    </row>
    <row r="182" spans="1:7" x14ac:dyDescent="0.25">
      <c r="A182" s="49" t="str">
        <f>'Data Vlaue (Cr)'!C177</f>
        <v>RELIANCE</v>
      </c>
      <c r="B182" s="50">
        <f>VLOOKUP($A182,'Data shares'!$C:$FM,102)</f>
        <v>26.76</v>
      </c>
      <c r="C182" s="50">
        <f>VLOOKUP($A182,'Data shares'!$C:$FM,110)</f>
        <v>26.68</v>
      </c>
      <c r="D182" s="50">
        <f>VLOOKUP($A182,'Data shares'!$C:$FM,114)</f>
        <v>26.92</v>
      </c>
      <c r="E182" s="50">
        <f>VLOOKUP($A182,'Data shares'!$C:$FM,106)</f>
        <v>26.4</v>
      </c>
      <c r="F182" s="50">
        <f>VLOOKUP($A182,'Data shares'!$C:$FM,108)</f>
        <v>0.36</v>
      </c>
      <c r="G182" s="50">
        <f t="shared" si="5"/>
        <v>1.0136363636363637</v>
      </c>
    </row>
    <row r="183" spans="1:7" x14ac:dyDescent="0.25">
      <c r="A183" s="49" t="str">
        <f>'Data Vlaue (Cr)'!C178</f>
        <v>RVNL</v>
      </c>
      <c r="B183" s="50">
        <f>VLOOKUP($A183,'Data shares'!$C:$FM,102)</f>
        <v>50.87</v>
      </c>
      <c r="C183" s="50">
        <f>VLOOKUP($A183,'Data shares'!$C:$FM,110)</f>
        <v>50.14</v>
      </c>
      <c r="D183" s="50">
        <f>VLOOKUP($A183,'Data shares'!$C:$FM,114)</f>
        <v>52.49</v>
      </c>
      <c r="E183" s="50">
        <f>VLOOKUP($A183,'Data shares'!$C:$FM,106)</f>
        <v>58.28</v>
      </c>
      <c r="F183" s="50">
        <f>VLOOKUP($A183,'Data shares'!$C:$FM,108)</f>
        <v>-7.41</v>
      </c>
      <c r="G183" s="50">
        <f t="shared" si="5"/>
        <v>0.87285518188057643</v>
      </c>
    </row>
    <row r="184" spans="1:7" x14ac:dyDescent="0.25">
      <c r="A184" s="49" t="str">
        <f>'Data Vlaue (Cr)'!C179</f>
        <v>SAIL</v>
      </c>
      <c r="B184" s="50">
        <f>VLOOKUP($A184,'Data shares'!$C:$FM,102)</f>
        <v>52.61</v>
      </c>
      <c r="C184" s="50">
        <f>VLOOKUP($A184,'Data shares'!$C:$FM,110)</f>
        <v>39.659999999999997</v>
      </c>
      <c r="D184" s="50">
        <f>VLOOKUP($A184,'Data shares'!$C:$FM,114)</f>
        <v>56.1</v>
      </c>
      <c r="E184" s="50">
        <f>VLOOKUP($A184,'Data shares'!$C:$FM,106)</f>
        <v>44.49</v>
      </c>
      <c r="F184" s="50">
        <f>VLOOKUP($A184,'Data shares'!$C:$FM,108)</f>
        <v>8.1199999999999992</v>
      </c>
      <c r="G184" s="50">
        <f t="shared" si="5"/>
        <v>1.1825129242526409</v>
      </c>
    </row>
    <row r="185" spans="1:7" x14ac:dyDescent="0.25">
      <c r="A185" s="49" t="str">
        <f>'Data Vlaue (Cr)'!C180</f>
        <v>SAMMAANCAP</v>
      </c>
      <c r="B185" s="50">
        <f>VLOOKUP($A185,'Data shares'!$C:$FM,102)</f>
        <v>39.85</v>
      </c>
      <c r="C185" s="50">
        <f>VLOOKUP($A185,'Data shares'!$C:$FM,110)</f>
        <v>40.049999999999997</v>
      </c>
      <c r="D185" s="50">
        <f>VLOOKUP($A185,'Data shares'!$C:$FM,114)</f>
        <v>39.29</v>
      </c>
      <c r="E185" s="50">
        <f>VLOOKUP($A185,'Data shares'!$C:$FM,106)</f>
        <v>53.3</v>
      </c>
      <c r="F185" s="50">
        <f>VLOOKUP($A185,'Data shares'!$C:$FM,108)</f>
        <v>-13.45</v>
      </c>
      <c r="G185" s="50">
        <f t="shared" si="5"/>
        <v>0.74765478424015019</v>
      </c>
    </row>
    <row r="186" spans="1:7" x14ac:dyDescent="0.25">
      <c r="A186" s="49" t="str">
        <f>'Data Vlaue (Cr)'!C181</f>
        <v>SBICARD</v>
      </c>
      <c r="B186" s="50">
        <f>VLOOKUP($A186,'Data shares'!$C:$FM,102)</f>
        <v>40.49</v>
      </c>
      <c r="C186" s="50">
        <f>VLOOKUP($A186,'Data shares'!$C:$FM,110)</f>
        <v>41.07</v>
      </c>
      <c r="D186" s="50">
        <f>VLOOKUP($A186,'Data shares'!$C:$FM,114)</f>
        <v>39.520000000000003</v>
      </c>
      <c r="E186" s="50">
        <f>VLOOKUP($A186,'Data shares'!$C:$FM,106)</f>
        <v>32.33</v>
      </c>
      <c r="F186" s="50">
        <f>VLOOKUP($A186,'Data shares'!$C:$FM,108)</f>
        <v>8.16</v>
      </c>
      <c r="G186" s="50">
        <f t="shared" si="5"/>
        <v>1.252397154345809</v>
      </c>
    </row>
    <row r="187" spans="1:7" x14ac:dyDescent="0.25">
      <c r="A187" s="49" t="str">
        <f>'Data Vlaue (Cr)'!C182</f>
        <v>SBILIFE</v>
      </c>
      <c r="B187" s="50">
        <f>VLOOKUP($A187,'Data shares'!$C:$FM,102)</f>
        <v>28.24</v>
      </c>
      <c r="C187" s="50">
        <f>VLOOKUP($A187,'Data shares'!$C:$FM,110)</f>
        <v>27.41</v>
      </c>
      <c r="D187" s="50">
        <f>VLOOKUP($A187,'Data shares'!$C:$FM,114)</f>
        <v>30.57</v>
      </c>
      <c r="E187" s="50">
        <f>VLOOKUP($A187,'Data shares'!$C:$FM,106)</f>
        <v>25.87</v>
      </c>
      <c r="F187" s="50">
        <f>VLOOKUP($A187,'Data shares'!$C:$FM,108)</f>
        <v>2.37</v>
      </c>
      <c r="G187" s="50">
        <f t="shared" si="5"/>
        <v>1.0916119056822573</v>
      </c>
    </row>
    <row r="188" spans="1:7" x14ac:dyDescent="0.25">
      <c r="A188" s="49" t="str">
        <f>'Data Vlaue (Cr)'!C183</f>
        <v>SBIN</v>
      </c>
      <c r="B188" s="50">
        <f>VLOOKUP($A188,'Data shares'!$C:$FM,102)</f>
        <v>30.42</v>
      </c>
      <c r="C188" s="50">
        <f>VLOOKUP($A188,'Data shares'!$C:$FM,110)</f>
        <v>29.2</v>
      </c>
      <c r="D188" s="50">
        <f>VLOOKUP($A188,'Data shares'!$C:$FM,114)</f>
        <v>32.659999999999997</v>
      </c>
      <c r="E188" s="50">
        <f>VLOOKUP($A188,'Data shares'!$C:$FM,106)</f>
        <v>29.31</v>
      </c>
      <c r="F188" s="50">
        <f>VLOOKUP($A188,'Data shares'!$C:$FM,108)</f>
        <v>1.1100000000000001</v>
      </c>
      <c r="G188" s="50">
        <f t="shared" ref="G188:G204" si="6">B188/E188</f>
        <v>1.037871033776868</v>
      </c>
    </row>
    <row r="189" spans="1:7" x14ac:dyDescent="0.25">
      <c r="A189" s="49" t="str">
        <f>'Data Vlaue (Cr)'!C184</f>
        <v>SHREECEM</v>
      </c>
      <c r="B189" s="50">
        <f>VLOOKUP($A189,'Data shares'!$C:$FM,102)</f>
        <v>28.63</v>
      </c>
      <c r="C189" s="50">
        <f>VLOOKUP($A189,'Data shares'!$C:$FM,110)</f>
        <v>27.47</v>
      </c>
      <c r="D189" s="50">
        <f>VLOOKUP($A189,'Data shares'!$C:$FM,114)</f>
        <v>31.66</v>
      </c>
      <c r="E189" s="50">
        <f>VLOOKUP($A189,'Data shares'!$C:$FM,106)</f>
        <v>27.74</v>
      </c>
      <c r="F189" s="50">
        <f>VLOOKUP($A189,'Data shares'!$C:$FM,108)</f>
        <v>0.89</v>
      </c>
      <c r="G189" s="50">
        <f t="shared" si="6"/>
        <v>1.0320836337418891</v>
      </c>
    </row>
    <row r="190" spans="1:7" x14ac:dyDescent="0.25">
      <c r="A190" s="49" t="str">
        <f>'Data Vlaue (Cr)'!C185</f>
        <v>SHRIRAMFIN</v>
      </c>
      <c r="B190" s="50">
        <f>VLOOKUP($A190,'Data shares'!$C:$FM,102)</f>
        <v>48.14</v>
      </c>
      <c r="C190" s="50">
        <f>VLOOKUP($A190,'Data shares'!$C:$FM,110)</f>
        <v>47.04</v>
      </c>
      <c r="D190" s="50">
        <f>VLOOKUP($A190,'Data shares'!$C:$FM,114)</f>
        <v>50.47</v>
      </c>
      <c r="E190" s="50">
        <f>VLOOKUP($A190,'Data shares'!$C:$FM,106)</f>
        <v>45.01</v>
      </c>
      <c r="F190" s="50">
        <f>VLOOKUP($A190,'Data shares'!$C:$FM,108)</f>
        <v>3.13</v>
      </c>
      <c r="G190" s="50">
        <f t="shared" si="6"/>
        <v>1.0695401021995112</v>
      </c>
    </row>
    <row r="191" spans="1:7" x14ac:dyDescent="0.25">
      <c r="A191" s="49" t="str">
        <f>'Data Vlaue (Cr)'!C186</f>
        <v>SIEMENS</v>
      </c>
      <c r="B191" s="50">
        <f>VLOOKUP($A191,'Data shares'!$C:$FM,102)</f>
        <v>42.53</v>
      </c>
      <c r="C191" s="50">
        <f>VLOOKUP($A191,'Data shares'!$C:$FM,110)</f>
        <v>41.44</v>
      </c>
      <c r="D191" s="50">
        <f>VLOOKUP($A191,'Data shares'!$C:$FM,114)</f>
        <v>44.59</v>
      </c>
      <c r="E191" s="50">
        <f>VLOOKUP($A191,'Data shares'!$C:$FM,106)</f>
        <v>41.09</v>
      </c>
      <c r="F191" s="50">
        <f>VLOOKUP($A191,'Data shares'!$C:$FM,108)</f>
        <v>1.44</v>
      </c>
      <c r="G191" s="50">
        <f t="shared" si="6"/>
        <v>1.0350450231199804</v>
      </c>
    </row>
    <row r="192" spans="1:7" x14ac:dyDescent="0.25">
      <c r="A192" s="49" t="str">
        <f>'Data Vlaue (Cr)'!C187</f>
        <v>SOLARINDS</v>
      </c>
      <c r="B192" s="50">
        <f>VLOOKUP($A192,'Data shares'!$C:$FM,102)</f>
        <v>43</v>
      </c>
      <c r="C192" s="50">
        <f>VLOOKUP($A192,'Data shares'!$C:$FM,110)</f>
        <v>37.979999999999997</v>
      </c>
      <c r="D192" s="50">
        <f>VLOOKUP($A192,'Data shares'!$C:$FM,114)</f>
        <v>47.71</v>
      </c>
      <c r="E192" s="50">
        <f>VLOOKUP($A192,'Data shares'!$C:$FM,106)</f>
        <v>41.51</v>
      </c>
      <c r="F192" s="50">
        <f>VLOOKUP($A192,'Data shares'!$C:$FM,108)</f>
        <v>1.49</v>
      </c>
      <c r="G192" s="50">
        <f t="shared" si="6"/>
        <v>1.0358949650686582</v>
      </c>
    </row>
    <row r="193" spans="1:7" x14ac:dyDescent="0.25">
      <c r="A193" s="49" t="str">
        <f>'Data Vlaue (Cr)'!C188</f>
        <v>SONACOMS</v>
      </c>
      <c r="B193" s="50">
        <f>VLOOKUP($A193,'Data shares'!$C:$FM,102)</f>
        <v>41.73</v>
      </c>
      <c r="C193" s="50">
        <f>VLOOKUP($A193,'Data shares'!$C:$FM,110)</f>
        <v>41.52</v>
      </c>
      <c r="D193" s="50">
        <f>VLOOKUP($A193,'Data shares'!$C:$FM,114)</f>
        <v>42.06</v>
      </c>
      <c r="E193" s="50">
        <f>VLOOKUP($A193,'Data shares'!$C:$FM,106)</f>
        <v>41.54</v>
      </c>
      <c r="F193" s="50">
        <f>VLOOKUP($A193,'Data shares'!$C:$FM,108)</f>
        <v>0.19</v>
      </c>
      <c r="G193" s="50">
        <f t="shared" si="6"/>
        <v>1.0045739046701974</v>
      </c>
    </row>
    <row r="194" spans="1:7" x14ac:dyDescent="0.25">
      <c r="A194" s="49" t="str">
        <f>'Data Vlaue (Cr)'!C189</f>
        <v>SRF</v>
      </c>
      <c r="B194" s="50">
        <f>VLOOKUP($A194,'Data shares'!$C:$FM,102)</f>
        <v>37.64</v>
      </c>
      <c r="C194" s="50">
        <f>VLOOKUP($A194,'Data shares'!$C:$FM,110)</f>
        <v>37.42</v>
      </c>
      <c r="D194" s="50">
        <f>VLOOKUP($A194,'Data shares'!$C:$FM,114)</f>
        <v>38.32</v>
      </c>
      <c r="E194" s="50">
        <f>VLOOKUP($A194,'Data shares'!$C:$FM,106)</f>
        <v>36.549999999999997</v>
      </c>
      <c r="F194" s="50">
        <f>VLOOKUP($A194,'Data shares'!$C:$FM,108)</f>
        <v>1.0900000000000001</v>
      </c>
      <c r="G194" s="50">
        <f t="shared" si="6"/>
        <v>1.0298221614227088</v>
      </c>
    </row>
    <row r="195" spans="1:7" x14ac:dyDescent="0.25">
      <c r="A195" s="49" t="str">
        <f>'Data Vlaue (Cr)'!C190</f>
        <v>SUNPHARMA</v>
      </c>
      <c r="B195" s="50">
        <f>VLOOKUP($A195,'Data shares'!$C:$FM,102)</f>
        <v>27.36</v>
      </c>
      <c r="C195" s="50">
        <f>VLOOKUP($A195,'Data shares'!$C:$FM,110)</f>
        <v>26.92</v>
      </c>
      <c r="D195" s="50">
        <f>VLOOKUP($A195,'Data shares'!$C:$FM,114)</f>
        <v>28.25</v>
      </c>
      <c r="E195" s="50">
        <f>VLOOKUP($A195,'Data shares'!$C:$FM,106)</f>
        <v>23.69</v>
      </c>
      <c r="F195" s="50">
        <f>VLOOKUP($A195,'Data shares'!$C:$FM,108)</f>
        <v>3.67</v>
      </c>
      <c r="G195" s="50">
        <f t="shared" si="6"/>
        <v>1.154917686787674</v>
      </c>
    </row>
    <row r="196" spans="1:7" x14ac:dyDescent="0.25">
      <c r="A196" s="49" t="str">
        <f>'Data Vlaue (Cr)'!C191</f>
        <v>SUPREMEIND</v>
      </c>
      <c r="B196" s="50">
        <f>VLOOKUP($A196,'Data shares'!$C:$FM,102)</f>
        <v>45.4</v>
      </c>
      <c r="C196" s="50">
        <f>VLOOKUP($A196,'Data shares'!$C:$FM,110)</f>
        <v>44.85</v>
      </c>
      <c r="D196" s="50">
        <f>VLOOKUP($A196,'Data shares'!$C:$FM,114)</f>
        <v>46.92</v>
      </c>
      <c r="E196" s="50">
        <f>VLOOKUP($A196,'Data shares'!$C:$FM,106)</f>
        <v>38.270000000000003</v>
      </c>
      <c r="F196" s="50">
        <f>VLOOKUP($A196,'Data shares'!$C:$FM,108)</f>
        <v>7.13</v>
      </c>
      <c r="G196" s="50">
        <f t="shared" si="6"/>
        <v>1.1863078129082831</v>
      </c>
    </row>
    <row r="197" spans="1:7" x14ac:dyDescent="0.25">
      <c r="A197" s="49" t="str">
        <f>'Data Vlaue (Cr)'!C192</f>
        <v>SUZLON</v>
      </c>
      <c r="B197" s="50">
        <f>VLOOKUP($A197,'Data shares'!$C:$FM,102)</f>
        <v>50.07</v>
      </c>
      <c r="C197" s="50">
        <f>VLOOKUP($A197,'Data shares'!$C:$FM,110)</f>
        <v>49.93</v>
      </c>
      <c r="D197" s="50">
        <f>VLOOKUP($A197,'Data shares'!$C:$FM,114)</f>
        <v>50.33</v>
      </c>
      <c r="E197" s="50">
        <f>VLOOKUP($A197,'Data shares'!$C:$FM,106)</f>
        <v>47.39</v>
      </c>
      <c r="F197" s="50">
        <f>VLOOKUP($A197,'Data shares'!$C:$FM,108)</f>
        <v>2.68</v>
      </c>
      <c r="G197" s="50">
        <f t="shared" si="6"/>
        <v>1.0565520151930787</v>
      </c>
    </row>
    <row r="198" spans="1:7" x14ac:dyDescent="0.25">
      <c r="A198" s="49" t="str">
        <f>'Data Vlaue (Cr)'!C193</f>
        <v>SWIGGY</v>
      </c>
      <c r="B198" s="50">
        <f>VLOOKUP($A198,'Data shares'!$C:$FM,102)</f>
        <v>48.42</v>
      </c>
      <c r="C198" s="50">
        <f>VLOOKUP($A198,'Data shares'!$C:$FM,110)</f>
        <v>48.33</v>
      </c>
      <c r="D198" s="50">
        <f>VLOOKUP($A198,'Data shares'!$C:$FM,114)</f>
        <v>48.75</v>
      </c>
      <c r="E198" s="50">
        <f>VLOOKUP($A198,'Data shares'!$C:$FM,106)</f>
        <v>45.38</v>
      </c>
      <c r="F198" s="50">
        <f>VLOOKUP($A198,'Data shares'!$C:$FM,108)</f>
        <v>3.04</v>
      </c>
      <c r="G198" s="50">
        <f t="shared" si="6"/>
        <v>1.0669898633759365</v>
      </c>
    </row>
    <row r="199" spans="1:7" x14ac:dyDescent="0.25">
      <c r="A199" s="49" t="str">
        <f>'Data Vlaue (Cr)'!C194</f>
        <v>TATACONSUM</v>
      </c>
      <c r="B199" s="50">
        <f>VLOOKUP($A199,'Data shares'!$C:$FM,102)</f>
        <v>31.58</v>
      </c>
      <c r="C199" s="50">
        <f>VLOOKUP($A199,'Data shares'!$C:$FM,110)</f>
        <v>30.74</v>
      </c>
      <c r="D199" s="50">
        <f>VLOOKUP($A199,'Data shares'!$C:$FM,114)</f>
        <v>33.72</v>
      </c>
      <c r="E199" s="50">
        <f>VLOOKUP($A199,'Data shares'!$C:$FM,106)</f>
        <v>27.3</v>
      </c>
      <c r="F199" s="50">
        <f>VLOOKUP($A199,'Data shares'!$C:$FM,108)</f>
        <v>4.28</v>
      </c>
      <c r="G199" s="50">
        <f t="shared" si="6"/>
        <v>1.1567765567765567</v>
      </c>
    </row>
    <row r="200" spans="1:7" x14ac:dyDescent="0.25">
      <c r="A200" s="49" t="str">
        <f>'Data Vlaue (Cr)'!C195</f>
        <v>TATAELXSI</v>
      </c>
      <c r="B200" s="50">
        <f>VLOOKUP($A200,'Data shares'!$C:$FM,102)</f>
        <v>51.77</v>
      </c>
      <c r="C200" s="50">
        <f>VLOOKUP($A200,'Data shares'!$C:$FM,110)</f>
        <v>52.21</v>
      </c>
      <c r="D200" s="50">
        <f>VLOOKUP($A200,'Data shares'!$C:$FM,114)</f>
        <v>51</v>
      </c>
      <c r="E200" s="50">
        <f>VLOOKUP($A200,'Data shares'!$C:$FM,106)</f>
        <v>38.799999999999997</v>
      </c>
      <c r="F200" s="50">
        <f>VLOOKUP($A200,'Data shares'!$C:$FM,108)</f>
        <v>12.97</v>
      </c>
      <c r="G200" s="50">
        <f t="shared" si="6"/>
        <v>1.3342783505154641</v>
      </c>
    </row>
    <row r="201" spans="1:7" x14ac:dyDescent="0.25">
      <c r="A201" s="49" t="str">
        <f>'Data Vlaue (Cr)'!C196</f>
        <v>TATAPOWER</v>
      </c>
      <c r="B201" s="50">
        <f>VLOOKUP($A201,'Data shares'!$C:$FM,102)</f>
        <v>31.88</v>
      </c>
      <c r="C201" s="50">
        <f>VLOOKUP($A201,'Data shares'!$C:$FM,110)</f>
        <v>31.07</v>
      </c>
      <c r="D201" s="50">
        <f>VLOOKUP($A201,'Data shares'!$C:$FM,114)</f>
        <v>33.28</v>
      </c>
      <c r="E201" s="50">
        <f>VLOOKUP($A201,'Data shares'!$C:$FM,106)</f>
        <v>31.54</v>
      </c>
      <c r="F201" s="50">
        <f>VLOOKUP($A201,'Data shares'!$C:$FM,108)</f>
        <v>0.34</v>
      </c>
      <c r="G201" s="50">
        <f t="shared" si="6"/>
        <v>1.0107799619530755</v>
      </c>
    </row>
    <row r="202" spans="1:7" x14ac:dyDescent="0.25">
      <c r="A202" s="49" t="str">
        <f>'Data Vlaue (Cr)'!C197</f>
        <v>TATASTEEL</v>
      </c>
      <c r="B202" s="50">
        <f>VLOOKUP($A202,'Data shares'!$C:$FM,102)</f>
        <v>32.17</v>
      </c>
      <c r="C202" s="50">
        <f>VLOOKUP($A202,'Data shares'!$C:$FM,110)</f>
        <v>31.01</v>
      </c>
      <c r="D202" s="50">
        <f>VLOOKUP($A202,'Data shares'!$C:$FM,114)</f>
        <v>34.22</v>
      </c>
      <c r="E202" s="50">
        <f>VLOOKUP($A202,'Data shares'!$C:$FM,106)</f>
        <v>36.07</v>
      </c>
      <c r="F202" s="50">
        <f>VLOOKUP($A202,'Data shares'!$C:$FM,108)</f>
        <v>-3.9</v>
      </c>
      <c r="G202" s="50">
        <f t="shared" si="6"/>
        <v>0.89187690601607994</v>
      </c>
    </row>
    <row r="203" spans="1:7" x14ac:dyDescent="0.25">
      <c r="A203" s="49" t="str">
        <f>'Data Vlaue (Cr)'!C198</f>
        <v>TATATECH</v>
      </c>
      <c r="B203" s="50">
        <f>VLOOKUP($A203,'Data shares'!$C:$FM,102)</f>
        <v>36.54</v>
      </c>
      <c r="C203" s="50">
        <f>VLOOKUP($A203,'Data shares'!$C:$FM,110)</f>
        <v>35.89</v>
      </c>
      <c r="D203" s="50">
        <f>VLOOKUP($A203,'Data shares'!$C:$FM,114)</f>
        <v>38.090000000000003</v>
      </c>
      <c r="E203" s="50">
        <f>VLOOKUP($A203,'Data shares'!$C:$FM,106)</f>
        <v>33.72</v>
      </c>
      <c r="F203" s="50">
        <f>VLOOKUP($A203,'Data shares'!$C:$FM,108)</f>
        <v>2.82</v>
      </c>
      <c r="G203" s="50">
        <f t="shared" si="6"/>
        <v>1.0836298932384343</v>
      </c>
    </row>
    <row r="204" spans="1:7" x14ac:dyDescent="0.25">
      <c r="A204" s="49" t="str">
        <f>'Data Vlaue (Cr)'!C199</f>
        <v>TCS</v>
      </c>
      <c r="B204" s="50">
        <f>VLOOKUP($A204,'Data shares'!$C:$FM,102)</f>
        <v>27.81</v>
      </c>
      <c r="C204" s="50">
        <f>VLOOKUP($A204,'Data shares'!$C:$FM,110)</f>
        <v>26.56</v>
      </c>
      <c r="D204" s="50">
        <f>VLOOKUP($A204,'Data shares'!$C:$FM,114)</f>
        <v>30.14</v>
      </c>
      <c r="E204" s="50">
        <f>VLOOKUP($A204,'Data shares'!$C:$FM,106)</f>
        <v>27.25</v>
      </c>
      <c r="F204" s="50">
        <f>VLOOKUP($A204,'Data shares'!$C:$FM,108)</f>
        <v>0.56000000000000005</v>
      </c>
      <c r="G204" s="50">
        <f t="shared" si="6"/>
        <v>1.0205504587155962</v>
      </c>
    </row>
    <row r="205" spans="1:7" x14ac:dyDescent="0.25">
      <c r="A205" s="49" t="str">
        <f>'Data Vlaue (Cr)'!C200</f>
        <v>TECHM</v>
      </c>
      <c r="B205" s="50">
        <f>VLOOKUP($A205,'Data shares'!$C:$FM,102)</f>
        <v>40.1</v>
      </c>
      <c r="C205" s="50">
        <f>VLOOKUP($A205,'Data shares'!$C:$FM,110)</f>
        <v>39.4</v>
      </c>
      <c r="D205" s="50">
        <f>VLOOKUP($A205,'Data shares'!$C:$FM,114)</f>
        <v>41.02</v>
      </c>
      <c r="E205" s="50">
        <f>VLOOKUP($A205,'Data shares'!$C:$FM,106)</f>
        <v>31.23</v>
      </c>
      <c r="F205" s="50">
        <f>VLOOKUP($A205,'Data shares'!$C:$FM,108)</f>
        <v>8.8699999999999992</v>
      </c>
      <c r="G205" s="50">
        <f t="shared" ref="G205:G214" si="7">B205/E205</f>
        <v>1.2840217739353186</v>
      </c>
    </row>
    <row r="206" spans="1:7" x14ac:dyDescent="0.25">
      <c r="A206" s="49" t="str">
        <f>'Data Vlaue (Cr)'!C201</f>
        <v>TIINDIA</v>
      </c>
      <c r="B206" s="50">
        <f>VLOOKUP($A206,'Data shares'!$C:$FM,102)</f>
        <v>40.06</v>
      </c>
      <c r="C206" s="50">
        <f>VLOOKUP($A206,'Data shares'!$C:$FM,110)</f>
        <v>39</v>
      </c>
      <c r="D206" s="50">
        <f>VLOOKUP($A206,'Data shares'!$C:$FM,114)</f>
        <v>45.49</v>
      </c>
      <c r="E206" s="50">
        <f>VLOOKUP($A206,'Data shares'!$C:$FM,106)</f>
        <v>44.12</v>
      </c>
      <c r="F206" s="50">
        <f>VLOOKUP($A206,'Data shares'!$C:$FM,108)</f>
        <v>-4.0599999999999996</v>
      </c>
      <c r="G206" s="50">
        <f t="shared" si="7"/>
        <v>0.90797824116047154</v>
      </c>
    </row>
    <row r="207" spans="1:7" x14ac:dyDescent="0.25">
      <c r="A207" s="49" t="str">
        <f>'Data Vlaue (Cr)'!C202</f>
        <v>TITAN</v>
      </c>
      <c r="B207" s="50">
        <f>VLOOKUP($A207,'Data shares'!$C:$FM,102)</f>
        <v>27.85</v>
      </c>
      <c r="C207" s="50">
        <f>VLOOKUP($A207,'Data shares'!$C:$FM,110)</f>
        <v>26.42</v>
      </c>
      <c r="D207" s="50">
        <f>VLOOKUP($A207,'Data shares'!$C:$FM,114)</f>
        <v>29.72</v>
      </c>
      <c r="E207" s="50">
        <f>VLOOKUP($A207,'Data shares'!$C:$FM,106)</f>
        <v>27.9</v>
      </c>
      <c r="F207" s="50">
        <f>VLOOKUP($A207,'Data shares'!$C:$FM,108)</f>
        <v>-0.05</v>
      </c>
      <c r="G207" s="50">
        <f t="shared" si="7"/>
        <v>0.99820788530465965</v>
      </c>
    </row>
    <row r="208" spans="1:7" x14ac:dyDescent="0.25">
      <c r="A208" s="49" t="str">
        <f>'Data Vlaue (Cr)'!C203</f>
        <v>TMPV</v>
      </c>
      <c r="B208" s="50">
        <f>VLOOKUP($A208,'Data shares'!$C:$FM,102)</f>
        <v>36.729999999999997</v>
      </c>
      <c r="C208" s="50">
        <f>VLOOKUP($A208,'Data shares'!$C:$FM,110)</f>
        <v>34.68</v>
      </c>
      <c r="D208" s="50">
        <f>VLOOKUP($A208,'Data shares'!$C:$FM,114)</f>
        <v>39.56</v>
      </c>
      <c r="E208" s="50">
        <f>VLOOKUP($A208,'Data shares'!$C:$FM,106)</f>
        <v>38.25</v>
      </c>
      <c r="F208" s="50">
        <f>VLOOKUP($A208,'Data shares'!$C:$FM,108)</f>
        <v>-1.52</v>
      </c>
      <c r="G208" s="50">
        <f t="shared" si="7"/>
        <v>0.96026143790849661</v>
      </c>
    </row>
    <row r="209" spans="1:7" x14ac:dyDescent="0.25">
      <c r="A209" s="49" t="str">
        <f>'Data Vlaue (Cr)'!C204</f>
        <v>TORNTPHARM</v>
      </c>
      <c r="B209" s="50">
        <f>VLOOKUP($A209,'Data shares'!$C:$FM,102)</f>
        <v>28.24</v>
      </c>
      <c r="C209" s="50">
        <f>VLOOKUP($A209,'Data shares'!$C:$FM,110)</f>
        <v>25.41</v>
      </c>
      <c r="D209" s="50">
        <f>VLOOKUP($A209,'Data shares'!$C:$FM,114)</f>
        <v>32.270000000000003</v>
      </c>
      <c r="E209" s="50">
        <f>VLOOKUP($A209,'Data shares'!$C:$FM,106)</f>
        <v>25.37</v>
      </c>
      <c r="F209" s="50">
        <f>VLOOKUP($A209,'Data shares'!$C:$FM,108)</f>
        <v>2.87</v>
      </c>
      <c r="G209" s="50">
        <f t="shared" si="7"/>
        <v>1.1131257390618841</v>
      </c>
    </row>
    <row r="210" spans="1:7" x14ac:dyDescent="0.25">
      <c r="A210" s="49" t="str">
        <f>'Data Vlaue (Cr)'!C205</f>
        <v>TORNTPOWER</v>
      </c>
      <c r="B210" s="50">
        <f>VLOOKUP($A210,'Data shares'!$C:$FM,102)</f>
        <v>36.81</v>
      </c>
      <c r="C210" s="50">
        <f>VLOOKUP($A210,'Data shares'!$C:$FM,110)</f>
        <v>35.72</v>
      </c>
      <c r="D210" s="50">
        <f>VLOOKUP($A210,'Data shares'!$C:$FM,114)</f>
        <v>39.79</v>
      </c>
      <c r="E210" s="50">
        <f>VLOOKUP($A210,'Data shares'!$C:$FM,106)</f>
        <v>41.76</v>
      </c>
      <c r="F210" s="50">
        <f>VLOOKUP($A210,'Data shares'!$C:$FM,108)</f>
        <v>-4.95</v>
      </c>
      <c r="G210" s="50">
        <f t="shared" si="7"/>
        <v>0.88146551724137945</v>
      </c>
    </row>
    <row r="211" spans="1:7" x14ac:dyDescent="0.25">
      <c r="A211" s="49" t="str">
        <f>'Data Vlaue (Cr)'!C206</f>
        <v>TRENT</v>
      </c>
      <c r="B211" s="50">
        <f>VLOOKUP($A211,'Data shares'!$C:$FM,102)</f>
        <v>47.88</v>
      </c>
      <c r="C211" s="50">
        <f>VLOOKUP($A211,'Data shares'!$C:$FM,110)</f>
        <v>46.88</v>
      </c>
      <c r="D211" s="50">
        <f>VLOOKUP($A211,'Data shares'!$C:$FM,114)</f>
        <v>50.53</v>
      </c>
      <c r="E211" s="50">
        <f>VLOOKUP($A211,'Data shares'!$C:$FM,106)</f>
        <v>44.23</v>
      </c>
      <c r="F211" s="50">
        <f>VLOOKUP($A211,'Data shares'!$C:$FM,108)</f>
        <v>3.65</v>
      </c>
      <c r="G211" s="50">
        <f t="shared" si="7"/>
        <v>1.0825231743160753</v>
      </c>
    </row>
    <row r="212" spans="1:7" x14ac:dyDescent="0.25">
      <c r="A212" s="49" t="str">
        <f>'Data Vlaue (Cr)'!C207</f>
        <v>TVSMOTOR</v>
      </c>
      <c r="B212" s="50">
        <f>VLOOKUP($A212,'Data shares'!$C:$FM,102)</f>
        <v>36.06</v>
      </c>
      <c r="C212" s="50">
        <f>VLOOKUP($A212,'Data shares'!$C:$FM,110)</f>
        <v>34.76</v>
      </c>
      <c r="D212" s="50">
        <f>VLOOKUP($A212,'Data shares'!$C:$FM,114)</f>
        <v>37.75</v>
      </c>
      <c r="E212" s="50">
        <f>VLOOKUP($A212,'Data shares'!$C:$FM,106)</f>
        <v>33.479999999999997</v>
      </c>
      <c r="F212" s="50">
        <f>VLOOKUP($A212,'Data shares'!$C:$FM,108)</f>
        <v>2.58</v>
      </c>
      <c r="G212" s="50">
        <f t="shared" si="7"/>
        <v>1.0770609318996418</v>
      </c>
    </row>
    <row r="213" spans="1:7" x14ac:dyDescent="0.25">
      <c r="A213" s="49" t="str">
        <f>'Data Vlaue (Cr)'!C208</f>
        <v>ULTRACEMCO</v>
      </c>
      <c r="B213" s="50">
        <f>VLOOKUP($A213,'Data shares'!$C:$FM,102)</f>
        <v>32.950000000000003</v>
      </c>
      <c r="C213" s="50">
        <f>VLOOKUP($A213,'Data shares'!$C:$FM,110)</f>
        <v>32.44</v>
      </c>
      <c r="D213" s="50">
        <f>VLOOKUP($A213,'Data shares'!$C:$FM,114)</f>
        <v>34.53</v>
      </c>
      <c r="E213" s="50">
        <f>VLOOKUP($A213,'Data shares'!$C:$FM,106)</f>
        <v>30.07</v>
      </c>
      <c r="F213" s="50">
        <f>VLOOKUP($A213,'Data shares'!$C:$FM,108)</f>
        <v>2.88</v>
      </c>
      <c r="G213" s="50">
        <f t="shared" si="7"/>
        <v>1.0957765214499502</v>
      </c>
    </row>
    <row r="214" spans="1:7" x14ac:dyDescent="0.25">
      <c r="A214" s="49" t="str">
        <f>'Data Vlaue (Cr)'!C209</f>
        <v>UNIONBANK</v>
      </c>
      <c r="B214" s="50">
        <f>VLOOKUP($A214,'Data shares'!$C:$FM,102)</f>
        <v>41.69</v>
      </c>
      <c r="C214" s="50">
        <f>VLOOKUP($A214,'Data shares'!$C:$FM,110)</f>
        <v>40.58</v>
      </c>
      <c r="D214" s="50">
        <f>VLOOKUP($A214,'Data shares'!$C:$FM,114)</f>
        <v>44.35</v>
      </c>
      <c r="E214" s="50">
        <f>VLOOKUP($A214,'Data shares'!$C:$FM,106)</f>
        <v>43.99</v>
      </c>
      <c r="F214" s="50">
        <f>VLOOKUP($A214,'Data shares'!$C:$FM,108)</f>
        <v>-2.2999999999999998</v>
      </c>
      <c r="G214" s="50">
        <f t="shared" si="7"/>
        <v>0.94771538986133208</v>
      </c>
    </row>
    <row r="215" spans="1:7" x14ac:dyDescent="0.25">
      <c r="A215" s="49" t="str">
        <f>'Data Vlaue (Cr)'!C210</f>
        <v>UNITDSPR</v>
      </c>
      <c r="B215" s="50">
        <f>VLOOKUP($A215,'Data shares'!$C:$FM,102)</f>
        <v>30.85</v>
      </c>
      <c r="C215" s="50">
        <f>VLOOKUP($A215,'Data shares'!$C:$FM,110)</f>
        <v>30.7</v>
      </c>
      <c r="D215" s="50">
        <f>VLOOKUP($A215,'Data shares'!$C:$FM,114)</f>
        <v>31.21</v>
      </c>
      <c r="E215" s="50">
        <f>VLOOKUP($A215,'Data shares'!$C:$FM,106)</f>
        <v>30</v>
      </c>
      <c r="F215" s="50">
        <f>VLOOKUP($A215,'Data shares'!$C:$FM,108)</f>
        <v>0.85</v>
      </c>
      <c r="G215" s="50">
        <f t="shared" ref="G215:G217" si="8">B215/E215</f>
        <v>1.0283333333333333</v>
      </c>
    </row>
    <row r="216" spans="1:7" x14ac:dyDescent="0.25">
      <c r="A216" s="49" t="str">
        <f>'Data Vlaue (Cr)'!C211</f>
        <v>UNOMINDA</v>
      </c>
      <c r="B216" s="50">
        <f>VLOOKUP($A216,'Data shares'!$C:$FM,102)</f>
        <v>40.28</v>
      </c>
      <c r="C216" s="50">
        <f>VLOOKUP($A216,'Data shares'!$C:$FM,110)</f>
        <v>39.67</v>
      </c>
      <c r="D216" s="50">
        <f>VLOOKUP($A216,'Data shares'!$C:$FM,114)</f>
        <v>44.24</v>
      </c>
      <c r="E216" s="50">
        <f>VLOOKUP($A216,'Data shares'!$C:$FM,106)</f>
        <v>43</v>
      </c>
      <c r="F216" s="50">
        <f>VLOOKUP($A216,'Data shares'!$C:$FM,108)</f>
        <v>-2.72</v>
      </c>
      <c r="G216" s="50">
        <f t="shared" si="8"/>
        <v>0.93674418604651166</v>
      </c>
    </row>
    <row r="217" spans="1:7" x14ac:dyDescent="0.25">
      <c r="A217" s="49" t="str">
        <f>'Data Vlaue (Cr)'!C212</f>
        <v>UPL</v>
      </c>
      <c r="B217" s="50">
        <f>VLOOKUP($A217,'Data shares'!$C:$FM,102)</f>
        <v>35.35</v>
      </c>
      <c r="C217" s="50">
        <f>VLOOKUP($A217,'Data shares'!$C:$FM,110)</f>
        <v>33.700000000000003</v>
      </c>
      <c r="D217" s="50">
        <f>VLOOKUP($A217,'Data shares'!$C:$FM,114)</f>
        <v>37.89</v>
      </c>
      <c r="E217" s="50">
        <f>VLOOKUP($A217,'Data shares'!$C:$FM,106)</f>
        <v>41.89</v>
      </c>
      <c r="F217" s="50">
        <f>VLOOKUP($A217,'Data shares'!$C:$FM,108)</f>
        <v>-6.54</v>
      </c>
      <c r="G217" s="50">
        <f t="shared" si="8"/>
        <v>0.84387682024349486</v>
      </c>
    </row>
    <row r="218" spans="1:7" x14ac:dyDescent="0.25">
      <c r="A218" s="49" t="str">
        <f>'Data Vlaue (Cr)'!C213</f>
        <v>VBL</v>
      </c>
      <c r="B218" s="50">
        <f>VLOOKUP($A218,'Data shares'!$C:$FM,102)</f>
        <v>41.13</v>
      </c>
      <c r="C218" s="50">
        <f>VLOOKUP($A218,'Data shares'!$C:$FM,110)</f>
        <v>42.05</v>
      </c>
      <c r="D218" s="50">
        <f>VLOOKUP($A218,'Data shares'!$C:$FM,114)</f>
        <v>39.28</v>
      </c>
      <c r="E218" s="50">
        <f>VLOOKUP($A218,'Data shares'!$C:$FM,106)</f>
        <v>38.29</v>
      </c>
      <c r="F218" s="50">
        <f>VLOOKUP($A218,'Data shares'!$C:$FM,108)</f>
        <v>2.84</v>
      </c>
      <c r="G218" s="50">
        <f t="shared" ref="G218:G225" si="9">B218/E218</f>
        <v>1.0741708017759206</v>
      </c>
    </row>
    <row r="219" spans="1:7" x14ac:dyDescent="0.25">
      <c r="A219" s="49" t="str">
        <f>'Data Vlaue (Cr)'!C214</f>
        <v>VEDL</v>
      </c>
      <c r="B219" s="50">
        <f>VLOOKUP($A219,'Data shares'!$C:$FM,102)</f>
        <v>38.450000000000003</v>
      </c>
      <c r="C219" s="50">
        <f>VLOOKUP($A219,'Data shares'!$C:$FM,110)</f>
        <v>37.96</v>
      </c>
      <c r="D219" s="50">
        <f>VLOOKUP($A219,'Data shares'!$C:$FM,114)</f>
        <v>39.130000000000003</v>
      </c>
      <c r="E219" s="50">
        <f>VLOOKUP($A219,'Data shares'!$C:$FM,106)</f>
        <v>40.81</v>
      </c>
      <c r="F219" s="50">
        <f>VLOOKUP($A219,'Data shares'!$C:$FM,108)</f>
        <v>-2.36</v>
      </c>
      <c r="G219" s="50">
        <f t="shared" si="9"/>
        <v>0.94217103651065914</v>
      </c>
    </row>
    <row r="220" spans="1:7" x14ac:dyDescent="0.25">
      <c r="A220" s="49" t="str">
        <f>'Data Vlaue (Cr)'!C215</f>
        <v>VMM</v>
      </c>
      <c r="B220" s="50">
        <f>VLOOKUP($A220,'Data shares'!$C:$FM,102)</f>
        <v>43.36</v>
      </c>
      <c r="C220" s="50">
        <f>VLOOKUP($A220,'Data shares'!$C:$FM,110)</f>
        <v>42.98</v>
      </c>
      <c r="D220" s="50">
        <f>VLOOKUP($A220,'Data shares'!$C:$FM,114)</f>
        <v>44.94</v>
      </c>
      <c r="E220" s="50">
        <f>VLOOKUP($A220,'Data shares'!$C:$FM,106)</f>
        <v>38.119999999999997</v>
      </c>
      <c r="F220" s="50">
        <f>VLOOKUP($A220,'Data shares'!$C:$FM,108)</f>
        <v>5.24</v>
      </c>
      <c r="G220" s="50">
        <f t="shared" si="9"/>
        <v>1.137460650577125</v>
      </c>
    </row>
    <row r="221" spans="1:7" x14ac:dyDescent="0.25">
      <c r="A221" s="49" t="str">
        <f>'Data Vlaue (Cr)'!C216</f>
        <v>VOLTAS</v>
      </c>
      <c r="B221" s="50">
        <f>VLOOKUP($A221,'Data shares'!$C:$FM,102)</f>
        <v>42.22</v>
      </c>
      <c r="C221" s="50">
        <f>VLOOKUP($A221,'Data shares'!$C:$FM,110)</f>
        <v>41.42</v>
      </c>
      <c r="D221" s="50">
        <f>VLOOKUP($A221,'Data shares'!$C:$FM,114)</f>
        <v>43.95</v>
      </c>
      <c r="E221" s="50">
        <f>VLOOKUP($A221,'Data shares'!$C:$FM,106)</f>
        <v>39.99</v>
      </c>
      <c r="F221" s="50">
        <f>VLOOKUP($A221,'Data shares'!$C:$FM,108)</f>
        <v>2.23</v>
      </c>
      <c r="G221" s="50">
        <f t="shared" si="9"/>
        <v>1.0557639409852462</v>
      </c>
    </row>
    <row r="222" spans="1:7" x14ac:dyDescent="0.25">
      <c r="A222" s="49" t="str">
        <f>'Data Vlaue (Cr)'!C217</f>
        <v>WAAREEENER</v>
      </c>
      <c r="B222" s="50">
        <f>VLOOKUP($A222,'Data shares'!$C:$FM,102)</f>
        <v>41.37</v>
      </c>
      <c r="C222" s="50">
        <f>VLOOKUP($A222,'Data shares'!$C:$FM,110)</f>
        <v>39.76</v>
      </c>
      <c r="D222" s="50">
        <f>VLOOKUP($A222,'Data shares'!$C:$FM,114)</f>
        <v>44.95</v>
      </c>
      <c r="E222" s="50">
        <f>VLOOKUP($A222,'Data shares'!$C:$FM,106)</f>
        <v>52.74</v>
      </c>
      <c r="F222" s="50">
        <f>VLOOKUP($A222,'Data shares'!$C:$FM,108)</f>
        <v>-11.37</v>
      </c>
      <c r="G222" s="50">
        <f t="shared" si="9"/>
        <v>0.78441410693970415</v>
      </c>
    </row>
    <row r="223" spans="1:7" x14ac:dyDescent="0.25">
      <c r="A223" s="49" t="str">
        <f>'Data Vlaue (Cr)'!C218</f>
        <v>WIPRO</v>
      </c>
      <c r="B223" s="50">
        <f>VLOOKUP($A223,'Data shares'!$C:$FM,102)</f>
        <v>30.35</v>
      </c>
      <c r="C223" s="50">
        <f>VLOOKUP($A223,'Data shares'!$C:$FM,110)</f>
        <v>30.49</v>
      </c>
      <c r="D223" s="50">
        <f>VLOOKUP($A223,'Data shares'!$C:$FM,114)</f>
        <v>30.05</v>
      </c>
      <c r="E223" s="50">
        <f>VLOOKUP($A223,'Data shares'!$C:$FM,106)</f>
        <v>31.43</v>
      </c>
      <c r="F223" s="50">
        <f>VLOOKUP($A223,'Data shares'!$C:$FM,108)</f>
        <v>-1.08</v>
      </c>
      <c r="G223" s="50">
        <f t="shared" si="9"/>
        <v>0.96563792554883876</v>
      </c>
    </row>
    <row r="224" spans="1:7" x14ac:dyDescent="0.25">
      <c r="A224" s="49" t="str">
        <f>'Data Vlaue (Cr)'!C219</f>
        <v>YESBANK</v>
      </c>
      <c r="B224" s="50">
        <f>VLOOKUP($A224,'Data shares'!$C:$FM,102)</f>
        <v>43.13</v>
      </c>
      <c r="C224" s="50">
        <f>VLOOKUP($A224,'Data shares'!$C:$FM,110)</f>
        <v>44.77</v>
      </c>
      <c r="D224" s="50">
        <f>VLOOKUP($A224,'Data shares'!$C:$FM,114)</f>
        <v>35.200000000000003</v>
      </c>
      <c r="E224" s="50">
        <f>VLOOKUP($A224,'Data shares'!$C:$FM,106)</f>
        <v>38.659999999999997</v>
      </c>
      <c r="F224" s="50">
        <f>VLOOKUP($A224,'Data shares'!$C:$FM,108)</f>
        <v>4.47</v>
      </c>
      <c r="G224" s="50">
        <f t="shared" si="9"/>
        <v>1.1156233833419558</v>
      </c>
    </row>
    <row r="225" spans="1:7" x14ac:dyDescent="0.25">
      <c r="A225" s="49" t="str">
        <f>'Data Vlaue (Cr)'!C220</f>
        <v>ZYDUSLIFE</v>
      </c>
      <c r="B225" s="50">
        <f>VLOOKUP($A225,'Data shares'!$C:$FM,102)</f>
        <v>28.28</v>
      </c>
      <c r="C225" s="50">
        <f>VLOOKUP($A225,'Data shares'!$C:$FM,110)</f>
        <v>27.34</v>
      </c>
      <c r="D225" s="50">
        <f>VLOOKUP($A225,'Data shares'!$C:$FM,114)</f>
        <v>30.84</v>
      </c>
      <c r="E225" s="50">
        <f>VLOOKUP($A225,'Data shares'!$C:$FM,106)</f>
        <v>28.12</v>
      </c>
      <c r="F225" s="50">
        <f>VLOOKUP($A225,'Data shares'!$C:$FM,108)</f>
        <v>0.16</v>
      </c>
      <c r="G225" s="50">
        <f t="shared" si="9"/>
        <v>1.0056899004267426</v>
      </c>
    </row>
    <row r="226" spans="1:7" x14ac:dyDescent="0.25">
      <c r="A226" s="49"/>
      <c r="B226" s="50"/>
      <c r="C226" s="50"/>
      <c r="D226" s="50"/>
      <c r="E226" s="50"/>
      <c r="F226" s="50"/>
      <c r="G226" s="50"/>
    </row>
    <row r="227" spans="1:7" x14ac:dyDescent="0.25">
      <c r="A227" s="49"/>
      <c r="B227" s="50"/>
      <c r="C227" s="50"/>
      <c r="D227" s="50"/>
      <c r="E227" s="50"/>
      <c r="F227" s="50"/>
      <c r="G227" s="50"/>
    </row>
    <row r="228" spans="1:7" x14ac:dyDescent="0.25">
      <c r="A228" s="49"/>
      <c r="B228" s="50"/>
      <c r="C228" s="50"/>
      <c r="D228" s="50"/>
      <c r="E228" s="50"/>
      <c r="F228" s="50"/>
      <c r="G228" s="50"/>
    </row>
    <row r="229" spans="1:7" x14ac:dyDescent="0.25">
      <c r="A229" s="49"/>
      <c r="B229" s="50"/>
      <c r="C229" s="50"/>
      <c r="D229" s="50"/>
      <c r="E229" s="50"/>
      <c r="F229" s="50"/>
      <c r="G229"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212" activePane="bottomLeft" state="frozen"/>
      <selection pane="bottomLeft" activeCell="M231" sqref="M231"/>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9" t="s">
        <v>416</v>
      </c>
      <c r="B3" s="320"/>
      <c r="C3" s="320"/>
      <c r="D3" s="320"/>
      <c r="E3" s="320"/>
      <c r="F3" s="320"/>
    </row>
    <row r="4" spans="1:6" s="107" customFormat="1" ht="16.5" customHeight="1" x14ac:dyDescent="0.25">
      <c r="A4" s="174" t="s">
        <v>366</v>
      </c>
      <c r="B4" s="76" t="s">
        <v>417</v>
      </c>
      <c r="C4" s="76" t="s">
        <v>412</v>
      </c>
      <c r="D4" s="162" t="s">
        <v>418</v>
      </c>
      <c r="E4" s="162" t="s">
        <v>419</v>
      </c>
      <c r="F4" s="162" t="s">
        <v>419</v>
      </c>
    </row>
    <row r="5" spans="1:6" x14ac:dyDescent="0.25">
      <c r="A5" s="99" t="s">
        <v>680</v>
      </c>
      <c r="B5" s="49">
        <v>37756901</v>
      </c>
      <c r="C5" s="49">
        <v>9615000</v>
      </c>
      <c r="D5" s="49">
        <v>5073382.5453899996</v>
      </c>
      <c r="E5" s="50">
        <f>VLOOKUP($A5,'Data shares'!$C:$FA,154)*100</f>
        <v>26.21</v>
      </c>
      <c r="F5" s="173">
        <f>C5/B5</f>
        <v>0.25465543371793148</v>
      </c>
    </row>
    <row r="6" spans="1:6" x14ac:dyDescent="0.25">
      <c r="A6" s="99" t="s">
        <v>553</v>
      </c>
      <c r="B6" s="49">
        <v>7946564</v>
      </c>
      <c r="C6" s="49">
        <v>5014750</v>
      </c>
      <c r="D6" s="49">
        <v>2231617.6648924998</v>
      </c>
      <c r="E6" s="50"/>
      <c r="F6" s="173">
        <f>C6/B6</f>
        <v>0.63105890797582453</v>
      </c>
    </row>
    <row r="7" spans="1:6" x14ac:dyDescent="0.25">
      <c r="A7" s="99" t="s">
        <v>544</v>
      </c>
      <c r="B7" s="49">
        <v>123369777</v>
      </c>
      <c r="C7" s="49">
        <v>65323200</v>
      </c>
      <c r="D7" s="49">
        <v>42110775.446424998</v>
      </c>
      <c r="E7" s="50">
        <f>VLOOKUP($A7,'Data shares'!$C:$FA,154)*100</f>
        <v>53.510000000000005</v>
      </c>
      <c r="F7" s="173">
        <f>C7/B7</f>
        <v>0.52949110866918403</v>
      </c>
    </row>
    <row r="8" spans="1:6" x14ac:dyDescent="0.25">
      <c r="A8" s="99" t="s">
        <v>578</v>
      </c>
      <c r="B8" s="49">
        <v>35196587</v>
      </c>
      <c r="C8" s="49">
        <v>29307825</v>
      </c>
      <c r="D8" s="49">
        <v>19746505.244983502</v>
      </c>
      <c r="E8" s="50">
        <f>VLOOKUP($A8,'Data shares'!$C:$FA,154)*100</f>
        <v>83.7</v>
      </c>
      <c r="F8" s="173">
        <f>C8/B8</f>
        <v>0.83268940252644386</v>
      </c>
    </row>
    <row r="9" spans="1:6" x14ac:dyDescent="0.25">
      <c r="A9" s="99" t="s">
        <v>159</v>
      </c>
      <c r="B9" s="49">
        <v>33645895</v>
      </c>
      <c r="C9" s="49">
        <v>30908961</v>
      </c>
      <c r="D9" s="49">
        <v>14660181.899372101</v>
      </c>
      <c r="E9" s="50">
        <f>VLOOKUP($A9,'Data shares'!$C:$FA,154)*100</f>
        <v>94.43</v>
      </c>
      <c r="F9" s="173">
        <f>C9/B9</f>
        <v>0.91865474227985311</v>
      </c>
    </row>
    <row r="10" spans="1:6" x14ac:dyDescent="0.25">
      <c r="A10" s="99" t="s">
        <v>605</v>
      </c>
      <c r="B10" s="49">
        <v>64724093</v>
      </c>
      <c r="C10" s="49">
        <v>37363200</v>
      </c>
      <c r="D10" s="49">
        <v>20353863.015264001</v>
      </c>
      <c r="E10" s="50">
        <f>VLOOKUP($A10,'Data shares'!$C:$FA,154)*100</f>
        <v>58.3</v>
      </c>
      <c r="F10" s="173">
        <f>C10/B10</f>
        <v>0.57726880776838385</v>
      </c>
    </row>
    <row r="11" spans="1:6" x14ac:dyDescent="0.25">
      <c r="A11" s="99" t="s">
        <v>160</v>
      </c>
      <c r="B11" s="49">
        <v>88142691</v>
      </c>
      <c r="C11" s="49">
        <v>36681400</v>
      </c>
      <c r="D11" s="49">
        <v>19089858.255601201</v>
      </c>
      <c r="E11" s="50"/>
      <c r="F11" s="173">
        <f>C11/B11</f>
        <v>0.41615929334401647</v>
      </c>
    </row>
    <row r="12" spans="1:6" x14ac:dyDescent="0.25">
      <c r="A12" s="99" t="s">
        <v>695</v>
      </c>
      <c r="B12" s="49">
        <v>482906787</v>
      </c>
      <c r="C12" s="49">
        <v>144921650</v>
      </c>
      <c r="D12" s="49">
        <v>78854180.891324997</v>
      </c>
      <c r="E12" s="50">
        <f>VLOOKUP($A12,'Data shares'!$C:$FA,154)*100</f>
        <v>30.659999999999997</v>
      </c>
      <c r="F12" s="173">
        <f>C12/B12</f>
        <v>0.30010274011742144</v>
      </c>
    </row>
    <row r="13" spans="1:6" x14ac:dyDescent="0.25">
      <c r="A13" s="99" t="s">
        <v>497</v>
      </c>
      <c r="B13" s="49">
        <v>5873365</v>
      </c>
      <c r="C13" s="49">
        <v>1774625</v>
      </c>
      <c r="D13" s="49">
        <v>1168496.4110812501</v>
      </c>
      <c r="E13" s="50"/>
      <c r="F13" s="173">
        <f>C13/B13</f>
        <v>0.3021479169096421</v>
      </c>
    </row>
    <row r="14" spans="1:6" x14ac:dyDescent="0.25">
      <c r="A14" s="99" t="s">
        <v>679</v>
      </c>
      <c r="B14" s="49">
        <v>3260820</v>
      </c>
      <c r="C14" s="49">
        <v>2994200</v>
      </c>
      <c r="D14" s="49">
        <v>1107700.704098</v>
      </c>
      <c r="E14" s="50">
        <f>VLOOKUP($A14,'Data shares'!$C:$FA,154)*100</f>
        <v>94.45</v>
      </c>
      <c r="F14" s="173">
        <f>C14/B14</f>
        <v>0.91823529050974906</v>
      </c>
    </row>
    <row r="15" spans="1:6" x14ac:dyDescent="0.25">
      <c r="A15" s="99" t="s">
        <v>164</v>
      </c>
      <c r="B15" s="49">
        <v>97233107</v>
      </c>
      <c r="C15" s="49">
        <v>78998850</v>
      </c>
      <c r="D15" s="49">
        <v>53939165.733935997</v>
      </c>
      <c r="E15" s="50"/>
      <c r="F15" s="173">
        <f>C15/B15</f>
        <v>0.81246863786837542</v>
      </c>
    </row>
    <row r="16" spans="1:6" x14ac:dyDescent="0.25">
      <c r="A16" s="99" t="s">
        <v>608</v>
      </c>
      <c r="B16" s="49">
        <v>96940911</v>
      </c>
      <c r="C16" s="49">
        <v>96657500</v>
      </c>
      <c r="D16" s="49">
        <v>28609974.366374999</v>
      </c>
      <c r="E16" s="50">
        <f>VLOOKUP($A16,'Data shares'!$C:$FA,154)*100</f>
        <v>104.39</v>
      </c>
      <c r="F16" s="173">
        <f>C16/B16</f>
        <v>0.99707645619298957</v>
      </c>
    </row>
    <row r="17" spans="1:6" x14ac:dyDescent="0.25">
      <c r="A17" s="99" t="s">
        <v>597</v>
      </c>
      <c r="B17" s="49">
        <v>29871221</v>
      </c>
      <c r="C17" s="49">
        <v>6904450</v>
      </c>
      <c r="D17" s="49">
        <v>4670974.9915885003</v>
      </c>
      <c r="E17" s="50">
        <f>VLOOKUP($A17,'Data shares'!$C:$FA,154)*100</f>
        <v>23.27</v>
      </c>
      <c r="F17" s="173">
        <f>C17/B17</f>
        <v>0.2311405348981215</v>
      </c>
    </row>
    <row r="18" spans="1:6" x14ac:dyDescent="0.25">
      <c r="A18" s="99" t="s">
        <v>165</v>
      </c>
      <c r="B18" s="49">
        <v>15524629</v>
      </c>
      <c r="C18" s="49">
        <v>4005500</v>
      </c>
      <c r="D18" s="49">
        <v>2312623.1511575002</v>
      </c>
      <c r="E18" s="50">
        <f>VLOOKUP($A18,'Data shares'!$C:$FA,154)*100</f>
        <v>26.06</v>
      </c>
      <c r="F18" s="173">
        <f>C18/B18</f>
        <v>0.25800938624684688</v>
      </c>
    </row>
    <row r="19" spans="1:6" x14ac:dyDescent="0.25">
      <c r="A19" s="99" t="s">
        <v>167</v>
      </c>
      <c r="B19" s="49">
        <v>423779104</v>
      </c>
      <c r="C19" s="49">
        <v>291335000</v>
      </c>
      <c r="D19" s="49">
        <v>122541222.2568</v>
      </c>
      <c r="E19" s="50">
        <f>VLOOKUP($A19,'Data shares'!$C:$FA,154)*100</f>
        <v>70.899999999999991</v>
      </c>
      <c r="F19" s="173">
        <f>C19/B19</f>
        <v>0.68746900743836581</v>
      </c>
    </row>
    <row r="20" spans="1:6" x14ac:dyDescent="0.25">
      <c r="A20" s="99" t="s">
        <v>169</v>
      </c>
      <c r="B20" s="49">
        <v>62818628</v>
      </c>
      <c r="C20" s="49">
        <v>24917000</v>
      </c>
      <c r="D20" s="49">
        <v>14719585.221692501</v>
      </c>
      <c r="E20" s="50">
        <f>VLOOKUP($A20,'Data shares'!$C:$FA,154)*100</f>
        <v>40.21</v>
      </c>
      <c r="F20" s="173">
        <f>C20/B20</f>
        <v>0.39664985997465591</v>
      </c>
    </row>
    <row r="21" spans="1:6" x14ac:dyDescent="0.25">
      <c r="A21" s="99" t="s">
        <v>503</v>
      </c>
      <c r="B21" s="49">
        <v>17577908</v>
      </c>
      <c r="C21" s="49">
        <v>20620575</v>
      </c>
      <c r="D21" s="49">
        <v>9340399.4154014997</v>
      </c>
      <c r="E21" s="50">
        <f>VLOOKUP($A21,'Data shares'!$C:$FA,154)*100</f>
        <v>119.5</v>
      </c>
      <c r="F21" s="173">
        <f>C21/B21</f>
        <v>1.1730960817407852</v>
      </c>
    </row>
    <row r="22" spans="1:6" x14ac:dyDescent="0.25">
      <c r="A22" s="99" t="s">
        <v>495</v>
      </c>
      <c r="B22" s="49">
        <v>86532345</v>
      </c>
      <c r="C22" s="49">
        <v>37055000</v>
      </c>
      <c r="D22" s="49">
        <v>24387672.712820001</v>
      </c>
      <c r="E22" s="50">
        <f>VLOOKUP($A22,'Data shares'!$C:$FA,154)*100</f>
        <v>43.53</v>
      </c>
      <c r="F22" s="173">
        <f>C22/B22</f>
        <v>0.42822137779809388</v>
      </c>
    </row>
    <row r="23" spans="1:6" x14ac:dyDescent="0.25">
      <c r="A23" s="99" t="s">
        <v>171</v>
      </c>
      <c r="B23" s="49">
        <v>41977935</v>
      </c>
      <c r="C23" s="49">
        <v>27988950</v>
      </c>
      <c r="D23" s="49">
        <v>20182722.742935501</v>
      </c>
      <c r="E23" s="50">
        <f>VLOOKUP($A23,'Data shares'!$C:$FA,154)*100</f>
        <v>67.23</v>
      </c>
      <c r="F23" s="173">
        <f>C23/B23</f>
        <v>0.666753855328996</v>
      </c>
    </row>
    <row r="24" spans="1:6" x14ac:dyDescent="0.25">
      <c r="A24" s="99" t="s">
        <v>173</v>
      </c>
      <c r="B24" s="49">
        <v>331596880</v>
      </c>
      <c r="C24" s="49">
        <v>93123125</v>
      </c>
      <c r="D24" s="49">
        <v>62672903.476868697</v>
      </c>
      <c r="E24" s="50">
        <f>VLOOKUP($A24,'Data shares'!$C:$FA,154)*100</f>
        <v>28.689999999999998</v>
      </c>
      <c r="F24" s="173">
        <f>C24/B24</f>
        <v>0.28083233171554567</v>
      </c>
    </row>
    <row r="25" spans="1:6" x14ac:dyDescent="0.25">
      <c r="A25" s="99" t="s">
        <v>174</v>
      </c>
      <c r="B25" s="49">
        <v>12553818</v>
      </c>
      <c r="C25" s="49">
        <v>5308500</v>
      </c>
      <c r="D25" s="49">
        <v>2345030.4784349999</v>
      </c>
      <c r="E25" s="50">
        <f>VLOOKUP($A25,'Data shares'!$C:$FA,154)*100</f>
        <v>42.980000000000004</v>
      </c>
      <c r="F25" s="173">
        <f>C25/B25</f>
        <v>0.42285940420675205</v>
      </c>
    </row>
    <row r="26" spans="1:6" x14ac:dyDescent="0.25">
      <c r="A26" s="99" t="s">
        <v>176</v>
      </c>
      <c r="B26" s="49">
        <v>65784745</v>
      </c>
      <c r="C26" s="49">
        <v>17940500</v>
      </c>
      <c r="D26" s="49">
        <v>10992838.666685</v>
      </c>
      <c r="E26" s="50">
        <f>VLOOKUP($A26,'Data shares'!$C:$FA,154)*100</f>
        <v>27.54</v>
      </c>
      <c r="F26" s="173">
        <f>C26/B26</f>
        <v>0.27271520167783581</v>
      </c>
    </row>
    <row r="27" spans="1:6" x14ac:dyDescent="0.25">
      <c r="A27" s="99" t="s">
        <v>689</v>
      </c>
      <c r="B27" s="49">
        <v>5401993</v>
      </c>
      <c r="C27" s="49">
        <v>424050</v>
      </c>
      <c r="D27" s="49">
        <v>279913.90677250002</v>
      </c>
      <c r="E27" s="50">
        <f>VLOOKUP($A27,'Data shares'!$C:$FA,154)*100</f>
        <v>7.89</v>
      </c>
      <c r="F27" s="173">
        <f>C27/B27</f>
        <v>7.8498805903672961E-2</v>
      </c>
    </row>
    <row r="28" spans="1:6" x14ac:dyDescent="0.25">
      <c r="A28" s="99" t="s">
        <v>177</v>
      </c>
      <c r="B28" s="49">
        <v>387962395</v>
      </c>
      <c r="C28" s="49">
        <v>106668750</v>
      </c>
      <c r="D28" s="49">
        <v>71356817.161125004</v>
      </c>
      <c r="E28" s="50">
        <f>VLOOKUP($A28,'Data shares'!$C:$FA,154)*100</f>
        <v>27.98</v>
      </c>
      <c r="F28" s="173">
        <f>C28/B28</f>
        <v>0.2749461065678801</v>
      </c>
    </row>
    <row r="29" spans="1:6" x14ac:dyDescent="0.25">
      <c r="A29" s="99" t="s">
        <v>179</v>
      </c>
      <c r="B29" s="49">
        <v>145616308</v>
      </c>
      <c r="C29" s="49">
        <v>133254000</v>
      </c>
      <c r="D29" s="49">
        <v>82009938.680424005</v>
      </c>
      <c r="E29" s="50">
        <f>VLOOKUP($A29,'Data shares'!$C:$FA,154)*100</f>
        <v>92.12</v>
      </c>
      <c r="F29" s="173">
        <f>C29/B29</f>
        <v>0.91510354733070143</v>
      </c>
    </row>
    <row r="30" spans="1:6" x14ac:dyDescent="0.25">
      <c r="A30" s="99" t="s">
        <v>180</v>
      </c>
      <c r="B30" s="49">
        <v>279476623</v>
      </c>
      <c r="C30" s="49">
        <v>185497650</v>
      </c>
      <c r="D30" s="49">
        <v>97782674.488083005</v>
      </c>
      <c r="E30" s="50">
        <f>VLOOKUP($A30,'Data shares'!$C:$FA,154)*100</f>
        <v>67.320000000000007</v>
      </c>
      <c r="F30" s="173">
        <f>C30/B30</f>
        <v>0.66373225784970213</v>
      </c>
    </row>
    <row r="31" spans="1:6" x14ac:dyDescent="0.25">
      <c r="A31" s="99" t="s">
        <v>601</v>
      </c>
      <c r="B31" s="49">
        <v>181770921</v>
      </c>
      <c r="C31" s="49">
        <v>108435600</v>
      </c>
      <c r="D31" s="49">
        <v>54752505.234544002</v>
      </c>
      <c r="E31" s="50">
        <f>VLOOKUP($A31,'Data shares'!$C:$FA,154)*100</f>
        <v>60.419999999999995</v>
      </c>
      <c r="F31" s="173">
        <f>C31/B31</f>
        <v>0.59655086415059755</v>
      </c>
    </row>
    <row r="32" spans="1:6" x14ac:dyDescent="0.25">
      <c r="A32" s="99" t="s">
        <v>669</v>
      </c>
      <c r="B32" s="49">
        <v>13786716</v>
      </c>
      <c r="C32" s="49">
        <v>9700250</v>
      </c>
      <c r="D32" s="49">
        <v>2810086.7372480002</v>
      </c>
      <c r="E32" s="50">
        <f>VLOOKUP($A32,'Data shares'!$C:$FA,154)*100</f>
        <v>72.180000000000007</v>
      </c>
      <c r="F32" s="173">
        <f>C32/B32</f>
        <v>0.7035939523233814</v>
      </c>
    </row>
    <row r="33" spans="1:6" x14ac:dyDescent="0.25">
      <c r="A33" s="99" t="s">
        <v>185</v>
      </c>
      <c r="B33" s="49">
        <v>535778534</v>
      </c>
      <c r="C33" s="49">
        <v>176724225</v>
      </c>
      <c r="D33" s="49">
        <v>98974812.951796502</v>
      </c>
      <c r="E33" s="50">
        <f>VLOOKUP($A33,'Data shares'!$C:$FA,154)*100</f>
        <v>33.53</v>
      </c>
      <c r="F33" s="173">
        <f>C33/B33</f>
        <v>0.32984566156582901</v>
      </c>
    </row>
    <row r="34" spans="1:6" x14ac:dyDescent="0.25">
      <c r="A34" s="99" t="s">
        <v>187</v>
      </c>
      <c r="B34" s="49">
        <v>40107751</v>
      </c>
      <c r="C34" s="49">
        <v>12956500</v>
      </c>
      <c r="D34" s="49">
        <v>7722352.6027100002</v>
      </c>
      <c r="E34" s="50">
        <f>VLOOKUP($A34,'Data shares'!$C:$FA,154)*100</f>
        <v>33.4</v>
      </c>
      <c r="F34" s="173">
        <f>C34/B34</f>
        <v>0.32304229673710699</v>
      </c>
    </row>
    <row r="35" spans="1:6" x14ac:dyDescent="0.25">
      <c r="A35" s="99" t="s">
        <v>189</v>
      </c>
      <c r="B35" s="49">
        <v>342859930</v>
      </c>
      <c r="C35" s="49">
        <v>81883350</v>
      </c>
      <c r="D35" s="49">
        <v>59913388.310601197</v>
      </c>
      <c r="E35" s="50">
        <f>VLOOKUP($A35,'Data shares'!$C:$FA,154)*100</f>
        <v>24.21</v>
      </c>
      <c r="F35" s="173">
        <f>C35/B35</f>
        <v>0.23882449605586747</v>
      </c>
    </row>
    <row r="36" spans="1:6" x14ac:dyDescent="0.25">
      <c r="A36" s="99" t="s">
        <v>190</v>
      </c>
      <c r="B36" s="49">
        <v>192361942</v>
      </c>
      <c r="C36" s="49">
        <v>200581500</v>
      </c>
      <c r="D36" s="49">
        <v>92013312.342577502</v>
      </c>
      <c r="E36" s="50">
        <f>VLOOKUP($A36,'Data shares'!$C:$FA,154)*100</f>
        <v>106.47</v>
      </c>
      <c r="F36" s="173">
        <f>C36/B36</f>
        <v>1.0427296476347696</v>
      </c>
    </row>
    <row r="37" spans="1:6" x14ac:dyDescent="0.25">
      <c r="A37" s="99" t="s">
        <v>191</v>
      </c>
      <c r="B37" s="49">
        <v>108004143</v>
      </c>
      <c r="C37" s="49">
        <v>74190000</v>
      </c>
      <c r="D37" s="49">
        <v>32750906.697324999</v>
      </c>
      <c r="E37" s="50"/>
      <c r="F37" s="173">
        <f>C37/B37</f>
        <v>0.68691809350313537</v>
      </c>
    </row>
    <row r="38" spans="1:6" x14ac:dyDescent="0.25">
      <c r="A38" s="99" t="s">
        <v>677</v>
      </c>
      <c r="B38" s="49">
        <v>15745076</v>
      </c>
      <c r="C38" s="49">
        <v>6519500</v>
      </c>
      <c r="D38" s="49">
        <v>2120496.422148</v>
      </c>
      <c r="E38" s="50">
        <f>VLOOKUP($A38,'Data shares'!$C:$FA,154)*100</f>
        <v>42.730000000000004</v>
      </c>
      <c r="F38" s="173">
        <f>C38/B38</f>
        <v>0.41406595941486724</v>
      </c>
    </row>
    <row r="39" spans="1:6" x14ac:dyDescent="0.25">
      <c r="A39" s="99" t="s">
        <v>192</v>
      </c>
      <c r="B39" s="49">
        <v>868841</v>
      </c>
      <c r="C39" s="49">
        <v>737475</v>
      </c>
      <c r="D39" s="49">
        <v>249257.57231724999</v>
      </c>
      <c r="E39" s="50">
        <f>VLOOKUP($A39,'Data shares'!$C:$FA,154)*100</f>
        <v>86.509999999999991</v>
      </c>
      <c r="F39" s="173">
        <f>C39/B39</f>
        <v>0.84880317572490249</v>
      </c>
    </row>
    <row r="40" spans="1:6" x14ac:dyDescent="0.25">
      <c r="A40" s="99" t="s">
        <v>194</v>
      </c>
      <c r="B40" s="49">
        <v>306020745</v>
      </c>
      <c r="C40" s="49">
        <v>103772425</v>
      </c>
      <c r="D40" s="49">
        <v>53454453.606690697</v>
      </c>
      <c r="E40" s="50">
        <f>VLOOKUP($A40,'Data shares'!$C:$FA,154)*100</f>
        <v>34.479999999999997</v>
      </c>
      <c r="F40" s="173">
        <f>C40/B40</f>
        <v>0.33910258273503646</v>
      </c>
    </row>
    <row r="41" spans="1:6" x14ac:dyDescent="0.25">
      <c r="A41" s="99" t="s">
        <v>195</v>
      </c>
      <c r="B41" s="49">
        <v>14553559</v>
      </c>
      <c r="C41" s="49">
        <v>3857250</v>
      </c>
      <c r="D41" s="49">
        <v>2801173.7361650001</v>
      </c>
      <c r="E41" s="50">
        <f>VLOOKUP($A41,'Data shares'!$C:$FA,154)*100</f>
        <v>26.77</v>
      </c>
      <c r="F41" s="173">
        <f>C41/B41</f>
        <v>0.26503826314924067</v>
      </c>
    </row>
    <row r="42" spans="1:6" x14ac:dyDescent="0.25">
      <c r="A42" s="99" t="s">
        <v>583</v>
      </c>
      <c r="B42" s="49">
        <v>61182611</v>
      </c>
      <c r="C42" s="49">
        <v>25297875</v>
      </c>
      <c r="D42" s="49">
        <v>9301133.4760574996</v>
      </c>
      <c r="E42" s="50">
        <f>VLOOKUP($A42,'Data shares'!$C:$FA,154)*100</f>
        <v>43.66</v>
      </c>
      <c r="F42" s="173">
        <f>C42/B42</f>
        <v>0.41348145472248643</v>
      </c>
    </row>
    <row r="43" spans="1:6" x14ac:dyDescent="0.25">
      <c r="A43" s="99" t="s">
        <v>610</v>
      </c>
      <c r="B43" s="49">
        <v>37147595</v>
      </c>
      <c r="C43" s="49">
        <v>12787500</v>
      </c>
      <c r="D43" s="49">
        <v>6093751.3598849997</v>
      </c>
      <c r="E43" s="50">
        <f>VLOOKUP($A43,'Data shares'!$C:$FA,154)*100</f>
        <v>35.43</v>
      </c>
      <c r="F43" s="173">
        <f>C43/B43</f>
        <v>0.34423493633975499</v>
      </c>
    </row>
    <row r="44" spans="1:6" x14ac:dyDescent="0.25">
      <c r="A44" s="99" t="s">
        <v>196</v>
      </c>
      <c r="B44" s="49">
        <v>504315430</v>
      </c>
      <c r="C44" s="49">
        <v>347854500</v>
      </c>
      <c r="D44" s="49">
        <v>188825540.21698499</v>
      </c>
      <c r="E44" s="50">
        <f>VLOOKUP($A44,'Data shares'!$C:$FA,154)*100</f>
        <v>70.320000000000007</v>
      </c>
      <c r="F44" s="173">
        <f>C44/B44</f>
        <v>0.6897558141340232</v>
      </c>
    </row>
    <row r="45" spans="1:6" x14ac:dyDescent="0.25">
      <c r="A45" s="99" t="s">
        <v>596</v>
      </c>
      <c r="B45" s="49">
        <v>26647500</v>
      </c>
      <c r="C45" s="49">
        <v>20715700</v>
      </c>
      <c r="D45" s="49">
        <v>7210330.2755792504</v>
      </c>
      <c r="E45" s="50">
        <f>VLOOKUP($A45,'Data shares'!$C:$FA,154)*100</f>
        <v>80.31</v>
      </c>
      <c r="F45" s="173">
        <f>C45/B45</f>
        <v>0.77739750445632794</v>
      </c>
    </row>
    <row r="46" spans="1:6" x14ac:dyDescent="0.25">
      <c r="A46" s="99" t="s">
        <v>611</v>
      </c>
      <c r="B46" s="49">
        <v>103080397</v>
      </c>
      <c r="C46" s="49">
        <v>28832000</v>
      </c>
      <c r="D46" s="49">
        <v>19367267.670157</v>
      </c>
      <c r="E46" s="50">
        <f>VLOOKUP($A46,'Data shares'!$C:$FA,154)*100</f>
        <v>28.24</v>
      </c>
      <c r="F46" s="173">
        <f>C46/B46</f>
        <v>0.2797040061846095</v>
      </c>
    </row>
    <row r="47" spans="1:6" x14ac:dyDescent="0.25">
      <c r="A47" s="99" t="s">
        <v>198</v>
      </c>
      <c r="B47" s="49">
        <v>63646863</v>
      </c>
      <c r="C47" s="49">
        <v>28700625</v>
      </c>
      <c r="D47" s="49">
        <v>19853913.118700001</v>
      </c>
      <c r="E47" s="50">
        <f>VLOOKUP($A47,'Data shares'!$C:$FA,154)*100</f>
        <v>45.58</v>
      </c>
      <c r="F47" s="173">
        <f>C47/B47</f>
        <v>0.45093542159336275</v>
      </c>
    </row>
    <row r="48" spans="1:6" x14ac:dyDescent="0.25">
      <c r="A48" s="99" t="s">
        <v>199</v>
      </c>
      <c r="B48" s="49">
        <v>76385219</v>
      </c>
      <c r="C48" s="49">
        <v>24276375</v>
      </c>
      <c r="D48" s="49">
        <v>15707926.090327499</v>
      </c>
      <c r="E48" s="50"/>
      <c r="F48" s="173">
        <f>C48/B48</f>
        <v>0.31781508671199854</v>
      </c>
    </row>
    <row r="49" spans="1:6" x14ac:dyDescent="0.25">
      <c r="A49" s="99" t="s">
        <v>200</v>
      </c>
      <c r="B49" s="49">
        <v>320531323</v>
      </c>
      <c r="C49" s="49">
        <v>137720250</v>
      </c>
      <c r="D49" s="49">
        <v>63517359.060755998</v>
      </c>
      <c r="E49" s="50"/>
      <c r="F49" s="173">
        <f>C49/B49</f>
        <v>0.4296623765534453</v>
      </c>
    </row>
    <row r="50" spans="1:6" x14ac:dyDescent="0.25">
      <c r="A50" s="99" t="s">
        <v>696</v>
      </c>
      <c r="B50" s="49">
        <v>12661431</v>
      </c>
      <c r="C50" s="49">
        <v>3964400</v>
      </c>
      <c r="D50" s="49">
        <v>1545474.9345440001</v>
      </c>
      <c r="E50" s="50">
        <f>VLOOKUP($A50,'Data shares'!$C:$FA,154)*100</f>
        <v>32.019999999999996</v>
      </c>
      <c r="F50" s="173">
        <f>C50/B50</f>
        <v>0.31310836824052513</v>
      </c>
    </row>
    <row r="51" spans="1:6" x14ac:dyDescent="0.25">
      <c r="A51" s="99" t="s">
        <v>470</v>
      </c>
      <c r="B51" s="49">
        <v>50256271</v>
      </c>
      <c r="C51" s="49">
        <v>29947500</v>
      </c>
      <c r="D51" s="49">
        <v>17559720.863880001</v>
      </c>
      <c r="E51" s="50">
        <f>VLOOKUP($A51,'Data shares'!$C:$FA,154)*100</f>
        <v>61.419999999999995</v>
      </c>
      <c r="F51" s="173">
        <f>C51/B51</f>
        <v>0.59589578383163366</v>
      </c>
    </row>
    <row r="52" spans="1:6" x14ac:dyDescent="0.25">
      <c r="A52" s="99" t="s">
        <v>201</v>
      </c>
      <c r="B52" s="49">
        <v>19054573</v>
      </c>
      <c r="C52" s="49">
        <v>9802800</v>
      </c>
      <c r="D52" s="49">
        <v>5418882.3634515004</v>
      </c>
      <c r="E52" s="50">
        <f>VLOOKUP($A52,'Data shares'!$C:$FA,154)*100</f>
        <v>51.92</v>
      </c>
      <c r="F52" s="173">
        <f>C52/B52</f>
        <v>0.51445917995643353</v>
      </c>
    </row>
    <row r="53" spans="1:6" x14ac:dyDescent="0.25">
      <c r="A53" s="99" t="s">
        <v>202</v>
      </c>
      <c r="B53" s="49">
        <v>51639257</v>
      </c>
      <c r="C53" s="49">
        <v>36562500</v>
      </c>
      <c r="D53" s="49">
        <v>22982162.808712501</v>
      </c>
      <c r="E53" s="50">
        <f>VLOOKUP($A53,'Data shares'!$C:$FA,154)*100</f>
        <v>71.34</v>
      </c>
      <c r="F53" s="173">
        <f>C53/B53</f>
        <v>0.70803691075570663</v>
      </c>
    </row>
    <row r="54" spans="1:6" x14ac:dyDescent="0.25">
      <c r="A54" s="99" t="s">
        <v>523</v>
      </c>
      <c r="B54" s="49">
        <v>96587231</v>
      </c>
      <c r="C54" s="49">
        <v>65493000</v>
      </c>
      <c r="D54" s="49">
        <v>41851814.443884</v>
      </c>
      <c r="E54" s="50">
        <f>VLOOKUP($A54,'Data shares'!$C:$FA,154)*100</f>
        <v>68.05</v>
      </c>
      <c r="F54" s="173">
        <f>C54/B54</f>
        <v>0.67807099677596094</v>
      </c>
    </row>
    <row r="55" spans="1:6" x14ac:dyDescent="0.25">
      <c r="A55" s="99" t="s">
        <v>203</v>
      </c>
      <c r="B55" s="49">
        <v>20374200</v>
      </c>
      <c r="C55" s="49">
        <v>6227600</v>
      </c>
      <c r="D55" s="49">
        <v>3924346.1579359998</v>
      </c>
      <c r="E55" s="50">
        <f>VLOOKUP($A55,'Data shares'!$C:$FA,154)*100</f>
        <v>31.04</v>
      </c>
      <c r="F55" s="173">
        <f>C55/B55</f>
        <v>0.30566108117128526</v>
      </c>
    </row>
    <row r="56" spans="1:6" x14ac:dyDescent="0.25">
      <c r="A56" s="99" t="s">
        <v>204</v>
      </c>
      <c r="B56" s="49">
        <v>76827821</v>
      </c>
      <c r="C56" s="49">
        <v>49255000</v>
      </c>
      <c r="D56" s="49">
        <v>28100337.357099999</v>
      </c>
      <c r="E56" s="50"/>
      <c r="F56" s="173">
        <f>C56/B56</f>
        <v>0.64110890246386132</v>
      </c>
    </row>
    <row r="57" spans="1:6" x14ac:dyDescent="0.25">
      <c r="A57" s="99" t="s">
        <v>524</v>
      </c>
      <c r="B57" s="49">
        <v>12425160</v>
      </c>
      <c r="C57" s="49">
        <v>4640350</v>
      </c>
      <c r="D57" s="49">
        <v>2460520.6758665</v>
      </c>
      <c r="E57" s="50"/>
      <c r="F57" s="173">
        <f>C57/B57</f>
        <v>0.37346400368284993</v>
      </c>
    </row>
    <row r="58" spans="1:6" x14ac:dyDescent="0.25">
      <c r="A58" s="99" t="s">
        <v>599</v>
      </c>
      <c r="B58" s="49">
        <v>83072620</v>
      </c>
      <c r="C58" s="49">
        <v>49602875</v>
      </c>
      <c r="D58" s="49">
        <v>31842545.774147</v>
      </c>
      <c r="E58" s="50">
        <f>VLOOKUP($A58,'Data shares'!$C:$FA,154)*100</f>
        <v>60.209999999999994</v>
      </c>
      <c r="F58" s="173">
        <f>C58/B58</f>
        <v>0.5971025712202167</v>
      </c>
    </row>
    <row r="59" spans="1:6" x14ac:dyDescent="0.25">
      <c r="A59" s="99" t="s">
        <v>205</v>
      </c>
      <c r="B59" s="49">
        <v>15815194</v>
      </c>
      <c r="C59" s="49">
        <v>4254800</v>
      </c>
      <c r="D59" s="49">
        <v>2657628.4734299998</v>
      </c>
      <c r="E59" s="50">
        <f>VLOOKUP($A59,'Data shares'!$C:$FA,154)*100</f>
        <v>27.089999999999996</v>
      </c>
      <c r="F59" s="173">
        <f>C59/B59</f>
        <v>0.26903242540053574</v>
      </c>
    </row>
    <row r="60" spans="1:6" x14ac:dyDescent="0.25">
      <c r="A60" s="99" t="s">
        <v>512</v>
      </c>
      <c r="B60" s="49">
        <v>6478285</v>
      </c>
      <c r="C60" s="49">
        <v>6391850</v>
      </c>
      <c r="D60" s="49">
        <v>2139236.2828230001</v>
      </c>
      <c r="E60" s="50">
        <f>VLOOKUP($A60,'Data shares'!$C:$FA,154)*100</f>
        <v>104</v>
      </c>
      <c r="F60" s="173">
        <f>C60/B60</f>
        <v>0.98665773426145964</v>
      </c>
    </row>
    <row r="61" spans="1:6" x14ac:dyDescent="0.25">
      <c r="A61" s="99" t="s">
        <v>207</v>
      </c>
      <c r="B61" s="49">
        <v>96251298</v>
      </c>
      <c r="C61" s="49">
        <v>72188325</v>
      </c>
      <c r="D61" s="49">
        <v>47803403.010750704</v>
      </c>
      <c r="E61" s="50">
        <f>VLOOKUP($A61,'Data shares'!$C:$FA,154)*100</f>
        <v>75.709999999999994</v>
      </c>
      <c r="F61" s="173">
        <f>C61/B61</f>
        <v>0.74999845716366342</v>
      </c>
    </row>
    <row r="62" spans="1:6" x14ac:dyDescent="0.25">
      <c r="A62" s="99" t="s">
        <v>582</v>
      </c>
      <c r="B62" s="49">
        <v>16494391</v>
      </c>
      <c r="C62" s="49">
        <v>7585050</v>
      </c>
      <c r="D62" s="49">
        <v>3727709.9871809999</v>
      </c>
      <c r="E62" s="50"/>
      <c r="F62" s="173">
        <f>C62/B62</f>
        <v>0.45985632327983494</v>
      </c>
    </row>
    <row r="63" spans="1:6" x14ac:dyDescent="0.25">
      <c r="A63" s="99" t="s">
        <v>208</v>
      </c>
      <c r="B63" s="49">
        <v>61026255</v>
      </c>
      <c r="C63" s="49">
        <v>26001250</v>
      </c>
      <c r="D63" s="49">
        <v>12929384.891868699</v>
      </c>
      <c r="E63" s="50">
        <f>VLOOKUP($A63,'Data shares'!$C:$FA,154)*100</f>
        <v>43.18</v>
      </c>
      <c r="F63" s="173">
        <f>C63/B63</f>
        <v>0.42606661673733709</v>
      </c>
    </row>
    <row r="64" spans="1:6" x14ac:dyDescent="0.25">
      <c r="A64" s="99" t="s">
        <v>209</v>
      </c>
      <c r="B64" s="49">
        <v>20960143</v>
      </c>
      <c r="C64" s="49">
        <v>7925300</v>
      </c>
      <c r="D64" s="49">
        <v>4191148.5859079999</v>
      </c>
      <c r="E64" s="50"/>
      <c r="F64" s="173">
        <f>C64/B64</f>
        <v>0.37811287833293883</v>
      </c>
    </row>
    <row r="65" spans="1:6" x14ac:dyDescent="0.25">
      <c r="A65" s="99" t="s">
        <v>665</v>
      </c>
      <c r="B65" s="49">
        <v>1366821859</v>
      </c>
      <c r="C65" s="49">
        <v>302710325</v>
      </c>
      <c r="D65" s="49">
        <v>188702473.13792101</v>
      </c>
      <c r="E65" s="50">
        <f>VLOOKUP($A65,'Data shares'!$C:$FA,154)*100</f>
        <v>22.45</v>
      </c>
      <c r="F65" s="173">
        <f>C65/B65</f>
        <v>0.22147021062530431</v>
      </c>
    </row>
    <row r="66" spans="1:6" x14ac:dyDescent="0.25">
      <c r="A66" s="99" t="s">
        <v>211</v>
      </c>
      <c r="B66" s="49">
        <v>50211048</v>
      </c>
      <c r="C66" s="49">
        <v>53236800</v>
      </c>
      <c r="D66" s="49">
        <v>21383055.047015999</v>
      </c>
      <c r="E66" s="50">
        <f>VLOOKUP($A66,'Data shares'!$C:$FA,154)*100</f>
        <v>107.96</v>
      </c>
      <c r="F66" s="173">
        <f>C66/B66</f>
        <v>1.0602606820714038</v>
      </c>
    </row>
    <row r="67" spans="1:6" x14ac:dyDescent="0.25">
      <c r="A67" s="99" t="s">
        <v>212</v>
      </c>
      <c r="B67" s="49">
        <v>359450597</v>
      </c>
      <c r="C67" s="49">
        <v>143235000</v>
      </c>
      <c r="D67" s="49">
        <v>75299690.609999999</v>
      </c>
      <c r="E67" s="50">
        <f>VLOOKUP($A67,'Data shares'!$C:$FA,154)*100</f>
        <v>40.89</v>
      </c>
      <c r="F67" s="173">
        <f>C67/B67</f>
        <v>0.39848313285733672</v>
      </c>
    </row>
    <row r="68" spans="1:6" x14ac:dyDescent="0.25">
      <c r="A68" s="99" t="s">
        <v>700</v>
      </c>
      <c r="B68" s="49">
        <v>736885</v>
      </c>
      <c r="C68" s="49">
        <v>245050</v>
      </c>
      <c r="D68" s="49">
        <v>99142.73356275</v>
      </c>
      <c r="E68" s="50">
        <f>VLOOKUP($A68,'Data shares'!$C:$FA,154)*100</f>
        <v>34.81</v>
      </c>
      <c r="F68" s="173">
        <f>C68/B68</f>
        <v>0.33254849806957665</v>
      </c>
    </row>
    <row r="69" spans="1:6" x14ac:dyDescent="0.25">
      <c r="A69" s="99" t="s">
        <v>675</v>
      </c>
      <c r="B69" s="49">
        <v>70894446</v>
      </c>
      <c r="C69" s="49">
        <v>15041975</v>
      </c>
      <c r="D69" s="49">
        <v>10973332.1451605</v>
      </c>
      <c r="E69" s="50">
        <f>VLOOKUP($A69,'Data shares'!$C:$FA,154)*100</f>
        <v>21.529999999999998</v>
      </c>
      <c r="F69" s="173">
        <f>C69/B69</f>
        <v>0.21217423717508138</v>
      </c>
    </row>
    <row r="70" spans="1:6" x14ac:dyDescent="0.25">
      <c r="A70" s="99" t="s">
        <v>213</v>
      </c>
      <c r="B70" s="49">
        <v>471255857</v>
      </c>
      <c r="C70" s="49">
        <v>138763800</v>
      </c>
      <c r="D70" s="49">
        <v>74864174.410462499</v>
      </c>
      <c r="E70" s="50">
        <f>VLOOKUP($A70,'Data shares'!$C:$FA,154)*100</f>
        <v>29.630000000000003</v>
      </c>
      <c r="F70" s="173">
        <f>C70/B70</f>
        <v>0.29445533236099386</v>
      </c>
    </row>
    <row r="71" spans="1:6" x14ac:dyDescent="0.25">
      <c r="A71" s="99" t="s">
        <v>214</v>
      </c>
      <c r="B71" s="49">
        <v>15844372</v>
      </c>
      <c r="C71" s="49">
        <v>13582875</v>
      </c>
      <c r="D71" s="49">
        <v>10053740.616629999</v>
      </c>
      <c r="E71" s="50"/>
      <c r="F71" s="173">
        <f>C71/B71</f>
        <v>0.857268120188039</v>
      </c>
    </row>
    <row r="72" spans="1:6" x14ac:dyDescent="0.25">
      <c r="A72" s="99" t="s">
        <v>630</v>
      </c>
      <c r="B72" s="49">
        <v>534704421</v>
      </c>
      <c r="C72" s="49">
        <v>209501100</v>
      </c>
      <c r="D72" s="49">
        <v>125627303.254214</v>
      </c>
      <c r="E72" s="50">
        <f>VLOOKUP($A72,'Data shares'!$C:$FA,154)*100</f>
        <v>39.629999999999995</v>
      </c>
      <c r="F72" s="173">
        <f>C72/B72</f>
        <v>0.3918073084344294</v>
      </c>
    </row>
    <row r="73" spans="1:6" x14ac:dyDescent="0.25">
      <c r="A73" s="99" t="s">
        <v>699</v>
      </c>
      <c r="B73" s="49">
        <v>6329596</v>
      </c>
      <c r="C73" s="49">
        <v>2617175</v>
      </c>
      <c r="D73" s="49">
        <v>980555.82785600005</v>
      </c>
      <c r="E73" s="50">
        <f>VLOOKUP($A73,'Data shares'!$C:$FA,154)*100</f>
        <v>42.25</v>
      </c>
      <c r="F73" s="173">
        <f>C73/B73</f>
        <v>0.41348215589115006</v>
      </c>
    </row>
    <row r="74" spans="1:6" x14ac:dyDescent="0.25">
      <c r="A74" s="99" t="s">
        <v>217</v>
      </c>
      <c r="B74" s="49">
        <v>53250524</v>
      </c>
      <c r="C74" s="49">
        <v>15210000</v>
      </c>
      <c r="D74" s="49">
        <v>12150591.112679999</v>
      </c>
      <c r="E74" s="50">
        <f>VLOOKUP($A74,'Data shares'!$C:$FA,154)*100</f>
        <v>28.73</v>
      </c>
      <c r="F74" s="173">
        <f>C74/B74</f>
        <v>0.2856309921006599</v>
      </c>
    </row>
    <row r="75" spans="1:6" x14ac:dyDescent="0.25">
      <c r="A75" s="99" t="s">
        <v>218</v>
      </c>
      <c r="B75" s="49">
        <v>23870110</v>
      </c>
      <c r="C75" s="49">
        <v>13833325</v>
      </c>
      <c r="D75" s="49">
        <v>7877350.1885320004</v>
      </c>
      <c r="E75" s="50">
        <f>VLOOKUP($A75,'Data shares'!$C:$FA,154)*100</f>
        <v>58.379999999999995</v>
      </c>
      <c r="F75" s="173">
        <f>C75/B75</f>
        <v>0.57952497914756151</v>
      </c>
    </row>
    <row r="76" spans="1:6" x14ac:dyDescent="0.25">
      <c r="A76" s="99" t="s">
        <v>219</v>
      </c>
      <c r="B76" s="49">
        <v>38401443</v>
      </c>
      <c r="C76" s="49">
        <v>16773000</v>
      </c>
      <c r="D76" s="49">
        <v>12010700.01365</v>
      </c>
      <c r="E76" s="50">
        <f>VLOOKUP($A76,'Data shares'!$C:$FA,154)*100</f>
        <v>44.03</v>
      </c>
      <c r="F76" s="173">
        <f>C76/B76</f>
        <v>0.43678046160921608</v>
      </c>
    </row>
    <row r="77" spans="1:6" x14ac:dyDescent="0.25">
      <c r="A77" s="99" t="s">
        <v>513</v>
      </c>
      <c r="B77" s="49">
        <v>28450886</v>
      </c>
      <c r="C77" s="49">
        <v>14130300</v>
      </c>
      <c r="D77" s="49">
        <v>6906355.3939770004</v>
      </c>
      <c r="E77" s="50"/>
      <c r="F77" s="173">
        <f>C77/B77</f>
        <v>0.49665588621739232</v>
      </c>
    </row>
    <row r="78" spans="1:6" x14ac:dyDescent="0.25">
      <c r="A78" s="99" t="s">
        <v>220</v>
      </c>
      <c r="B78" s="49">
        <v>29751886</v>
      </c>
      <c r="C78" s="49">
        <v>14371500</v>
      </c>
      <c r="D78" s="49">
        <v>8213486.6541499998</v>
      </c>
      <c r="E78" s="50"/>
      <c r="F78" s="173">
        <f>C78/B78</f>
        <v>0.48304500763413788</v>
      </c>
    </row>
    <row r="79" spans="1:6" x14ac:dyDescent="0.25">
      <c r="A79" s="99" t="s">
        <v>222</v>
      </c>
      <c r="B79" s="49">
        <v>145140505</v>
      </c>
      <c r="C79" s="49">
        <v>57263150</v>
      </c>
      <c r="D79" s="49">
        <v>36178463.080742501</v>
      </c>
      <c r="E79" s="50">
        <f>VLOOKUP($A79,'Data shares'!$C:$FA,154)*100</f>
        <v>40.239999999999995</v>
      </c>
      <c r="F79" s="173">
        <f>C79/B79</f>
        <v>0.39453597050664801</v>
      </c>
    </row>
    <row r="80" spans="1:6" x14ac:dyDescent="0.25">
      <c r="A80" s="99" t="s">
        <v>475</v>
      </c>
      <c r="B80" s="49">
        <v>30592324</v>
      </c>
      <c r="C80" s="49">
        <v>9748800</v>
      </c>
      <c r="D80" s="49">
        <v>5478136.4420670001</v>
      </c>
      <c r="E80" s="50">
        <f>VLOOKUP($A80,'Data shares'!$C:$FA,154)*100</f>
        <v>32.769999999999996</v>
      </c>
      <c r="F80" s="173">
        <f>C80/B80</f>
        <v>0.31866817310120016</v>
      </c>
    </row>
    <row r="81" spans="1:6" x14ac:dyDescent="0.25">
      <c r="A81" s="99" t="s">
        <v>224</v>
      </c>
      <c r="B81" s="49">
        <v>1496665645</v>
      </c>
      <c r="C81" s="49">
        <v>480652700</v>
      </c>
      <c r="D81" s="49">
        <v>314043272.07306302</v>
      </c>
      <c r="E81" s="50"/>
      <c r="F81" s="173">
        <f>C81/B81</f>
        <v>0.3211490165527251</v>
      </c>
    </row>
    <row r="82" spans="1:6" x14ac:dyDescent="0.25">
      <c r="A82" s="99" t="s">
        <v>225</v>
      </c>
      <c r="B82" s="49">
        <v>156090005</v>
      </c>
      <c r="C82" s="49">
        <v>74081700</v>
      </c>
      <c r="D82" s="49">
        <v>45001237.748884998</v>
      </c>
      <c r="E82" s="50">
        <f>VLOOKUP($A82,'Data shares'!$C:$FA,154)*100</f>
        <v>48.25</v>
      </c>
      <c r="F82" s="173">
        <f>C82/B82</f>
        <v>0.47460886428954885</v>
      </c>
    </row>
    <row r="83" spans="1:6" x14ac:dyDescent="0.25">
      <c r="A83" s="99" t="s">
        <v>226</v>
      </c>
      <c r="B83" s="49">
        <v>19589014</v>
      </c>
      <c r="C83" s="49">
        <v>7758600</v>
      </c>
      <c r="D83" s="49">
        <v>4156118.188383</v>
      </c>
      <c r="E83" s="50">
        <f>VLOOKUP($A83,'Data shares'!$C:$FA,154)*100</f>
        <v>40.520000000000003</v>
      </c>
      <c r="F83" s="173">
        <f>C83/B83</f>
        <v>0.39606893945759597</v>
      </c>
    </row>
    <row r="84" spans="1:6" x14ac:dyDescent="0.25">
      <c r="A84" s="99" t="s">
        <v>228</v>
      </c>
      <c r="B84" s="49">
        <v>218611634</v>
      </c>
      <c r="C84" s="49">
        <v>61487300</v>
      </c>
      <c r="D84" s="49">
        <v>36918277.651345998</v>
      </c>
      <c r="E84" s="50">
        <f>VLOOKUP($A84,'Data shares'!$C:$FA,154)*100</f>
        <v>28.95</v>
      </c>
      <c r="F84" s="173">
        <f>C84/B84</f>
        <v>0.2812627071805337</v>
      </c>
    </row>
    <row r="85" spans="1:6" x14ac:dyDescent="0.25">
      <c r="A85" s="99" t="s">
        <v>229</v>
      </c>
      <c r="B85" s="49">
        <v>143933168</v>
      </c>
      <c r="C85" s="49">
        <v>76156200</v>
      </c>
      <c r="D85" s="49">
        <v>38934273.944457002</v>
      </c>
      <c r="E85" s="50">
        <f>VLOOKUP($A85,'Data shares'!$C:$FA,154)*100</f>
        <v>53.839999999999996</v>
      </c>
      <c r="F85" s="173">
        <f>C85/B85</f>
        <v>0.52910806493191342</v>
      </c>
    </row>
    <row r="86" spans="1:6" x14ac:dyDescent="0.25">
      <c r="A86" s="99" t="s">
        <v>230</v>
      </c>
      <c r="B86" s="49">
        <v>89517840</v>
      </c>
      <c r="C86" s="49">
        <v>29203500</v>
      </c>
      <c r="D86" s="49">
        <v>18408844.627530001</v>
      </c>
      <c r="E86" s="50">
        <f>VLOOKUP($A86,'Data shares'!$C:$FA,154)*100</f>
        <v>33.040000000000006</v>
      </c>
      <c r="F86" s="173">
        <f>C86/B86</f>
        <v>0.32623106187548762</v>
      </c>
    </row>
    <row r="87" spans="1:6" x14ac:dyDescent="0.25">
      <c r="A87" s="99" t="s">
        <v>666</v>
      </c>
      <c r="B87" s="49">
        <v>241870587</v>
      </c>
      <c r="C87" s="49">
        <v>73567375</v>
      </c>
      <c r="D87" s="49">
        <v>32949034.354019001</v>
      </c>
      <c r="E87" s="50">
        <f>VLOOKUP($A87,'Data shares'!$C:$FA,154)*100</f>
        <v>30.930000000000003</v>
      </c>
      <c r="F87" s="173">
        <f>C87/B87</f>
        <v>0.30416007135253698</v>
      </c>
    </row>
    <row r="88" spans="1:6" x14ac:dyDescent="0.25">
      <c r="A88" s="99" t="s">
        <v>607</v>
      </c>
      <c r="B88" s="49">
        <v>75071250</v>
      </c>
      <c r="C88" s="49">
        <v>47716125</v>
      </c>
      <c r="D88" s="49">
        <v>23631126.528218199</v>
      </c>
      <c r="E88" s="50">
        <f>VLOOKUP($A88,'Data shares'!$C:$FA,154)*100</f>
        <v>64.83</v>
      </c>
      <c r="F88" s="173">
        <f>C88/B88</f>
        <v>0.63561116938908035</v>
      </c>
    </row>
    <row r="89" spans="1:6" x14ac:dyDescent="0.25">
      <c r="A89" s="99" t="s">
        <v>694</v>
      </c>
      <c r="B89" s="49">
        <v>21329205</v>
      </c>
      <c r="C89" s="49">
        <v>9830975</v>
      </c>
      <c r="D89" s="49">
        <v>5987877.6474687504</v>
      </c>
      <c r="E89" s="50">
        <f>VLOOKUP($A89,'Data shares'!$C:$FA,154)*100</f>
        <v>47.29</v>
      </c>
      <c r="F89" s="173">
        <f>C89/B89</f>
        <v>0.46091614760137567</v>
      </c>
    </row>
    <row r="90" spans="1:6" x14ac:dyDescent="0.25">
      <c r="A90" s="99" t="s">
        <v>232</v>
      </c>
      <c r="B90" s="49">
        <v>668616020</v>
      </c>
      <c r="C90" s="49">
        <v>168865200</v>
      </c>
      <c r="D90" s="49">
        <v>114116971.56647199</v>
      </c>
      <c r="E90" s="50">
        <f>VLOOKUP($A90,'Data shares'!$C:$FA,154)*100</f>
        <v>25.89</v>
      </c>
      <c r="F90" s="173">
        <f>C90/B90</f>
        <v>0.25255930900369394</v>
      </c>
    </row>
    <row r="91" spans="1:6" x14ac:dyDescent="0.25">
      <c r="A91" s="99" t="s">
        <v>472</v>
      </c>
      <c r="B91" s="49">
        <v>27086521</v>
      </c>
      <c r="C91" s="49">
        <v>8065200</v>
      </c>
      <c r="D91" s="49">
        <v>5353673.2997864997</v>
      </c>
      <c r="E91" s="50">
        <f>VLOOKUP($A91,'Data shares'!$C:$FA,154)*100</f>
        <v>30.159999999999997</v>
      </c>
      <c r="F91" s="173">
        <f>C91/B91</f>
        <v>0.29775695446454714</v>
      </c>
    </row>
    <row r="92" spans="1:6" x14ac:dyDescent="0.25">
      <c r="A92" s="99" t="s">
        <v>233</v>
      </c>
      <c r="B92" s="49">
        <v>58892926</v>
      </c>
      <c r="C92" s="49">
        <v>31902325</v>
      </c>
      <c r="D92" s="49">
        <v>20379095.805541702</v>
      </c>
      <c r="E92" s="50"/>
      <c r="F92" s="173">
        <f>C92/B92</f>
        <v>0.54170045821802093</v>
      </c>
    </row>
    <row r="93" spans="1:6" x14ac:dyDescent="0.25">
      <c r="A93" s="99" t="s">
        <v>234</v>
      </c>
      <c r="B93" s="49">
        <v>12096038468</v>
      </c>
      <c r="C93" s="49">
        <v>8781990300</v>
      </c>
      <c r="D93" s="49">
        <v>5853313833.4537802</v>
      </c>
      <c r="E93" s="50">
        <f>VLOOKUP($A93,'Data shares'!$C:$FA,154)*100</f>
        <v>73.3</v>
      </c>
      <c r="F93" s="173">
        <f>C93/B93</f>
        <v>0.72602202144385575</v>
      </c>
    </row>
    <row r="94" spans="1:6" x14ac:dyDescent="0.25">
      <c r="A94" s="99" t="s">
        <v>235</v>
      </c>
      <c r="B94" s="49">
        <v>1101871266</v>
      </c>
      <c r="C94" s="49">
        <v>641032350</v>
      </c>
      <c r="D94" s="49">
        <v>388631159.83822203</v>
      </c>
      <c r="E94" s="50">
        <f>VLOOKUP($A94,'Data shares'!$C:$FA,154)*100</f>
        <v>58.819999999999993</v>
      </c>
      <c r="F94" s="173">
        <f>C94/B94</f>
        <v>0.58176700834305994</v>
      </c>
    </row>
    <row r="95" spans="1:6" x14ac:dyDescent="0.25">
      <c r="A95" s="99" t="s">
        <v>514</v>
      </c>
      <c r="B95" s="49">
        <v>133395043</v>
      </c>
      <c r="C95" s="49">
        <v>174326250</v>
      </c>
      <c r="D95" s="49">
        <v>70968978.65535</v>
      </c>
      <c r="E95" s="50">
        <f>VLOOKUP($A95,'Data shares'!$C:$FA,154)*100</f>
        <v>132.42000000000002</v>
      </c>
      <c r="F95" s="173">
        <f>C95/B95</f>
        <v>1.3068420391003586</v>
      </c>
    </row>
    <row r="96" spans="1:6" x14ac:dyDescent="0.25">
      <c r="A96" s="99" t="s">
        <v>501</v>
      </c>
      <c r="B96" s="49">
        <v>123332004</v>
      </c>
      <c r="C96" s="49">
        <v>33485000</v>
      </c>
      <c r="D96" s="49">
        <v>20650154.143879998</v>
      </c>
      <c r="E96" s="50">
        <f>VLOOKUP($A96,'Data shares'!$C:$FA,154)*100</f>
        <v>27.42</v>
      </c>
      <c r="F96" s="173">
        <f>C96/B96</f>
        <v>0.27150292636127116</v>
      </c>
    </row>
    <row r="97" spans="1:6" x14ac:dyDescent="0.25">
      <c r="A97" s="99" t="s">
        <v>577</v>
      </c>
      <c r="B97" s="49">
        <v>52862157</v>
      </c>
      <c r="C97" s="49">
        <v>20604000</v>
      </c>
      <c r="D97" s="49">
        <v>10198715.499229999</v>
      </c>
      <c r="E97" s="50">
        <f>VLOOKUP($A97,'Data shares'!$C:$FA,154)*100</f>
        <v>40.36</v>
      </c>
      <c r="F97" s="173">
        <f>C97/B97</f>
        <v>0.38976843112928594</v>
      </c>
    </row>
    <row r="98" spans="1:6" x14ac:dyDescent="0.25">
      <c r="A98" s="99" t="s">
        <v>238</v>
      </c>
      <c r="B98" s="49">
        <v>33878797</v>
      </c>
      <c r="C98" s="49">
        <v>17436450</v>
      </c>
      <c r="D98" s="49">
        <v>7378287.5205164999</v>
      </c>
      <c r="E98" s="50">
        <f>VLOOKUP($A98,'Data shares'!$C:$FA,154)*100</f>
        <v>52.78</v>
      </c>
      <c r="F98" s="173">
        <f>C98/B98</f>
        <v>0.51467146250795148</v>
      </c>
    </row>
    <row r="99" spans="1:6" x14ac:dyDescent="0.25">
      <c r="A99" s="99" t="s">
        <v>239</v>
      </c>
      <c r="B99" s="49">
        <v>93808799</v>
      </c>
      <c r="C99" s="49">
        <v>50964200</v>
      </c>
      <c r="D99" s="49">
        <v>34419318.779867001</v>
      </c>
      <c r="E99" s="50">
        <f>VLOOKUP($A99,'Data shares'!$C:$FA,154)*100</f>
        <v>55.110000000000007</v>
      </c>
      <c r="F99" s="173">
        <f>C99/B99</f>
        <v>0.5432773955458059</v>
      </c>
    </row>
    <row r="100" spans="1:6" x14ac:dyDescent="0.25">
      <c r="A100" s="99" t="s">
        <v>473</v>
      </c>
      <c r="B100" s="49">
        <v>193625858</v>
      </c>
      <c r="C100" s="49">
        <v>114345400</v>
      </c>
      <c r="D100" s="49">
        <v>68385982.221298993</v>
      </c>
      <c r="E100" s="50">
        <f>VLOOKUP($A100,'Data shares'!$C:$FA,154)*100</f>
        <v>59.88</v>
      </c>
      <c r="F100" s="173">
        <f>C100/B100</f>
        <v>0.59054819010795556</v>
      </c>
    </row>
    <row r="101" spans="1:6" x14ac:dyDescent="0.25">
      <c r="A101" s="99" t="s">
        <v>240</v>
      </c>
      <c r="B101" s="49">
        <v>475237614</v>
      </c>
      <c r="C101" s="49">
        <v>127540400</v>
      </c>
      <c r="D101" s="49">
        <v>76447753.842143998</v>
      </c>
      <c r="E101" s="50">
        <f>VLOOKUP($A101,'Data shares'!$C:$FA,154)*100</f>
        <v>27.22</v>
      </c>
      <c r="F101" s="173">
        <f>C101/B101</f>
        <v>0.26837185492644949</v>
      </c>
    </row>
    <row r="102" spans="1:6" x14ac:dyDescent="0.25">
      <c r="A102" s="99" t="s">
        <v>667</v>
      </c>
      <c r="B102" s="49">
        <v>144708707</v>
      </c>
      <c r="C102" s="49">
        <v>149606600</v>
      </c>
      <c r="D102" s="49">
        <v>80914844.011394203</v>
      </c>
      <c r="E102" s="50">
        <f>VLOOKUP($A102,'Data shares'!$C:$FA,154)*100</f>
        <v>103.77000000000001</v>
      </c>
      <c r="F102" s="173">
        <f>C102/B102</f>
        <v>1.0338465673665374</v>
      </c>
    </row>
    <row r="103" spans="1:6" x14ac:dyDescent="0.25">
      <c r="A103" s="99" t="s">
        <v>241</v>
      </c>
      <c r="B103" s="49">
        <v>684903861</v>
      </c>
      <c r="C103" s="49">
        <v>221403000</v>
      </c>
      <c r="D103" s="49">
        <v>104533124.681748</v>
      </c>
      <c r="E103" s="50"/>
      <c r="F103" s="173">
        <f>C103/B103</f>
        <v>0.32326142778161387</v>
      </c>
    </row>
    <row r="104" spans="1:6" x14ac:dyDescent="0.25">
      <c r="A104" s="99" t="s">
        <v>663</v>
      </c>
      <c r="B104" s="49">
        <v>119011160</v>
      </c>
      <c r="C104" s="49">
        <v>102216600</v>
      </c>
      <c r="D104" s="49">
        <v>36113780.803606503</v>
      </c>
      <c r="E104" s="50">
        <f>VLOOKUP($A104,'Data shares'!$C:$FA,154)*100</f>
        <v>88.25</v>
      </c>
      <c r="F104" s="173">
        <f>C104/B104</f>
        <v>0.85888247791215544</v>
      </c>
    </row>
    <row r="105" spans="1:6" x14ac:dyDescent="0.25">
      <c r="A105" s="99" t="s">
        <v>591</v>
      </c>
      <c r="B105" s="49">
        <v>267310350</v>
      </c>
      <c r="C105" s="49">
        <v>128996000</v>
      </c>
      <c r="D105" s="49">
        <v>43622664.798430003</v>
      </c>
      <c r="E105" s="50">
        <f>VLOOKUP($A105,'Data shares'!$C:$FA,154)*100</f>
        <v>49.71</v>
      </c>
      <c r="F105" s="173">
        <f>C105/B105</f>
        <v>0.4825701661009385</v>
      </c>
    </row>
    <row r="106" spans="1:6" x14ac:dyDescent="0.25">
      <c r="A106" s="99" t="s">
        <v>242</v>
      </c>
      <c r="B106" s="49">
        <v>1317896781</v>
      </c>
      <c r="C106" s="49">
        <v>333993600</v>
      </c>
      <c r="D106" s="49">
        <v>178283561.11743999</v>
      </c>
      <c r="E106" s="50">
        <f>VLOOKUP($A106,'Data shares'!$C:$FA,154)*100</f>
        <v>25.740000000000002</v>
      </c>
      <c r="F106" s="173">
        <f>C106/B106</f>
        <v>0.25342925547368794</v>
      </c>
    </row>
    <row r="107" spans="1:6" x14ac:dyDescent="0.25">
      <c r="A107" s="99" t="s">
        <v>243</v>
      </c>
      <c r="B107" s="49">
        <v>45844541</v>
      </c>
      <c r="C107" s="49">
        <v>21013750</v>
      </c>
      <c r="D107" s="49">
        <v>11349780.233731201</v>
      </c>
      <c r="E107" s="50">
        <f>VLOOKUP($A107,'Data shares'!$C:$FA,154)*100</f>
        <v>46.56</v>
      </c>
      <c r="F107" s="173">
        <f>C107/B107</f>
        <v>0.45836973261440223</v>
      </c>
    </row>
    <row r="108" spans="1:6" x14ac:dyDescent="0.25">
      <c r="A108" s="99" t="s">
        <v>569</v>
      </c>
      <c r="B108" s="49">
        <v>490240515</v>
      </c>
      <c r="C108" s="49">
        <v>285165450</v>
      </c>
      <c r="D108" s="49">
        <v>158634018.83011699</v>
      </c>
      <c r="E108" s="50">
        <f>VLOOKUP($A108,'Data shares'!$C:$FA,154)*100</f>
        <v>59.27</v>
      </c>
      <c r="F108" s="173">
        <f>C108/B108</f>
        <v>0.5816847879249637</v>
      </c>
    </row>
    <row r="109" spans="1:6" x14ac:dyDescent="0.25">
      <c r="A109" s="99" t="s">
        <v>579</v>
      </c>
      <c r="B109" s="49">
        <v>75294901</v>
      </c>
      <c r="C109" s="49">
        <v>39004000</v>
      </c>
      <c r="D109" s="49">
        <v>26852476.396839999</v>
      </c>
      <c r="E109" s="50">
        <f>VLOOKUP($A109,'Data shares'!$C:$FA,154)*100</f>
        <v>52.11</v>
      </c>
      <c r="F109" s="173">
        <f>C109/B109</f>
        <v>0.51801648560504776</v>
      </c>
    </row>
    <row r="110" spans="1:6" x14ac:dyDescent="0.25">
      <c r="A110" s="99" t="s">
        <v>244</v>
      </c>
      <c r="B110" s="49">
        <v>133242960</v>
      </c>
      <c r="C110" s="49">
        <v>61020675</v>
      </c>
      <c r="D110" s="49">
        <v>47892269.3988645</v>
      </c>
      <c r="E110" s="50">
        <f>VLOOKUP($A110,'Data shares'!$C:$FA,154)*100</f>
        <v>46.22</v>
      </c>
      <c r="F110" s="173">
        <f>C110/B110</f>
        <v>0.4579654714965804</v>
      </c>
    </row>
    <row r="111" spans="1:6" x14ac:dyDescent="0.25">
      <c r="A111" s="99" t="s">
        <v>245</v>
      </c>
      <c r="B111" s="49">
        <v>58777851</v>
      </c>
      <c r="C111" s="49">
        <v>75872500</v>
      </c>
      <c r="D111" s="49">
        <v>36169442.423924997</v>
      </c>
      <c r="E111" s="50">
        <f>VLOOKUP($A111,'Data shares'!$C:$FA,154)*100</f>
        <v>131.98000000000002</v>
      </c>
      <c r="F111" s="173">
        <f>C111/B111</f>
        <v>1.2908348758786707</v>
      </c>
    </row>
    <row r="112" spans="1:6" x14ac:dyDescent="0.25">
      <c r="A112" s="99" t="s">
        <v>581</v>
      </c>
      <c r="B112" s="49">
        <v>57686748</v>
      </c>
      <c r="C112" s="49">
        <v>49145550</v>
      </c>
      <c r="D112" s="49">
        <v>22657851.131507698</v>
      </c>
      <c r="E112" s="50">
        <f>VLOOKUP($A112,'Data shares'!$C:$FA,154)*100</f>
        <v>86.22</v>
      </c>
      <c r="F112" s="173">
        <f>C112/B112</f>
        <v>0.85193829959005485</v>
      </c>
    </row>
    <row r="113" spans="1:6" x14ac:dyDescent="0.25">
      <c r="A113" s="99" t="s">
        <v>674</v>
      </c>
      <c r="B113" s="49">
        <v>4679418</v>
      </c>
      <c r="C113" s="49">
        <v>6007400</v>
      </c>
      <c r="D113" s="49">
        <v>2698703.5717099998</v>
      </c>
      <c r="E113" s="50">
        <f>VLOOKUP($A113,'Data shares'!$C:$FA,154)*100</f>
        <v>131.68</v>
      </c>
      <c r="F113" s="173">
        <f>C113/B113</f>
        <v>1.2837921297050188</v>
      </c>
    </row>
    <row r="114" spans="1:6" x14ac:dyDescent="0.25">
      <c r="A114" s="99" t="s">
        <v>609</v>
      </c>
      <c r="B114" s="49">
        <v>9320940</v>
      </c>
      <c r="C114" s="49">
        <v>3388350</v>
      </c>
      <c r="D114" s="49">
        <v>1455034.13980575</v>
      </c>
      <c r="E114" s="50">
        <f>VLOOKUP($A114,'Data shares'!$C:$FA,154)*100</f>
        <v>37.89</v>
      </c>
      <c r="F114" s="173">
        <f>C114/B114</f>
        <v>0.36352020289799097</v>
      </c>
    </row>
    <row r="115" spans="1:6" x14ac:dyDescent="0.25">
      <c r="A115" s="99" t="s">
        <v>681</v>
      </c>
      <c r="B115" s="49">
        <v>19953342</v>
      </c>
      <c r="C115" s="49">
        <v>7313000</v>
      </c>
      <c r="D115" s="49">
        <v>2632119.2416900001</v>
      </c>
      <c r="E115" s="50">
        <f>VLOOKUP($A115,'Data shares'!$C:$FA,154)*100</f>
        <v>37.85</v>
      </c>
      <c r="F115" s="173">
        <f>C115/B115</f>
        <v>0.36650501956013182</v>
      </c>
    </row>
    <row r="116" spans="1:6" x14ac:dyDescent="0.25">
      <c r="A116" s="99" t="s">
        <v>246</v>
      </c>
      <c r="B116" s="49">
        <v>882793124</v>
      </c>
      <c r="C116" s="49">
        <v>274104000</v>
      </c>
      <c r="D116" s="49">
        <v>212603113.00226</v>
      </c>
      <c r="E116" s="50">
        <f>VLOOKUP($A116,'Data shares'!$C:$FA,154)*100</f>
        <v>31.269999999999996</v>
      </c>
      <c r="F116" s="173">
        <f>C116/B116</f>
        <v>0.31049630150948027</v>
      </c>
    </row>
    <row r="117" spans="1:6" x14ac:dyDescent="0.25">
      <c r="A117" s="99" t="s">
        <v>576</v>
      </c>
      <c r="B117" s="49">
        <v>24611073</v>
      </c>
      <c r="C117" s="49">
        <v>12892800</v>
      </c>
      <c r="D117" s="49">
        <v>6424650.29952225</v>
      </c>
      <c r="E117" s="50">
        <f>VLOOKUP($A117,'Data shares'!$C:$FA,154)*100</f>
        <v>52.81</v>
      </c>
      <c r="F117" s="173">
        <f>C117/B117</f>
        <v>0.52386175929834511</v>
      </c>
    </row>
    <row r="118" spans="1:6" x14ac:dyDescent="0.25">
      <c r="A118" s="99" t="s">
        <v>535</v>
      </c>
      <c r="B118" s="49">
        <v>58713729</v>
      </c>
      <c r="C118" s="49">
        <v>27062300</v>
      </c>
      <c r="D118" s="49">
        <v>15405837.155994499</v>
      </c>
      <c r="E118" s="50">
        <f>VLOOKUP($A118,'Data shares'!$C:$FA,154)*100</f>
        <v>46.949999999999996</v>
      </c>
      <c r="F118" s="173">
        <f>C118/B118</f>
        <v>0.46091945548203894</v>
      </c>
    </row>
    <row r="119" spans="1:6" x14ac:dyDescent="0.25">
      <c r="A119" s="99" t="s">
        <v>248</v>
      </c>
      <c r="B119" s="49">
        <v>45183075</v>
      </c>
      <c r="C119" s="49">
        <v>42871000</v>
      </c>
      <c r="D119" s="49">
        <v>30339865.560059998</v>
      </c>
      <c r="E119" s="50">
        <f>VLOOKUP($A119,'Data shares'!$C:$FA,154)*100</f>
        <v>95.8</v>
      </c>
      <c r="F119" s="173">
        <f>C119/B119</f>
        <v>0.94882873730926898</v>
      </c>
    </row>
    <row r="120" spans="1:6" x14ac:dyDescent="0.25">
      <c r="A120" s="99" t="s">
        <v>606</v>
      </c>
      <c r="B120" s="49">
        <v>33206238</v>
      </c>
      <c r="C120" s="49">
        <v>21760200</v>
      </c>
      <c r="D120" s="49">
        <v>8065922.0585439997</v>
      </c>
      <c r="E120" s="50">
        <f>VLOOKUP($A120,'Data shares'!$C:$FA,154)*100</f>
        <v>67.06</v>
      </c>
      <c r="F120" s="173">
        <f>C120/B120</f>
        <v>0.6553045846385851</v>
      </c>
    </row>
    <row r="121" spans="1:6" x14ac:dyDescent="0.25">
      <c r="A121" s="99" t="s">
        <v>587</v>
      </c>
      <c r="B121" s="49">
        <v>42165698</v>
      </c>
      <c r="C121" s="49">
        <v>29980350</v>
      </c>
      <c r="D121" s="49">
        <v>17437347.488502</v>
      </c>
      <c r="E121" s="50">
        <f>VLOOKUP($A121,'Data shares'!$C:$FA,154)*100</f>
        <v>71.61</v>
      </c>
      <c r="F121" s="173">
        <f>C121/B121</f>
        <v>0.71101277630931192</v>
      </c>
    </row>
    <row r="122" spans="1:6" x14ac:dyDescent="0.25">
      <c r="A122" s="99" t="s">
        <v>249</v>
      </c>
      <c r="B122" s="49">
        <v>136099497</v>
      </c>
      <c r="C122" s="49">
        <v>32150125</v>
      </c>
      <c r="D122" s="49">
        <v>15319036.904962</v>
      </c>
      <c r="E122" s="50">
        <f>VLOOKUP($A122,'Data shares'!$C:$FA,154)*100</f>
        <v>24.16</v>
      </c>
      <c r="F122" s="173">
        <f>C122/B122</f>
        <v>0.23622515665873475</v>
      </c>
    </row>
    <row r="123" spans="1:6" x14ac:dyDescent="0.25">
      <c r="A123" s="99" t="s">
        <v>564</v>
      </c>
      <c r="B123" s="49">
        <v>127514625</v>
      </c>
      <c r="C123" s="49">
        <v>84485250</v>
      </c>
      <c r="D123" s="49">
        <v>37386140.6025225</v>
      </c>
      <c r="E123" s="50">
        <f>VLOOKUP($A123,'Data shares'!$C:$FA,154)*100</f>
        <v>67.72</v>
      </c>
      <c r="F123" s="173">
        <f>C123/B123</f>
        <v>0.66255341299086279</v>
      </c>
    </row>
    <row r="124" spans="1:6" x14ac:dyDescent="0.25">
      <c r="A124" s="99" t="s">
        <v>692</v>
      </c>
      <c r="B124" s="49">
        <v>12564965</v>
      </c>
      <c r="C124" s="49">
        <v>6813150</v>
      </c>
      <c r="D124" s="49">
        <v>3478764.8962395</v>
      </c>
      <c r="E124" s="50">
        <f>VLOOKUP($A124,'Data shares'!$C:$FA,154)*100</f>
        <v>55.34</v>
      </c>
      <c r="F124" s="173">
        <f>C124/B124</f>
        <v>0.542233901964709</v>
      </c>
    </row>
    <row r="125" spans="1:6" x14ac:dyDescent="0.25">
      <c r="A125" s="99" t="s">
        <v>250</v>
      </c>
      <c r="B125" s="49">
        <v>32222448</v>
      </c>
      <c r="C125" s="49">
        <v>10671750</v>
      </c>
      <c r="D125" s="49">
        <v>6528779.2905059997</v>
      </c>
      <c r="E125" s="50">
        <f>VLOOKUP($A125,'Data shares'!$C:$FA,154)*100</f>
        <v>33.61</v>
      </c>
      <c r="F125" s="173">
        <f>C125/B125</f>
        <v>0.33118992076579656</v>
      </c>
    </row>
    <row r="126" spans="1:6" x14ac:dyDescent="0.25">
      <c r="A126" s="99" t="s">
        <v>251</v>
      </c>
      <c r="B126" s="49">
        <v>120808308</v>
      </c>
      <c r="C126" s="49">
        <v>28389400</v>
      </c>
      <c r="D126" s="49">
        <v>19871764.485320002</v>
      </c>
      <c r="E126" s="50">
        <f>VLOOKUP($A126,'Data shares'!$C:$FA,154)*100</f>
        <v>23.82</v>
      </c>
      <c r="F126" s="173">
        <f>C126/B126</f>
        <v>0.23499542763234463</v>
      </c>
    </row>
    <row r="127" spans="1:6" x14ac:dyDescent="0.25">
      <c r="A127" s="99" t="s">
        <v>253</v>
      </c>
      <c r="B127" s="49">
        <v>82205057</v>
      </c>
      <c r="C127" s="49">
        <v>82545000</v>
      </c>
      <c r="D127" s="49">
        <v>50157567.012510002</v>
      </c>
      <c r="E127" s="50">
        <f>VLOOKUP($A127,'Data shares'!$C:$FA,154)*100</f>
        <v>101.73</v>
      </c>
      <c r="F127" s="173">
        <f>C127/B127</f>
        <v>1.0041353052039121</v>
      </c>
    </row>
    <row r="128" spans="1:6" x14ac:dyDescent="0.25">
      <c r="A128" s="99" t="s">
        <v>670</v>
      </c>
      <c r="B128" s="49">
        <v>16926669</v>
      </c>
      <c r="C128" s="49">
        <v>4028400</v>
      </c>
      <c r="D128" s="49">
        <v>2862093.5695462502</v>
      </c>
      <c r="E128" s="50">
        <f>VLOOKUP($A128,'Data shares'!$C:$FA,154)*100</f>
        <v>23.96</v>
      </c>
      <c r="F128" s="173">
        <f>C128/B128</f>
        <v>0.23799130236433405</v>
      </c>
    </row>
    <row r="129" spans="1:6" x14ac:dyDescent="0.25">
      <c r="A129" s="99" t="s">
        <v>254</v>
      </c>
      <c r="B129" s="49">
        <v>77572761</v>
      </c>
      <c r="C129" s="49">
        <v>33104400</v>
      </c>
      <c r="D129" s="49">
        <v>24452002.351248</v>
      </c>
      <c r="E129" s="50">
        <f>VLOOKUP($A129,'Data shares'!$C:$FA,154)*100</f>
        <v>43.08</v>
      </c>
      <c r="F129" s="173">
        <f>C129/B129</f>
        <v>0.42675289074730755</v>
      </c>
    </row>
    <row r="130" spans="1:6" x14ac:dyDescent="0.25">
      <c r="A130" s="99" t="s">
        <v>255</v>
      </c>
      <c r="B130" s="49">
        <v>19673414</v>
      </c>
      <c r="C130" s="49">
        <v>6711850</v>
      </c>
      <c r="D130" s="49">
        <v>3533064.3912530001</v>
      </c>
      <c r="E130" s="50">
        <f>VLOOKUP($A130,'Data shares'!$C:$FA,154)*100</f>
        <v>34.83</v>
      </c>
      <c r="F130" s="173">
        <f>C130/B130</f>
        <v>0.34116346049546864</v>
      </c>
    </row>
    <row r="131" spans="1:6" x14ac:dyDescent="0.25">
      <c r="A131" s="99" t="s">
        <v>602</v>
      </c>
      <c r="B131" s="49">
        <v>111298748</v>
      </c>
      <c r="C131" s="49">
        <v>20775300</v>
      </c>
      <c r="D131" s="49">
        <v>14458710.833322</v>
      </c>
      <c r="E131" s="50">
        <f>VLOOKUP($A131,'Data shares'!$C:$FA,154)*100</f>
        <v>18.850000000000001</v>
      </c>
      <c r="F131" s="173">
        <f>C131/B131</f>
        <v>0.18666247710171907</v>
      </c>
    </row>
    <row r="132" spans="1:6" x14ac:dyDescent="0.25">
      <c r="A132" s="99" t="s">
        <v>671</v>
      </c>
      <c r="B132" s="49">
        <v>11364224</v>
      </c>
      <c r="C132" s="49">
        <v>11609400</v>
      </c>
      <c r="D132" s="49">
        <v>4373085.9519880004</v>
      </c>
      <c r="E132" s="50">
        <f>VLOOKUP($A132,'Data shares'!$C:$FA,154)*100</f>
        <v>103.50999999999999</v>
      </c>
      <c r="F132" s="173">
        <f>C132/B132</f>
        <v>1.0215743723460573</v>
      </c>
    </row>
    <row r="133" spans="1:6" x14ac:dyDescent="0.25">
      <c r="A133" s="99" t="s">
        <v>517</v>
      </c>
      <c r="B133" s="49">
        <v>38177113</v>
      </c>
      <c r="C133" s="49">
        <v>29000000</v>
      </c>
      <c r="D133" s="49">
        <v>13854304.2403375</v>
      </c>
      <c r="E133" s="50">
        <f>VLOOKUP($A133,'Data shares'!$C:$FA,154)*100</f>
        <v>78.88</v>
      </c>
      <c r="F133" s="173">
        <f>C133/B133</f>
        <v>0.75961741790166271</v>
      </c>
    </row>
    <row r="134" spans="1:6" x14ac:dyDescent="0.25">
      <c r="A134" s="99" t="s">
        <v>257</v>
      </c>
      <c r="B134" s="49">
        <v>35051266</v>
      </c>
      <c r="C134" s="49">
        <v>10734400</v>
      </c>
      <c r="D134" s="49">
        <v>9090668.7843600009</v>
      </c>
      <c r="E134" s="50">
        <f>VLOOKUP($A134,'Data shares'!$C:$FA,154)*100</f>
        <v>30.69</v>
      </c>
      <c r="F134" s="173">
        <f>C134/B134</f>
        <v>0.30624856745545226</v>
      </c>
    </row>
    <row r="135" spans="1:6" x14ac:dyDescent="0.25">
      <c r="A135" s="99" t="s">
        <v>558</v>
      </c>
      <c r="B135" s="49">
        <v>588447385</v>
      </c>
      <c r="C135" s="49">
        <v>204579750</v>
      </c>
      <c r="D135" s="49">
        <v>127850800.23173399</v>
      </c>
      <c r="E135" s="50">
        <f>VLOOKUP($A135,'Data shares'!$C:$FA,154)*100</f>
        <v>35.089999999999996</v>
      </c>
      <c r="F135" s="173">
        <f>C135/B135</f>
        <v>0.34766022454157053</v>
      </c>
    </row>
    <row r="136" spans="1:6" x14ac:dyDescent="0.25">
      <c r="A136" s="99" t="s">
        <v>698</v>
      </c>
      <c r="B136" s="49">
        <v>29196111</v>
      </c>
      <c r="C136" s="49">
        <v>6091500</v>
      </c>
      <c r="D136" s="49">
        <v>2790327.8642692501</v>
      </c>
      <c r="E136" s="50"/>
      <c r="F136" s="173">
        <f>C136/B136</f>
        <v>0.20864080150948872</v>
      </c>
    </row>
    <row r="137" spans="1:6" x14ac:dyDescent="0.25">
      <c r="A137" s="99" t="s">
        <v>487</v>
      </c>
      <c r="B137" s="49">
        <v>19838356</v>
      </c>
      <c r="C137" s="49">
        <v>6737775</v>
      </c>
      <c r="D137" s="49">
        <v>4573847.2061617495</v>
      </c>
      <c r="E137" s="50">
        <f>VLOOKUP($A137,'Data shares'!$C:$FA,154)*100</f>
        <v>34.160000000000004</v>
      </c>
      <c r="F137" s="173">
        <f>C137/B137</f>
        <v>0.33963373779561168</v>
      </c>
    </row>
    <row r="138" spans="1:6" x14ac:dyDescent="0.25">
      <c r="A138" s="99" t="s">
        <v>262</v>
      </c>
      <c r="B138" s="49">
        <v>16050690</v>
      </c>
      <c r="C138" s="49">
        <v>7433250</v>
      </c>
      <c r="D138" s="49">
        <v>3730176.7382027502</v>
      </c>
      <c r="E138" s="50">
        <f>VLOOKUP($A138,'Data shares'!$C:$FA,154)*100</f>
        <v>47.69</v>
      </c>
      <c r="F138" s="173">
        <f>C138/B138</f>
        <v>0.46311093167957268</v>
      </c>
    </row>
    <row r="139" spans="1:6" x14ac:dyDescent="0.25">
      <c r="A139" s="99" t="s">
        <v>486</v>
      </c>
      <c r="B139" s="49">
        <v>26709548</v>
      </c>
      <c r="C139" s="49">
        <v>4428125</v>
      </c>
      <c r="D139" s="49">
        <v>2842673.6437375001</v>
      </c>
      <c r="E139" s="50">
        <f>VLOOKUP($A139,'Data shares'!$C:$FA,154)*100</f>
        <v>17.2</v>
      </c>
      <c r="F139" s="173">
        <f>C139/B139</f>
        <v>0.16578809195872576</v>
      </c>
    </row>
    <row r="140" spans="1:6" x14ac:dyDescent="0.25">
      <c r="A140" s="99" t="s">
        <v>263</v>
      </c>
      <c r="B140" s="49">
        <v>134225816</v>
      </c>
      <c r="C140" s="49">
        <v>122257500</v>
      </c>
      <c r="D140" s="49">
        <v>54145920.279899999</v>
      </c>
      <c r="E140" s="50">
        <f>VLOOKUP($A140,'Data shares'!$C:$FA,154)*100</f>
        <v>92.64</v>
      </c>
      <c r="F140" s="173">
        <f>C140/B140</f>
        <v>0.91083447017375552</v>
      </c>
    </row>
    <row r="141" spans="1:6" x14ac:dyDescent="0.25">
      <c r="A141" s="99" t="s">
        <v>264</v>
      </c>
      <c r="B141" s="49">
        <v>60562281</v>
      </c>
      <c r="C141" s="49">
        <v>15001500</v>
      </c>
      <c r="D141" s="49">
        <v>9872855.1619875003</v>
      </c>
      <c r="E141" s="50">
        <f>VLOOKUP($A141,'Data shares'!$C:$FA,154)*100</f>
        <v>25.019999999999996</v>
      </c>
      <c r="F141" s="173">
        <f>C141/B141</f>
        <v>0.24770368209876376</v>
      </c>
    </row>
    <row r="142" spans="1:6" x14ac:dyDescent="0.25">
      <c r="A142" s="99" t="s">
        <v>550</v>
      </c>
      <c r="B142" s="49">
        <v>154894704</v>
      </c>
      <c r="C142" s="49">
        <v>112411000</v>
      </c>
      <c r="D142" s="49">
        <v>70383483.595100001</v>
      </c>
      <c r="E142" s="50">
        <f>VLOOKUP($A142,'Data shares'!$C:$FA,154)*100</f>
        <v>73.150000000000006</v>
      </c>
      <c r="F142" s="173">
        <f>C142/B142</f>
        <v>0.72572526430600237</v>
      </c>
    </row>
    <row r="143" spans="1:6" x14ac:dyDescent="0.25">
      <c r="A143" s="99" t="s">
        <v>265</v>
      </c>
      <c r="B143" s="49">
        <v>71801274</v>
      </c>
      <c r="C143" s="49">
        <v>26312000</v>
      </c>
      <c r="D143" s="49">
        <v>19224225.525699999</v>
      </c>
      <c r="E143" s="50">
        <f>VLOOKUP($A143,'Data shares'!$C:$FA,154)*100</f>
        <v>36.909999999999997</v>
      </c>
      <c r="F143" s="173">
        <f>C143/B143</f>
        <v>0.36645589324779948</v>
      </c>
    </row>
    <row r="144" spans="1:6" x14ac:dyDescent="0.25">
      <c r="A144" s="99" t="s">
        <v>584</v>
      </c>
      <c r="B144" s="49">
        <v>491233252</v>
      </c>
      <c r="C144" s="49">
        <v>151212800</v>
      </c>
      <c r="D144" s="49">
        <v>77576936.773568004</v>
      </c>
      <c r="E144" s="50">
        <f>VLOOKUP($A144,'Data shares'!$C:$FA,154)*100</f>
        <v>31.16</v>
      </c>
      <c r="F144" s="173">
        <f>C144/B144</f>
        <v>0.30782281000798373</v>
      </c>
    </row>
    <row r="145" spans="1:6" x14ac:dyDescent="0.25">
      <c r="A145" s="99" t="s">
        <v>267</v>
      </c>
      <c r="B145" s="49">
        <v>517037525</v>
      </c>
      <c r="C145" s="49">
        <v>450636750</v>
      </c>
      <c r="D145" s="49">
        <v>281005243.92272198</v>
      </c>
      <c r="E145" s="50">
        <f>VLOOKUP($A145,'Data shares'!$C:$FA,154)*100</f>
        <v>88.06</v>
      </c>
      <c r="F145" s="173">
        <f>C145/B145</f>
        <v>0.87157455351040525</v>
      </c>
    </row>
    <row r="146" spans="1:6" x14ac:dyDescent="0.25">
      <c r="A146" s="99" t="s">
        <v>268</v>
      </c>
      <c r="B146" s="49">
        <v>550512361</v>
      </c>
      <c r="C146" s="49">
        <v>204219000</v>
      </c>
      <c r="D146" s="49">
        <v>104571182.40454499</v>
      </c>
      <c r="E146" s="50">
        <f>VLOOKUP($A146,'Data shares'!$C:$FA,154)*100</f>
        <v>37.99</v>
      </c>
      <c r="F146" s="173">
        <f>C146/B146</f>
        <v>0.37096169762480591</v>
      </c>
    </row>
    <row r="147" spans="1:6" x14ac:dyDescent="0.25">
      <c r="A147" s="99" t="s">
        <v>683</v>
      </c>
      <c r="B147" s="49">
        <v>12490416</v>
      </c>
      <c r="C147" s="49">
        <v>3767500</v>
      </c>
      <c r="D147" s="49">
        <v>1714264.0937600001</v>
      </c>
      <c r="E147" s="50"/>
      <c r="F147" s="173">
        <f>C147/B147</f>
        <v>0.30163126672482327</v>
      </c>
    </row>
    <row r="148" spans="1:6" x14ac:dyDescent="0.25">
      <c r="A148" s="99" t="s">
        <v>612</v>
      </c>
      <c r="B148" s="49">
        <v>205669742</v>
      </c>
      <c r="C148" s="49">
        <v>61243750</v>
      </c>
      <c r="D148" s="49">
        <v>44275570.815062501</v>
      </c>
      <c r="E148" s="50">
        <f>VLOOKUP($A148,'Data shares'!$C:$FA,154)*100</f>
        <v>29.970000000000002</v>
      </c>
      <c r="F148" s="173">
        <f>C148/B148</f>
        <v>0.29777715187681814</v>
      </c>
    </row>
    <row r="149" spans="1:6" x14ac:dyDescent="0.25">
      <c r="A149" s="99" t="s">
        <v>528</v>
      </c>
      <c r="B149" s="49">
        <v>17614093</v>
      </c>
      <c r="C149" s="49">
        <v>11847500</v>
      </c>
      <c r="D149" s="49">
        <v>8141451.9164089998</v>
      </c>
      <c r="E149" s="50">
        <f>VLOOKUP($A149,'Data shares'!$C:$FA,154)*100</f>
        <v>68.650000000000006</v>
      </c>
      <c r="F149" s="173">
        <f>C149/B149</f>
        <v>0.67261482041681053</v>
      </c>
    </row>
    <row r="150" spans="1:6" x14ac:dyDescent="0.25">
      <c r="A150" s="99" t="s">
        <v>518</v>
      </c>
      <c r="B150" s="49">
        <v>3594855</v>
      </c>
      <c r="C150" s="49">
        <v>2685525</v>
      </c>
      <c r="D150" s="49">
        <v>1396798.4481277501</v>
      </c>
      <c r="E150" s="50">
        <f>VLOOKUP($A150,'Data shares'!$C:$FA,154)*100</f>
        <v>76.59</v>
      </c>
      <c r="F150" s="173">
        <f>C150/B150</f>
        <v>0.7470468210817961</v>
      </c>
    </row>
    <row r="151" spans="1:6" x14ac:dyDescent="0.25">
      <c r="A151" s="99" t="s">
        <v>586</v>
      </c>
      <c r="B151" s="49">
        <v>105756420</v>
      </c>
      <c r="C151" s="49">
        <v>34962200</v>
      </c>
      <c r="D151" s="49">
        <v>19525778.143367998</v>
      </c>
      <c r="E151" s="50">
        <f>VLOOKUP($A151,'Data shares'!$C:$FA,154)*100</f>
        <v>33.47</v>
      </c>
      <c r="F151" s="173">
        <f>C151/B151</f>
        <v>0.33059175036371313</v>
      </c>
    </row>
    <row r="152" spans="1:6" x14ac:dyDescent="0.25">
      <c r="A152" s="99" t="s">
        <v>269</v>
      </c>
      <c r="B152" s="49">
        <v>711370982</v>
      </c>
      <c r="C152" s="49">
        <v>226696500</v>
      </c>
      <c r="D152" s="49">
        <v>104068478.61405</v>
      </c>
      <c r="E152" s="50">
        <f>VLOOKUP($A152,'Data shares'!$C:$FA,154)*100</f>
        <v>32.229999999999997</v>
      </c>
      <c r="F152" s="173">
        <f>C152/B152</f>
        <v>0.31867549525656641</v>
      </c>
    </row>
    <row r="153" spans="1:6" x14ac:dyDescent="0.25">
      <c r="A153" s="99" t="s">
        <v>270</v>
      </c>
      <c r="B153" s="49">
        <v>955549</v>
      </c>
      <c r="C153" s="49">
        <v>503925</v>
      </c>
      <c r="D153" s="49">
        <v>342820.79033895</v>
      </c>
      <c r="E153" s="50">
        <f>VLOOKUP($A153,'Data shares'!$C:$FA,154)*100</f>
        <v>53.080000000000005</v>
      </c>
      <c r="F153" s="173">
        <f>C153/B153</f>
        <v>0.52736699007586219</v>
      </c>
    </row>
    <row r="154" spans="1:6" x14ac:dyDescent="0.25">
      <c r="A154" s="99" t="s">
        <v>664</v>
      </c>
      <c r="B154" s="49">
        <v>51786533</v>
      </c>
      <c r="C154" s="49">
        <v>43061400</v>
      </c>
      <c r="D154" s="49">
        <v>21250604.645424001</v>
      </c>
      <c r="E154" s="50">
        <f>VLOOKUP($A154,'Data shares'!$C:$FA,154)*100</f>
        <v>84.61</v>
      </c>
      <c r="F154" s="173">
        <f>C154/B154</f>
        <v>0.83151733675625672</v>
      </c>
    </row>
    <row r="155" spans="1:6" x14ac:dyDescent="0.25">
      <c r="A155" s="99" t="s">
        <v>574</v>
      </c>
      <c r="B155" s="49">
        <v>95930888</v>
      </c>
      <c r="C155" s="49">
        <v>27702975</v>
      </c>
      <c r="D155" s="49">
        <v>14114240.36469</v>
      </c>
      <c r="E155" s="50">
        <f>VLOOKUP($A155,'Data shares'!$C:$FA,154)*100</f>
        <v>29.48</v>
      </c>
      <c r="F155" s="173">
        <f>C155/B155</f>
        <v>0.28878055418396625</v>
      </c>
    </row>
    <row r="156" spans="1:6" x14ac:dyDescent="0.25">
      <c r="A156" s="99" t="s">
        <v>529</v>
      </c>
      <c r="B156" s="49">
        <v>16286398</v>
      </c>
      <c r="C156" s="49">
        <v>8276700</v>
      </c>
      <c r="D156" s="49">
        <v>4538430.3231429998</v>
      </c>
      <c r="E156" s="50">
        <f>VLOOKUP($A156,'Data shares'!$C:$FA,154)*100</f>
        <v>52.55</v>
      </c>
      <c r="F156" s="173">
        <f>C156/B156</f>
        <v>0.50819708569077093</v>
      </c>
    </row>
    <row r="157" spans="1:6" x14ac:dyDescent="0.25">
      <c r="A157" s="99" t="s">
        <v>272</v>
      </c>
      <c r="B157" s="49">
        <v>112500013</v>
      </c>
      <c r="C157" s="49">
        <v>59941200</v>
      </c>
      <c r="D157" s="49">
        <v>30452318.496596001</v>
      </c>
      <c r="E157" s="50">
        <f>VLOOKUP($A157,'Data shares'!$C:$FA,154)*100</f>
        <v>53.92</v>
      </c>
      <c r="F157" s="173">
        <f>C157/B157</f>
        <v>0.53281060509744116</v>
      </c>
    </row>
    <row r="158" spans="1:6" x14ac:dyDescent="0.25">
      <c r="A158" s="99" t="s">
        <v>273</v>
      </c>
      <c r="B158" s="49">
        <v>217835555</v>
      </c>
      <c r="C158" s="49">
        <v>107370900</v>
      </c>
      <c r="D158" s="49">
        <v>58216276.044095002</v>
      </c>
      <c r="E158" s="50">
        <f>VLOOKUP($A158,'Data shares'!$C:$FA,154)*100</f>
        <v>50.27</v>
      </c>
      <c r="F158" s="173">
        <f>C158/B158</f>
        <v>0.49289887502524554</v>
      </c>
    </row>
    <row r="159" spans="1:6" x14ac:dyDescent="0.25">
      <c r="A159" s="99" t="s">
        <v>678</v>
      </c>
      <c r="B159" s="49">
        <v>24101986</v>
      </c>
      <c r="C159" s="49">
        <v>33306050</v>
      </c>
      <c r="D159" s="49">
        <v>12713736.392426001</v>
      </c>
      <c r="E159" s="50">
        <f>VLOOKUP($A159,'Data shares'!$C:$FA,154)*100</f>
        <v>141.84</v>
      </c>
      <c r="F159" s="173">
        <f>C159/B159</f>
        <v>1.3818798998555555</v>
      </c>
    </row>
    <row r="160" spans="1:6" x14ac:dyDescent="0.25">
      <c r="A160" s="99" t="s">
        <v>644</v>
      </c>
      <c r="B160" s="49">
        <v>21502901</v>
      </c>
      <c r="C160" s="49">
        <v>5184550</v>
      </c>
      <c r="D160" s="49">
        <v>3650571.7473610002</v>
      </c>
      <c r="E160" s="50">
        <f>VLOOKUP($A160,'Data shares'!$C:$FA,154)*100</f>
        <v>24.34</v>
      </c>
      <c r="F160" s="173">
        <f>C160/B160</f>
        <v>0.24110932752748107</v>
      </c>
    </row>
    <row r="161" spans="1:6" x14ac:dyDescent="0.25">
      <c r="A161" s="99" t="s">
        <v>274</v>
      </c>
      <c r="B161" s="49">
        <v>31214205</v>
      </c>
      <c r="C161" s="49">
        <v>11311500</v>
      </c>
      <c r="D161" s="49">
        <v>8254019.7093000002</v>
      </c>
      <c r="E161" s="50">
        <f>VLOOKUP($A161,'Data shares'!$C:$FA,154)*100</f>
        <v>36.449999999999996</v>
      </c>
      <c r="F161" s="173">
        <f>C161/B161</f>
        <v>0.36238308808441544</v>
      </c>
    </row>
    <row r="162" spans="1:6" x14ac:dyDescent="0.25">
      <c r="A162" s="99" t="s">
        <v>483</v>
      </c>
      <c r="B162" s="49">
        <v>8178275</v>
      </c>
      <c r="C162" s="49">
        <v>4131050</v>
      </c>
      <c r="D162" s="49">
        <v>2499921.8051972501</v>
      </c>
      <c r="E162" s="50">
        <f>VLOOKUP($A162,'Data shares'!$C:$FA,154)*100</f>
        <v>50.749999999999993</v>
      </c>
      <c r="F162" s="173">
        <f>C162/B162</f>
        <v>0.50512485823721998</v>
      </c>
    </row>
    <row r="163" spans="1:6" x14ac:dyDescent="0.25">
      <c r="A163" s="99" t="s">
        <v>275</v>
      </c>
      <c r="B163" s="49">
        <v>515822637</v>
      </c>
      <c r="C163" s="49">
        <v>417136000</v>
      </c>
      <c r="D163" s="49">
        <v>250990523.02824</v>
      </c>
      <c r="E163" s="50">
        <f>VLOOKUP($A163,'Data shares'!$C:$FA,154)*100</f>
        <v>81.81</v>
      </c>
      <c r="F163" s="173">
        <f>C163/B163</f>
        <v>0.80868106608512413</v>
      </c>
    </row>
    <row r="164" spans="1:6" x14ac:dyDescent="0.25">
      <c r="A164" s="99" t="s">
        <v>668</v>
      </c>
      <c r="B164" s="49">
        <v>28118603</v>
      </c>
      <c r="C164" s="49">
        <v>22698000</v>
      </c>
      <c r="D164" s="49">
        <v>13703713.106642</v>
      </c>
      <c r="E164" s="50">
        <f>VLOOKUP($A164,'Data shares'!$C:$FA,154)*100</f>
        <v>81.789999999999992</v>
      </c>
      <c r="F164" s="173">
        <f>C164/B164</f>
        <v>0.80722360211138511</v>
      </c>
    </row>
    <row r="165" spans="1:6" x14ac:dyDescent="0.25">
      <c r="A165" s="99" t="s">
        <v>572</v>
      </c>
      <c r="B165" s="49">
        <v>69300607</v>
      </c>
      <c r="C165" s="49">
        <v>11295550</v>
      </c>
      <c r="D165" s="49">
        <v>7274409.5220860001</v>
      </c>
      <c r="E165" s="50">
        <f>VLOOKUP($A165,'Data shares'!$C:$FA,154)*100</f>
        <v>16.54</v>
      </c>
      <c r="F165" s="173">
        <f>C165/B165</f>
        <v>0.16299352183163418</v>
      </c>
    </row>
    <row r="166" spans="1:6" x14ac:dyDescent="0.25">
      <c r="A166" s="99" t="s">
        <v>519</v>
      </c>
      <c r="B166" s="49">
        <v>8693344</v>
      </c>
      <c r="C166" s="49">
        <v>4048500</v>
      </c>
      <c r="D166" s="49">
        <v>1864104.7895849999</v>
      </c>
      <c r="E166" s="50">
        <f>VLOOKUP($A166,'Data shares'!$C:$FA,154)*100</f>
        <v>47.699999999999996</v>
      </c>
      <c r="F166" s="173">
        <f>C166/B166</f>
        <v>0.46570111570415251</v>
      </c>
    </row>
    <row r="167" spans="1:6" x14ac:dyDescent="0.25">
      <c r="A167" s="99" t="s">
        <v>276</v>
      </c>
      <c r="B167" s="49">
        <v>660840864</v>
      </c>
      <c r="C167" s="49">
        <v>141489200</v>
      </c>
      <c r="D167" s="49">
        <v>82762371.110620007</v>
      </c>
      <c r="E167" s="50">
        <f>VLOOKUP($A167,'Data shares'!$C:$FA,154)*100</f>
        <v>21.759999999999998</v>
      </c>
      <c r="F167" s="173">
        <f>C167/B167</f>
        <v>0.21410479845871033</v>
      </c>
    </row>
    <row r="168" spans="1:6" x14ac:dyDescent="0.25">
      <c r="A168" s="99" t="s">
        <v>685</v>
      </c>
      <c r="B168" s="49">
        <v>1917916</v>
      </c>
      <c r="C168" s="49">
        <v>965400</v>
      </c>
      <c r="D168" s="49">
        <v>406764.957734</v>
      </c>
      <c r="E168" s="50">
        <f>VLOOKUP($A168,'Data shares'!$C:$FA,154)*100</f>
        <v>51.66</v>
      </c>
      <c r="F168" s="173">
        <f>C168/B168</f>
        <v>0.50335885408954306</v>
      </c>
    </row>
    <row r="169" spans="1:6" x14ac:dyDescent="0.25">
      <c r="A169" s="99" t="s">
        <v>676</v>
      </c>
      <c r="B169" s="49">
        <v>92833839</v>
      </c>
      <c r="C169" s="49">
        <v>19548375</v>
      </c>
      <c r="D169" s="49">
        <v>8560138.2193425</v>
      </c>
      <c r="E169" s="50">
        <f>VLOOKUP($A169,'Data shares'!$C:$FA,154)*100</f>
        <v>21.279999999999998</v>
      </c>
      <c r="F169" s="173">
        <f>C169/B169</f>
        <v>0.21057380811322474</v>
      </c>
    </row>
    <row r="170" spans="1:6" x14ac:dyDescent="0.25">
      <c r="A170" s="99" t="s">
        <v>688</v>
      </c>
      <c r="B170" s="49">
        <v>23961540</v>
      </c>
      <c r="C170" s="49">
        <v>17710000</v>
      </c>
      <c r="D170" s="49">
        <v>8362923.1539082499</v>
      </c>
      <c r="E170" s="50">
        <f>VLOOKUP($A170,'Data shares'!$C:$FA,154)*100</f>
        <v>75.77000000000001</v>
      </c>
      <c r="F170" s="173">
        <f>C170/B170</f>
        <v>0.73910107614118292</v>
      </c>
    </row>
    <row r="171" spans="1:6" x14ac:dyDescent="0.25">
      <c r="A171" s="99" t="s">
        <v>604</v>
      </c>
      <c r="B171" s="49">
        <v>25234534</v>
      </c>
      <c r="C171" s="49">
        <v>10140300</v>
      </c>
      <c r="D171" s="49">
        <v>6457554.5934464997</v>
      </c>
      <c r="E171" s="50">
        <f>VLOOKUP($A171,'Data shares'!$C:$FA,154)*100</f>
        <v>40.54</v>
      </c>
      <c r="F171" s="173">
        <f>C171/B171</f>
        <v>0.4018421739034293</v>
      </c>
    </row>
    <row r="172" spans="1:6" x14ac:dyDescent="0.25">
      <c r="A172" s="99" t="s">
        <v>279</v>
      </c>
      <c r="B172" s="49">
        <v>92573471</v>
      </c>
      <c r="C172" s="49">
        <v>113407825</v>
      </c>
      <c r="D172" s="49">
        <v>48465039.261371002</v>
      </c>
      <c r="E172" s="50">
        <f>VLOOKUP($A172,'Data shares'!$C:$FA,154)*100</f>
        <v>124.88</v>
      </c>
      <c r="F172" s="173">
        <f>C172/B172</f>
        <v>1.2250575005446214</v>
      </c>
    </row>
    <row r="173" spans="1:6" x14ac:dyDescent="0.25">
      <c r="A173" s="99" t="s">
        <v>280</v>
      </c>
      <c r="B173" s="49">
        <v>187084550</v>
      </c>
      <c r="C173" s="49">
        <v>118466600</v>
      </c>
      <c r="D173" s="49">
        <v>61456950.436811998</v>
      </c>
      <c r="E173" s="50">
        <f>VLOOKUP($A173,'Data shares'!$C:$FA,154)*100</f>
        <v>64.23</v>
      </c>
      <c r="F173" s="173">
        <f>C173/B173</f>
        <v>0.63322492423880006</v>
      </c>
    </row>
    <row r="174" spans="1:6" x14ac:dyDescent="0.25">
      <c r="A174" s="99" t="s">
        <v>281</v>
      </c>
      <c r="B174" s="49">
        <v>664381721</v>
      </c>
      <c r="C174" s="49">
        <v>207714000</v>
      </c>
      <c r="D174" s="49">
        <v>105436109.346295</v>
      </c>
      <c r="E174" s="50">
        <f>VLOOKUP($A174,'Data shares'!$C:$FA,154)*100</f>
        <v>31.929999999999996</v>
      </c>
      <c r="F174" s="173">
        <f>C174/B174</f>
        <v>0.3126425568833493</v>
      </c>
    </row>
    <row r="175" spans="1:6" x14ac:dyDescent="0.25">
      <c r="A175" s="99" t="s">
        <v>673</v>
      </c>
      <c r="B175" s="49">
        <v>84941460</v>
      </c>
      <c r="C175" s="49">
        <v>105828900</v>
      </c>
      <c r="D175" s="49">
        <v>40660276.238672003</v>
      </c>
      <c r="E175" s="50">
        <f>VLOOKUP($A175,'Data shares'!$C:$FA,154)*100</f>
        <v>128.07999999999998</v>
      </c>
      <c r="F175" s="173">
        <f>C175/B175</f>
        <v>1.2459039437278332</v>
      </c>
    </row>
    <row r="176" spans="1:6" x14ac:dyDescent="0.25">
      <c r="A176" s="99" t="s">
        <v>282</v>
      </c>
      <c r="B176" s="49">
        <v>216861410</v>
      </c>
      <c r="C176" s="49">
        <v>216002600</v>
      </c>
      <c r="D176" s="49">
        <v>177579504.12962899</v>
      </c>
      <c r="E176" s="50">
        <f>VLOOKUP($A176,'Data shares'!$C:$FA,154)*100</f>
        <v>100.57000000000001</v>
      </c>
      <c r="F176" s="173">
        <f>C176/B176</f>
        <v>0.99603982100826516</v>
      </c>
    </row>
    <row r="177" spans="1:6" x14ac:dyDescent="0.25">
      <c r="A177" s="99" t="s">
        <v>684</v>
      </c>
      <c r="B177" s="49">
        <v>122372064</v>
      </c>
      <c r="C177" s="49">
        <v>128828000</v>
      </c>
      <c r="D177" s="49">
        <v>80912909.605718002</v>
      </c>
      <c r="E177" s="50">
        <f>VLOOKUP($A177,'Data shares'!$C:$FA,154)*100</f>
        <v>109.13999999999999</v>
      </c>
      <c r="F177" s="173">
        <f>C177/B177</f>
        <v>1.0527566160851876</v>
      </c>
    </row>
    <row r="178" spans="1:6" x14ac:dyDescent="0.25">
      <c r="A178" s="99" t="s">
        <v>536</v>
      </c>
      <c r="B178" s="49">
        <v>44841373</v>
      </c>
      <c r="C178" s="49">
        <v>44235200</v>
      </c>
      <c r="D178" s="49">
        <v>23050576.519591998</v>
      </c>
      <c r="E178" s="50">
        <f>VLOOKUP($A178,'Data shares'!$C:$FA,154)*100</f>
        <v>100.07999999999998</v>
      </c>
      <c r="F178" s="173">
        <f>C178/B178</f>
        <v>0.98648183676267009</v>
      </c>
    </row>
    <row r="179" spans="1:6" x14ac:dyDescent="0.25">
      <c r="A179" s="99" t="s">
        <v>462</v>
      </c>
      <c r="B179" s="49">
        <v>45527821</v>
      </c>
      <c r="C179" s="49">
        <v>16513875</v>
      </c>
      <c r="D179" s="49">
        <v>10908071.7356812</v>
      </c>
      <c r="E179" s="50">
        <f>VLOOKUP($A179,'Data shares'!$C:$FA,154)*100</f>
        <v>36.69</v>
      </c>
      <c r="F179" s="173">
        <f>C179/B179</f>
        <v>0.36272052202981558</v>
      </c>
    </row>
    <row r="180" spans="1:6" x14ac:dyDescent="0.25">
      <c r="A180" s="99" t="s">
        <v>283</v>
      </c>
      <c r="B180" s="49">
        <v>580324288</v>
      </c>
      <c r="C180" s="49">
        <v>159297000</v>
      </c>
      <c r="D180" s="49">
        <v>78752858.0291325</v>
      </c>
      <c r="E180" s="50">
        <f>VLOOKUP($A180,'Data shares'!$C:$FA,154)*100</f>
        <v>28.17</v>
      </c>
      <c r="F180" s="173">
        <f>C180/B180</f>
        <v>0.27449652426058724</v>
      </c>
    </row>
    <row r="181" spans="1:6" x14ac:dyDescent="0.25">
      <c r="A181" s="99" t="s">
        <v>284</v>
      </c>
      <c r="B181" s="49">
        <v>1655049</v>
      </c>
      <c r="C181" s="49">
        <v>505875</v>
      </c>
      <c r="D181" s="49">
        <v>329096.57070874999</v>
      </c>
      <c r="E181" s="50">
        <f>VLOOKUP($A181,'Data shares'!$C:$FA,154)*100</f>
        <v>30.759999999999998</v>
      </c>
      <c r="F181" s="173">
        <f>C181/B181</f>
        <v>0.30565560294589467</v>
      </c>
    </row>
    <row r="182" spans="1:6" x14ac:dyDescent="0.25">
      <c r="A182" s="99" t="s">
        <v>561</v>
      </c>
      <c r="B182" s="49">
        <v>210567108</v>
      </c>
      <c r="C182" s="49">
        <v>63134775</v>
      </c>
      <c r="D182" s="49">
        <v>38500421.2545067</v>
      </c>
      <c r="E182" s="50">
        <f>VLOOKUP($A182,'Data shares'!$C:$FA,154)*100</f>
        <v>30.55</v>
      </c>
      <c r="F182" s="173">
        <f>C182/B182</f>
        <v>0.29983208488573626</v>
      </c>
    </row>
    <row r="183" spans="1:6" x14ac:dyDescent="0.25">
      <c r="A183" s="99" t="s">
        <v>285</v>
      </c>
      <c r="B183" s="49">
        <v>10374894</v>
      </c>
      <c r="C183" s="49">
        <v>6192025</v>
      </c>
      <c r="D183" s="49">
        <v>3143804.4482459999</v>
      </c>
      <c r="E183" s="50">
        <f>VLOOKUP($A183,'Data shares'!$C:$FA,154)*100</f>
        <v>61.050000000000004</v>
      </c>
      <c r="F183" s="173">
        <f>C183/B183</f>
        <v>0.59682778445736406</v>
      </c>
    </row>
    <row r="184" spans="1:6" x14ac:dyDescent="0.25">
      <c r="A184" s="99" t="s">
        <v>645</v>
      </c>
      <c r="B184" s="49">
        <v>3644817</v>
      </c>
      <c r="C184" s="49">
        <v>1295350</v>
      </c>
      <c r="D184" s="49">
        <v>681280.27588750003</v>
      </c>
      <c r="E184" s="50">
        <f>VLOOKUP($A184,'Data shares'!$C:$FA,154)*100</f>
        <v>35.99</v>
      </c>
      <c r="F184" s="173">
        <f>C184/B184</f>
        <v>0.35539507196108888</v>
      </c>
    </row>
    <row r="185" spans="1:6" x14ac:dyDescent="0.25">
      <c r="A185" s="99" t="s">
        <v>613</v>
      </c>
      <c r="B185" s="49">
        <v>61283708</v>
      </c>
      <c r="C185" s="49">
        <v>21852775</v>
      </c>
      <c r="D185" s="49">
        <v>11723255.302792201</v>
      </c>
      <c r="E185" s="50">
        <f>VLOOKUP($A185,'Data shares'!$C:$FA,154)*100</f>
        <v>36</v>
      </c>
      <c r="F185" s="173">
        <f>C185/B185</f>
        <v>0.35658375958582661</v>
      </c>
    </row>
    <row r="186" spans="1:6" x14ac:dyDescent="0.25">
      <c r="A186" s="99" t="s">
        <v>286</v>
      </c>
      <c r="B186" s="49">
        <v>19721628</v>
      </c>
      <c r="C186" s="49">
        <v>7356200</v>
      </c>
      <c r="D186" s="49">
        <v>4062837.8464159998</v>
      </c>
      <c r="E186" s="50">
        <f>VLOOKUP($A186,'Data shares'!$C:$FA,154)*100</f>
        <v>38.11</v>
      </c>
      <c r="F186" s="173">
        <f>C186/B186</f>
        <v>0.37300166091764836</v>
      </c>
    </row>
    <row r="187" spans="1:6" x14ac:dyDescent="0.25">
      <c r="A187" s="99" t="s">
        <v>288</v>
      </c>
      <c r="B187" s="49">
        <v>121755902</v>
      </c>
      <c r="C187" s="49">
        <v>31682000</v>
      </c>
      <c r="D187" s="49">
        <v>19545572.0501335</v>
      </c>
      <c r="E187" s="50">
        <f>VLOOKUP($A187,'Data shares'!$C:$FA,154)*100</f>
        <v>26.72</v>
      </c>
      <c r="F187" s="173">
        <f>C187/B187</f>
        <v>0.26020915191445915</v>
      </c>
    </row>
    <row r="188" spans="1:6" x14ac:dyDescent="0.25">
      <c r="A188" s="99" t="s">
        <v>573</v>
      </c>
      <c r="B188" s="49">
        <v>9724371</v>
      </c>
      <c r="C188" s="49">
        <v>3451175</v>
      </c>
      <c r="D188" s="49">
        <v>1983915.1582144999</v>
      </c>
      <c r="E188" s="50">
        <f>VLOOKUP($A188,'Data shares'!$C:$FA,154)*100</f>
        <v>35.770000000000003</v>
      </c>
      <c r="F188" s="173">
        <f>C188/B188</f>
        <v>0.35489956111300153</v>
      </c>
    </row>
    <row r="189" spans="1:6" x14ac:dyDescent="0.25">
      <c r="A189" s="99" t="s">
        <v>682</v>
      </c>
      <c r="B189" s="49">
        <v>1815546735</v>
      </c>
      <c r="C189" s="49">
        <v>720962125</v>
      </c>
      <c r="D189" s="49">
        <v>305299428.29137999</v>
      </c>
      <c r="E189" s="50">
        <f>VLOOKUP($A189,'Data shares'!$C:$FA,154)*100</f>
        <v>41.11</v>
      </c>
      <c r="F189" s="173">
        <f>C189/B189</f>
        <v>0.39710469089081313</v>
      </c>
    </row>
    <row r="190" spans="1:6" x14ac:dyDescent="0.25">
      <c r="A190" s="99" t="s">
        <v>691</v>
      </c>
      <c r="B190" s="49">
        <v>389472858</v>
      </c>
      <c r="C190" s="49">
        <v>68567200</v>
      </c>
      <c r="D190" s="49">
        <v>49013327.408161998</v>
      </c>
      <c r="E190" s="50">
        <f>VLOOKUP($A190,'Data shares'!$C:$FA,154)*100</f>
        <v>17.91</v>
      </c>
      <c r="F190" s="173">
        <f>C190/B190</f>
        <v>0.17605129238556594</v>
      </c>
    </row>
    <row r="191" spans="1:6" x14ac:dyDescent="0.25">
      <c r="A191" s="99" t="s">
        <v>291</v>
      </c>
      <c r="B191" s="49">
        <v>65472757</v>
      </c>
      <c r="C191" s="49">
        <v>17866750</v>
      </c>
      <c r="D191" s="49">
        <v>12900543.541688001</v>
      </c>
      <c r="E191" s="50">
        <f>VLOOKUP($A191,'Data shares'!$C:$FA,154)*100</f>
        <v>27.51</v>
      </c>
      <c r="F191" s="173">
        <f>C191/B191</f>
        <v>0.2728883098660409</v>
      </c>
    </row>
    <row r="192" spans="1:6" x14ac:dyDescent="0.25">
      <c r="A192" s="99" t="s">
        <v>603</v>
      </c>
      <c r="B192" s="49">
        <v>5241946</v>
      </c>
      <c r="C192" s="49">
        <v>3328400</v>
      </c>
      <c r="D192" s="49">
        <v>1215039.081158</v>
      </c>
      <c r="E192" s="50"/>
      <c r="F192" s="173">
        <f>C192/B192</f>
        <v>0.63495503387482433</v>
      </c>
    </row>
    <row r="193" spans="1:6" x14ac:dyDescent="0.25">
      <c r="A193" s="99" t="s">
        <v>293</v>
      </c>
      <c r="B193" s="49">
        <v>169808198</v>
      </c>
      <c r="C193" s="49">
        <v>122748300</v>
      </c>
      <c r="D193" s="49">
        <v>58725109.688599497</v>
      </c>
      <c r="E193" s="50">
        <f>VLOOKUP($A193,'Data shares'!$C:$FA,154)*100</f>
        <v>73.42</v>
      </c>
      <c r="F193" s="173">
        <f>C193/B193</f>
        <v>0.72286439315491702</v>
      </c>
    </row>
    <row r="194" spans="1:6" x14ac:dyDescent="0.25">
      <c r="A194" s="99" t="s">
        <v>294</v>
      </c>
      <c r="B194" s="49">
        <v>1049350971</v>
      </c>
      <c r="C194" s="49">
        <v>390846500</v>
      </c>
      <c r="D194" s="49">
        <v>191877718.84022501</v>
      </c>
      <c r="E194" s="50">
        <f>VLOOKUP($A194,'Data shares'!$C:$FA,154)*100</f>
        <v>38.07</v>
      </c>
      <c r="F194" s="173">
        <f>C194/B194</f>
        <v>0.37246499102920255</v>
      </c>
    </row>
    <row r="195" spans="1:6" x14ac:dyDescent="0.25">
      <c r="A195" s="99" t="s">
        <v>662</v>
      </c>
      <c r="B195" s="49">
        <v>27144562</v>
      </c>
      <c r="C195" s="49">
        <v>10439200</v>
      </c>
      <c r="D195" s="49">
        <v>5288937.2926639998</v>
      </c>
      <c r="E195" s="50">
        <f>VLOOKUP($A195,'Data shares'!$C:$FA,154)*100</f>
        <v>38.92</v>
      </c>
      <c r="F195" s="173">
        <f>C195/B195</f>
        <v>0.38457794971972653</v>
      </c>
    </row>
    <row r="196" spans="1:6" x14ac:dyDescent="0.25">
      <c r="A196" s="99" t="s">
        <v>295</v>
      </c>
      <c r="B196" s="49">
        <v>153229333</v>
      </c>
      <c r="C196" s="49">
        <v>63302400</v>
      </c>
      <c r="D196" s="49">
        <v>34081624.913015701</v>
      </c>
      <c r="E196" s="50">
        <f>VLOOKUP($A196,'Data shares'!$C:$FA,154)*100</f>
        <v>41.97</v>
      </c>
      <c r="F196" s="173">
        <f>C196/B196</f>
        <v>0.41312194447782397</v>
      </c>
    </row>
    <row r="197" spans="1:6" x14ac:dyDescent="0.25">
      <c r="A197" s="99" t="s">
        <v>296</v>
      </c>
      <c r="B197" s="49">
        <v>95553300</v>
      </c>
      <c r="C197" s="49">
        <v>26781600</v>
      </c>
      <c r="D197" s="49">
        <v>17437287.668184001</v>
      </c>
      <c r="E197" s="50"/>
      <c r="F197" s="173">
        <f>C197/B197</f>
        <v>0.28027917403166608</v>
      </c>
    </row>
    <row r="198" spans="1:6" x14ac:dyDescent="0.25">
      <c r="A198" s="99" t="s">
        <v>594</v>
      </c>
      <c r="B198" s="49">
        <v>16239060</v>
      </c>
      <c r="C198" s="49">
        <v>3705600</v>
      </c>
      <c r="D198" s="49">
        <v>2625699.8765440001</v>
      </c>
      <c r="E198" s="50">
        <f>VLOOKUP($A198,'Data shares'!$C:$FA,154)*100</f>
        <v>22.919999999999998</v>
      </c>
      <c r="F198" s="173">
        <f>C198/B198</f>
        <v>0.22819054797506752</v>
      </c>
    </row>
    <row r="199" spans="1:6" x14ac:dyDescent="0.25">
      <c r="A199" s="99" t="s">
        <v>297</v>
      </c>
      <c r="B199" s="49">
        <v>41744334</v>
      </c>
      <c r="C199" s="49">
        <v>15594950</v>
      </c>
      <c r="D199" s="49">
        <v>9051545.0125450008</v>
      </c>
      <c r="E199" s="50">
        <f>VLOOKUP($A199,'Data shares'!$C:$FA,154)*100</f>
        <v>38.279999999999994</v>
      </c>
      <c r="F199" s="173">
        <f>C199/B199</f>
        <v>0.37358243636130356</v>
      </c>
    </row>
    <row r="200" spans="1:6" x14ac:dyDescent="0.25">
      <c r="A200" s="99" t="s">
        <v>687</v>
      </c>
      <c r="B200" s="49">
        <v>317244234</v>
      </c>
      <c r="C200" s="49">
        <v>122769600</v>
      </c>
      <c r="D200" s="49">
        <v>57050635.377672002</v>
      </c>
      <c r="E200" s="50">
        <f>VLOOKUP($A200,'Data shares'!$C:$FA,154)*100</f>
        <v>39.58</v>
      </c>
      <c r="F200" s="173">
        <f>C200/B200</f>
        <v>0.38698764813484365</v>
      </c>
    </row>
    <row r="201" spans="1:6" x14ac:dyDescent="0.25">
      <c r="A201" s="99" t="s">
        <v>298</v>
      </c>
      <c r="B201" s="49">
        <v>10726004</v>
      </c>
      <c r="C201" s="49">
        <v>4248000</v>
      </c>
      <c r="D201" s="49">
        <v>3065256.8224475002</v>
      </c>
      <c r="E201" s="50">
        <f>VLOOKUP($A201,'Data shares'!$C:$FA,154)*100</f>
        <v>40.65</v>
      </c>
      <c r="F201" s="173">
        <f>C201/B201</f>
        <v>0.39604684092976283</v>
      </c>
    </row>
    <row r="202" spans="1:6" x14ac:dyDescent="0.25">
      <c r="A202" s="99" t="s">
        <v>299</v>
      </c>
      <c r="B202" s="49">
        <v>24646022</v>
      </c>
      <c r="C202" s="49">
        <v>6150600</v>
      </c>
      <c r="D202" s="49">
        <v>3120790.6695544999</v>
      </c>
      <c r="E202" s="50">
        <f>VLOOKUP($A202,'Data shares'!$C:$FA,154)*100</f>
        <v>25.45</v>
      </c>
      <c r="F202" s="173">
        <f>C202/B202</f>
        <v>0.24955751479893998</v>
      </c>
    </row>
    <row r="203" spans="1:6" x14ac:dyDescent="0.25">
      <c r="A203" s="99" t="s">
        <v>482</v>
      </c>
      <c r="B203" s="49">
        <v>33590487</v>
      </c>
      <c r="C203" s="49">
        <v>13932700</v>
      </c>
      <c r="D203" s="49">
        <v>7225545.4213690003</v>
      </c>
      <c r="E203" s="50">
        <f>VLOOKUP($A203,'Data shares'!$C:$FA,154)*100</f>
        <v>42.41</v>
      </c>
      <c r="F203" s="173">
        <f>C203/B203</f>
        <v>0.41478112538231432</v>
      </c>
    </row>
    <row r="204" spans="1:6" x14ac:dyDescent="0.25">
      <c r="A204" s="99" t="s">
        <v>300</v>
      </c>
      <c r="B204" s="49">
        <v>32253708</v>
      </c>
      <c r="C204" s="49">
        <v>10804325</v>
      </c>
      <c r="D204" s="49">
        <v>8112660.4799939999</v>
      </c>
      <c r="E204" s="50">
        <f>VLOOKUP($A204,'Data shares'!$C:$FA,154)*100</f>
        <v>33.83</v>
      </c>
      <c r="F204" s="173">
        <f>C204/B204</f>
        <v>0.33497931462639891</v>
      </c>
    </row>
    <row r="205" spans="1:6" x14ac:dyDescent="0.25">
      <c r="A205" s="99" t="s">
        <v>302</v>
      </c>
      <c r="B205" s="49">
        <v>12994504</v>
      </c>
      <c r="C205" s="49">
        <v>3551800</v>
      </c>
      <c r="D205" s="49">
        <v>2441180.3124865</v>
      </c>
      <c r="E205" s="50">
        <f>VLOOKUP($A205,'Data shares'!$C:$FA,154)*100</f>
        <v>27.68</v>
      </c>
      <c r="F205" s="173">
        <f>C205/B205</f>
        <v>0.27333094052685658</v>
      </c>
    </row>
    <row r="206" spans="1:6" x14ac:dyDescent="0.25">
      <c r="A206" s="99" t="s">
        <v>592</v>
      </c>
      <c r="B206" s="49">
        <v>289041713</v>
      </c>
      <c r="C206" s="49">
        <v>172898025</v>
      </c>
      <c r="D206" s="49">
        <v>93585155.950395003</v>
      </c>
      <c r="E206" s="50">
        <f>VLOOKUP($A206,'Data shares'!$C:$FA,154)*100</f>
        <v>61.750000000000007</v>
      </c>
      <c r="F206" s="173">
        <f>C206/B206</f>
        <v>0.59817672406335343</v>
      </c>
    </row>
    <row r="207" spans="1:6" x14ac:dyDescent="0.25">
      <c r="A207" s="99" t="s">
        <v>568</v>
      </c>
      <c r="B207" s="49">
        <v>38847259</v>
      </c>
      <c r="C207" s="49">
        <v>20678800</v>
      </c>
      <c r="D207" s="49">
        <v>12346233.181143999</v>
      </c>
      <c r="E207" s="50">
        <f>VLOOKUP($A207,'Data shares'!$C:$FA,154)*100</f>
        <v>53.63</v>
      </c>
      <c r="F207" s="173">
        <f>C207/B207</f>
        <v>0.53231040058707879</v>
      </c>
    </row>
    <row r="208" spans="1:6" x14ac:dyDescent="0.25">
      <c r="A208" s="99" t="s">
        <v>672</v>
      </c>
      <c r="B208" s="49">
        <v>27343613</v>
      </c>
      <c r="C208" s="49">
        <v>7142300</v>
      </c>
      <c r="D208" s="49">
        <v>4653259.9616524996</v>
      </c>
      <c r="E208" s="50">
        <f>VLOOKUP($A208,'Data shares'!$C:$FA,154)*100</f>
        <v>26.46</v>
      </c>
      <c r="F208" s="173">
        <f>C208/B208</f>
        <v>0.26120542299951366</v>
      </c>
    </row>
    <row r="209" spans="1:6" x14ac:dyDescent="0.25">
      <c r="A209" s="99" t="s">
        <v>303</v>
      </c>
      <c r="B209" s="49">
        <v>84189026</v>
      </c>
      <c r="C209" s="49">
        <v>47210910</v>
      </c>
      <c r="D209" s="49">
        <v>28089370.307309099</v>
      </c>
      <c r="E209" s="50">
        <f>VLOOKUP($A209,'Data shares'!$C:$FA,154)*100</f>
        <v>56.57</v>
      </c>
      <c r="F209" s="173">
        <f>C209/B209</f>
        <v>0.56077273064068944</v>
      </c>
    </row>
    <row r="210" spans="1:6" x14ac:dyDescent="0.25">
      <c r="A210" s="99" t="s">
        <v>585</v>
      </c>
      <c r="B210" s="49">
        <v>205765243</v>
      </c>
      <c r="C210" s="49">
        <v>76487625</v>
      </c>
      <c r="D210" s="49">
        <v>44084862.760241203</v>
      </c>
      <c r="E210" s="50">
        <f>VLOOKUP($A210,'Data shares'!$C:$FA,154)*100</f>
        <v>37.92</v>
      </c>
      <c r="F210" s="173">
        <f>C210/B210</f>
        <v>0.37172276466536186</v>
      </c>
    </row>
    <row r="211" spans="1:6" x14ac:dyDescent="0.25">
      <c r="A211" s="99" t="s">
        <v>304</v>
      </c>
      <c r="B211" s="49">
        <v>255495438</v>
      </c>
      <c r="C211" s="49">
        <v>113920150</v>
      </c>
      <c r="D211" s="49">
        <v>49877856.002884001</v>
      </c>
      <c r="E211" s="50">
        <f>VLOOKUP($A211,'Data shares'!$C:$FA,154)*100</f>
        <v>45.769999999999996</v>
      </c>
      <c r="F211" s="173">
        <f>C211/B211</f>
        <v>0.44587938983082742</v>
      </c>
    </row>
    <row r="212" spans="1:6" x14ac:dyDescent="0.25">
      <c r="A212" s="99" t="s">
        <v>697</v>
      </c>
      <c r="B212" s="49">
        <v>321828727</v>
      </c>
      <c r="C212" s="49">
        <v>39740900</v>
      </c>
      <c r="D212" s="49">
        <v>28236600.948692501</v>
      </c>
      <c r="E212" s="50">
        <f>VLOOKUP($A212,'Data shares'!$C:$FA,154)*100</f>
        <v>12.379999999999999</v>
      </c>
      <c r="F212" s="173">
        <f>C212/B212</f>
        <v>0.12348462603215654</v>
      </c>
    </row>
    <row r="213" spans="1:6" x14ac:dyDescent="0.25">
      <c r="A213" s="99" t="s">
        <v>305</v>
      </c>
      <c r="B213" s="49">
        <v>25134629</v>
      </c>
      <c r="C213" s="49">
        <v>20487750</v>
      </c>
      <c r="D213" s="49">
        <v>8716281.7235624995</v>
      </c>
      <c r="E213" s="50">
        <f>VLOOKUP($A213,'Data shares'!$C:$FA,154)*100</f>
        <v>83.57</v>
      </c>
      <c r="F213" s="173">
        <f>C213/B213</f>
        <v>0.81512044597913103</v>
      </c>
    </row>
    <row r="214" spans="1:6" x14ac:dyDescent="0.25">
      <c r="A214" s="99" t="s">
        <v>690</v>
      </c>
      <c r="B214" s="49">
        <v>15436318</v>
      </c>
      <c r="C214" s="49">
        <v>8493275</v>
      </c>
      <c r="D214" s="49">
        <v>4379337.7717040004</v>
      </c>
      <c r="E214" s="50">
        <f>VLOOKUP($A214,'Data shares'!$C:$FA,154)*100</f>
        <v>56.15</v>
      </c>
      <c r="F214" s="173">
        <f>C214/B214</f>
        <v>0.55021378802898468</v>
      </c>
    </row>
    <row r="215" spans="1:6" x14ac:dyDescent="0.25">
      <c r="A215" s="99" t="s">
        <v>306</v>
      </c>
      <c r="B215" s="49">
        <v>428710078</v>
      </c>
      <c r="C215" s="49">
        <v>566175000</v>
      </c>
      <c r="D215" s="49">
        <v>222843688.67480999</v>
      </c>
      <c r="E215" s="50">
        <f>VLOOKUP($A215,'Data shares'!$C:$FA,154)*100</f>
        <v>135.21</v>
      </c>
      <c r="F215" s="173">
        <f>C215/B215</f>
        <v>1.3206477502028773</v>
      </c>
    </row>
    <row r="216" spans="1:6" x14ac:dyDescent="0.25">
      <c r="A216" s="99" t="s">
        <v>589</v>
      </c>
      <c r="B216" s="49">
        <v>3425130022</v>
      </c>
      <c r="C216" s="49">
        <v>2284574900</v>
      </c>
      <c r="D216" s="49">
        <v>1220869946.2674999</v>
      </c>
      <c r="E216" s="50">
        <f>VLOOKUP($A216,'Data shares'!$C:$FA,154)*100</f>
        <v>68.02</v>
      </c>
      <c r="F216" s="173">
        <f>C216/B216</f>
        <v>0.66700384666448143</v>
      </c>
    </row>
    <row r="217" spans="1:6" x14ac:dyDescent="0.25">
      <c r="A217" s="99" t="s">
        <v>556</v>
      </c>
      <c r="B217" s="49">
        <v>25160867</v>
      </c>
      <c r="C217" s="49">
        <v>14604300</v>
      </c>
      <c r="D217" s="49">
        <v>8733533.5638989992</v>
      </c>
      <c r="E217" s="50">
        <f>VLOOKUP($A217,'Data shares'!$C:$FA,154)*100</f>
        <v>58.56</v>
      </c>
      <c r="F217" s="173">
        <f>C217/B217</f>
        <v>0.58043707317398885</v>
      </c>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7">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I35" sqref="I35"/>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1" t="s">
        <v>420</v>
      </c>
      <c r="B4" s="322"/>
      <c r="C4" s="322"/>
      <c r="D4" s="322"/>
      <c r="E4" s="322"/>
      <c r="F4" s="322"/>
      <c r="G4" s="322"/>
      <c r="H4" s="322"/>
      <c r="I4" s="322"/>
      <c r="J4" s="322"/>
      <c r="K4" s="322"/>
      <c r="L4" s="322"/>
      <c r="M4" s="322"/>
      <c r="N4" s="323"/>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578</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578</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578</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605</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605</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605</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608</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608</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608</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597</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597</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597</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588</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588</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588</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601</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601</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601</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583</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583</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583</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610</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610</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610</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596</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596</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596</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600</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600</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600</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611</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611</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611</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571</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571</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571</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599</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599</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599</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582</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582</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582</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630</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630</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630</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575</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575</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575</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607</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607</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607</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577</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577</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577</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593</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593</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593</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591</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591</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591</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569</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569</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569</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580</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580</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580</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579</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579</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579</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581</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581</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581</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609</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609</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609</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576</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576</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576</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606</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606</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606</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587</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587</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587</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564</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564</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564</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560</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560</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560</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602</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602</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602</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562</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562</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562</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558</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558</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558</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590</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590</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590</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584</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584</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584</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565</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565</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565</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612</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612</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612</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586</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586</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586</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574</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574</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574</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572</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572</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572</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595</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595</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595</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604</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604</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604</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563</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563</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563</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561</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561</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561</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598</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598</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598</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613</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613</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613</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573</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573</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573</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603</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603</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603</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594</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594</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594</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592</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592</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592</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568</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568</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568</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585</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585</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585</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589</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589</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589</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570</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570</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570</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556</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556</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556</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4" t="s">
        <v>380</v>
      </c>
      <c r="B3" s="325"/>
      <c r="C3" s="325"/>
      <c r="D3" s="325"/>
      <c r="E3" s="325"/>
      <c r="F3" s="325"/>
      <c r="G3" s="326"/>
    </row>
    <row r="4" spans="1:7" s="72" customFormat="1" x14ac:dyDescent="0.25">
      <c r="A4" s="108" t="s">
        <v>330</v>
      </c>
      <c r="B4" s="327" t="s">
        <v>380</v>
      </c>
      <c r="C4" s="327"/>
      <c r="D4" s="327"/>
      <c r="E4" s="327"/>
      <c r="F4" s="327"/>
      <c r="G4" s="327"/>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15.340000000000002</v>
      </c>
      <c r="F6" s="49">
        <f>VLOOKUP($A6,'Data shares'!$C:$FA,129)</f>
        <v>2045750</v>
      </c>
      <c r="G6" s="17"/>
    </row>
    <row r="7" spans="1:7" x14ac:dyDescent="0.25">
      <c r="A7" s="101" t="s">
        <v>228</v>
      </c>
      <c r="B7" s="17">
        <v>292206563</v>
      </c>
      <c r="C7" s="17">
        <v>71903525</v>
      </c>
      <c r="D7" s="17">
        <f t="shared" ref="D7:D70" si="0">C7</f>
        <v>71903525</v>
      </c>
      <c r="E7" s="49">
        <f>VLOOKUP($A7,'Data shares'!$C:$FA,128)*100</f>
        <v>14.38</v>
      </c>
      <c r="F7" s="49">
        <f>VLOOKUP($A7,'Data shares'!$C:$FA,129)</f>
        <v>4716600</v>
      </c>
      <c r="G7" s="17"/>
    </row>
    <row r="8" spans="1:7" x14ac:dyDescent="0.25">
      <c r="A8" s="101" t="s">
        <v>200</v>
      </c>
      <c r="B8" s="17">
        <v>417418754</v>
      </c>
      <c r="C8" s="17">
        <v>109662000</v>
      </c>
      <c r="D8" s="17">
        <f t="shared" si="0"/>
        <v>109662000</v>
      </c>
      <c r="E8" s="49">
        <f>VLOOKUP($A8,'Data shares'!$C:$FA,128)*100</f>
        <v>12.18</v>
      </c>
      <c r="F8" s="49">
        <f>VLOOKUP($A8,'Data shares'!$C:$FA,129)</f>
        <v>7801650</v>
      </c>
      <c r="G8" s="17"/>
    </row>
    <row r="9" spans="1:7" x14ac:dyDescent="0.25">
      <c r="A9" s="101" t="s">
        <v>214</v>
      </c>
      <c r="B9" s="17">
        <v>30110093</v>
      </c>
      <c r="C9" s="17">
        <v>10703050</v>
      </c>
      <c r="D9" s="17">
        <f t="shared" si="0"/>
        <v>10703050</v>
      </c>
      <c r="E9" s="49">
        <f>VLOOKUP($A9,'Data shares'!$C:$FA,128)*100</f>
        <v>1.41</v>
      </c>
      <c r="F9" s="49">
        <f>VLOOKUP($A9,'Data shares'!$C:$FA,129)</f>
        <v>126750</v>
      </c>
      <c r="G9" s="17"/>
    </row>
    <row r="10" spans="1:7" x14ac:dyDescent="0.25">
      <c r="A10" s="101" t="s">
        <v>243</v>
      </c>
      <c r="B10" s="17">
        <v>80699820</v>
      </c>
      <c r="C10" s="17">
        <v>65367500</v>
      </c>
      <c r="D10" s="17">
        <f t="shared" si="0"/>
        <v>65367500</v>
      </c>
      <c r="E10" s="49">
        <f>VLOOKUP($A10,'Data shares'!$C:$FA,128)*100</f>
        <v>13.16</v>
      </c>
      <c r="F10" s="49">
        <f>VLOOKUP($A10,'Data shares'!$C:$FA,129)</f>
        <v>1559375</v>
      </c>
      <c r="G10" s="17"/>
    </row>
    <row r="11" spans="1:7" x14ac:dyDescent="0.25">
      <c r="A11" s="101" t="s">
        <v>231</v>
      </c>
      <c r="B11" s="17">
        <v>80556813</v>
      </c>
      <c r="C11" s="17">
        <v>62967200</v>
      </c>
      <c r="D11" s="17">
        <f t="shared" si="0"/>
        <v>62967200</v>
      </c>
      <c r="E11" s="49">
        <f>VLOOKUP($A11,'Data shares'!$C:$FA,128)*100</f>
        <v>24.46</v>
      </c>
      <c r="F11" s="49">
        <f>VLOOKUP($A11,'Data shares'!$C:$FA,129)</f>
        <v>1861750</v>
      </c>
      <c r="G11" s="17"/>
    </row>
    <row r="12" spans="1:7" x14ac:dyDescent="0.25">
      <c r="A12" s="101" t="s">
        <v>195</v>
      </c>
      <c r="B12" s="17">
        <v>23823080</v>
      </c>
      <c r="C12" s="17">
        <v>2862400</v>
      </c>
      <c r="D12" s="17">
        <f t="shared" si="0"/>
        <v>2862400</v>
      </c>
      <c r="E12" s="49">
        <f>VLOOKUP($A12,'Data shares'!$C:$FA,128)*100</f>
        <v>4.17</v>
      </c>
      <c r="F12" s="49">
        <f>VLOOKUP($A12,'Data shares'!$C:$FA,129)</f>
        <v>99125</v>
      </c>
      <c r="G12" s="17"/>
    </row>
    <row r="13" spans="1:7" x14ac:dyDescent="0.25">
      <c r="A13" s="101" t="s">
        <v>304</v>
      </c>
      <c r="B13" s="17">
        <v>223492679</v>
      </c>
      <c r="C13" s="17">
        <v>98465300</v>
      </c>
      <c r="D13" s="17">
        <f t="shared" si="0"/>
        <v>98465300</v>
      </c>
      <c r="E13" s="49">
        <f>VLOOKUP($A13,'Data shares'!$C:$FA,128)*100</f>
        <v>9.2799999999999994</v>
      </c>
      <c r="F13" s="49">
        <f>VLOOKUP($A13,'Data shares'!$C:$FA,129)</f>
        <v>3278650</v>
      </c>
      <c r="G13" s="17"/>
    </row>
    <row r="14" spans="1:7" x14ac:dyDescent="0.25">
      <c r="A14" s="101" t="s">
        <v>167</v>
      </c>
      <c r="B14" s="17">
        <v>282181803</v>
      </c>
      <c r="C14" s="17">
        <v>95526000</v>
      </c>
      <c r="D14" s="17">
        <f t="shared" si="0"/>
        <v>95526000</v>
      </c>
      <c r="E14" s="49">
        <f>VLOOKUP($A14,'Data shares'!$C:$FA,128)*100</f>
        <v>10.8</v>
      </c>
      <c r="F14" s="49">
        <f>VLOOKUP($A14,'Data shares'!$C:$FA,129)</f>
        <v>13830000</v>
      </c>
      <c r="G14" s="17"/>
    </row>
    <row r="15" spans="1:7" x14ac:dyDescent="0.25">
      <c r="A15" s="101" t="s">
        <v>222</v>
      </c>
      <c r="B15" s="17">
        <v>214194964</v>
      </c>
      <c r="C15" s="17">
        <v>37437400</v>
      </c>
      <c r="D15" s="17">
        <f t="shared" si="0"/>
        <v>37437400</v>
      </c>
      <c r="E15" s="49">
        <f>VLOOKUP($A15,'Data shares'!$C:$FA,128)*100</f>
        <v>16.25</v>
      </c>
      <c r="F15" s="49">
        <f>VLOOKUP($A15,'Data shares'!$C:$FA,129)</f>
        <v>6160700</v>
      </c>
      <c r="G15" s="17"/>
    </row>
    <row r="16" spans="1:7" x14ac:dyDescent="0.25">
      <c r="A16" s="101" t="s">
        <v>290</v>
      </c>
      <c r="B16" s="17">
        <v>31601465</v>
      </c>
      <c r="C16" s="17">
        <v>13192000</v>
      </c>
      <c r="D16" s="17">
        <f t="shared" si="0"/>
        <v>13192000</v>
      </c>
      <c r="E16" s="49">
        <f>VLOOKUP($A16,'Data shares'!$C:$FA,128)*100</f>
        <v>5.33</v>
      </c>
      <c r="F16" s="49">
        <f>VLOOKUP($A16,'Data shares'!$C:$FA,129)</f>
        <v>1886300</v>
      </c>
      <c r="G16" s="17"/>
    </row>
    <row r="17" spans="1:7" x14ac:dyDescent="0.25">
      <c r="A17" s="101" t="s">
        <v>500</v>
      </c>
      <c r="B17" s="17">
        <v>24930381</v>
      </c>
      <c r="C17" s="17">
        <v>1925625</v>
      </c>
      <c r="D17" s="17">
        <f t="shared" si="0"/>
        <v>1925625</v>
      </c>
      <c r="E17" s="49">
        <f>VLOOKUP($A17,'Data shares'!$C:$FA,128)*100</f>
        <v>8.39</v>
      </c>
      <c r="F17" s="49">
        <f>VLOOKUP($A17,'Data shares'!$C:$FA,129)</f>
        <v>1661250</v>
      </c>
      <c r="G17" s="17"/>
    </row>
    <row r="18" spans="1:7" x14ac:dyDescent="0.25">
      <c r="A18" s="101" t="s">
        <v>491</v>
      </c>
      <c r="B18" s="17">
        <v>53841317</v>
      </c>
      <c r="C18" s="17">
        <v>9268750</v>
      </c>
      <c r="D18" s="17">
        <f t="shared" si="0"/>
        <v>9268750</v>
      </c>
      <c r="E18" s="49">
        <f>VLOOKUP($A18,'Data shares'!$C:$FA,128)*100</f>
        <v>20.979999999999997</v>
      </c>
      <c r="F18" s="49">
        <f>VLOOKUP($A18,'Data shares'!$C:$FA,129)</f>
        <v>1926750</v>
      </c>
      <c r="G18" s="17"/>
    </row>
    <row r="19" spans="1:7" x14ac:dyDescent="0.25">
      <c r="A19" s="101" t="s">
        <v>257</v>
      </c>
      <c r="B19" s="17">
        <v>43771086</v>
      </c>
      <c r="C19" s="17">
        <v>2865850</v>
      </c>
      <c r="D19" s="17">
        <f t="shared" si="0"/>
        <v>2865850</v>
      </c>
      <c r="E19" s="49">
        <f>VLOOKUP($A19,'Data shares'!$C:$FA,128)*100</f>
        <v>0.57999999999999996</v>
      </c>
      <c r="F19" s="49">
        <f>VLOOKUP($A19,'Data shares'!$C:$FA,129)</f>
        <v>37200</v>
      </c>
      <c r="G19" s="17"/>
    </row>
    <row r="20" spans="1:7" x14ac:dyDescent="0.25">
      <c r="A20" s="101" t="s">
        <v>259</v>
      </c>
      <c r="B20" s="17">
        <v>12838406</v>
      </c>
      <c r="C20" s="17">
        <v>3561800</v>
      </c>
      <c r="D20" s="17">
        <f t="shared" si="0"/>
        <v>3561800</v>
      </c>
      <c r="E20" s="49">
        <f>VLOOKUP($A20,'Data shares'!$C:$FA,128)*100</f>
        <v>6.15</v>
      </c>
      <c r="F20" s="49">
        <f>VLOOKUP($A20,'Data shares'!$C:$FA,129)</f>
        <v>129240</v>
      </c>
      <c r="G20" s="17"/>
    </row>
    <row r="21" spans="1:7" x14ac:dyDescent="0.25">
      <c r="A21" s="101" t="s">
        <v>212</v>
      </c>
      <c r="B21" s="17">
        <v>393764205</v>
      </c>
      <c r="C21" s="17">
        <v>124730000</v>
      </c>
      <c r="D21" s="17">
        <f t="shared" si="0"/>
        <v>124730000</v>
      </c>
      <c r="E21" s="49">
        <f>VLOOKUP($A21,'Data shares'!$C:$FA,128)*100</f>
        <v>9.94</v>
      </c>
      <c r="F21" s="49">
        <f>VLOOKUP($A21,'Data shares'!$C:$FA,129)</f>
        <v>6590000</v>
      </c>
      <c r="G21" s="17"/>
    </row>
    <row r="22" spans="1:7" x14ac:dyDescent="0.25">
      <c r="A22" s="101" t="s">
        <v>209</v>
      </c>
      <c r="B22" s="17">
        <v>27768950</v>
      </c>
      <c r="C22" s="17">
        <v>5371100</v>
      </c>
      <c r="D22" s="17">
        <f t="shared" si="0"/>
        <v>5371100</v>
      </c>
      <c r="E22" s="49">
        <f>VLOOKUP($A22,'Data shares'!$C:$FA,128)*100</f>
        <v>16.150000000000002</v>
      </c>
      <c r="F22" s="49">
        <f>VLOOKUP($A22,'Data shares'!$C:$FA,129)</f>
        <v>667300</v>
      </c>
      <c r="G22" s="17"/>
    </row>
    <row r="23" spans="1:7" x14ac:dyDescent="0.25">
      <c r="A23" s="101" t="s">
        <v>501</v>
      </c>
      <c r="B23" s="17">
        <v>155792872</v>
      </c>
      <c r="C23" s="17">
        <v>50166406</v>
      </c>
      <c r="D23" s="17">
        <f t="shared" si="0"/>
        <v>50166406</v>
      </c>
      <c r="E23" s="49">
        <f>VLOOKUP($A23,'Data shares'!$C:$FA,128)*100</f>
        <v>10.95</v>
      </c>
      <c r="F23" s="49">
        <f>VLOOKUP($A23,'Data shares'!$C:$FA,129)</f>
        <v>2226000</v>
      </c>
      <c r="G23" s="17"/>
    </row>
    <row r="24" spans="1:7" x14ac:dyDescent="0.25">
      <c r="A24" s="101" t="s">
        <v>276</v>
      </c>
      <c r="B24" s="17">
        <v>678857930</v>
      </c>
      <c r="C24" s="17">
        <v>84677374</v>
      </c>
      <c r="D24" s="17">
        <f t="shared" si="0"/>
        <v>84677374</v>
      </c>
      <c r="E24" s="49">
        <f>VLOOKUP($A24,'Data shares'!$C:$FA,128)*100</f>
        <v>17.37</v>
      </c>
      <c r="F24" s="49">
        <f>VLOOKUP($A24,'Data shares'!$C:$FA,129)</f>
        <v>8684900</v>
      </c>
      <c r="G24" s="17"/>
    </row>
    <row r="25" spans="1:7" x14ac:dyDescent="0.25">
      <c r="A25" s="101" t="s">
        <v>210</v>
      </c>
      <c r="B25" s="17">
        <v>14114257</v>
      </c>
      <c r="C25" s="17">
        <v>11000000</v>
      </c>
      <c r="D25" s="17">
        <f t="shared" si="0"/>
        <v>11000000</v>
      </c>
      <c r="E25" s="49">
        <f>VLOOKUP($A25,'Data shares'!$C:$FA,128)*100</f>
        <v>16.150000000000002</v>
      </c>
      <c r="F25" s="49">
        <f>VLOOKUP($A25,'Data shares'!$C:$FA,129)</f>
        <v>667300</v>
      </c>
      <c r="G25" s="17"/>
    </row>
    <row r="26" spans="1:7" x14ac:dyDescent="0.25">
      <c r="A26" s="101" t="s">
        <v>267</v>
      </c>
      <c r="B26" s="17">
        <v>229794455</v>
      </c>
      <c r="C26" s="17">
        <v>133289800</v>
      </c>
      <c r="D26" s="17">
        <f t="shared" si="0"/>
        <v>133289800</v>
      </c>
      <c r="E26" s="49">
        <f>VLOOKUP($A26,'Data shares'!$C:$FA,128)*100</f>
        <v>7.33</v>
      </c>
      <c r="F26" s="49">
        <f>VLOOKUP($A26,'Data shares'!$C:$FA,129)</f>
        <v>19804500</v>
      </c>
      <c r="G26" s="17"/>
    </row>
    <row r="27" spans="1:7" x14ac:dyDescent="0.25">
      <c r="A27" s="101" t="s">
        <v>533</v>
      </c>
      <c r="B27" s="17">
        <v>61337685</v>
      </c>
      <c r="C27" s="17">
        <v>24741600</v>
      </c>
      <c r="D27" s="17">
        <f t="shared" si="0"/>
        <v>24741600</v>
      </c>
      <c r="E27" s="49">
        <f>VLOOKUP($A27,'Data shares'!$C:$FA,128)*100</f>
        <v>10.15</v>
      </c>
      <c r="F27" s="49">
        <f>VLOOKUP($A27,'Data shares'!$C:$FA,129)</f>
        <v>1078800</v>
      </c>
      <c r="G27" s="17"/>
    </row>
    <row r="28" spans="1:7" x14ac:dyDescent="0.25">
      <c r="A28" s="101" t="s">
        <v>502</v>
      </c>
      <c r="B28" s="17">
        <v>5165920</v>
      </c>
      <c r="C28" s="17">
        <v>1179400</v>
      </c>
      <c r="D28" s="17">
        <f t="shared" si="0"/>
        <v>1179400</v>
      </c>
      <c r="E28" s="49">
        <f>VLOOKUP($A28,'Data shares'!$C:$FA,128)*100</f>
        <v>5.0200000000000005</v>
      </c>
      <c r="F28" s="49">
        <f>VLOOKUP($A28,'Data shares'!$C:$FA,129)</f>
        <v>584375</v>
      </c>
      <c r="G28" s="17"/>
    </row>
    <row r="29" spans="1:7" x14ac:dyDescent="0.25">
      <c r="A29" s="101" t="s">
        <v>474</v>
      </c>
      <c r="B29" s="17">
        <v>7339737</v>
      </c>
      <c r="C29" s="17">
        <v>979625</v>
      </c>
      <c r="D29" s="17">
        <f t="shared" si="0"/>
        <v>979625</v>
      </c>
      <c r="E29" s="49">
        <f>VLOOKUP($A29,'Data shares'!$C:$FA,128)*100</f>
        <v>7.93</v>
      </c>
      <c r="F29" s="49">
        <f>VLOOKUP($A29,'Data shares'!$C:$FA,129)</f>
        <v>480250</v>
      </c>
      <c r="G29" s="17"/>
    </row>
    <row r="30" spans="1:7" x14ac:dyDescent="0.25">
      <c r="A30" s="101" t="s">
        <v>158</v>
      </c>
      <c r="B30" s="17">
        <v>17078428</v>
      </c>
      <c r="C30" s="17">
        <v>3648750</v>
      </c>
      <c r="D30" s="17">
        <f t="shared" si="0"/>
        <v>3648750</v>
      </c>
      <c r="E30" s="49">
        <f>VLOOKUP($A30,'Data shares'!$C:$FA,128)*100</f>
        <v>2.5700000000000003</v>
      </c>
      <c r="F30" s="49">
        <f>VLOOKUP($A30,'Data shares'!$C:$FA,129)</f>
        <v>982700</v>
      </c>
      <c r="G30" s="17"/>
    </row>
    <row r="31" spans="1:7" x14ac:dyDescent="0.25">
      <c r="A31" s="101" t="s">
        <v>268</v>
      </c>
      <c r="B31" s="17">
        <v>948263976</v>
      </c>
      <c r="C31" s="17">
        <v>170042400</v>
      </c>
      <c r="D31" s="17">
        <f t="shared" si="0"/>
        <v>170042400</v>
      </c>
      <c r="E31" s="49">
        <f>VLOOKUP($A31,'Data shares'!$C:$FA,128)*100</f>
        <v>17.41</v>
      </c>
      <c r="F31" s="49">
        <f>VLOOKUP($A31,'Data shares'!$C:$FA,129)</f>
        <v>15417000</v>
      </c>
      <c r="G31" s="17"/>
    </row>
    <row r="32" spans="1:7" x14ac:dyDescent="0.25">
      <c r="A32" s="101" t="s">
        <v>556</v>
      </c>
      <c r="B32" s="17">
        <v>51441633</v>
      </c>
      <c r="C32" s="17">
        <v>26329600</v>
      </c>
      <c r="D32" s="17">
        <f t="shared" si="0"/>
        <v>26329600</v>
      </c>
      <c r="E32" s="49">
        <f>VLOOKUP($A32,'Data shares'!$C:$FA,128)*100</f>
        <v>5.83</v>
      </c>
      <c r="F32" s="49">
        <f>VLOOKUP($A32,'Data shares'!$C:$FA,129)</f>
        <v>293400</v>
      </c>
      <c r="G32" s="17"/>
    </row>
    <row r="33" spans="1:7" x14ac:dyDescent="0.25">
      <c r="A33" s="101" t="s">
        <v>549</v>
      </c>
      <c r="B33" s="17">
        <v>319287188</v>
      </c>
      <c r="C33" s="17">
        <v>149780000</v>
      </c>
      <c r="D33" s="17">
        <f t="shared" si="0"/>
        <v>149780000</v>
      </c>
      <c r="E33" s="49">
        <f>VLOOKUP($A33,'Data shares'!$C:$FA,128)*100</f>
        <v>14.66</v>
      </c>
      <c r="F33" s="49">
        <f>VLOOKUP($A33,'Data shares'!$C:$FA,129)</f>
        <v>640058625</v>
      </c>
      <c r="G33" s="17"/>
    </row>
    <row r="34" spans="1:7" x14ac:dyDescent="0.25">
      <c r="A34" s="101" t="s">
        <v>536</v>
      </c>
      <c r="B34" s="17">
        <v>57585215</v>
      </c>
      <c r="C34" s="17">
        <v>5314000</v>
      </c>
      <c r="D34" s="17">
        <f t="shared" si="0"/>
        <v>5314000</v>
      </c>
      <c r="E34" s="49">
        <f>VLOOKUP($A34,'Data shares'!$C:$FA,128)*100</f>
        <v>18.420000000000002</v>
      </c>
      <c r="F34" s="49">
        <f>VLOOKUP($A34,'Data shares'!$C:$FA,129)</f>
        <v>4384000</v>
      </c>
      <c r="G34" s="17"/>
    </row>
    <row r="35" spans="1:7" x14ac:dyDescent="0.25">
      <c r="A35" s="101" t="s">
        <v>270</v>
      </c>
      <c r="B35" s="17">
        <v>1178038</v>
      </c>
      <c r="C35" s="17">
        <v>100890</v>
      </c>
      <c r="D35" s="17">
        <f t="shared" si="0"/>
        <v>100890</v>
      </c>
      <c r="E35" s="49">
        <f>VLOOKUP($A35,'Data shares'!$C:$FA,128)*100</f>
        <v>4.42</v>
      </c>
      <c r="F35" s="49">
        <f>VLOOKUP($A35,'Data shares'!$C:$FA,129)</f>
        <v>12450</v>
      </c>
      <c r="G35" s="17"/>
    </row>
    <row r="36" spans="1:7" x14ac:dyDescent="0.25">
      <c r="A36" s="101" t="s">
        <v>258</v>
      </c>
      <c r="B36" s="17">
        <v>13335005</v>
      </c>
      <c r="C36" s="17">
        <v>5970600</v>
      </c>
      <c r="D36" s="17">
        <f t="shared" si="0"/>
        <v>5970600</v>
      </c>
      <c r="E36" s="49">
        <f>VLOOKUP($A36,'Data shares'!$C:$FA,128)*100</f>
        <v>0.57999999999999996</v>
      </c>
      <c r="F36" s="49">
        <f>VLOOKUP($A36,'Data shares'!$C:$FA,129)</f>
        <v>37200</v>
      </c>
      <c r="G36" s="17"/>
    </row>
    <row r="37" spans="1:7" x14ac:dyDescent="0.25">
      <c r="A37" s="101" t="s">
        <v>301</v>
      </c>
      <c r="B37" s="17">
        <v>14428803</v>
      </c>
      <c r="C37" s="17">
        <v>2171400</v>
      </c>
      <c r="D37" s="17">
        <f t="shared" si="0"/>
        <v>2171400</v>
      </c>
      <c r="E37" s="49">
        <f>VLOOKUP($A37,'Data shares'!$C:$FA,128)*100</f>
        <v>7.57</v>
      </c>
      <c r="F37" s="49">
        <f>VLOOKUP($A37,'Data shares'!$C:$FA,129)</f>
        <v>593075</v>
      </c>
      <c r="G37" s="17"/>
    </row>
    <row r="38" spans="1:7" x14ac:dyDescent="0.25">
      <c r="A38" s="101" t="s">
        <v>283</v>
      </c>
      <c r="B38" s="17">
        <v>747713393</v>
      </c>
      <c r="C38" s="17">
        <v>158166000</v>
      </c>
      <c r="D38" s="17">
        <f t="shared" si="0"/>
        <v>158166000</v>
      </c>
      <c r="E38" s="49">
        <f>VLOOKUP($A38,'Data shares'!$C:$FA,128)*100</f>
        <v>14.92</v>
      </c>
      <c r="F38" s="49">
        <f>VLOOKUP($A38,'Data shares'!$C:$FA,129)</f>
        <v>8805000</v>
      </c>
      <c r="G38" s="17"/>
    </row>
    <row r="39" spans="1:7" x14ac:dyDescent="0.25">
      <c r="A39" s="101" t="s">
        <v>281</v>
      </c>
      <c r="B39" s="17">
        <v>648405756</v>
      </c>
      <c r="C39" s="17">
        <v>61815500</v>
      </c>
      <c r="D39" s="17">
        <f t="shared" si="0"/>
        <v>61815500</v>
      </c>
      <c r="E39" s="49">
        <f>VLOOKUP($A39,'Data shares'!$C:$FA,128)*100</f>
        <v>22.55</v>
      </c>
      <c r="F39" s="49">
        <f>VLOOKUP($A39,'Data shares'!$C:$FA,129)</f>
        <v>20066000</v>
      </c>
      <c r="G39" s="17"/>
    </row>
    <row r="40" spans="1:7" x14ac:dyDescent="0.25">
      <c r="A40" s="101" t="s">
        <v>198</v>
      </c>
      <c r="B40" s="17">
        <v>79546680</v>
      </c>
      <c r="C40" s="17">
        <v>13283750</v>
      </c>
      <c r="D40" s="17">
        <f t="shared" si="0"/>
        <v>13283750</v>
      </c>
      <c r="E40" s="49">
        <f>VLOOKUP($A40,'Data shares'!$C:$FA,128)*100</f>
        <v>7.28</v>
      </c>
      <c r="F40" s="49">
        <f>VLOOKUP($A40,'Data shares'!$C:$FA,129)</f>
        <v>1414375</v>
      </c>
      <c r="G40" s="17"/>
    </row>
    <row r="41" spans="1:7" x14ac:dyDescent="0.25">
      <c r="A41" s="101" t="s">
        <v>299</v>
      </c>
      <c r="B41" s="17">
        <v>44634693</v>
      </c>
      <c r="C41" s="17">
        <v>3805500</v>
      </c>
      <c r="D41" s="17">
        <f t="shared" si="0"/>
        <v>3805500</v>
      </c>
      <c r="E41" s="49">
        <f>VLOOKUP($A41,'Data shares'!$C:$FA,128)*100</f>
        <v>0</v>
      </c>
      <c r="F41" s="49">
        <f>VLOOKUP($A41,'Data shares'!$C:$FA,129)</f>
        <v>0</v>
      </c>
      <c r="G41" s="17"/>
    </row>
    <row r="42" spans="1:7" x14ac:dyDescent="0.25">
      <c r="A42" s="101" t="s">
        <v>273</v>
      </c>
      <c r="B42" s="17">
        <v>232357926</v>
      </c>
      <c r="C42" s="17">
        <v>67053000</v>
      </c>
      <c r="D42" s="17">
        <f t="shared" si="0"/>
        <v>67053000</v>
      </c>
      <c r="E42" s="49">
        <f>VLOOKUP($A42,'Data shares'!$C:$FA,128)*100</f>
        <v>16.88</v>
      </c>
      <c r="F42" s="49">
        <f>VLOOKUP($A42,'Data shares'!$C:$FA,129)</f>
        <v>8100300</v>
      </c>
      <c r="G42" s="17"/>
    </row>
    <row r="43" spans="1:7" x14ac:dyDescent="0.25">
      <c r="A43" s="101" t="s">
        <v>207</v>
      </c>
      <c r="B43" s="17">
        <v>124016568</v>
      </c>
      <c r="C43" s="17">
        <v>57530550</v>
      </c>
      <c r="D43" s="17">
        <f t="shared" si="0"/>
        <v>57530550</v>
      </c>
      <c r="E43" s="49">
        <f>VLOOKUP($A43,'Data shares'!$C:$FA,128)*100</f>
        <v>11.32</v>
      </c>
      <c r="F43" s="49">
        <f>VLOOKUP($A43,'Data shares'!$C:$FA,129)</f>
        <v>5249475</v>
      </c>
      <c r="G43" s="17"/>
    </row>
    <row r="44" spans="1:7" x14ac:dyDescent="0.25">
      <c r="A44" s="101" t="s">
        <v>191</v>
      </c>
      <c r="B44" s="17">
        <v>92946457</v>
      </c>
      <c r="C44" s="17">
        <v>36478000</v>
      </c>
      <c r="D44" s="17">
        <f t="shared" si="0"/>
        <v>36478000</v>
      </c>
      <c r="E44" s="49">
        <f>VLOOKUP($A44,'Data shares'!$C:$FA,128)*100</f>
        <v>9.9500000000000011</v>
      </c>
      <c r="F44" s="49">
        <f>VLOOKUP($A44,'Data shares'!$C:$FA,129)</f>
        <v>3115000</v>
      </c>
      <c r="G44" s="17"/>
    </row>
    <row r="45" spans="1:7" x14ac:dyDescent="0.25">
      <c r="A45" s="101" t="s">
        <v>288</v>
      </c>
      <c r="B45" s="17">
        <v>218440087</v>
      </c>
      <c r="C45" s="17">
        <v>44080400</v>
      </c>
      <c r="D45" s="17">
        <f t="shared" si="0"/>
        <v>44080400</v>
      </c>
      <c r="E45" s="49">
        <f>VLOOKUP($A45,'Data shares'!$C:$FA,128)*100</f>
        <v>22.57</v>
      </c>
      <c r="F45" s="49">
        <f>VLOOKUP($A45,'Data shares'!$C:$FA,129)</f>
        <v>3797150</v>
      </c>
      <c r="G45" s="17"/>
    </row>
    <row r="46" spans="1:7" x14ac:dyDescent="0.25">
      <c r="A46" s="101" t="s">
        <v>275</v>
      </c>
      <c r="B46" s="17">
        <v>591377974</v>
      </c>
      <c r="C46" s="17">
        <v>493488000</v>
      </c>
      <c r="D46" s="17">
        <f t="shared" si="0"/>
        <v>493488000</v>
      </c>
      <c r="E46" s="49">
        <f>VLOOKUP($A46,'Data shares'!$C:$FA,128)*100</f>
        <v>16.14</v>
      </c>
      <c r="F46" s="49">
        <f>VLOOKUP($A46,'Data shares'!$C:$FA,129)</f>
        <v>37040000</v>
      </c>
      <c r="G46" s="17"/>
    </row>
    <row r="47" spans="1:7" x14ac:dyDescent="0.25">
      <c r="A47" s="101" t="s">
        <v>277</v>
      </c>
      <c r="B47" s="17">
        <v>10116165</v>
      </c>
      <c r="C47" s="17">
        <v>7378910</v>
      </c>
      <c r="D47" s="17">
        <f t="shared" si="0"/>
        <v>7378910</v>
      </c>
      <c r="E47" s="49">
        <f>VLOOKUP($A47,'Data shares'!$C:$FA,128)*100</f>
        <v>1.67</v>
      </c>
      <c r="F47" s="49">
        <f>VLOOKUP($A47,'Data shares'!$C:$FA,129)</f>
        <v>86400</v>
      </c>
      <c r="G47" s="17"/>
    </row>
    <row r="48" spans="1:7" x14ac:dyDescent="0.25">
      <c r="A48" s="101" t="s">
        <v>196</v>
      </c>
      <c r="B48" s="17">
        <v>134484114</v>
      </c>
      <c r="C48" s="17">
        <v>73278000</v>
      </c>
      <c r="D48" s="17">
        <f t="shared" si="0"/>
        <v>73278000</v>
      </c>
      <c r="E48" s="49">
        <f>VLOOKUP($A48,'Data shares'!$C:$FA,128)*100</f>
        <v>18.21</v>
      </c>
      <c r="F48" s="49">
        <f>VLOOKUP($A48,'Data shares'!$C:$FA,129)</f>
        <v>30955500</v>
      </c>
      <c r="G48" s="17"/>
    </row>
    <row r="49" spans="1:7" x14ac:dyDescent="0.25">
      <c r="A49" s="101" t="s">
        <v>287</v>
      </c>
      <c r="B49" s="17">
        <v>40005132</v>
      </c>
      <c r="C49" s="17">
        <v>6264400</v>
      </c>
      <c r="D49" s="17">
        <f t="shared" si="0"/>
        <v>6264400</v>
      </c>
      <c r="E49" s="49">
        <f>VLOOKUP($A49,'Data shares'!$C:$FA,128)*100</f>
        <v>5.58</v>
      </c>
      <c r="F49" s="49">
        <f>VLOOKUP($A49,'Data shares'!$C:$FA,129)</f>
        <v>190000</v>
      </c>
      <c r="G49" s="17"/>
    </row>
    <row r="50" spans="1:7" x14ac:dyDescent="0.25">
      <c r="A50" s="101" t="s">
        <v>553</v>
      </c>
      <c r="B50" s="17">
        <v>10595418</v>
      </c>
      <c r="C50" s="17">
        <v>250250</v>
      </c>
      <c r="D50" s="17">
        <f t="shared" si="0"/>
        <v>250250</v>
      </c>
      <c r="E50" s="49">
        <f>VLOOKUP($A50,'Data shares'!$C:$FA,128)*100</f>
        <v>7.9200000000000008</v>
      </c>
      <c r="F50" s="49">
        <f>VLOOKUP($A50,'Data shares'!$C:$FA,129)</f>
        <v>155875</v>
      </c>
      <c r="G50" s="17"/>
    </row>
    <row r="51" spans="1:7" x14ac:dyDescent="0.25">
      <c r="A51" s="101" t="s">
        <v>519</v>
      </c>
      <c r="B51" s="17">
        <v>9516271</v>
      </c>
      <c r="C51" s="17">
        <v>1000800</v>
      </c>
      <c r="D51" s="17">
        <f t="shared" si="0"/>
        <v>1000800</v>
      </c>
      <c r="E51" s="49">
        <f>VLOOKUP($A51,'Data shares'!$C:$FA,128)*100</f>
        <v>5.8500000000000005</v>
      </c>
      <c r="F51" s="49">
        <f>VLOOKUP($A51,'Data shares'!$C:$FA,129)</f>
        <v>100125</v>
      </c>
      <c r="G51" s="17"/>
    </row>
    <row r="52" spans="1:7" x14ac:dyDescent="0.25">
      <c r="A52" s="101" t="s">
        <v>550</v>
      </c>
      <c r="B52" s="17">
        <v>137684181</v>
      </c>
      <c r="C52" s="17">
        <v>42696000</v>
      </c>
      <c r="D52" s="17">
        <f t="shared" si="0"/>
        <v>42696000</v>
      </c>
      <c r="E52" s="49">
        <f>VLOOKUP($A52,'Data shares'!$C:$FA,128)*100</f>
        <v>9.48</v>
      </c>
      <c r="F52" s="49">
        <f>VLOOKUP($A52,'Data shares'!$C:$FA,129)</f>
        <v>5804500</v>
      </c>
      <c r="G52" s="17"/>
    </row>
    <row r="53" spans="1:7" x14ac:dyDescent="0.25">
      <c r="A53" s="101" t="s">
        <v>284</v>
      </c>
      <c r="B53" s="17">
        <v>2702190</v>
      </c>
      <c r="C53" s="17">
        <v>250575</v>
      </c>
      <c r="D53" s="17">
        <f t="shared" si="0"/>
        <v>250575</v>
      </c>
      <c r="E53" s="49">
        <f>VLOOKUP($A53,'Data shares'!$C:$FA,128)*100</f>
        <v>4.71</v>
      </c>
      <c r="F53" s="49">
        <f>VLOOKUP($A53,'Data shares'!$C:$FA,129)</f>
        <v>16950</v>
      </c>
      <c r="G53" s="17"/>
    </row>
    <row r="54" spans="1:7" x14ac:dyDescent="0.25">
      <c r="A54" s="101" t="s">
        <v>488</v>
      </c>
      <c r="B54" s="17">
        <v>5499709</v>
      </c>
      <c r="C54" s="17">
        <v>1097600</v>
      </c>
      <c r="D54" s="17">
        <f t="shared" si="0"/>
        <v>1097600</v>
      </c>
      <c r="E54" s="49">
        <f>VLOOKUP($A54,'Data shares'!$C:$FA,128)*100</f>
        <v>19.29</v>
      </c>
      <c r="F54" s="49">
        <f>VLOOKUP($A54,'Data shares'!$C:$FA,129)</f>
        <v>901500</v>
      </c>
      <c r="G54" s="17"/>
    </row>
    <row r="55" spans="1:7" x14ac:dyDescent="0.25">
      <c r="A55" s="101" t="s">
        <v>523</v>
      </c>
      <c r="B55" s="17">
        <v>118085392</v>
      </c>
      <c r="C55" s="17">
        <v>6549400</v>
      </c>
      <c r="D55" s="17">
        <f t="shared" si="0"/>
        <v>6549400</v>
      </c>
      <c r="E55" s="49">
        <f>VLOOKUP($A55,'Data shares'!$C:$FA,128)*100</f>
        <v>3.5000000000000004</v>
      </c>
      <c r="F55" s="49">
        <f>VLOOKUP($A55,'Data shares'!$C:$FA,129)</f>
        <v>1305000</v>
      </c>
      <c r="G55" s="17"/>
    </row>
    <row r="56" spans="1:7" x14ac:dyDescent="0.25">
      <c r="A56" s="101" t="s">
        <v>485</v>
      </c>
      <c r="B56" s="17">
        <v>6917069</v>
      </c>
      <c r="C56" s="17">
        <v>762075</v>
      </c>
      <c r="D56" s="17">
        <f t="shared" si="0"/>
        <v>762075</v>
      </c>
      <c r="E56" s="49">
        <f>VLOOKUP($A56,'Data shares'!$C:$FA,128)*100</f>
        <v>10.02</v>
      </c>
      <c r="F56" s="49">
        <f>VLOOKUP($A56,'Data shares'!$C:$FA,129)</f>
        <v>219375</v>
      </c>
      <c r="G56" s="17"/>
    </row>
    <row r="57" spans="1:7" x14ac:dyDescent="0.25">
      <c r="A57" s="101" t="s">
        <v>178</v>
      </c>
      <c r="B57" s="17">
        <v>16125398</v>
      </c>
      <c r="C57" s="17">
        <v>1552600</v>
      </c>
      <c r="D57" s="17">
        <f t="shared" si="0"/>
        <v>1552600</v>
      </c>
      <c r="E57" s="49">
        <f>VLOOKUP($A57,'Data shares'!$C:$FA,128)*100</f>
        <v>8.25</v>
      </c>
      <c r="F57" s="49">
        <f>VLOOKUP($A57,'Data shares'!$C:$FA,129)</f>
        <v>5517000</v>
      </c>
      <c r="G57" s="17"/>
    </row>
    <row r="58" spans="1:7" x14ac:dyDescent="0.25">
      <c r="A58" s="101" t="s">
        <v>240</v>
      </c>
      <c r="B58" s="17">
        <v>727896180</v>
      </c>
      <c r="C58" s="17">
        <v>46526100</v>
      </c>
      <c r="D58" s="17">
        <f t="shared" si="0"/>
        <v>46526100</v>
      </c>
      <c r="E58" s="49">
        <f>VLOOKUP($A58,'Data shares'!$C:$FA,128)*100</f>
        <v>6.54</v>
      </c>
      <c r="F58" s="49">
        <f>VLOOKUP($A58,'Data shares'!$C:$FA,129)</f>
        <v>4588400</v>
      </c>
      <c r="G58" s="17"/>
    </row>
    <row r="59" spans="1:7" x14ac:dyDescent="0.25">
      <c r="A59" s="101" t="s">
        <v>202</v>
      </c>
      <c r="B59" s="17">
        <v>55081874</v>
      </c>
      <c r="C59" s="17">
        <v>10856000</v>
      </c>
      <c r="D59" s="17">
        <f t="shared" si="0"/>
        <v>10856000</v>
      </c>
      <c r="E59" s="49">
        <f>VLOOKUP($A59,'Data shares'!$C:$FA,128)*100</f>
        <v>8.39</v>
      </c>
      <c r="F59" s="49">
        <f>VLOOKUP($A59,'Data shares'!$C:$FA,129)</f>
        <v>1661250</v>
      </c>
      <c r="G59" s="17"/>
    </row>
    <row r="60" spans="1:7" x14ac:dyDescent="0.25">
      <c r="A60" s="101" t="s">
        <v>245</v>
      </c>
      <c r="B60" s="17">
        <v>15273675</v>
      </c>
      <c r="C60" s="17">
        <v>5077125</v>
      </c>
      <c r="D60" s="17">
        <f t="shared" si="0"/>
        <v>5077125</v>
      </c>
      <c r="E60" s="49">
        <f>VLOOKUP($A60,'Data shares'!$C:$FA,128)*100</f>
        <v>29.92</v>
      </c>
      <c r="F60" s="49">
        <f>VLOOKUP($A60,'Data shares'!$C:$FA,129)</f>
        <v>14475000</v>
      </c>
      <c r="G60" s="17"/>
    </row>
    <row r="61" spans="1:7" x14ac:dyDescent="0.25">
      <c r="A61" s="101" t="s">
        <v>173</v>
      </c>
      <c r="B61" s="17">
        <v>541823383</v>
      </c>
      <c r="C61" s="17">
        <v>95378400</v>
      </c>
      <c r="D61" s="17">
        <f t="shared" si="0"/>
        <v>95378400</v>
      </c>
      <c r="E61" s="49">
        <f>VLOOKUP($A61,'Data shares'!$C:$FA,128)*100</f>
        <v>28.32</v>
      </c>
      <c r="F61" s="49">
        <f>VLOOKUP($A61,'Data shares'!$C:$FA,129)</f>
        <v>17556250</v>
      </c>
      <c r="G61" s="17"/>
    </row>
    <row r="62" spans="1:7" x14ac:dyDescent="0.25">
      <c r="A62" s="101" t="s">
        <v>234</v>
      </c>
      <c r="B62" s="17">
        <v>1606294231</v>
      </c>
      <c r="C62" s="17">
        <v>1302000000</v>
      </c>
      <c r="D62" s="17">
        <f t="shared" si="0"/>
        <v>1302000000</v>
      </c>
      <c r="E62" s="49">
        <f>VLOOKUP($A62,'Data shares'!$C:$FA,128)*100</f>
        <v>14.66</v>
      </c>
      <c r="F62" s="49">
        <f>VLOOKUP($A62,'Data shares'!$C:$FA,129)</f>
        <v>640058625</v>
      </c>
      <c r="G62" s="17"/>
    </row>
    <row r="63" spans="1:7" x14ac:dyDescent="0.25">
      <c r="A63" s="101" t="s">
        <v>235</v>
      </c>
      <c r="B63" s="17">
        <v>789260827</v>
      </c>
      <c r="C63" s="17">
        <v>462303900</v>
      </c>
      <c r="D63" s="17">
        <f t="shared" si="0"/>
        <v>462303900</v>
      </c>
      <c r="E63" s="49">
        <f>VLOOKUP($A63,'Data shares'!$C:$FA,128)*100</f>
        <v>23.400000000000002</v>
      </c>
      <c r="F63" s="49">
        <f>VLOOKUP($A63,'Data shares'!$C:$FA,129)</f>
        <v>71584450</v>
      </c>
      <c r="G63" s="17"/>
    </row>
    <row r="64" spans="1:7" x14ac:dyDescent="0.25">
      <c r="A64" s="101" t="s">
        <v>482</v>
      </c>
      <c r="B64" s="17">
        <v>44785930</v>
      </c>
      <c r="C64" s="17">
        <v>4025925</v>
      </c>
      <c r="D64" s="17">
        <f t="shared" si="0"/>
        <v>4025925</v>
      </c>
      <c r="E64" s="49">
        <f>VLOOKUP($A64,'Data shares'!$C:$FA,128)*100</f>
        <v>15.770000000000001</v>
      </c>
      <c r="F64" s="49">
        <f>VLOOKUP($A64,'Data shares'!$C:$FA,129)</f>
        <v>1163100</v>
      </c>
      <c r="G64" s="17"/>
    </row>
    <row r="65" spans="1:7" x14ac:dyDescent="0.25">
      <c r="A65" s="101" t="s">
        <v>475</v>
      </c>
      <c r="B65" s="17">
        <v>13287700</v>
      </c>
      <c r="C65" s="17">
        <v>3968400</v>
      </c>
      <c r="D65" s="17">
        <f t="shared" si="0"/>
        <v>3968400</v>
      </c>
      <c r="E65" s="49">
        <f>VLOOKUP($A65,'Data shares'!$C:$FA,128)*100</f>
        <v>5.18</v>
      </c>
      <c r="F65" s="49">
        <f>VLOOKUP($A65,'Data shares'!$C:$FA,129)</f>
        <v>262500</v>
      </c>
      <c r="G65" s="17"/>
    </row>
    <row r="66" spans="1:7" x14ac:dyDescent="0.25">
      <c r="A66" s="101" t="s">
        <v>306</v>
      </c>
      <c r="B66" s="17">
        <v>292716179</v>
      </c>
      <c r="C66" s="17">
        <v>57797600</v>
      </c>
      <c r="D66" s="17">
        <f t="shared" si="0"/>
        <v>57797600</v>
      </c>
      <c r="E66" s="49">
        <f>VLOOKUP($A66,'Data shares'!$C:$FA,128)*100</f>
        <v>23.23</v>
      </c>
      <c r="F66" s="49">
        <f>VLOOKUP($A66,'Data shares'!$C:$FA,129)</f>
        <v>71649000</v>
      </c>
      <c r="G66" s="17"/>
    </row>
    <row r="67" spans="1:7" x14ac:dyDescent="0.25">
      <c r="A67" s="101" t="s">
        <v>262</v>
      </c>
      <c r="B67" s="17">
        <v>21376133</v>
      </c>
      <c r="C67" s="17">
        <v>5958375</v>
      </c>
      <c r="D67" s="17">
        <f t="shared" si="0"/>
        <v>5958375</v>
      </c>
      <c r="E67" s="49">
        <f>VLOOKUP($A67,'Data shares'!$C:$FA,128)*100</f>
        <v>6.17</v>
      </c>
      <c r="F67" s="49">
        <f>VLOOKUP($A67,'Data shares'!$C:$FA,129)</f>
        <v>231825</v>
      </c>
      <c r="G67" s="17"/>
    </row>
    <row r="68" spans="1:7" x14ac:dyDescent="0.25">
      <c r="A68" s="101" t="s">
        <v>174</v>
      </c>
      <c r="B68" s="17">
        <v>26775498</v>
      </c>
      <c r="C68" s="17">
        <v>3494750</v>
      </c>
      <c r="D68" s="17">
        <f t="shared" si="0"/>
        <v>3494750</v>
      </c>
      <c r="E68" s="49">
        <f>VLOOKUP($A68,'Data shares'!$C:$FA,128)*100</f>
        <v>10.040000000000001</v>
      </c>
      <c r="F68" s="49">
        <f>VLOOKUP($A68,'Data shares'!$C:$FA,129)</f>
        <v>287475</v>
      </c>
      <c r="G68" s="17"/>
    </row>
    <row r="69" spans="1:7" x14ac:dyDescent="0.25">
      <c r="A69" s="101" t="s">
        <v>286</v>
      </c>
      <c r="B69" s="17">
        <v>29168705</v>
      </c>
      <c r="C69" s="17">
        <v>6373125</v>
      </c>
      <c r="D69" s="17">
        <f t="shared" si="0"/>
        <v>6373125</v>
      </c>
      <c r="E69" s="49">
        <f>VLOOKUP($A69,'Data shares'!$C:$FA,128)*100</f>
        <v>5.58</v>
      </c>
      <c r="F69" s="49">
        <f>VLOOKUP($A69,'Data shares'!$C:$FA,129)</f>
        <v>190000</v>
      </c>
      <c r="G69" s="17"/>
    </row>
    <row r="70" spans="1:7" x14ac:dyDescent="0.25">
      <c r="A70" s="101" t="s">
        <v>297</v>
      </c>
      <c r="B70" s="17">
        <v>83636848</v>
      </c>
      <c r="C70" s="17">
        <v>13455750</v>
      </c>
      <c r="D70" s="17">
        <f t="shared" si="0"/>
        <v>13455750</v>
      </c>
      <c r="E70" s="49">
        <f>VLOOKUP($A70,'Data shares'!$C:$FA,128)*100</f>
        <v>11.01</v>
      </c>
      <c r="F70" s="49">
        <f>VLOOKUP($A70,'Data shares'!$C:$FA,129)</f>
        <v>932050</v>
      </c>
      <c r="G70" s="17"/>
    </row>
    <row r="71" spans="1:7" x14ac:dyDescent="0.25">
      <c r="A71" s="101" t="s">
        <v>302</v>
      </c>
      <c r="B71" s="17">
        <v>23058222</v>
      </c>
      <c r="C71" s="17">
        <v>3980500</v>
      </c>
      <c r="D71" s="17">
        <f t="shared" ref="D71:D134" si="1">C71</f>
        <v>3980500</v>
      </c>
      <c r="E71" s="49">
        <f>VLOOKUP($A71,'Data shares'!$C:$FA,128)*100</f>
        <v>19.989999999999998</v>
      </c>
      <c r="F71" s="49">
        <f>VLOOKUP($A71,'Data shares'!$C:$FA,129)</f>
        <v>447400</v>
      </c>
      <c r="G71" s="17"/>
    </row>
    <row r="72" spans="1:7" x14ac:dyDescent="0.25">
      <c r="A72" s="101" t="s">
        <v>307</v>
      </c>
      <c r="B72" s="17">
        <v>184439886</v>
      </c>
      <c r="C72" s="17">
        <v>122460000</v>
      </c>
      <c r="D72" s="17">
        <f t="shared" si="1"/>
        <v>122460000</v>
      </c>
      <c r="E72" s="49">
        <f>VLOOKUP($A72,'Data shares'!$C:$FA,128)*100</f>
        <v>20.16</v>
      </c>
      <c r="F72" s="49">
        <f>VLOOKUP($A72,'Data shares'!$C:$FA,129)</f>
        <v>170925600</v>
      </c>
      <c r="G72" s="17"/>
    </row>
    <row r="73" spans="1:7" x14ac:dyDescent="0.25">
      <c r="A73" s="101" t="s">
        <v>177</v>
      </c>
      <c r="B73" s="17">
        <v>52956314</v>
      </c>
      <c r="C73" s="17">
        <v>7784625</v>
      </c>
      <c r="D73" s="17">
        <f t="shared" si="1"/>
        <v>7784625</v>
      </c>
      <c r="E73" s="49">
        <f>VLOOKUP($A73,'Data shares'!$C:$FA,128)*100</f>
        <v>8.25</v>
      </c>
      <c r="F73" s="49">
        <f>VLOOKUP($A73,'Data shares'!$C:$FA,129)</f>
        <v>5517000</v>
      </c>
      <c r="G73" s="17"/>
    </row>
    <row r="74" spans="1:7" x14ac:dyDescent="0.25">
      <c r="A74" s="101" t="s">
        <v>545</v>
      </c>
      <c r="B74" s="17">
        <v>23498849</v>
      </c>
      <c r="C74" s="17">
        <v>15745600</v>
      </c>
      <c r="D74" s="17">
        <f t="shared" si="1"/>
        <v>15745600</v>
      </c>
      <c r="E74" s="49">
        <f>VLOOKUP($A74,'Data shares'!$C:$FA,128)*100</f>
        <v>8.25</v>
      </c>
      <c r="F74" s="49">
        <f>VLOOKUP($A74,'Data shares'!$C:$FA,129)</f>
        <v>5517000</v>
      </c>
      <c r="G74" s="17"/>
    </row>
    <row r="75" spans="1:7" x14ac:dyDescent="0.25">
      <c r="A75" s="101" t="s">
        <v>185</v>
      </c>
      <c r="B75" s="17">
        <v>238123793</v>
      </c>
      <c r="C75" s="17">
        <v>59926000</v>
      </c>
      <c r="D75" s="17">
        <f t="shared" si="1"/>
        <v>59926000</v>
      </c>
      <c r="E75" s="49">
        <f>VLOOKUP($A75,'Data shares'!$C:$FA,128)*100</f>
        <v>16.91</v>
      </c>
      <c r="F75" s="49">
        <f>VLOOKUP($A75,'Data shares'!$C:$FA,129)</f>
        <v>14926875</v>
      </c>
      <c r="G75" s="17"/>
    </row>
    <row r="76" spans="1:7" x14ac:dyDescent="0.25">
      <c r="A76" s="101" t="s">
        <v>219</v>
      </c>
      <c r="B76" s="17">
        <v>75317259</v>
      </c>
      <c r="C76" s="17">
        <v>12188500</v>
      </c>
      <c r="D76" s="17">
        <f t="shared" si="1"/>
        <v>12188500</v>
      </c>
      <c r="E76" s="49">
        <f>VLOOKUP($A76,'Data shares'!$C:$FA,128)*100</f>
        <v>20.979999999999997</v>
      </c>
      <c r="F76" s="49">
        <f>VLOOKUP($A76,'Data shares'!$C:$FA,129)</f>
        <v>1926750</v>
      </c>
      <c r="G76" s="17"/>
    </row>
    <row r="77" spans="1:7" x14ac:dyDescent="0.25">
      <c r="A77" s="101" t="s">
        <v>534</v>
      </c>
      <c r="B77" s="17">
        <v>70381221</v>
      </c>
      <c r="C77" s="17">
        <v>3354100</v>
      </c>
      <c r="D77" s="17">
        <f t="shared" si="1"/>
        <v>3354100</v>
      </c>
      <c r="E77" s="49">
        <f>VLOOKUP($A77,'Data shares'!$C:$FA,128)*100</f>
        <v>20.979999999999997</v>
      </c>
      <c r="F77" s="49">
        <f>VLOOKUP($A77,'Data shares'!$C:$FA,129)</f>
        <v>1926750</v>
      </c>
      <c r="G77" s="17"/>
    </row>
    <row r="78" spans="1:7" x14ac:dyDescent="0.25">
      <c r="A78" s="101" t="s">
        <v>516</v>
      </c>
      <c r="B78" s="17">
        <v>27254349</v>
      </c>
      <c r="C78" s="17">
        <v>1133550</v>
      </c>
      <c r="D78" s="17">
        <f t="shared" si="1"/>
        <v>1133550</v>
      </c>
      <c r="E78" s="49">
        <f>VLOOKUP($A78,'Data shares'!$C:$FA,128)*100</f>
        <v>12.91</v>
      </c>
      <c r="F78" s="49">
        <f>VLOOKUP($A78,'Data shares'!$C:$FA,129)</f>
        <v>11022375</v>
      </c>
      <c r="G78" s="17"/>
    </row>
    <row r="79" spans="1:7" x14ac:dyDescent="0.25">
      <c r="A79" s="101" t="s">
        <v>271</v>
      </c>
      <c r="B79" s="17">
        <v>26746179</v>
      </c>
      <c r="C79" s="17">
        <v>5445825</v>
      </c>
      <c r="D79" s="17">
        <f t="shared" si="1"/>
        <v>5445825</v>
      </c>
      <c r="E79" s="49">
        <f>VLOOKUP($A79,'Data shares'!$C:$FA,128)*100</f>
        <v>5.16</v>
      </c>
      <c r="F79" s="49">
        <f>VLOOKUP($A79,'Data shares'!$C:$FA,129)</f>
        <v>733700</v>
      </c>
      <c r="G79" s="17"/>
    </row>
    <row r="80" spans="1:7" x14ac:dyDescent="0.25">
      <c r="A80" s="101" t="s">
        <v>264</v>
      </c>
      <c r="B80" s="17">
        <v>15844192</v>
      </c>
      <c r="C80" s="17">
        <v>2354125</v>
      </c>
      <c r="D80" s="17">
        <f t="shared" si="1"/>
        <v>2354125</v>
      </c>
      <c r="E80" s="49">
        <f>VLOOKUP($A80,'Data shares'!$C:$FA,128)*100</f>
        <v>10.02</v>
      </c>
      <c r="F80" s="49">
        <f>VLOOKUP($A80,'Data shares'!$C:$FA,129)</f>
        <v>219375</v>
      </c>
      <c r="G80" s="17"/>
    </row>
    <row r="81" spans="1:7" x14ac:dyDescent="0.25">
      <c r="A81" s="101" t="s">
        <v>208</v>
      </c>
      <c r="B81" s="17">
        <v>24296838</v>
      </c>
      <c r="C81" s="17">
        <v>5125750</v>
      </c>
      <c r="D81" s="17">
        <f t="shared" si="1"/>
        <v>5125750</v>
      </c>
      <c r="E81" s="49">
        <f>VLOOKUP($A81,'Data shares'!$C:$FA,128)*100</f>
        <v>8.0299999999999994</v>
      </c>
      <c r="F81" s="49">
        <f>VLOOKUP($A81,'Data shares'!$C:$FA,129)</f>
        <v>972500</v>
      </c>
      <c r="G81" s="17"/>
    </row>
    <row r="82" spans="1:7" x14ac:dyDescent="0.25">
      <c r="A82" s="101" t="s">
        <v>552</v>
      </c>
      <c r="B82" s="17">
        <v>23447901</v>
      </c>
      <c r="C82" s="17">
        <v>3785600</v>
      </c>
      <c r="D82" s="17">
        <f t="shared" si="1"/>
        <v>3785600</v>
      </c>
      <c r="E82" s="49">
        <f>VLOOKUP($A82,'Data shares'!$C:$FA,128)*100</f>
        <v>5.33</v>
      </c>
      <c r="F82" s="49">
        <f>VLOOKUP($A82,'Data shares'!$C:$FA,129)</f>
        <v>1886300</v>
      </c>
      <c r="G82" s="17"/>
    </row>
    <row r="83" spans="1:7" x14ac:dyDescent="0.25">
      <c r="A83" s="101" t="s">
        <v>204</v>
      </c>
      <c r="B83" s="17">
        <v>115362060</v>
      </c>
      <c r="C83" s="17">
        <v>19043750</v>
      </c>
      <c r="D83" s="17">
        <f t="shared" si="1"/>
        <v>19043750</v>
      </c>
      <c r="E83" s="49">
        <f>VLOOKUP($A83,'Data shares'!$C:$FA,128)*100</f>
        <v>5.29</v>
      </c>
      <c r="F83" s="49">
        <f>VLOOKUP($A83,'Data shares'!$C:$FA,129)</f>
        <v>1428750</v>
      </c>
      <c r="G83" s="17"/>
    </row>
    <row r="84" spans="1:7" x14ac:dyDescent="0.25">
      <c r="A84" s="101" t="s">
        <v>528</v>
      </c>
      <c r="B84" s="17">
        <v>23485458</v>
      </c>
      <c r="C84" s="17">
        <v>4272800</v>
      </c>
      <c r="D84" s="17">
        <f t="shared" si="1"/>
        <v>4272800</v>
      </c>
      <c r="E84" s="49">
        <f>VLOOKUP($A84,'Data shares'!$C:$FA,128)*100</f>
        <v>12.93</v>
      </c>
      <c r="F84" s="49">
        <f>VLOOKUP($A84,'Data shares'!$C:$FA,129)</f>
        <v>1255100</v>
      </c>
      <c r="G84" s="17"/>
    </row>
    <row r="85" spans="1:7" x14ac:dyDescent="0.25">
      <c r="A85" s="101" t="s">
        <v>551</v>
      </c>
      <c r="B85" s="17">
        <v>39593365</v>
      </c>
      <c r="C85" s="17">
        <v>12215000</v>
      </c>
      <c r="D85" s="17">
        <f t="shared" si="1"/>
        <v>12215000</v>
      </c>
      <c r="E85" s="49">
        <f>VLOOKUP($A85,'Data shares'!$C:$FA,128)*100</f>
        <v>1.67</v>
      </c>
      <c r="F85" s="49">
        <f>VLOOKUP($A85,'Data shares'!$C:$FA,129)</f>
        <v>86400</v>
      </c>
      <c r="G85" s="17"/>
    </row>
    <row r="86" spans="1:7" x14ac:dyDescent="0.25">
      <c r="A86" s="101" t="s">
        <v>292</v>
      </c>
      <c r="B86" s="17">
        <v>355933451</v>
      </c>
      <c r="C86" s="17">
        <v>204117000</v>
      </c>
      <c r="D86" s="17">
        <f t="shared" si="1"/>
        <v>204117000</v>
      </c>
      <c r="E86" s="49">
        <f>VLOOKUP($A86,'Data shares'!$C:$FA,128)*100</f>
        <v>21.92</v>
      </c>
      <c r="F86" s="49">
        <f>VLOOKUP($A86,'Data shares'!$C:$FA,129)</f>
        <v>356300</v>
      </c>
      <c r="G86" s="17"/>
    </row>
    <row r="87" spans="1:7" x14ac:dyDescent="0.25">
      <c r="A87" s="101" t="s">
        <v>239</v>
      </c>
      <c r="B87" s="17">
        <v>117569462</v>
      </c>
      <c r="C87" s="17">
        <v>39785400</v>
      </c>
      <c r="D87" s="17">
        <f t="shared" si="1"/>
        <v>39785400</v>
      </c>
      <c r="E87" s="49">
        <f>VLOOKUP($A87,'Data shares'!$C:$FA,128)*100</f>
        <v>9.43</v>
      </c>
      <c r="F87" s="49">
        <f>VLOOKUP($A87,'Data shares'!$C:$FA,129)</f>
        <v>3185700</v>
      </c>
      <c r="G87" s="17"/>
    </row>
    <row r="88" spans="1:7" x14ac:dyDescent="0.25">
      <c r="A88" s="101" t="s">
        <v>513</v>
      </c>
      <c r="B88" s="17">
        <v>16619018</v>
      </c>
      <c r="C88" s="17">
        <v>3155425</v>
      </c>
      <c r="D88" s="17">
        <f t="shared" si="1"/>
        <v>3155425</v>
      </c>
      <c r="E88" s="49">
        <f>VLOOKUP($A88,'Data shares'!$C:$FA,128)*100</f>
        <v>13.389999999999999</v>
      </c>
      <c r="F88" s="49">
        <f>VLOOKUP($A88,'Data shares'!$C:$FA,129)</f>
        <v>858750</v>
      </c>
      <c r="G88" s="17"/>
    </row>
    <row r="89" spans="1:7" x14ac:dyDescent="0.25">
      <c r="A89" s="101" t="s">
        <v>224</v>
      </c>
      <c r="B89" s="17">
        <v>669931623</v>
      </c>
      <c r="C89" s="17">
        <v>82663350</v>
      </c>
      <c r="D89" s="17">
        <f t="shared" si="1"/>
        <v>82663350</v>
      </c>
      <c r="E89" s="49">
        <f>VLOOKUP($A89,'Data shares'!$C:$FA,128)*100</f>
        <v>17.93</v>
      </c>
      <c r="F89" s="49">
        <f>VLOOKUP($A89,'Data shares'!$C:$FA,129)</f>
        <v>42530950</v>
      </c>
      <c r="G89" s="17"/>
    </row>
    <row r="90" spans="1:7" x14ac:dyDescent="0.25">
      <c r="A90" s="101" t="s">
        <v>232</v>
      </c>
      <c r="B90" s="17">
        <v>1110506052</v>
      </c>
      <c r="C90" s="17">
        <v>174065375</v>
      </c>
      <c r="D90" s="17">
        <f t="shared" si="1"/>
        <v>174065375</v>
      </c>
      <c r="E90" s="49">
        <f>VLOOKUP($A90,'Data shares'!$C:$FA,128)*100</f>
        <v>28.34</v>
      </c>
      <c r="F90" s="49">
        <f>VLOOKUP($A90,'Data shares'!$C:$FA,129)</f>
        <v>30058700</v>
      </c>
      <c r="G90" s="17"/>
    </row>
    <row r="91" spans="1:7" x14ac:dyDescent="0.25">
      <c r="A91" s="101" t="s">
        <v>223</v>
      </c>
      <c r="B91" s="17">
        <v>362202362</v>
      </c>
      <c r="C91" s="17">
        <v>34249800</v>
      </c>
      <c r="D91" s="17">
        <f t="shared" si="1"/>
        <v>34249800</v>
      </c>
      <c r="E91" s="49">
        <f>VLOOKUP($A91,'Data shares'!$C:$FA,128)*100</f>
        <v>16.25</v>
      </c>
      <c r="F91" s="49">
        <f>VLOOKUP($A91,'Data shares'!$C:$FA,129)</f>
        <v>6160700</v>
      </c>
      <c r="G91" s="17"/>
    </row>
    <row r="92" spans="1:7" x14ac:dyDescent="0.25">
      <c r="A92" s="101" t="s">
        <v>218</v>
      </c>
      <c r="B92" s="17">
        <v>23110810</v>
      </c>
      <c r="C92" s="17">
        <v>6940375</v>
      </c>
      <c r="D92" s="17">
        <f t="shared" si="1"/>
        <v>6940375</v>
      </c>
      <c r="E92" s="49">
        <f>VLOOKUP($A92,'Data shares'!$C:$FA,128)*100</f>
        <v>5.6899999999999995</v>
      </c>
      <c r="F92" s="49">
        <f>VLOOKUP($A92,'Data shares'!$C:$FA,129)</f>
        <v>358325</v>
      </c>
      <c r="G92" s="17"/>
    </row>
    <row r="93" spans="1:7" x14ac:dyDescent="0.25">
      <c r="A93" s="101" t="s">
        <v>236</v>
      </c>
      <c r="B93" s="17">
        <v>77000080</v>
      </c>
      <c r="C93" s="17">
        <v>25785375</v>
      </c>
      <c r="D93" s="17">
        <f t="shared" si="1"/>
        <v>25785375</v>
      </c>
      <c r="E93" s="49">
        <f>VLOOKUP($A93,'Data shares'!$C:$FA,128)*100</f>
        <v>20.48</v>
      </c>
      <c r="F93" s="49">
        <f>VLOOKUP($A93,'Data shares'!$C:$FA,129)</f>
        <v>8771250</v>
      </c>
      <c r="G93" s="17"/>
    </row>
    <row r="94" spans="1:7" x14ac:dyDescent="0.25">
      <c r="A94" s="101" t="s">
        <v>246</v>
      </c>
      <c r="B94" s="17">
        <v>293666614</v>
      </c>
      <c r="C94" s="17">
        <v>30730800</v>
      </c>
      <c r="D94" s="17">
        <f t="shared" si="1"/>
        <v>30730800</v>
      </c>
      <c r="E94" s="49">
        <f>VLOOKUP($A94,'Data shares'!$C:$FA,128)*100</f>
        <v>23.61</v>
      </c>
      <c r="F94" s="49">
        <f>VLOOKUP($A94,'Data shares'!$C:$FA,129)</f>
        <v>46292000</v>
      </c>
      <c r="G94" s="17"/>
    </row>
    <row r="95" spans="1:7" x14ac:dyDescent="0.25">
      <c r="A95" s="101" t="s">
        <v>532</v>
      </c>
      <c r="B95" s="17">
        <v>32892110</v>
      </c>
      <c r="C95" s="17">
        <v>6216000</v>
      </c>
      <c r="D95" s="17">
        <f t="shared" si="1"/>
        <v>6216000</v>
      </c>
      <c r="E95" s="49">
        <f>VLOOKUP($A95,'Data shares'!$C:$FA,128)*100</f>
        <v>10.050000000000001</v>
      </c>
      <c r="F95" s="49">
        <f>VLOOKUP($A95,'Data shares'!$C:$FA,129)</f>
        <v>1819000</v>
      </c>
      <c r="G95" s="17"/>
    </row>
    <row r="96" spans="1:7" x14ac:dyDescent="0.25">
      <c r="A96" s="101" t="s">
        <v>242</v>
      </c>
      <c r="B96" s="17">
        <v>2461627231</v>
      </c>
      <c r="C96" s="17">
        <v>322832000</v>
      </c>
      <c r="D96" s="17">
        <f t="shared" si="1"/>
        <v>322832000</v>
      </c>
      <c r="E96" s="49">
        <f>VLOOKUP($A96,'Data shares'!$C:$FA,128)*100</f>
        <v>14.42</v>
      </c>
      <c r="F96" s="49">
        <f>VLOOKUP($A96,'Data shares'!$C:$FA,129)</f>
        <v>21403200</v>
      </c>
      <c r="G96" s="17"/>
    </row>
    <row r="97" spans="1:7" x14ac:dyDescent="0.25">
      <c r="A97" s="101" t="s">
        <v>165</v>
      </c>
      <c r="B97" s="17">
        <v>20321931</v>
      </c>
      <c r="C97" s="17">
        <v>3675125</v>
      </c>
      <c r="D97" s="17">
        <f t="shared" si="1"/>
        <v>3675125</v>
      </c>
      <c r="E97" s="49">
        <f>VLOOKUP($A97,'Data shares'!$C:$FA,128)*100</f>
        <v>5.58</v>
      </c>
      <c r="F97" s="49">
        <f>VLOOKUP($A97,'Data shares'!$C:$FA,129)</f>
        <v>115000</v>
      </c>
      <c r="G97" s="17"/>
    </row>
    <row r="98" spans="1:7" x14ac:dyDescent="0.25">
      <c r="A98" s="101" t="s">
        <v>503</v>
      </c>
      <c r="B98" s="17">
        <v>17788750</v>
      </c>
      <c r="C98" s="17">
        <v>925925</v>
      </c>
      <c r="D98" s="17">
        <f t="shared" si="1"/>
        <v>925925</v>
      </c>
      <c r="E98" s="49">
        <f>VLOOKUP($A98,'Data shares'!$C:$FA,128)*100</f>
        <v>26.56</v>
      </c>
      <c r="F98" s="49">
        <f>VLOOKUP($A98,'Data shares'!$C:$FA,129)</f>
        <v>3479900</v>
      </c>
      <c r="G98" s="17"/>
    </row>
    <row r="99" spans="1:7" x14ac:dyDescent="0.25">
      <c r="A99" s="101" t="s">
        <v>192</v>
      </c>
      <c r="B99" s="17">
        <v>1737683</v>
      </c>
      <c r="C99" s="17">
        <v>235900</v>
      </c>
      <c r="D99" s="17">
        <f t="shared" si="1"/>
        <v>235900</v>
      </c>
      <c r="E99" s="49">
        <f>VLOOKUP($A99,'Data shares'!$C:$FA,128)*100</f>
        <v>4.03</v>
      </c>
      <c r="F99" s="49">
        <f>VLOOKUP($A99,'Data shares'!$C:$FA,129)</f>
        <v>9900</v>
      </c>
      <c r="G99" s="17"/>
    </row>
    <row r="100" spans="1:7" x14ac:dyDescent="0.25">
      <c r="A100" s="101" t="s">
        <v>531</v>
      </c>
      <c r="B100" s="17">
        <v>33015657</v>
      </c>
      <c r="C100" s="17">
        <v>9033700</v>
      </c>
      <c r="D100" s="17">
        <f t="shared" si="1"/>
        <v>9033700</v>
      </c>
      <c r="E100" s="49">
        <f>VLOOKUP($A100,'Data shares'!$C:$FA,128)*100</f>
        <v>17.669999999999998</v>
      </c>
      <c r="F100" s="49">
        <f>VLOOKUP($A100,'Data shares'!$C:$FA,129)</f>
        <v>1086000</v>
      </c>
      <c r="G100" s="17"/>
    </row>
    <row r="101" spans="1:7" x14ac:dyDescent="0.25">
      <c r="A101" s="101" t="s">
        <v>494</v>
      </c>
      <c r="B101" s="17">
        <v>147873568</v>
      </c>
      <c r="C101" s="17">
        <v>20386400</v>
      </c>
      <c r="D101" s="17">
        <f t="shared" si="1"/>
        <v>20386400</v>
      </c>
      <c r="E101" s="49">
        <f>VLOOKUP($A101,'Data shares'!$C:$FA,128)*100</f>
        <v>3.5000000000000004</v>
      </c>
      <c r="F101" s="49">
        <f>VLOOKUP($A101,'Data shares'!$C:$FA,129)</f>
        <v>1305000</v>
      </c>
      <c r="G101" s="17"/>
    </row>
    <row r="102" spans="1:7" x14ac:dyDescent="0.25">
      <c r="A102" s="101" t="s">
        <v>473</v>
      </c>
      <c r="B102" s="17">
        <v>162372116</v>
      </c>
      <c r="C102" s="17">
        <v>43206800</v>
      </c>
      <c r="D102" s="17">
        <f t="shared" si="1"/>
        <v>43206800</v>
      </c>
      <c r="E102" s="49">
        <f>VLOOKUP($A102,'Data shares'!$C:$FA,128)*100</f>
        <v>14.42</v>
      </c>
      <c r="F102" s="49">
        <f>VLOOKUP($A102,'Data shares'!$C:$FA,129)</f>
        <v>6514400</v>
      </c>
      <c r="G102" s="17"/>
    </row>
    <row r="103" spans="1:7" x14ac:dyDescent="0.25">
      <c r="A103" s="101" t="s">
        <v>225</v>
      </c>
      <c r="B103" s="17">
        <v>187118353</v>
      </c>
      <c r="C103" s="17">
        <v>49800300</v>
      </c>
      <c r="D103" s="17">
        <f t="shared" si="1"/>
        <v>49800300</v>
      </c>
      <c r="E103" s="49">
        <f>VLOOKUP($A103,'Data shares'!$C:$FA,128)*100</f>
        <v>8.2600000000000016</v>
      </c>
      <c r="F103" s="49">
        <f>VLOOKUP($A103,'Data shares'!$C:$FA,129)</f>
        <v>2675200</v>
      </c>
      <c r="G103" s="17"/>
    </row>
    <row r="104" spans="1:7" x14ac:dyDescent="0.25">
      <c r="A104" s="101" t="s">
        <v>504</v>
      </c>
      <c r="B104" s="17">
        <v>12641694</v>
      </c>
      <c r="C104" s="17">
        <v>6728400</v>
      </c>
      <c r="D104" s="17">
        <f t="shared" si="1"/>
        <v>6728400</v>
      </c>
      <c r="E104" s="49">
        <f>VLOOKUP($A104,'Data shares'!$C:$FA,128)*100</f>
        <v>5.58</v>
      </c>
      <c r="F104" s="49">
        <f>VLOOKUP($A104,'Data shares'!$C:$FA,129)</f>
        <v>190000</v>
      </c>
      <c r="G104" s="17"/>
    </row>
    <row r="105" spans="1:7" x14ac:dyDescent="0.25">
      <c r="A105" s="101" t="s">
        <v>537</v>
      </c>
      <c r="B105" s="17">
        <v>6343591</v>
      </c>
      <c r="C105" s="17">
        <v>1262250</v>
      </c>
      <c r="D105" s="17">
        <f t="shared" si="1"/>
        <v>1262250</v>
      </c>
      <c r="E105" s="49">
        <f>VLOOKUP($A105,'Data shares'!$C:$FA,128)*100</f>
        <v>9.94</v>
      </c>
      <c r="F105" s="49">
        <f>VLOOKUP($A105,'Data shares'!$C:$FA,129)</f>
        <v>391825</v>
      </c>
      <c r="G105" s="17"/>
    </row>
    <row r="106" spans="1:7" x14ac:dyDescent="0.25">
      <c r="A106" s="101" t="s">
        <v>256</v>
      </c>
      <c r="B106" s="17">
        <v>62880735</v>
      </c>
      <c r="C106" s="17">
        <v>20391250</v>
      </c>
      <c r="D106" s="17">
        <f t="shared" si="1"/>
        <v>20391250</v>
      </c>
      <c r="E106" s="49">
        <f>VLOOKUP($A106,'Data shares'!$C:$FA,128)*100</f>
        <v>10.639999999999999</v>
      </c>
      <c r="F106" s="49">
        <f>VLOOKUP($A106,'Data shares'!$C:$FA,129)</f>
        <v>426400</v>
      </c>
      <c r="G106" s="17"/>
    </row>
    <row r="107" spans="1:7" x14ac:dyDescent="0.25">
      <c r="A107" s="101" t="s">
        <v>514</v>
      </c>
      <c r="B107" s="17">
        <v>179174844</v>
      </c>
      <c r="C107" s="17">
        <v>67477500</v>
      </c>
      <c r="D107" s="17">
        <f t="shared" si="1"/>
        <v>67477500</v>
      </c>
      <c r="E107" s="49">
        <f>VLOOKUP($A107,'Data shares'!$C:$FA,128)*100</f>
        <v>20.48</v>
      </c>
      <c r="F107" s="49">
        <f>VLOOKUP($A107,'Data shares'!$C:$FA,129)</f>
        <v>8771250</v>
      </c>
      <c r="G107" s="17"/>
    </row>
    <row r="108" spans="1:7" x14ac:dyDescent="0.25">
      <c r="A108" s="101" t="s">
        <v>272</v>
      </c>
      <c r="B108" s="17">
        <v>150000017</v>
      </c>
      <c r="C108" s="17">
        <v>35217000</v>
      </c>
      <c r="D108" s="17">
        <f t="shared" si="1"/>
        <v>35217000</v>
      </c>
      <c r="E108" s="49">
        <f>VLOOKUP($A108,'Data shares'!$C:$FA,128)*100</f>
        <v>4.12</v>
      </c>
      <c r="F108" s="49">
        <f>VLOOKUP($A108,'Data shares'!$C:$FA,129)</f>
        <v>1337600</v>
      </c>
      <c r="G108" s="17"/>
    </row>
    <row r="109" spans="1:7" x14ac:dyDescent="0.25">
      <c r="A109" s="101" t="s">
        <v>470</v>
      </c>
      <c r="B109" s="17">
        <v>6091932</v>
      </c>
      <c r="C109" s="17">
        <v>1893300</v>
      </c>
      <c r="D109" s="17">
        <f t="shared" si="1"/>
        <v>1893300</v>
      </c>
      <c r="E109" s="49">
        <f>VLOOKUP($A109,'Data shares'!$C:$FA,128)*100</f>
        <v>7.42</v>
      </c>
      <c r="F109" s="49">
        <f>VLOOKUP($A109,'Data shares'!$C:$FA,129)</f>
        <v>1096875</v>
      </c>
      <c r="G109" s="17"/>
    </row>
    <row r="110" spans="1:7" x14ac:dyDescent="0.25">
      <c r="A110" s="101" t="s">
        <v>176</v>
      </c>
      <c r="B110" s="17">
        <v>12437219</v>
      </c>
      <c r="C110" s="17">
        <v>1155950</v>
      </c>
      <c r="D110" s="17">
        <f t="shared" si="1"/>
        <v>1155950</v>
      </c>
      <c r="E110" s="49">
        <f>VLOOKUP($A110,'Data shares'!$C:$FA,128)*100</f>
        <v>18.63</v>
      </c>
      <c r="F110" s="49">
        <f>VLOOKUP($A110,'Data shares'!$C:$FA,129)</f>
        <v>1746750</v>
      </c>
      <c r="G110" s="17"/>
    </row>
    <row r="111" spans="1:7" x14ac:dyDescent="0.25">
      <c r="A111" s="101" t="s">
        <v>524</v>
      </c>
      <c r="B111" s="17">
        <v>16479425</v>
      </c>
      <c r="C111" s="17">
        <v>1670750</v>
      </c>
      <c r="D111" s="17">
        <f t="shared" si="1"/>
        <v>1670750</v>
      </c>
      <c r="E111" s="49">
        <f>VLOOKUP($A111,'Data shares'!$C:$FA,128)*100</f>
        <v>3.2199999999999998</v>
      </c>
      <c r="F111" s="49">
        <f>VLOOKUP($A111,'Data shares'!$C:$FA,129)</f>
        <v>66625</v>
      </c>
      <c r="G111" s="17"/>
    </row>
    <row r="112" spans="1:7" x14ac:dyDescent="0.25">
      <c r="A112" s="101" t="s">
        <v>487</v>
      </c>
      <c r="B112" s="17">
        <v>16533935</v>
      </c>
      <c r="C112" s="17">
        <v>1807050</v>
      </c>
      <c r="D112" s="17">
        <f t="shared" si="1"/>
        <v>1807050</v>
      </c>
      <c r="E112" s="49">
        <f>VLOOKUP($A112,'Data shares'!$C:$FA,128)*100</f>
        <v>5.86</v>
      </c>
      <c r="F112" s="49">
        <f>VLOOKUP($A112,'Data shares'!$C:$FA,129)</f>
        <v>265925</v>
      </c>
      <c r="G112" s="17"/>
    </row>
    <row r="113" spans="1:7" x14ac:dyDescent="0.25">
      <c r="A113" s="101" t="s">
        <v>305</v>
      </c>
      <c r="B113" s="17">
        <v>46126252</v>
      </c>
      <c r="C113" s="17">
        <v>7513500</v>
      </c>
      <c r="D113" s="17">
        <f t="shared" si="1"/>
        <v>7513500</v>
      </c>
      <c r="E113" s="49">
        <f>VLOOKUP($A113,'Data shares'!$C:$FA,128)*100</f>
        <v>16.09</v>
      </c>
      <c r="F113" s="49">
        <f>VLOOKUP($A113,'Data shares'!$C:$FA,129)</f>
        <v>1659750</v>
      </c>
      <c r="G113" s="17"/>
    </row>
    <row r="114" spans="1:7" x14ac:dyDescent="0.25">
      <c r="A114" s="101" t="s">
        <v>238</v>
      </c>
      <c r="B114" s="17">
        <v>19428657</v>
      </c>
      <c r="C114" s="17">
        <v>5637750</v>
      </c>
      <c r="D114" s="17">
        <f t="shared" si="1"/>
        <v>5637750</v>
      </c>
      <c r="E114" s="49">
        <f>VLOOKUP($A114,'Data shares'!$C:$FA,128)*100</f>
        <v>5.5</v>
      </c>
      <c r="F114" s="49">
        <f>VLOOKUP($A114,'Data shares'!$C:$FA,129)</f>
        <v>344700</v>
      </c>
      <c r="G114" s="17"/>
    </row>
    <row r="115" spans="1:7" x14ac:dyDescent="0.25">
      <c r="A115" s="101" t="s">
        <v>527</v>
      </c>
      <c r="B115" s="17">
        <v>7494363</v>
      </c>
      <c r="C115" s="17">
        <v>739375</v>
      </c>
      <c r="D115" s="17">
        <f t="shared" si="1"/>
        <v>739375</v>
      </c>
      <c r="E115" s="49">
        <f>VLOOKUP($A115,'Data shares'!$C:$FA,128)*100</f>
        <v>25.64</v>
      </c>
      <c r="F115" s="49">
        <f>VLOOKUP($A115,'Data shares'!$C:$FA,129)</f>
        <v>36859750</v>
      </c>
      <c r="G115" s="17"/>
    </row>
    <row r="116" spans="1:7" x14ac:dyDescent="0.25">
      <c r="A116" s="101" t="s">
        <v>489</v>
      </c>
      <c r="B116" s="17">
        <v>9087752</v>
      </c>
      <c r="C116" s="17">
        <v>1575750</v>
      </c>
      <c r="D116" s="17">
        <f t="shared" si="1"/>
        <v>1575750</v>
      </c>
      <c r="E116" s="49">
        <f>VLOOKUP($A116,'Data shares'!$C:$FA,128)*100</f>
        <v>9.9599999999999991</v>
      </c>
      <c r="F116" s="49">
        <f>VLOOKUP($A116,'Data shares'!$C:$FA,129)</f>
        <v>3856500</v>
      </c>
      <c r="G116" s="17"/>
    </row>
    <row r="117" spans="1:7" x14ac:dyDescent="0.25">
      <c r="A117" s="101" t="s">
        <v>484</v>
      </c>
      <c r="B117" s="17">
        <v>3300938</v>
      </c>
      <c r="C117" s="17">
        <v>190125</v>
      </c>
      <c r="D117" s="17">
        <f t="shared" si="1"/>
        <v>190125</v>
      </c>
      <c r="E117" s="49">
        <f>VLOOKUP($A117,'Data shares'!$C:$FA,128)*100</f>
        <v>16.88</v>
      </c>
      <c r="F117" s="49">
        <f>VLOOKUP($A117,'Data shares'!$C:$FA,129)</f>
        <v>8100300</v>
      </c>
      <c r="G117" s="17"/>
    </row>
    <row r="118" spans="1:7" x14ac:dyDescent="0.25">
      <c r="A118" s="101" t="s">
        <v>285</v>
      </c>
      <c r="B118" s="17">
        <v>17806068</v>
      </c>
      <c r="C118" s="17">
        <v>1857900</v>
      </c>
      <c r="D118" s="17">
        <f t="shared" si="1"/>
        <v>1857900</v>
      </c>
      <c r="E118" s="49">
        <f>VLOOKUP($A118,'Data shares'!$C:$FA,128)*100</f>
        <v>9.5699999999999985</v>
      </c>
      <c r="F118" s="49">
        <f>VLOOKUP($A118,'Data shares'!$C:$FA,129)</f>
        <v>263725</v>
      </c>
      <c r="G118" s="17"/>
    </row>
    <row r="119" spans="1:7" x14ac:dyDescent="0.25">
      <c r="A119" s="101" t="s">
        <v>554</v>
      </c>
      <c r="B119" s="17">
        <v>18562709</v>
      </c>
      <c r="C119" s="17">
        <v>2173500</v>
      </c>
      <c r="D119" s="17">
        <f t="shared" si="1"/>
        <v>2173500</v>
      </c>
      <c r="E119" s="49">
        <f>VLOOKUP($A119,'Data shares'!$C:$FA,128)*100</f>
        <v>12.370000000000001</v>
      </c>
      <c r="F119" s="49">
        <f>VLOOKUP($A119,'Data shares'!$C:$FA,129)</f>
        <v>9834825</v>
      </c>
      <c r="G119" s="17"/>
    </row>
    <row r="120" spans="1:7" x14ac:dyDescent="0.25">
      <c r="A120" s="101" t="s">
        <v>293</v>
      </c>
      <c r="B120" s="17">
        <v>339616396</v>
      </c>
      <c r="C120" s="17">
        <v>214528500</v>
      </c>
      <c r="D120" s="17">
        <f t="shared" si="1"/>
        <v>214528500</v>
      </c>
      <c r="E120" s="49">
        <f>VLOOKUP($A120,'Data shares'!$C:$FA,128)*100</f>
        <v>12.26</v>
      </c>
      <c r="F120" s="49">
        <f>VLOOKUP($A120,'Data shares'!$C:$FA,129)</f>
        <v>5962400</v>
      </c>
      <c r="G120" s="17"/>
    </row>
    <row r="121" spans="1:7" x14ac:dyDescent="0.25">
      <c r="A121" s="101" t="s">
        <v>282</v>
      </c>
      <c r="B121" s="17">
        <v>289139949</v>
      </c>
      <c r="C121" s="17">
        <v>230878500</v>
      </c>
      <c r="D121" s="17">
        <f t="shared" si="1"/>
        <v>230878500</v>
      </c>
      <c r="E121" s="49">
        <f>VLOOKUP($A121,'Data shares'!$C:$FA,128)*100</f>
        <v>17.810000000000002</v>
      </c>
      <c r="F121" s="49">
        <f>VLOOKUP($A121,'Data shares'!$C:$FA,129)</f>
        <v>35936200</v>
      </c>
      <c r="G121" s="17"/>
    </row>
    <row r="122" spans="1:7" x14ac:dyDescent="0.25">
      <c r="A122" s="101" t="s">
        <v>248</v>
      </c>
      <c r="B122" s="17">
        <v>60244101</v>
      </c>
      <c r="C122" s="17">
        <v>36578000</v>
      </c>
      <c r="D122" s="17">
        <f t="shared" si="1"/>
        <v>36578000</v>
      </c>
      <c r="E122" s="49">
        <f>VLOOKUP($A122,'Data shares'!$C:$FA,128)*100</f>
        <v>4.22</v>
      </c>
      <c r="F122" s="49">
        <f>VLOOKUP($A122,'Data shares'!$C:$FA,129)</f>
        <v>1059000</v>
      </c>
      <c r="G122" s="17"/>
    </row>
    <row r="123" spans="1:7" x14ac:dyDescent="0.25">
      <c r="A123" s="101" t="s">
        <v>189</v>
      </c>
      <c r="B123" s="17">
        <v>510707358</v>
      </c>
      <c r="C123" s="17">
        <v>94385350</v>
      </c>
      <c r="D123" s="17">
        <f t="shared" si="1"/>
        <v>94385350</v>
      </c>
      <c r="E123" s="49">
        <f>VLOOKUP($A123,'Data shares'!$C:$FA,128)*100</f>
        <v>28.139999999999997</v>
      </c>
      <c r="F123" s="49">
        <f>VLOOKUP($A123,'Data shares'!$C:$FA,129)</f>
        <v>15479775</v>
      </c>
      <c r="G123" s="17"/>
    </row>
    <row r="124" spans="1:7" x14ac:dyDescent="0.25">
      <c r="A124" s="101" t="s">
        <v>213</v>
      </c>
      <c r="B124" s="17">
        <v>425164259</v>
      </c>
      <c r="C124" s="17">
        <v>85375600</v>
      </c>
      <c r="D124" s="17">
        <f t="shared" si="1"/>
        <v>85375600</v>
      </c>
      <c r="E124" s="49">
        <f>VLOOKUP($A124,'Data shares'!$C:$FA,128)*100</f>
        <v>11.04</v>
      </c>
      <c r="F124" s="49">
        <f>VLOOKUP($A124,'Data shares'!$C:$FA,129)</f>
        <v>7941150</v>
      </c>
      <c r="G124" s="17"/>
    </row>
    <row r="125" spans="1:7" x14ac:dyDescent="0.25">
      <c r="A125" s="101" t="s">
        <v>295</v>
      </c>
      <c r="B125" s="17">
        <v>205769415</v>
      </c>
      <c r="C125" s="17">
        <v>21452100</v>
      </c>
      <c r="D125" s="17">
        <f t="shared" si="1"/>
        <v>21452100</v>
      </c>
      <c r="E125" s="49">
        <f>VLOOKUP($A125,'Data shares'!$C:$FA,128)*100</f>
        <v>10.6</v>
      </c>
      <c r="F125" s="49">
        <f>VLOOKUP($A125,'Data shares'!$C:$FA,129)</f>
        <v>3465525</v>
      </c>
      <c r="G125" s="17"/>
    </row>
    <row r="126" spans="1:7" x14ac:dyDescent="0.25">
      <c r="A126" s="101" t="s">
        <v>490</v>
      </c>
      <c r="B126" s="17">
        <v>52165566</v>
      </c>
      <c r="C126" s="17">
        <v>22212750</v>
      </c>
      <c r="D126" s="17">
        <f t="shared" si="1"/>
        <v>22212750</v>
      </c>
      <c r="E126" s="49">
        <f>VLOOKUP($A126,'Data shares'!$C:$FA,128)*100</f>
        <v>12.91</v>
      </c>
      <c r="F126" s="49">
        <f>VLOOKUP($A126,'Data shares'!$C:$FA,129)</f>
        <v>11022375</v>
      </c>
      <c r="G126" s="17"/>
    </row>
    <row r="127" spans="1:7" x14ac:dyDescent="0.25">
      <c r="A127" s="101" t="s">
        <v>260</v>
      </c>
      <c r="B127" s="17">
        <v>241729538</v>
      </c>
      <c r="C127" s="17">
        <v>65383500</v>
      </c>
      <c r="D127" s="17">
        <f t="shared" si="1"/>
        <v>65383500</v>
      </c>
      <c r="E127" s="49">
        <f>VLOOKUP($A127,'Data shares'!$C:$FA,128)*100</f>
        <v>10.059999999999999</v>
      </c>
      <c r="F127" s="49">
        <f>VLOOKUP($A127,'Data shares'!$C:$FA,129)</f>
        <v>11844900</v>
      </c>
      <c r="G127" s="17"/>
    </row>
    <row r="128" spans="1:7" x14ac:dyDescent="0.25">
      <c r="A128" s="101" t="s">
        <v>171</v>
      </c>
      <c r="B128" s="17">
        <v>56444627</v>
      </c>
      <c r="C128" s="17">
        <v>23336250</v>
      </c>
      <c r="D128" s="17">
        <f t="shared" si="1"/>
        <v>23336250</v>
      </c>
      <c r="E128" s="49">
        <f>VLOOKUP($A128,'Data shares'!$C:$FA,128)*100</f>
        <v>23.71</v>
      </c>
      <c r="F128" s="49">
        <f>VLOOKUP($A128,'Data shares'!$C:$FA,129)</f>
        <v>668250</v>
      </c>
      <c r="G128" s="17"/>
    </row>
    <row r="129" spans="1:7" x14ac:dyDescent="0.25">
      <c r="A129" s="101" t="s">
        <v>462</v>
      </c>
      <c r="B129" s="17">
        <v>88648462</v>
      </c>
      <c r="C129" s="17">
        <v>11150250</v>
      </c>
      <c r="D129" s="17">
        <f t="shared" si="1"/>
        <v>11150250</v>
      </c>
      <c r="E129" s="49">
        <f>VLOOKUP($A129,'Data shares'!$C:$FA,128)*100</f>
        <v>9.9599999999999991</v>
      </c>
      <c r="F129" s="49">
        <f>VLOOKUP($A129,'Data shares'!$C:$FA,129)</f>
        <v>688875</v>
      </c>
      <c r="G129" s="17"/>
    </row>
    <row r="130" spans="1:7" x14ac:dyDescent="0.25">
      <c r="A130" s="101" t="s">
        <v>274</v>
      </c>
      <c r="B130" s="17">
        <v>30511703</v>
      </c>
      <c r="C130" s="17">
        <v>3556000</v>
      </c>
      <c r="D130" s="17">
        <f t="shared" si="1"/>
        <v>3556000</v>
      </c>
      <c r="E130" s="49">
        <f>VLOOKUP($A130,'Data shares'!$C:$FA,128)*100</f>
        <v>3.42</v>
      </c>
      <c r="F130" s="49">
        <f>VLOOKUP($A130,'Data shares'!$C:$FA,129)</f>
        <v>271500</v>
      </c>
      <c r="G130" s="17"/>
    </row>
    <row r="131" spans="1:7" x14ac:dyDescent="0.25">
      <c r="A131" s="101" t="s">
        <v>279</v>
      </c>
      <c r="B131" s="17">
        <v>119890099</v>
      </c>
      <c r="C131" s="17">
        <v>77232800</v>
      </c>
      <c r="D131" s="17">
        <f t="shared" si="1"/>
        <v>77232800</v>
      </c>
      <c r="E131" s="49">
        <f>VLOOKUP($A131,'Data shares'!$C:$FA,128)*100</f>
        <v>5.34</v>
      </c>
      <c r="F131" s="49">
        <f>VLOOKUP($A131,'Data shares'!$C:$FA,129)</f>
        <v>1336675</v>
      </c>
      <c r="G131" s="17"/>
    </row>
    <row r="132" spans="1:7" x14ac:dyDescent="0.25">
      <c r="A132" s="101" t="s">
        <v>247</v>
      </c>
      <c r="B132" s="17">
        <v>180580821</v>
      </c>
      <c r="C132" s="17">
        <v>128041552</v>
      </c>
      <c r="D132" s="17">
        <f t="shared" si="1"/>
        <v>128041552</v>
      </c>
      <c r="E132" s="49">
        <f>VLOOKUP($A132,'Data shares'!$C:$FA,128)*100</f>
        <v>7.93</v>
      </c>
      <c r="F132" s="49">
        <f>VLOOKUP($A132,'Data shares'!$C:$FA,129)</f>
        <v>480250</v>
      </c>
      <c r="G132" s="17"/>
    </row>
    <row r="133" spans="1:7" x14ac:dyDescent="0.25">
      <c r="A133" s="101" t="s">
        <v>291</v>
      </c>
      <c r="B133" s="17">
        <v>120211514</v>
      </c>
      <c r="C133" s="17">
        <v>18359325</v>
      </c>
      <c r="D133" s="17">
        <f t="shared" si="1"/>
        <v>18359325</v>
      </c>
      <c r="E133" s="49">
        <f>VLOOKUP($A133,'Data shares'!$C:$FA,128)*100</f>
        <v>7.0900000000000007</v>
      </c>
      <c r="F133" s="49">
        <f>VLOOKUP($A133,'Data shares'!$C:$FA,129)</f>
        <v>880000</v>
      </c>
      <c r="G133" s="17"/>
    </row>
    <row r="134" spans="1:7" x14ac:dyDescent="0.25">
      <c r="A134" s="101" t="s">
        <v>269</v>
      </c>
      <c r="B134" s="17">
        <v>996134149</v>
      </c>
      <c r="C134" s="17">
        <v>204565900</v>
      </c>
      <c r="D134" s="17">
        <f t="shared" si="1"/>
        <v>204565900</v>
      </c>
      <c r="E134" s="49">
        <f>VLOOKUP($A134,'Data shares'!$C:$FA,128)*100</f>
        <v>11.75</v>
      </c>
      <c r="F134" s="49">
        <f>VLOOKUP($A134,'Data shares'!$C:$FA,129)</f>
        <v>10140750</v>
      </c>
      <c r="G134" s="17"/>
    </row>
    <row r="135" spans="1:7" x14ac:dyDescent="0.25">
      <c r="A135" s="101" t="s">
        <v>217</v>
      </c>
      <c r="B135" s="17">
        <v>75218562</v>
      </c>
      <c r="C135" s="17">
        <v>11613000</v>
      </c>
      <c r="D135" s="17">
        <f t="shared" ref="D135:D161" si="2">C135</f>
        <v>11613000</v>
      </c>
      <c r="E135" s="49">
        <f>VLOOKUP($A135,'Data shares'!$C:$FA,128)*100</f>
        <v>6.8199999999999994</v>
      </c>
      <c r="F135" s="49">
        <f>VLOOKUP($A135,'Data shares'!$C:$FA,129)</f>
        <v>804500</v>
      </c>
      <c r="G135" s="17"/>
    </row>
    <row r="136" spans="1:7" x14ac:dyDescent="0.25">
      <c r="A136" s="101" t="s">
        <v>495</v>
      </c>
      <c r="B136" s="17">
        <v>44974045</v>
      </c>
      <c r="C136" s="17">
        <v>4232500</v>
      </c>
      <c r="D136" s="17">
        <f t="shared" si="2"/>
        <v>4232500</v>
      </c>
      <c r="E136" s="49">
        <f>VLOOKUP($A136,'Data shares'!$C:$FA,128)*100</f>
        <v>7.02</v>
      </c>
      <c r="F136" s="49">
        <f>VLOOKUP($A136,'Data shares'!$C:$FA,129)</f>
        <v>1478000</v>
      </c>
      <c r="G136" s="17"/>
    </row>
    <row r="137" spans="1:7" x14ac:dyDescent="0.25">
      <c r="A137" s="101" t="s">
        <v>250</v>
      </c>
      <c r="B137" s="17">
        <v>48318354</v>
      </c>
      <c r="C137" s="17">
        <v>18007250</v>
      </c>
      <c r="D137" s="17">
        <f t="shared" si="2"/>
        <v>18007250</v>
      </c>
      <c r="E137" s="49">
        <f>VLOOKUP($A137,'Data shares'!$C:$FA,128)*100</f>
        <v>4.72</v>
      </c>
      <c r="F137" s="49">
        <f>VLOOKUP($A137,'Data shares'!$C:$FA,129)</f>
        <v>286875</v>
      </c>
      <c r="G137" s="17"/>
    </row>
    <row r="138" spans="1:7" x14ac:dyDescent="0.25">
      <c r="A138" s="101" t="s">
        <v>278</v>
      </c>
      <c r="B138" s="17">
        <v>27187764</v>
      </c>
      <c r="C138" s="17">
        <v>3521550</v>
      </c>
      <c r="D138" s="17">
        <f t="shared" si="2"/>
        <v>3521550</v>
      </c>
      <c r="E138" s="49">
        <f>VLOOKUP($A138,'Data shares'!$C:$FA,128)*100</f>
        <v>1.67</v>
      </c>
      <c r="F138" s="49">
        <f>VLOOKUP($A138,'Data shares'!$C:$FA,129)</f>
        <v>86400</v>
      </c>
      <c r="G138" s="17"/>
    </row>
    <row r="139" spans="1:7" x14ac:dyDescent="0.25">
      <c r="A139" s="101" t="s">
        <v>163</v>
      </c>
      <c r="B139" s="17">
        <v>24576009</v>
      </c>
      <c r="C139" s="17">
        <v>11979000</v>
      </c>
      <c r="D139" s="17">
        <f t="shared" si="2"/>
        <v>11979000</v>
      </c>
      <c r="E139" s="49">
        <f>VLOOKUP($A139,'Data shares'!$C:$FA,128)*100</f>
        <v>1.31</v>
      </c>
      <c r="F139" s="49">
        <f>VLOOKUP($A139,'Data shares'!$C:$FA,129)</f>
        <v>11375</v>
      </c>
      <c r="G139" s="17"/>
    </row>
    <row r="140" spans="1:7" x14ac:dyDescent="0.25">
      <c r="A140" s="101" t="s">
        <v>289</v>
      </c>
      <c r="B140" s="17">
        <v>19704232</v>
      </c>
      <c r="C140" s="17">
        <v>15520500</v>
      </c>
      <c r="D140" s="17">
        <f t="shared" si="2"/>
        <v>15520500</v>
      </c>
      <c r="E140" s="49">
        <f>VLOOKUP($A140,'Data shares'!$C:$FA,128)*100</f>
        <v>22.57</v>
      </c>
      <c r="F140" s="49">
        <f>VLOOKUP($A140,'Data shares'!$C:$FA,129)</f>
        <v>3797150</v>
      </c>
      <c r="G140" s="17"/>
    </row>
    <row r="141" spans="1:7" x14ac:dyDescent="0.25">
      <c r="A141" s="101" t="s">
        <v>529</v>
      </c>
      <c r="B141" s="17">
        <v>10012679</v>
      </c>
      <c r="C141" s="17">
        <v>530550</v>
      </c>
      <c r="D141" s="17">
        <f t="shared" si="2"/>
        <v>530550</v>
      </c>
      <c r="E141" s="49">
        <f>VLOOKUP($A141,'Data shares'!$C:$FA,128)*100</f>
        <v>15.959999999999999</v>
      </c>
      <c r="F141" s="49">
        <f>VLOOKUP($A141,'Data shares'!$C:$FA,129)</f>
        <v>798800</v>
      </c>
      <c r="G141" s="17"/>
    </row>
    <row r="142" spans="1:7" x14ac:dyDescent="0.25">
      <c r="A142" s="101" t="s">
        <v>265</v>
      </c>
      <c r="B142" s="17">
        <v>7180127</v>
      </c>
      <c r="C142" s="17">
        <v>429550</v>
      </c>
      <c r="D142" s="17">
        <f t="shared" si="2"/>
        <v>429550</v>
      </c>
      <c r="E142" s="49">
        <f>VLOOKUP($A142,'Data shares'!$C:$FA,128)*100</f>
        <v>7.03</v>
      </c>
      <c r="F142" s="49">
        <f>VLOOKUP($A142,'Data shares'!$C:$FA,129)</f>
        <v>1314000</v>
      </c>
      <c r="G142" s="17"/>
    </row>
    <row r="143" spans="1:7" x14ac:dyDescent="0.25">
      <c r="A143" s="101" t="s">
        <v>486</v>
      </c>
      <c r="B143" s="17">
        <v>32559242</v>
      </c>
      <c r="C143" s="17">
        <v>4156800</v>
      </c>
      <c r="D143" s="17">
        <f t="shared" si="2"/>
        <v>4156800</v>
      </c>
      <c r="E143" s="49">
        <f>VLOOKUP($A143,'Data shares'!$C:$FA,128)*100</f>
        <v>10.530000000000001</v>
      </c>
      <c r="F143" s="49">
        <f>VLOOKUP($A143,'Data shares'!$C:$FA,129)</f>
        <v>271250</v>
      </c>
      <c r="G143" s="17"/>
    </row>
    <row r="144" spans="1:7" x14ac:dyDescent="0.25">
      <c r="A144" s="101" t="s">
        <v>190</v>
      </c>
      <c r="B144" s="17">
        <v>256482590</v>
      </c>
      <c r="C144" s="17">
        <v>208761000</v>
      </c>
      <c r="D144" s="17">
        <f t="shared" si="2"/>
        <v>208761000</v>
      </c>
      <c r="E144" s="49">
        <f>VLOOKUP($A144,'Data shares'!$C:$FA,128)*100</f>
        <v>6.84</v>
      </c>
      <c r="F144" s="49">
        <f>VLOOKUP($A144,'Data shares'!$C:$FA,129)</f>
        <v>5029500</v>
      </c>
      <c r="G144" s="17"/>
    </row>
    <row r="145" spans="1:7" x14ac:dyDescent="0.25">
      <c r="A145" s="101" t="s">
        <v>303</v>
      </c>
      <c r="B145" s="17">
        <v>109653438</v>
      </c>
      <c r="C145" s="17">
        <v>37709100</v>
      </c>
      <c r="D145" s="17">
        <f t="shared" si="2"/>
        <v>37709100</v>
      </c>
      <c r="E145" s="49">
        <f>VLOOKUP($A145,'Data shares'!$C:$FA,128)*100</f>
        <v>3.5999999999999996</v>
      </c>
      <c r="F145" s="49">
        <f>VLOOKUP($A145,'Data shares'!$C:$FA,129)</f>
        <v>882105</v>
      </c>
      <c r="G145" s="17"/>
    </row>
    <row r="146" spans="1:7" x14ac:dyDescent="0.25">
      <c r="A146" s="101" t="s">
        <v>255</v>
      </c>
      <c r="B146" s="17">
        <v>26359259</v>
      </c>
      <c r="C146" s="17">
        <v>6916100</v>
      </c>
      <c r="D146" s="17">
        <f t="shared" si="2"/>
        <v>6916100</v>
      </c>
      <c r="E146" s="49">
        <f>VLOOKUP($A146,'Data shares'!$C:$FA,128)*100</f>
        <v>15.93</v>
      </c>
      <c r="F146" s="49">
        <f>VLOOKUP($A146,'Data shares'!$C:$FA,129)</f>
        <v>531000</v>
      </c>
      <c r="G146" s="17"/>
    </row>
    <row r="147" spans="1:7" x14ac:dyDescent="0.25">
      <c r="A147" s="101" t="s">
        <v>180</v>
      </c>
      <c r="B147" s="17">
        <v>372635498</v>
      </c>
      <c r="C147" s="17">
        <v>233426700</v>
      </c>
      <c r="D147" s="17">
        <f t="shared" si="2"/>
        <v>233426700</v>
      </c>
      <c r="E147" s="49">
        <f>VLOOKUP($A147,'Data shares'!$C:$FA,128)*100</f>
        <v>15.98</v>
      </c>
      <c r="F147" s="49">
        <f>VLOOKUP($A147,'Data shares'!$C:$FA,129)</f>
        <v>13887900</v>
      </c>
      <c r="G147" s="17"/>
    </row>
    <row r="148" spans="1:7" x14ac:dyDescent="0.25">
      <c r="A148" s="101" t="s">
        <v>179</v>
      </c>
      <c r="B148" s="17">
        <v>193321473</v>
      </c>
      <c r="C148" s="17">
        <v>47098800</v>
      </c>
      <c r="D148" s="17">
        <f t="shared" si="2"/>
        <v>47098800</v>
      </c>
      <c r="E148" s="49">
        <f>VLOOKUP($A148,'Data shares'!$C:$FA,128)*100</f>
        <v>20.22</v>
      </c>
      <c r="F148" s="49">
        <f>VLOOKUP($A148,'Data shares'!$C:$FA,129)</f>
        <v>15548400</v>
      </c>
    </row>
    <row r="149" spans="1:7" x14ac:dyDescent="0.25">
      <c r="A149" s="101" t="s">
        <v>253</v>
      </c>
      <c r="B149" s="17">
        <v>109926618</v>
      </c>
      <c r="C149" s="17">
        <v>54285000</v>
      </c>
      <c r="D149" s="17">
        <f t="shared" si="2"/>
        <v>54285000</v>
      </c>
      <c r="E149" s="49">
        <f>VLOOKUP($A149,'Data shares'!$C:$FA,128)*100</f>
        <v>6.09</v>
      </c>
      <c r="F149" s="49">
        <f>VLOOKUP($A149,'Data shares'!$C:$FA,129)</f>
        <v>1797000</v>
      </c>
    </row>
    <row r="150" spans="1:7" x14ac:dyDescent="0.25">
      <c r="A150" s="101" t="s">
        <v>261</v>
      </c>
      <c r="B150" s="17">
        <v>611563</v>
      </c>
      <c r="C150" s="17">
        <v>120180</v>
      </c>
      <c r="D150" s="17">
        <f t="shared" si="2"/>
        <v>120180</v>
      </c>
      <c r="E150" s="49">
        <f>VLOOKUP($A150,'Data shares'!$C:$FA,128)*100</f>
        <v>5.86</v>
      </c>
      <c r="F150" s="49">
        <f>VLOOKUP($A150,'Data shares'!$C:$FA,129)</f>
        <v>265925</v>
      </c>
    </row>
    <row r="151" spans="1:7" x14ac:dyDescent="0.25">
      <c r="A151" s="101" t="s">
        <v>164</v>
      </c>
      <c r="B151" s="17">
        <v>145854205</v>
      </c>
      <c r="C151" s="17">
        <v>46824000</v>
      </c>
      <c r="D151" s="17">
        <f t="shared" si="2"/>
        <v>46824000</v>
      </c>
      <c r="E151" s="49">
        <f>VLOOKUP($A151,'Data shares'!$C:$FA,128)*100</f>
        <v>16.86</v>
      </c>
      <c r="F151" s="49">
        <f>VLOOKUP($A151,'Data shares'!$C:$FA,129)</f>
        <v>8390550</v>
      </c>
    </row>
    <row r="152" spans="1:7" x14ac:dyDescent="0.25">
      <c r="A152" s="101" t="s">
        <v>526</v>
      </c>
      <c r="B152" s="17">
        <v>44365911</v>
      </c>
      <c r="C152" s="17">
        <v>20668300</v>
      </c>
      <c r="D152" s="17">
        <f t="shared" si="2"/>
        <v>20668300</v>
      </c>
      <c r="E152" s="49">
        <f>VLOOKUP($A152,'Data shares'!$C:$FA,128)*100</f>
        <v>10.95</v>
      </c>
      <c r="F152" s="49">
        <f>VLOOKUP($A152,'Data shares'!$C:$FA,129)</f>
        <v>2226000</v>
      </c>
    </row>
    <row r="153" spans="1:7" x14ac:dyDescent="0.25">
      <c r="A153" s="101" t="s">
        <v>515</v>
      </c>
      <c r="B153" s="17">
        <v>3083179</v>
      </c>
      <c r="C153" s="17">
        <v>492075</v>
      </c>
      <c r="D153" s="17">
        <f t="shared" si="2"/>
        <v>492075</v>
      </c>
      <c r="E153" s="49">
        <f>VLOOKUP($A153,'Data shares'!$C:$FA,128)*100</f>
        <v>10.95</v>
      </c>
      <c r="F153" s="49">
        <f>VLOOKUP($A153,'Data shares'!$C:$FA,129)</f>
        <v>2226000</v>
      </c>
    </row>
    <row r="154" spans="1:7" x14ac:dyDescent="0.25">
      <c r="A154" s="101" t="s">
        <v>226</v>
      </c>
      <c r="B154" s="17">
        <v>26072630</v>
      </c>
      <c r="C154" s="17">
        <v>9897900</v>
      </c>
      <c r="D154" s="17">
        <f t="shared" si="2"/>
        <v>9897900</v>
      </c>
      <c r="E154" s="49">
        <f>VLOOKUP($A154,'Data shares'!$C:$FA,128)*100</f>
        <v>7.9399999999999995</v>
      </c>
      <c r="F154" s="49">
        <f>VLOOKUP($A154,'Data shares'!$C:$FA,129)</f>
        <v>308250</v>
      </c>
    </row>
    <row r="155" spans="1:7" x14ac:dyDescent="0.25">
      <c r="A155" s="101" t="s">
        <v>544</v>
      </c>
      <c r="B155" s="17">
        <v>139989683</v>
      </c>
      <c r="C155" s="17">
        <v>28415200</v>
      </c>
      <c r="D155" s="17">
        <f t="shared" si="2"/>
        <v>28415200</v>
      </c>
      <c r="E155" s="49">
        <f>VLOOKUP($A155,'Data shares'!$C:$FA,128)*100</f>
        <v>2.5700000000000003</v>
      </c>
      <c r="F155" s="49">
        <f>VLOOKUP($A155,'Data shares'!$C:$FA,129)</f>
        <v>982700</v>
      </c>
    </row>
    <row r="156" spans="1:7" x14ac:dyDescent="0.25">
      <c r="A156" s="101" t="s">
        <v>547</v>
      </c>
      <c r="B156" s="17">
        <v>65482129</v>
      </c>
      <c r="C156" s="17">
        <v>33944200</v>
      </c>
      <c r="D156" s="17">
        <f t="shared" si="2"/>
        <v>33944200</v>
      </c>
      <c r="E156" s="49">
        <f>VLOOKUP($A156,'Data shares'!$C:$FA,128)*100</f>
        <v>14.38</v>
      </c>
      <c r="F156" s="49">
        <f>VLOOKUP($A156,'Data shares'!$C:$FA,129)</f>
        <v>4716600</v>
      </c>
    </row>
    <row r="157" spans="1:7" x14ac:dyDescent="0.25">
      <c r="A157" s="101" t="s">
        <v>499</v>
      </c>
      <c r="B157" s="17">
        <v>66687240</v>
      </c>
      <c r="C157" s="17">
        <v>16125200</v>
      </c>
      <c r="D157" s="17">
        <f t="shared" si="2"/>
        <v>16125200</v>
      </c>
      <c r="E157" s="49">
        <f>VLOOKUP($A157,'Data shares'!$C:$FA,128)*100</f>
        <v>2.5700000000000003</v>
      </c>
      <c r="F157" s="49">
        <f>VLOOKUP($A157,'Data shares'!$C:$FA,129)</f>
        <v>982700</v>
      </c>
    </row>
    <row r="158" spans="1:7" x14ac:dyDescent="0.25">
      <c r="A158" s="101" t="s">
        <v>483</v>
      </c>
      <c r="B158" s="17">
        <v>16146181</v>
      </c>
      <c r="C158" s="17">
        <v>1914250</v>
      </c>
      <c r="D158" s="17">
        <f t="shared" si="2"/>
        <v>1914250</v>
      </c>
      <c r="E158" s="49">
        <f>VLOOKUP($A158,'Data shares'!$C:$FA,128)*100</f>
        <v>8.34</v>
      </c>
      <c r="F158" s="49">
        <f>VLOOKUP($A158,'Data shares'!$C:$FA,129)</f>
        <v>175875</v>
      </c>
    </row>
    <row r="159" spans="1:7" x14ac:dyDescent="0.25">
      <c r="A159" s="101" t="s">
        <v>546</v>
      </c>
      <c r="B159" s="17">
        <v>18282414</v>
      </c>
      <c r="C159" s="17">
        <v>13742300</v>
      </c>
      <c r="D159" s="17">
        <f t="shared" si="2"/>
        <v>13742300</v>
      </c>
      <c r="E159" s="49">
        <f>VLOOKUP($A159,'Data shares'!$C:$FA,128)*100</f>
        <v>9.58</v>
      </c>
      <c r="F159" s="49">
        <f>VLOOKUP($A159,'Data shares'!$C:$FA,129)</f>
        <v>11334375</v>
      </c>
    </row>
    <row r="160" spans="1:7" x14ac:dyDescent="0.25">
      <c r="A160" s="101" t="s">
        <v>220</v>
      </c>
      <c r="B160" s="17">
        <v>50687734</v>
      </c>
      <c r="C160" s="17">
        <v>6783500</v>
      </c>
      <c r="D160" s="17">
        <f t="shared" si="2"/>
        <v>6783500</v>
      </c>
      <c r="E160" s="49">
        <f>VLOOKUP($A160,'Data shares'!$C:$FA,128)*100</f>
        <v>6.7299999999999995</v>
      </c>
      <c r="F160" s="49">
        <f>VLOOKUP($A160,'Data shares'!$C:$FA,129)</f>
        <v>561500</v>
      </c>
    </row>
    <row r="161" spans="1:6" x14ac:dyDescent="0.25">
      <c r="A161" s="101" t="s">
        <v>472</v>
      </c>
      <c r="B161" s="17">
        <v>50993734</v>
      </c>
      <c r="C161" s="17">
        <v>3803750</v>
      </c>
      <c r="D161" s="17">
        <f t="shared" si="2"/>
        <v>3803750</v>
      </c>
      <c r="E161" s="49">
        <f>VLOOKUP($A161,'Data shares'!$C:$FA,128)*100</f>
        <v>1.5</v>
      </c>
      <c r="F161" s="49">
        <f>VLOOKUP($A161,'Data shares'!$C:$FA,129)</f>
        <v>80275</v>
      </c>
    </row>
    <row r="162" spans="1:6" x14ac:dyDescent="0.25">
      <c r="A162" t="s">
        <v>535</v>
      </c>
      <c r="B162">
        <v>78168147</v>
      </c>
      <c r="C162">
        <v>9571500</v>
      </c>
      <c r="D162" s="17">
        <f t="shared" ref="D162:D204" si="3">C162</f>
        <v>9571500</v>
      </c>
      <c r="E162" s="49">
        <f>VLOOKUP($A162,'Data shares'!$C:$FA,128)*100</f>
        <v>6.9</v>
      </c>
      <c r="F162" s="49">
        <f>VLOOKUP($A162,'Data shares'!$C:$FA,129)</f>
        <v>963900</v>
      </c>
    </row>
    <row r="163" spans="1:6" x14ac:dyDescent="0.25">
      <c r="A163" t="s">
        <v>492</v>
      </c>
      <c r="B163">
        <v>28779078</v>
      </c>
      <c r="C163">
        <v>14404150</v>
      </c>
      <c r="D163" s="17">
        <f t="shared" si="3"/>
        <v>14404150</v>
      </c>
      <c r="E163" s="49">
        <f>VLOOKUP($A163,'Data shares'!$C:$FA,128)*100</f>
        <v>5.6899999999999995</v>
      </c>
      <c r="F163" s="49">
        <f>VLOOKUP($A163,'Data shares'!$C:$FA,129)</f>
        <v>358325</v>
      </c>
    </row>
    <row r="164" spans="1:6" x14ac:dyDescent="0.25">
      <c r="A164" t="s">
        <v>298</v>
      </c>
      <c r="B164">
        <v>9731600</v>
      </c>
      <c r="C164">
        <v>863500</v>
      </c>
      <c r="D164" s="17">
        <f t="shared" si="3"/>
        <v>863500</v>
      </c>
      <c r="E164" s="49">
        <f>VLOOKUP($A164,'Data shares'!$C:$FA,128)*100</f>
        <v>4.68</v>
      </c>
      <c r="F164" s="49">
        <f>VLOOKUP($A164,'Data shares'!$C:$FA,129)</f>
        <v>51750</v>
      </c>
    </row>
    <row r="165" spans="1:6" x14ac:dyDescent="0.25">
      <c r="A165" t="s">
        <v>548</v>
      </c>
      <c r="B165">
        <v>442076</v>
      </c>
      <c r="C165">
        <v>9615</v>
      </c>
      <c r="D165" s="17">
        <f t="shared" si="3"/>
        <v>9615</v>
      </c>
      <c r="E165" s="49">
        <f>VLOOKUP($A165,'Data shares'!$C:$FA,128)*100</f>
        <v>13.25</v>
      </c>
      <c r="F165" s="49">
        <f>VLOOKUP($A165,'Data shares'!$C:$FA,129)</f>
        <v>4046175</v>
      </c>
    </row>
    <row r="166" spans="1:6" x14ac:dyDescent="0.25">
      <c r="A166" t="s">
        <v>530</v>
      </c>
      <c r="B166">
        <v>3258166</v>
      </c>
      <c r="C166">
        <v>219750</v>
      </c>
      <c r="D166" s="17">
        <f t="shared" si="3"/>
        <v>219750</v>
      </c>
      <c r="E166" s="49">
        <f>VLOOKUP($A166,'Data shares'!$C:$FA,128)*100</f>
        <v>26.56</v>
      </c>
      <c r="F166" s="49">
        <f>VLOOKUP($A166,'Data shares'!$C:$FA,129)</f>
        <v>3479900</v>
      </c>
    </row>
    <row r="167" spans="1:6" x14ac:dyDescent="0.25">
      <c r="A167" t="s">
        <v>249</v>
      </c>
      <c r="B167">
        <v>277168216</v>
      </c>
      <c r="C167">
        <v>21795375</v>
      </c>
      <c r="D167" s="17">
        <f t="shared" si="3"/>
        <v>21795375</v>
      </c>
      <c r="E167" s="49">
        <f>VLOOKUP($A167,'Data shares'!$C:$FA,128)*100</f>
        <v>21.52</v>
      </c>
      <c r="F167" s="49">
        <f>VLOOKUP($A167,'Data shares'!$C:$FA,129)</f>
        <v>2678025</v>
      </c>
    </row>
    <row r="168" spans="1:6" x14ac:dyDescent="0.25">
      <c r="A168" t="s">
        <v>216</v>
      </c>
      <c r="B168">
        <v>484955219</v>
      </c>
      <c r="C168">
        <v>230400000</v>
      </c>
      <c r="D168" s="17">
        <f t="shared" si="3"/>
        <v>230400000</v>
      </c>
      <c r="E168" s="49">
        <f>VLOOKUP($A168,'Data shares'!$C:$FA,128)*100</f>
        <v>9.58</v>
      </c>
      <c r="F168" s="49">
        <f>VLOOKUP($A168,'Data shares'!$C:$FA,129)</f>
        <v>11334375</v>
      </c>
    </row>
    <row r="169" spans="1:6" x14ac:dyDescent="0.25">
      <c r="A169" t="s">
        <v>252</v>
      </c>
      <c r="B169">
        <v>117640832</v>
      </c>
      <c r="C169">
        <v>52456000</v>
      </c>
      <c r="D169" s="17">
        <f t="shared" si="3"/>
        <v>52456000</v>
      </c>
      <c r="E169" s="49">
        <f>VLOOKUP($A169,'Data shares'!$C:$FA,128)*100</f>
        <v>21.88</v>
      </c>
      <c r="F169" s="49">
        <f>VLOOKUP($A169,'Data shares'!$C:$FA,129)</f>
        <v>4194600</v>
      </c>
    </row>
    <row r="170" spans="1:6" x14ac:dyDescent="0.25">
      <c r="A170" t="s">
        <v>205</v>
      </c>
      <c r="B170">
        <v>25513876</v>
      </c>
      <c r="C170">
        <v>3302300</v>
      </c>
      <c r="D170" s="17">
        <f t="shared" si="3"/>
        <v>3302300</v>
      </c>
      <c r="E170" s="49">
        <f>VLOOKUP($A170,'Data shares'!$C:$FA,128)*100</f>
        <v>4.21</v>
      </c>
      <c r="F170" s="49">
        <f>VLOOKUP($A170,'Data shares'!$C:$FA,129)</f>
        <v>89600</v>
      </c>
    </row>
    <row r="171" spans="1:6" x14ac:dyDescent="0.25">
      <c r="A171" t="s">
        <v>194</v>
      </c>
      <c r="B171">
        <v>202646440</v>
      </c>
      <c r="C171">
        <v>52470000</v>
      </c>
      <c r="D171" s="17">
        <f t="shared" si="3"/>
        <v>52470000</v>
      </c>
      <c r="E171" s="49">
        <f>VLOOKUP($A171,'Data shares'!$C:$FA,128)*100</f>
        <v>6.88</v>
      </c>
      <c r="F171" s="49">
        <f>VLOOKUP($A171,'Data shares'!$C:$FA,129)</f>
        <v>2557625</v>
      </c>
    </row>
    <row r="172" spans="1:6" x14ac:dyDescent="0.25">
      <c r="A172" t="s">
        <v>263</v>
      </c>
      <c r="B172">
        <v>178967755</v>
      </c>
      <c r="C172">
        <v>142910500</v>
      </c>
      <c r="D172" s="17">
        <f t="shared" si="3"/>
        <v>142910500</v>
      </c>
      <c r="E172" s="49">
        <f>VLOOKUP($A172,'Data shares'!$C:$FA,128)*100</f>
        <v>8.0299999999999994</v>
      </c>
      <c r="F172" s="49">
        <f>VLOOKUP($A172,'Data shares'!$C:$FA,129)</f>
        <v>2988750</v>
      </c>
    </row>
    <row r="173" spans="1:6" x14ac:dyDescent="0.25">
      <c r="A173" t="s">
        <v>476</v>
      </c>
      <c r="B173">
        <v>40446155</v>
      </c>
      <c r="C173">
        <v>4358800</v>
      </c>
      <c r="D173" s="17">
        <f t="shared" si="3"/>
        <v>4358800</v>
      </c>
      <c r="E173" s="49">
        <f>VLOOKUP($A173,'Data shares'!$C:$FA,128)*100</f>
        <v>9.5</v>
      </c>
      <c r="F173" s="49">
        <f>VLOOKUP($A173,'Data shares'!$C:$FA,129)</f>
        <v>526000</v>
      </c>
    </row>
    <row r="174" spans="1:6" x14ac:dyDescent="0.25">
      <c r="A174" t="s">
        <v>187</v>
      </c>
      <c r="B174">
        <v>51436398</v>
      </c>
      <c r="C174">
        <v>7413750</v>
      </c>
      <c r="D174" s="17">
        <f t="shared" si="3"/>
        <v>7413750</v>
      </c>
      <c r="E174" s="49">
        <f>VLOOKUP($A174,'Data shares'!$C:$FA,128)*100</f>
        <v>5.6000000000000005</v>
      </c>
      <c r="F174" s="49">
        <f>VLOOKUP($A174,'Data shares'!$C:$FA,129)</f>
        <v>360500</v>
      </c>
    </row>
    <row r="175" spans="1:6" x14ac:dyDescent="0.25">
      <c r="A175" t="s">
        <v>493</v>
      </c>
      <c r="B175">
        <v>14814614</v>
      </c>
      <c r="C175">
        <v>3344250</v>
      </c>
      <c r="D175" s="17">
        <f t="shared" si="3"/>
        <v>3344250</v>
      </c>
      <c r="E175" s="49">
        <f>VLOOKUP($A175,'Data shares'!$C:$FA,128)*100</f>
        <v>3.2199999999999998</v>
      </c>
      <c r="F175" s="49">
        <f>VLOOKUP($A175,'Data shares'!$C:$FA,129)</f>
        <v>66625</v>
      </c>
    </row>
    <row r="176" spans="1:6" x14ac:dyDescent="0.25">
      <c r="A176" t="s">
        <v>525</v>
      </c>
      <c r="B176">
        <v>35635456</v>
      </c>
      <c r="C176">
        <v>28959300</v>
      </c>
      <c r="D176" s="17">
        <f t="shared" si="3"/>
        <v>28959300</v>
      </c>
      <c r="E176" s="49">
        <f>VLOOKUP($A176,'Data shares'!$C:$FA,128)*100</f>
        <v>4.5199999999999996</v>
      </c>
      <c r="F176" s="49">
        <f>VLOOKUP($A176,'Data shares'!$C:$FA,129)</f>
        <v>935825</v>
      </c>
    </row>
    <row r="177" spans="1:6" x14ac:dyDescent="0.25">
      <c r="A177" t="s">
        <v>512</v>
      </c>
      <c r="B177">
        <v>7771646</v>
      </c>
      <c r="C177">
        <v>1119375</v>
      </c>
      <c r="D177" s="17">
        <f t="shared" si="3"/>
        <v>1119375</v>
      </c>
      <c r="E177" s="49">
        <f>VLOOKUP($A177,'Data shares'!$C:$FA,128)*100</f>
        <v>17.32</v>
      </c>
      <c r="F177" s="49">
        <f>VLOOKUP($A177,'Data shares'!$C:$FA,129)</f>
        <v>468550</v>
      </c>
    </row>
    <row r="178" spans="1:6" x14ac:dyDescent="0.25">
      <c r="A178" t="s">
        <v>233</v>
      </c>
      <c r="B178">
        <v>76432837</v>
      </c>
      <c r="C178">
        <v>9804000</v>
      </c>
      <c r="D178" s="17">
        <f t="shared" si="3"/>
        <v>9804000</v>
      </c>
      <c r="E178" s="49">
        <f>VLOOKUP($A178,'Data shares'!$C:$FA,128)*100</f>
        <v>3.5000000000000004</v>
      </c>
      <c r="F178" s="49">
        <f>VLOOKUP($A178,'Data shares'!$C:$FA,129)</f>
        <v>483775</v>
      </c>
    </row>
    <row r="179" spans="1:6" x14ac:dyDescent="0.25">
      <c r="A179" t="s">
        <v>183</v>
      </c>
      <c r="B179">
        <v>12092405</v>
      </c>
      <c r="C179">
        <v>2606450</v>
      </c>
      <c r="D179" s="17">
        <f t="shared" si="3"/>
        <v>2606450</v>
      </c>
      <c r="E179" s="49">
        <f>VLOOKUP($A179,'Data shares'!$C:$FA,128)*100</f>
        <v>26.119999999999997</v>
      </c>
      <c r="F179" s="49">
        <f>VLOOKUP($A179,'Data shares'!$C:$FA,129)</f>
        <v>622440</v>
      </c>
    </row>
    <row r="180" spans="1:6" x14ac:dyDescent="0.25">
      <c r="A180" t="s">
        <v>280</v>
      </c>
      <c r="B180">
        <v>187084550</v>
      </c>
      <c r="C180">
        <v>50568000</v>
      </c>
      <c r="D180" s="17">
        <f t="shared" si="3"/>
        <v>50568000</v>
      </c>
      <c r="E180" s="49">
        <f>VLOOKUP($A180,'Data shares'!$C:$FA,128)*100</f>
        <v>18.2</v>
      </c>
      <c r="F180" s="49">
        <f>VLOOKUP($A180,'Data shares'!$C:$FA,129)</f>
        <v>8705200</v>
      </c>
    </row>
    <row r="181" spans="1:6" x14ac:dyDescent="0.25">
      <c r="A181" t="s">
        <v>166</v>
      </c>
      <c r="B181">
        <v>79597108</v>
      </c>
      <c r="C181">
        <v>26630000</v>
      </c>
      <c r="D181" s="17">
        <f t="shared" si="3"/>
        <v>26630000</v>
      </c>
      <c r="E181" s="49">
        <f>VLOOKUP($A181,'Data shares'!$C:$FA,128)*100</f>
        <v>5.58</v>
      </c>
      <c r="F181" s="49">
        <f>VLOOKUP($A181,'Data shares'!$C:$FA,129)</f>
        <v>115000</v>
      </c>
    </row>
    <row r="182" spans="1:6" x14ac:dyDescent="0.25">
      <c r="A182" t="s">
        <v>241</v>
      </c>
      <c r="B182">
        <v>913205148</v>
      </c>
      <c r="C182">
        <v>118527500</v>
      </c>
      <c r="D182" s="17">
        <f t="shared" si="3"/>
        <v>118527500</v>
      </c>
      <c r="E182" s="49">
        <f>VLOOKUP($A182,'Data shares'!$C:$FA,128)*100</f>
        <v>12.91</v>
      </c>
      <c r="F182" s="49">
        <f>VLOOKUP($A182,'Data shares'!$C:$FA,129)</f>
        <v>11022375</v>
      </c>
    </row>
    <row r="183" spans="1:6" x14ac:dyDescent="0.25">
      <c r="A183" t="s">
        <v>517</v>
      </c>
      <c r="B183">
        <v>10180563</v>
      </c>
      <c r="C183">
        <v>3926650</v>
      </c>
      <c r="D183" s="17">
        <f t="shared" si="3"/>
        <v>3926650</v>
      </c>
      <c r="E183" s="49">
        <f>VLOOKUP($A183,'Data shares'!$C:$FA,128)*100</f>
        <v>5.0200000000000005</v>
      </c>
      <c r="F183" s="49">
        <f>VLOOKUP($A183,'Data shares'!$C:$FA,129)</f>
        <v>584375</v>
      </c>
    </row>
    <row r="184" spans="1:6" x14ac:dyDescent="0.25">
      <c r="A184" t="s">
        <v>211</v>
      </c>
      <c r="B184">
        <v>91809066</v>
      </c>
      <c r="C184">
        <v>33516000</v>
      </c>
      <c r="D184" s="17">
        <f t="shared" si="3"/>
        <v>33516000</v>
      </c>
      <c r="E184" s="49">
        <f>VLOOKUP($A184,'Data shares'!$C:$FA,128)*100</f>
        <v>9.58</v>
      </c>
      <c r="F184" s="49">
        <f>VLOOKUP($A184,'Data shares'!$C:$FA,129)</f>
        <v>2439000</v>
      </c>
    </row>
    <row r="185" spans="1:6" x14ac:dyDescent="0.25">
      <c r="A185" t="s">
        <v>518</v>
      </c>
      <c r="B185">
        <v>4636018</v>
      </c>
      <c r="C185">
        <v>608375</v>
      </c>
      <c r="D185" s="17">
        <f t="shared" si="3"/>
        <v>608375</v>
      </c>
      <c r="E185" s="49">
        <f>VLOOKUP($A185,'Data shares'!$C:$FA,128)*100</f>
        <v>7.85</v>
      </c>
      <c r="F185" s="49">
        <f>VLOOKUP($A185,'Data shares'!$C:$FA,129)</f>
        <v>89400</v>
      </c>
    </row>
    <row r="186" spans="1:6" x14ac:dyDescent="0.25">
      <c r="A186" t="s">
        <v>511</v>
      </c>
      <c r="B186">
        <v>18644752</v>
      </c>
      <c r="C186">
        <v>4227600</v>
      </c>
      <c r="D186" s="17">
        <f t="shared" si="3"/>
        <v>4227600</v>
      </c>
      <c r="E186" s="49">
        <f>VLOOKUP($A186,'Data shares'!$C:$FA,128)*100</f>
        <v>18.21</v>
      </c>
      <c r="F186" s="49">
        <f>VLOOKUP($A186,'Data shares'!$C:$FA,129)</f>
        <v>30955500</v>
      </c>
    </row>
    <row r="187" spans="1:6" x14ac:dyDescent="0.25">
      <c r="A187" t="s">
        <v>186</v>
      </c>
      <c r="B187">
        <v>48589957</v>
      </c>
      <c r="C187">
        <v>5942200</v>
      </c>
      <c r="D187" s="17">
        <f t="shared" si="3"/>
        <v>5942200</v>
      </c>
      <c r="E187" s="49">
        <f>VLOOKUP($A187,'Data shares'!$C:$FA,128)*100</f>
        <v>16.91</v>
      </c>
      <c r="F187" s="49">
        <f>VLOOKUP($A187,'Data shares'!$C:$FA,129)</f>
        <v>14926875</v>
      </c>
    </row>
    <row r="188" spans="1:6" x14ac:dyDescent="0.25">
      <c r="A188" t="s">
        <v>522</v>
      </c>
      <c r="B188">
        <v>1063050</v>
      </c>
      <c r="C188">
        <v>54050</v>
      </c>
      <c r="D188" s="17">
        <f t="shared" si="3"/>
        <v>54050</v>
      </c>
      <c r="E188" s="49">
        <f>VLOOKUP($A188,'Data shares'!$C:$FA,128)*100</f>
        <v>7.9200000000000008</v>
      </c>
      <c r="F188" s="49">
        <f>VLOOKUP($A188,'Data shares'!$C:$FA,129)</f>
        <v>155875</v>
      </c>
    </row>
    <row r="189" spans="1:6" x14ac:dyDescent="0.25">
      <c r="A189" t="s">
        <v>300</v>
      </c>
      <c r="B189">
        <v>45360865</v>
      </c>
      <c r="C189">
        <v>14277200</v>
      </c>
      <c r="D189" s="17">
        <f t="shared" si="3"/>
        <v>14277200</v>
      </c>
      <c r="E189" s="49">
        <f>VLOOKUP($A189,'Data shares'!$C:$FA,128)*100</f>
        <v>7.57</v>
      </c>
      <c r="F189" s="49">
        <f>VLOOKUP($A189,'Data shares'!$C:$FA,129)</f>
        <v>593075</v>
      </c>
    </row>
    <row r="190" spans="1:6" x14ac:dyDescent="0.25">
      <c r="A190" t="s">
        <v>520</v>
      </c>
      <c r="B190">
        <v>23139622</v>
      </c>
      <c r="C190">
        <v>1555500</v>
      </c>
      <c r="D190" s="17">
        <f t="shared" si="3"/>
        <v>1555500</v>
      </c>
      <c r="E190" s="49">
        <f>VLOOKUP($A190,'Data shares'!$C:$FA,128)*100</f>
        <v>5.33</v>
      </c>
      <c r="F190" s="49">
        <f>VLOOKUP($A190,'Data shares'!$C:$FA,129)</f>
        <v>1886300</v>
      </c>
    </row>
    <row r="191" spans="1:6" x14ac:dyDescent="0.25">
      <c r="A191" t="s">
        <v>294</v>
      </c>
      <c r="B191">
        <v>161436977</v>
      </c>
      <c r="C191">
        <v>59382700</v>
      </c>
      <c r="D191" s="17">
        <f t="shared" si="3"/>
        <v>59382700</v>
      </c>
      <c r="E191" s="49">
        <f>VLOOKUP($A191,'Data shares'!$C:$FA,128)*100</f>
        <v>15.9</v>
      </c>
      <c r="F191" s="49">
        <f>VLOOKUP($A191,'Data shares'!$C:$FA,129)</f>
        <v>24695000</v>
      </c>
    </row>
    <row r="192" spans="1:6" x14ac:dyDescent="0.25">
      <c r="A192" t="s">
        <v>244</v>
      </c>
      <c r="B192">
        <v>265685393</v>
      </c>
      <c r="C192">
        <v>44023500</v>
      </c>
      <c r="D192" s="17">
        <f t="shared" si="3"/>
        <v>44023500</v>
      </c>
      <c r="E192" s="49">
        <f>VLOOKUP($A192,'Data shares'!$C:$FA,128)*100</f>
        <v>13.91</v>
      </c>
      <c r="F192" s="49">
        <f>VLOOKUP($A192,'Data shares'!$C:$FA,129)</f>
        <v>6391575</v>
      </c>
    </row>
    <row r="193" spans="1:6" x14ac:dyDescent="0.25">
      <c r="A193" t="s">
        <v>160</v>
      </c>
      <c r="B193">
        <v>145684825</v>
      </c>
      <c r="C193">
        <v>110820000</v>
      </c>
      <c r="D193" s="17">
        <f t="shared" si="3"/>
        <v>110820000</v>
      </c>
      <c r="E193" s="49">
        <f>VLOOKUP($A193,'Data shares'!$C:$FA,128)*100</f>
        <v>15.68</v>
      </c>
      <c r="F193" s="49">
        <f>VLOOKUP($A193,'Data shares'!$C:$FA,129)</f>
        <v>2911750</v>
      </c>
    </row>
    <row r="194" spans="1:6" x14ac:dyDescent="0.25">
      <c r="A194" t="s">
        <v>496</v>
      </c>
      <c r="B194">
        <v>11999202</v>
      </c>
      <c r="C194">
        <v>2345700</v>
      </c>
      <c r="D194" s="17">
        <f t="shared" si="3"/>
        <v>2345700</v>
      </c>
      <c r="E194" s="49">
        <f>VLOOKUP($A194,'Data shares'!$C:$FA,128)*100</f>
        <v>12.29</v>
      </c>
      <c r="F194" s="49">
        <f>VLOOKUP($A194,'Data shares'!$C:$FA,129)</f>
        <v>571550</v>
      </c>
    </row>
    <row r="195" spans="1:6" x14ac:dyDescent="0.25">
      <c r="A195" t="s">
        <v>230</v>
      </c>
      <c r="B195">
        <v>179034270</v>
      </c>
      <c r="C195">
        <v>24257400</v>
      </c>
      <c r="D195" s="17">
        <f t="shared" si="3"/>
        <v>24257400</v>
      </c>
      <c r="E195" s="49">
        <f>VLOOKUP($A195,'Data shares'!$C:$FA,128)*100</f>
        <v>6.2</v>
      </c>
      <c r="F195" s="49">
        <f>VLOOKUP($A195,'Data shares'!$C:$FA,129)</f>
        <v>1023300</v>
      </c>
    </row>
    <row r="196" spans="1:6" x14ac:dyDescent="0.25">
      <c r="A196" t="s">
        <v>203</v>
      </c>
      <c r="B196">
        <v>27165463</v>
      </c>
      <c r="C196">
        <v>3318000</v>
      </c>
      <c r="D196" s="17">
        <f t="shared" si="3"/>
        <v>3318000</v>
      </c>
      <c r="E196" s="49">
        <f>VLOOKUP($A196,'Data shares'!$C:$FA,128)*100</f>
        <v>9.94</v>
      </c>
      <c r="F196" s="49">
        <f>VLOOKUP($A196,'Data shares'!$C:$FA,129)</f>
        <v>375600</v>
      </c>
    </row>
    <row r="197" spans="1:6" x14ac:dyDescent="0.25">
      <c r="A197" t="s">
        <v>251</v>
      </c>
      <c r="B197">
        <v>184464522</v>
      </c>
      <c r="C197">
        <v>32566800</v>
      </c>
      <c r="D197" s="17">
        <f t="shared" si="3"/>
        <v>32566800</v>
      </c>
      <c r="E197" s="49">
        <f>VLOOKUP($A197,'Data shares'!$C:$FA,128)*100</f>
        <v>21.88</v>
      </c>
      <c r="F197" s="49">
        <f>VLOOKUP($A197,'Data shares'!$C:$FA,129)</f>
        <v>4194600</v>
      </c>
    </row>
    <row r="198" spans="1:6" x14ac:dyDescent="0.25">
      <c r="A198" t="s">
        <v>254</v>
      </c>
      <c r="B198">
        <v>104419539</v>
      </c>
      <c r="C198">
        <v>12741000</v>
      </c>
      <c r="D198" s="17">
        <f t="shared" si="3"/>
        <v>12741000</v>
      </c>
      <c r="E198" s="49">
        <f>VLOOKUP($A198,'Data shares'!$C:$FA,128)*100</f>
        <v>6.6000000000000005</v>
      </c>
      <c r="F198" s="49">
        <f>VLOOKUP($A198,'Data shares'!$C:$FA,129)</f>
        <v>1497600</v>
      </c>
    </row>
    <row r="199" spans="1:6" x14ac:dyDescent="0.25">
      <c r="A199" t="s">
        <v>159</v>
      </c>
      <c r="B199">
        <v>55169320</v>
      </c>
      <c r="C199">
        <v>29565500</v>
      </c>
      <c r="D199" s="17">
        <f t="shared" si="3"/>
        <v>29565500</v>
      </c>
      <c r="E199" s="49">
        <f>VLOOKUP($A199,'Data shares'!$C:$FA,128)*100</f>
        <v>11.07</v>
      </c>
      <c r="F199" s="49">
        <f>VLOOKUP($A199,'Data shares'!$C:$FA,129)</f>
        <v>1638627</v>
      </c>
    </row>
    <row r="200" spans="1:6" x14ac:dyDescent="0.25">
      <c r="A200" t="s">
        <v>201</v>
      </c>
      <c r="B200">
        <v>26654592</v>
      </c>
      <c r="C200">
        <v>3469200</v>
      </c>
      <c r="D200" s="17">
        <f t="shared" si="3"/>
        <v>3469200</v>
      </c>
      <c r="E200" s="49">
        <f>VLOOKUP($A200,'Data shares'!$C:$FA,128)*100</f>
        <v>6.5</v>
      </c>
      <c r="F200" s="49">
        <f>VLOOKUP($A200,'Data shares'!$C:$FA,129)</f>
        <v>346950</v>
      </c>
    </row>
    <row r="201" spans="1:6" x14ac:dyDescent="0.25">
      <c r="A201" t="s">
        <v>199</v>
      </c>
      <c r="B201">
        <v>102562642</v>
      </c>
      <c r="C201">
        <v>20641400</v>
      </c>
      <c r="D201" s="17">
        <f t="shared" si="3"/>
        <v>20641400</v>
      </c>
      <c r="E201" s="49">
        <f>VLOOKUP($A201,'Data shares'!$C:$FA,128)*100</f>
        <v>18.459999999999997</v>
      </c>
      <c r="F201" s="49">
        <f>VLOOKUP($A201,'Data shares'!$C:$FA,129)</f>
        <v>1661625</v>
      </c>
    </row>
    <row r="202" spans="1:6" x14ac:dyDescent="0.25">
      <c r="A202" t="s">
        <v>296</v>
      </c>
      <c r="B202">
        <v>124861039</v>
      </c>
      <c r="C202">
        <v>20543400</v>
      </c>
      <c r="D202" s="17">
        <f t="shared" si="3"/>
        <v>20543400</v>
      </c>
      <c r="E202" s="49">
        <f>VLOOKUP($A202,'Data shares'!$C:$FA,128)*100</f>
        <v>4.8899999999999997</v>
      </c>
      <c r="F202" s="49">
        <f>VLOOKUP($A202,'Data shares'!$C:$FA,129)</f>
        <v>829800</v>
      </c>
    </row>
    <row r="203" spans="1:6" x14ac:dyDescent="0.25">
      <c r="A203" t="s">
        <v>229</v>
      </c>
      <c r="B203">
        <v>127940594</v>
      </c>
      <c r="C203">
        <v>33552900</v>
      </c>
      <c r="D203" s="17">
        <f t="shared" si="3"/>
        <v>33552900</v>
      </c>
      <c r="E203" s="49">
        <f>VLOOKUP($A203,'Data shares'!$C:$FA,128)*100</f>
        <v>7.2499999999999991</v>
      </c>
      <c r="F203" s="49">
        <f>VLOOKUP($A203,'Data shares'!$C:$FA,129)</f>
        <v>2241675</v>
      </c>
    </row>
    <row r="204" spans="1:6" x14ac:dyDescent="0.25">
      <c r="A204" t="s">
        <v>497</v>
      </c>
      <c r="B204">
        <v>10251929</v>
      </c>
      <c r="C204">
        <v>266200</v>
      </c>
      <c r="D204" s="17">
        <f t="shared" si="3"/>
        <v>266200</v>
      </c>
      <c r="E204" s="49">
        <f>VLOOKUP($A204,'Data shares'!$C:$FA,128)*100</f>
        <v>1.31</v>
      </c>
      <c r="F204" s="49">
        <f>VLOOKUP($A204,'Data shares'!$C:$FA,129)</f>
        <v>11375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D14" sqref="D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A14" zoomScale="87" zoomScaleNormal="87" workbookViewId="0">
      <selection activeCell="H22" sqref="H22"/>
    </sheetView>
  </sheetViews>
  <sheetFormatPr defaultRowHeight="15" x14ac:dyDescent="0.25"/>
  <cols>
    <col min="1" max="1" width="12.140625"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4"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9" width="13.140625" bestFit="1" customWidth="1"/>
    <col min="90" max="90" width="10.42578125" bestFit="1" customWidth="1"/>
    <col min="91" max="92" width="14.28515625" bestFit="1" customWidth="1"/>
    <col min="93" max="93" width="12.42578125" bestFit="1" customWidth="1"/>
    <col min="94" max="94" width="10.42578125" bestFit="1" customWidth="1"/>
    <col min="95" max="95" width="14.28515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46132</v>
      </c>
      <c r="B2" s="227" t="s">
        <v>215</v>
      </c>
      <c r="C2" s="227" t="s">
        <v>159</v>
      </c>
      <c r="D2" s="231">
        <v>2230.5</v>
      </c>
      <c r="E2" s="231">
        <v>2224.9</v>
      </c>
      <c r="F2" s="228">
        <v>5.6</v>
      </c>
      <c r="G2" s="229">
        <v>2.5000000000000001E-3</v>
      </c>
      <c r="H2" s="231">
        <v>2229.6</v>
      </c>
      <c r="I2" s="231">
        <v>2218.3000000000002</v>
      </c>
      <c r="J2" s="228">
        <v>11.3</v>
      </c>
      <c r="K2" s="229">
        <v>5.1000000000000004E-3</v>
      </c>
      <c r="L2" s="231">
        <v>2230.5</v>
      </c>
      <c r="M2" s="231">
        <v>2224.9</v>
      </c>
      <c r="N2" s="228">
        <v>5.6</v>
      </c>
      <c r="O2" s="229">
        <v>2.5000000000000001E-3</v>
      </c>
      <c r="P2" s="231">
        <v>2243.6</v>
      </c>
      <c r="Q2" s="231">
        <v>2237.6999999999998</v>
      </c>
      <c r="R2" s="228">
        <v>5.9</v>
      </c>
      <c r="S2" s="229">
        <v>2.5999999999999999E-3</v>
      </c>
      <c r="T2" s="231">
        <v>2257.3000000000002</v>
      </c>
      <c r="U2" s="231">
        <v>2249.9</v>
      </c>
      <c r="V2" s="228">
        <v>7.4</v>
      </c>
      <c r="W2" s="229">
        <v>3.3E-3</v>
      </c>
      <c r="X2" s="228">
        <v>0.9</v>
      </c>
      <c r="Y2" s="228">
        <v>6.6</v>
      </c>
      <c r="Z2" s="228">
        <v>-5.7</v>
      </c>
      <c r="AA2" s="229">
        <v>4.0000000000000002E-4</v>
      </c>
      <c r="AB2" s="228">
        <v>0.9</v>
      </c>
      <c r="AC2" s="228">
        <v>6.6</v>
      </c>
      <c r="AD2" s="228">
        <v>-5.7</v>
      </c>
      <c r="AE2" s="229">
        <v>4.0000000000000002E-4</v>
      </c>
      <c r="AF2" s="228">
        <v>14</v>
      </c>
      <c r="AG2" s="228">
        <v>19.399999999999999</v>
      </c>
      <c r="AH2" s="228">
        <v>-5.4</v>
      </c>
      <c r="AI2" s="229">
        <v>6.3E-3</v>
      </c>
      <c r="AJ2" s="228">
        <v>27.7</v>
      </c>
      <c r="AK2" s="228">
        <v>31.6</v>
      </c>
      <c r="AL2" s="228">
        <v>-3.9</v>
      </c>
      <c r="AM2" s="229">
        <v>1.24E-2</v>
      </c>
      <c r="AN2" s="231">
        <v>2248.11</v>
      </c>
      <c r="AO2" s="231">
        <v>2256.9</v>
      </c>
      <c r="AP2" s="228">
        <v>0</v>
      </c>
      <c r="AQ2" s="230">
        <v>11090</v>
      </c>
      <c r="AR2" s="230">
        <v>11112</v>
      </c>
      <c r="AS2" s="228">
        <v>-22</v>
      </c>
      <c r="AT2" s="229">
        <v>-2E-3</v>
      </c>
      <c r="AU2" s="230">
        <v>8533</v>
      </c>
      <c r="AV2" s="230">
        <v>9090</v>
      </c>
      <c r="AW2" s="228">
        <v>-557</v>
      </c>
      <c r="AX2" s="229">
        <v>-6.13E-2</v>
      </c>
      <c r="AY2" s="230">
        <v>2408</v>
      </c>
      <c r="AZ2" s="230">
        <v>1873</v>
      </c>
      <c r="BA2" s="228">
        <v>535</v>
      </c>
      <c r="BB2" s="229">
        <v>0.28560000000000002</v>
      </c>
      <c r="BC2" s="228">
        <v>149</v>
      </c>
      <c r="BD2" s="228">
        <v>149</v>
      </c>
      <c r="BE2" s="228">
        <v>0</v>
      </c>
      <c r="BF2" s="229">
        <v>0</v>
      </c>
      <c r="BG2" s="230">
        <v>46436</v>
      </c>
      <c r="BH2" s="230">
        <v>45878</v>
      </c>
      <c r="BI2" s="228">
        <v>558</v>
      </c>
      <c r="BJ2" s="229">
        <v>1.2200000000000001E-2</v>
      </c>
      <c r="BK2" s="230">
        <v>24026</v>
      </c>
      <c r="BL2" s="230">
        <v>22052</v>
      </c>
      <c r="BM2" s="230">
        <v>1974</v>
      </c>
      <c r="BN2" s="229">
        <v>8.9499999999999996E-2</v>
      </c>
      <c r="BO2" s="230">
        <v>81552</v>
      </c>
      <c r="BP2" s="230">
        <v>79042</v>
      </c>
      <c r="BQ2" s="230">
        <v>2510</v>
      </c>
      <c r="BR2" s="229">
        <v>3.1800000000000002E-2</v>
      </c>
      <c r="BS2" s="230">
        <v>1970473</v>
      </c>
      <c r="BT2" s="230">
        <v>2625958</v>
      </c>
      <c r="BU2" s="230">
        <v>-655485</v>
      </c>
      <c r="BV2" s="229">
        <v>-0.24959999999999999</v>
      </c>
      <c r="BW2" s="230">
        <v>17270010</v>
      </c>
      <c r="BX2" s="230">
        <v>17311107</v>
      </c>
      <c r="BY2" s="230">
        <v>-41097</v>
      </c>
      <c r="BZ2" s="229">
        <v>-2.3999999999999998E-3</v>
      </c>
      <c r="CA2" s="230">
        <v>15357918</v>
      </c>
      <c r="CB2" s="230">
        <v>15672480</v>
      </c>
      <c r="CC2" s="230">
        <v>-314562</v>
      </c>
      <c r="CD2" s="229">
        <v>-2.01E-2</v>
      </c>
      <c r="CE2" s="230">
        <v>1812594</v>
      </c>
      <c r="CF2" s="230">
        <v>1543455</v>
      </c>
      <c r="CG2" s="230">
        <v>269139</v>
      </c>
      <c r="CH2" s="229">
        <v>0.1744</v>
      </c>
      <c r="CI2" s="230">
        <v>99498</v>
      </c>
      <c r="CJ2" s="230">
        <v>95172</v>
      </c>
      <c r="CK2" s="230">
        <v>4326</v>
      </c>
      <c r="CL2" s="229">
        <v>4.5499999999999999E-2</v>
      </c>
      <c r="CM2" s="230">
        <v>7246977</v>
      </c>
      <c r="CN2" s="230">
        <v>7272315</v>
      </c>
      <c r="CO2" s="230">
        <v>-25338</v>
      </c>
      <c r="CP2" s="229">
        <v>-3.5000000000000001E-3</v>
      </c>
      <c r="CQ2" s="230">
        <v>7254084</v>
      </c>
      <c r="CR2" s="230">
        <v>6807270</v>
      </c>
      <c r="CS2" s="230">
        <v>446814</v>
      </c>
      <c r="CT2" s="229">
        <v>6.5600000000000006E-2</v>
      </c>
      <c r="CU2" s="230">
        <v>31771071</v>
      </c>
      <c r="CV2" s="230">
        <v>31390692</v>
      </c>
      <c r="CW2" s="230">
        <v>380379</v>
      </c>
      <c r="CX2" s="229">
        <v>1.21E-2</v>
      </c>
      <c r="CY2" s="228">
        <v>42.31</v>
      </c>
      <c r="CZ2" s="228">
        <v>40.03</v>
      </c>
      <c r="DA2" s="228">
        <v>2.2799999999999998</v>
      </c>
      <c r="DB2" s="228">
        <v>2.2799999999999998</v>
      </c>
      <c r="DC2" s="228">
        <v>49.51</v>
      </c>
      <c r="DD2" s="228">
        <v>49.63</v>
      </c>
      <c r="DE2" s="228">
        <v>-7.2</v>
      </c>
      <c r="DF2" s="228">
        <v>-0.12</v>
      </c>
      <c r="DG2" s="228">
        <v>41.18</v>
      </c>
      <c r="DH2" s="228">
        <v>38.51</v>
      </c>
      <c r="DI2" s="228">
        <v>2.67</v>
      </c>
      <c r="DJ2" s="228">
        <v>2.67</v>
      </c>
      <c r="DK2" s="228">
        <v>44.49</v>
      </c>
      <c r="DL2" s="228">
        <v>43.19</v>
      </c>
      <c r="DM2" s="228">
        <v>1.3</v>
      </c>
      <c r="DN2" s="228">
        <v>1.3</v>
      </c>
      <c r="DO2" s="228">
        <v>1</v>
      </c>
      <c r="DP2" s="228">
        <v>0.94</v>
      </c>
      <c r="DQ2" s="228">
        <v>0.06</v>
      </c>
      <c r="DR2" s="229">
        <v>6.3799999999999996E-2</v>
      </c>
      <c r="DS2" s="231">
        <v>2200</v>
      </c>
      <c r="DT2" s="231">
        <v>2200</v>
      </c>
      <c r="DU2" s="228">
        <v>0.52</v>
      </c>
      <c r="DV2" s="228">
        <v>0.48</v>
      </c>
      <c r="DW2" s="228">
        <v>0.04</v>
      </c>
      <c r="DX2" s="229">
        <v>8.3299999999999999E-2</v>
      </c>
      <c r="DY2" s="229">
        <v>0.11070000000000001</v>
      </c>
      <c r="DZ2" s="230">
        <v>1638627</v>
      </c>
      <c r="EA2" s="229">
        <v>5.8999999999999999E-3</v>
      </c>
      <c r="EB2" s="229">
        <v>0.11070000000000001</v>
      </c>
      <c r="EC2" s="228">
        <v>8.7899999999999991</v>
      </c>
      <c r="ED2" s="229">
        <v>3.8999999999999998E-3</v>
      </c>
      <c r="EE2" s="230">
        <v>614224</v>
      </c>
      <c r="EF2" s="230">
        <v>651709</v>
      </c>
      <c r="EG2" s="229">
        <v>-5.7500000000000002E-2</v>
      </c>
      <c r="EH2" s="229">
        <v>0.31169999999999998</v>
      </c>
      <c r="EI2" s="231">
        <v>336749.9</v>
      </c>
      <c r="EJ2" s="231">
        <v>162357.57999999999</v>
      </c>
      <c r="EK2" s="231">
        <v>77114.880000000005</v>
      </c>
      <c r="EL2" s="231">
        <v>10840</v>
      </c>
      <c r="EM2" s="231">
        <v>576222.36</v>
      </c>
      <c r="EN2" s="231">
        <v>550658.67000000004</v>
      </c>
      <c r="EO2" s="231">
        <v>25563.69</v>
      </c>
      <c r="EP2" s="229">
        <v>4.6399999999999997E-2</v>
      </c>
      <c r="EQ2" s="231">
        <v>155246</v>
      </c>
      <c r="ER2" s="231">
        <v>147327</v>
      </c>
      <c r="ES2" s="231">
        <v>385472</v>
      </c>
      <c r="ET2" s="231">
        <v>33645895</v>
      </c>
      <c r="EU2" s="231">
        <v>688044</v>
      </c>
      <c r="EV2" s="231">
        <v>677537</v>
      </c>
      <c r="EW2" s="231">
        <v>10507</v>
      </c>
      <c r="EX2" s="229">
        <v>1.55E-2</v>
      </c>
      <c r="EY2" s="229">
        <v>0.94430000000000003</v>
      </c>
    </row>
    <row r="3" spans="1:155" ht="17.25" thickBot="1" x14ac:dyDescent="0.3">
      <c r="A3" s="226">
        <v>46132</v>
      </c>
      <c r="B3" s="227" t="s">
        <v>215</v>
      </c>
      <c r="C3" s="227" t="s">
        <v>160</v>
      </c>
      <c r="D3" s="231">
        <v>1581.1</v>
      </c>
      <c r="E3" s="231">
        <v>1573.2</v>
      </c>
      <c r="F3" s="228">
        <v>7.9</v>
      </c>
      <c r="G3" s="229">
        <v>5.0000000000000001E-3</v>
      </c>
      <c r="H3" s="231">
        <v>1578.4</v>
      </c>
      <c r="I3" s="231">
        <v>1573.4</v>
      </c>
      <c r="J3" s="228">
        <v>5</v>
      </c>
      <c r="K3" s="229">
        <v>3.2000000000000002E-3</v>
      </c>
      <c r="L3" s="231">
        <v>1581.1</v>
      </c>
      <c r="M3" s="231">
        <v>1573.2</v>
      </c>
      <c r="N3" s="228">
        <v>7.9</v>
      </c>
      <c r="O3" s="229">
        <v>5.0000000000000001E-3</v>
      </c>
      <c r="P3" s="231">
        <v>1589</v>
      </c>
      <c r="Q3" s="231">
        <v>1582.3</v>
      </c>
      <c r="R3" s="228">
        <v>6.7</v>
      </c>
      <c r="S3" s="229">
        <v>4.1999999999999997E-3</v>
      </c>
      <c r="T3" s="231">
        <v>1591.2</v>
      </c>
      <c r="U3" s="231">
        <v>1585</v>
      </c>
      <c r="V3" s="228">
        <v>6.2</v>
      </c>
      <c r="W3" s="229">
        <v>3.8999999999999998E-3</v>
      </c>
      <c r="X3" s="228">
        <v>2.7</v>
      </c>
      <c r="Y3" s="228">
        <v>-0.2</v>
      </c>
      <c r="Z3" s="228">
        <v>2.9</v>
      </c>
      <c r="AA3" s="229">
        <v>1.6999999999999999E-3</v>
      </c>
      <c r="AB3" s="228">
        <v>2.7</v>
      </c>
      <c r="AC3" s="228">
        <v>-0.2</v>
      </c>
      <c r="AD3" s="228">
        <v>2.9</v>
      </c>
      <c r="AE3" s="229">
        <v>1.6999999999999999E-3</v>
      </c>
      <c r="AF3" s="228">
        <v>10.6</v>
      </c>
      <c r="AG3" s="228">
        <v>8.9</v>
      </c>
      <c r="AH3" s="228">
        <v>1.7</v>
      </c>
      <c r="AI3" s="229">
        <v>6.7000000000000002E-3</v>
      </c>
      <c r="AJ3" s="228">
        <v>12.8</v>
      </c>
      <c r="AK3" s="228">
        <v>11.6</v>
      </c>
      <c r="AL3" s="228">
        <v>1.2</v>
      </c>
      <c r="AM3" s="229">
        <v>8.0999999999999996E-3</v>
      </c>
      <c r="AN3" s="231">
        <v>1586.8</v>
      </c>
      <c r="AO3" s="231">
        <v>1594.85</v>
      </c>
      <c r="AP3" s="228">
        <v>0</v>
      </c>
      <c r="AQ3" s="230">
        <v>7483</v>
      </c>
      <c r="AR3" s="230">
        <v>8396</v>
      </c>
      <c r="AS3" s="228">
        <v>-913</v>
      </c>
      <c r="AT3" s="229">
        <v>-0.1087</v>
      </c>
      <c r="AU3" s="230">
        <v>6120</v>
      </c>
      <c r="AV3" s="230">
        <v>7539</v>
      </c>
      <c r="AW3" s="230">
        <v>-1419</v>
      </c>
      <c r="AX3" s="229">
        <v>-0.18820000000000001</v>
      </c>
      <c r="AY3" s="230">
        <v>1220</v>
      </c>
      <c r="AZ3" s="228">
        <v>740</v>
      </c>
      <c r="BA3" s="228">
        <v>480</v>
      </c>
      <c r="BB3" s="229">
        <v>0.64859999999999995</v>
      </c>
      <c r="BC3" s="228">
        <v>143</v>
      </c>
      <c r="BD3" s="228">
        <v>117</v>
      </c>
      <c r="BE3" s="228">
        <v>26</v>
      </c>
      <c r="BF3" s="229">
        <v>0.22220000000000001</v>
      </c>
      <c r="BG3" s="230">
        <v>36574</v>
      </c>
      <c r="BH3" s="230">
        <v>53152</v>
      </c>
      <c r="BI3" s="230">
        <v>-16578</v>
      </c>
      <c r="BJ3" s="229">
        <v>-0.31190000000000001</v>
      </c>
      <c r="BK3" s="230">
        <v>21179</v>
      </c>
      <c r="BL3" s="230">
        <v>25562</v>
      </c>
      <c r="BM3" s="230">
        <v>-4383</v>
      </c>
      <c r="BN3" s="229">
        <v>-0.17150000000000001</v>
      </c>
      <c r="BO3" s="230">
        <v>65236</v>
      </c>
      <c r="BP3" s="230">
        <v>87110</v>
      </c>
      <c r="BQ3" s="230">
        <v>-21874</v>
      </c>
      <c r="BR3" s="229">
        <v>-0.25109999999999999</v>
      </c>
      <c r="BS3" s="230">
        <v>3162693</v>
      </c>
      <c r="BT3" s="230">
        <v>6270922</v>
      </c>
      <c r="BU3" s="230">
        <v>-3108229</v>
      </c>
      <c r="BV3" s="229">
        <v>-0.49569999999999997</v>
      </c>
      <c r="BW3" s="230">
        <v>19695875</v>
      </c>
      <c r="BX3" s="230">
        <v>19844075</v>
      </c>
      <c r="BY3" s="230">
        <v>-148200</v>
      </c>
      <c r="BZ3" s="229">
        <v>-7.4999999999999997E-3</v>
      </c>
      <c r="CA3" s="230">
        <v>16608375</v>
      </c>
      <c r="CB3" s="230">
        <v>16932325</v>
      </c>
      <c r="CC3" s="230">
        <v>-323950</v>
      </c>
      <c r="CD3" s="229">
        <v>-1.9099999999999999E-2</v>
      </c>
      <c r="CE3" s="230">
        <v>2941200</v>
      </c>
      <c r="CF3" s="230">
        <v>2783500</v>
      </c>
      <c r="CG3" s="230">
        <v>157700</v>
      </c>
      <c r="CH3" s="229">
        <v>5.67E-2</v>
      </c>
      <c r="CI3" s="230">
        <v>146300</v>
      </c>
      <c r="CJ3" s="230">
        <v>128250</v>
      </c>
      <c r="CK3" s="230">
        <v>18050</v>
      </c>
      <c r="CL3" s="229">
        <v>0.14069999999999999</v>
      </c>
      <c r="CM3" s="230">
        <v>9273425</v>
      </c>
      <c r="CN3" s="230">
        <v>9410225</v>
      </c>
      <c r="CO3" s="230">
        <v>-136800</v>
      </c>
      <c r="CP3" s="229">
        <v>-1.4500000000000001E-2</v>
      </c>
      <c r="CQ3" s="230">
        <v>8520550</v>
      </c>
      <c r="CR3" s="230">
        <v>7909225</v>
      </c>
      <c r="CS3" s="230">
        <v>611325</v>
      </c>
      <c r="CT3" s="229">
        <v>7.7299999999999994E-2</v>
      </c>
      <c r="CU3" s="230">
        <v>37489850</v>
      </c>
      <c r="CV3" s="230">
        <v>37163525</v>
      </c>
      <c r="CW3" s="230">
        <v>326325</v>
      </c>
      <c r="CX3" s="229">
        <v>8.8000000000000005E-3</v>
      </c>
      <c r="CY3" s="228">
        <v>35.619999999999997</v>
      </c>
      <c r="CZ3" s="228">
        <v>33.14</v>
      </c>
      <c r="DA3" s="228">
        <v>2.48</v>
      </c>
      <c r="DB3" s="228">
        <v>2.48</v>
      </c>
      <c r="DC3" s="228">
        <v>40.22</v>
      </c>
      <c r="DD3" s="228">
        <v>40.31</v>
      </c>
      <c r="DE3" s="228">
        <v>-4.5999999999999996</v>
      </c>
      <c r="DF3" s="228">
        <v>-0.09</v>
      </c>
      <c r="DG3" s="228">
        <v>34.18</v>
      </c>
      <c r="DH3" s="228">
        <v>31.94</v>
      </c>
      <c r="DI3" s="228">
        <v>2.2400000000000002</v>
      </c>
      <c r="DJ3" s="228">
        <v>2.2400000000000002</v>
      </c>
      <c r="DK3" s="228">
        <v>38.130000000000003</v>
      </c>
      <c r="DL3" s="228">
        <v>35.630000000000003</v>
      </c>
      <c r="DM3" s="228">
        <v>2.5</v>
      </c>
      <c r="DN3" s="228">
        <v>2.5</v>
      </c>
      <c r="DO3" s="228">
        <v>0.92</v>
      </c>
      <c r="DP3" s="228">
        <v>0.84</v>
      </c>
      <c r="DQ3" s="228">
        <v>0.08</v>
      </c>
      <c r="DR3" s="229">
        <v>9.5200000000000007E-2</v>
      </c>
      <c r="DS3" s="231">
        <v>1500</v>
      </c>
      <c r="DT3" s="231">
        <v>1500</v>
      </c>
      <c r="DU3" s="228">
        <v>0.57999999999999996</v>
      </c>
      <c r="DV3" s="228">
        <v>0.48</v>
      </c>
      <c r="DW3" s="228">
        <v>0.1</v>
      </c>
      <c r="DX3" s="229">
        <v>0.20830000000000001</v>
      </c>
      <c r="DY3" s="229">
        <v>0.15679999999999999</v>
      </c>
      <c r="DZ3" s="230">
        <v>2911750</v>
      </c>
      <c r="EA3" s="229">
        <v>5.0000000000000001E-3</v>
      </c>
      <c r="EB3" s="229">
        <v>0.15679999999999999</v>
      </c>
      <c r="EC3" s="228">
        <v>8.0500000000000007</v>
      </c>
      <c r="ED3" s="229">
        <v>5.1000000000000004E-3</v>
      </c>
      <c r="EE3" s="230">
        <v>1408831</v>
      </c>
      <c r="EF3" s="230">
        <v>3966999</v>
      </c>
      <c r="EG3" s="229">
        <v>-0.64490000000000003</v>
      </c>
      <c r="EH3" s="229">
        <v>0.44550000000000001</v>
      </c>
      <c r="EI3" s="231">
        <v>286444.52</v>
      </c>
      <c r="EJ3" s="231">
        <v>154787.38</v>
      </c>
      <c r="EK3" s="231">
        <v>56453.97</v>
      </c>
      <c r="EL3" s="231">
        <v>8517</v>
      </c>
      <c r="EM3" s="231">
        <v>497685.87</v>
      </c>
      <c r="EN3" s="231">
        <v>659508.21</v>
      </c>
      <c r="EO3" s="231">
        <v>-161822.34</v>
      </c>
      <c r="EP3" s="229">
        <v>-0.24540000000000001</v>
      </c>
      <c r="EQ3" s="231">
        <v>142843</v>
      </c>
      <c r="ER3" s="231">
        <v>123079</v>
      </c>
      <c r="ES3" s="231">
        <v>311659</v>
      </c>
      <c r="ET3" s="231">
        <v>88142691</v>
      </c>
      <c r="EU3" s="231">
        <v>577581</v>
      </c>
      <c r="EV3" s="231">
        <v>569704</v>
      </c>
      <c r="EW3" s="231">
        <v>7877</v>
      </c>
      <c r="EX3" s="229">
        <v>1.38E-2</v>
      </c>
      <c r="EY3" s="229">
        <v>0.42530000000000001</v>
      </c>
    </row>
    <row r="4" spans="1:155" ht="17.25" thickBot="1" x14ac:dyDescent="0.3">
      <c r="A4" s="226">
        <v>46132</v>
      </c>
      <c r="B4" s="227" t="s">
        <v>170</v>
      </c>
      <c r="C4" s="227" t="s">
        <v>165</v>
      </c>
      <c r="D4" s="231">
        <v>7650</v>
      </c>
      <c r="E4" s="231">
        <v>7698</v>
      </c>
      <c r="F4" s="228">
        <v>-48</v>
      </c>
      <c r="G4" s="229">
        <v>-6.1999999999999998E-3</v>
      </c>
      <c r="H4" s="231">
        <v>7657</v>
      </c>
      <c r="I4" s="231">
        <v>7699</v>
      </c>
      <c r="J4" s="228">
        <v>-42</v>
      </c>
      <c r="K4" s="229">
        <v>-5.4999999999999997E-3</v>
      </c>
      <c r="L4" s="231">
        <v>7650</v>
      </c>
      <c r="M4" s="231">
        <v>7698</v>
      </c>
      <c r="N4" s="228">
        <v>-48</v>
      </c>
      <c r="O4" s="229">
        <v>-6.1999999999999998E-3</v>
      </c>
      <c r="P4" s="231">
        <v>7692.5</v>
      </c>
      <c r="Q4" s="231">
        <v>7738.5</v>
      </c>
      <c r="R4" s="228">
        <v>-46</v>
      </c>
      <c r="S4" s="229">
        <v>-5.8999999999999999E-3</v>
      </c>
      <c r="T4" s="231">
        <v>7746.5</v>
      </c>
      <c r="U4" s="231">
        <v>7787</v>
      </c>
      <c r="V4" s="228">
        <v>-40.5</v>
      </c>
      <c r="W4" s="229">
        <v>-5.1999999999999998E-3</v>
      </c>
      <c r="X4" s="228">
        <v>-7</v>
      </c>
      <c r="Y4" s="228">
        <v>-1</v>
      </c>
      <c r="Z4" s="228">
        <v>-6</v>
      </c>
      <c r="AA4" s="229">
        <v>-8.9999999999999998E-4</v>
      </c>
      <c r="AB4" s="228">
        <v>-7</v>
      </c>
      <c r="AC4" s="228">
        <v>-1</v>
      </c>
      <c r="AD4" s="228">
        <v>-6</v>
      </c>
      <c r="AE4" s="229">
        <v>-8.9999999999999998E-4</v>
      </c>
      <c r="AF4" s="228">
        <v>35.5</v>
      </c>
      <c r="AG4" s="228">
        <v>39.5</v>
      </c>
      <c r="AH4" s="228">
        <v>-4</v>
      </c>
      <c r="AI4" s="229">
        <v>4.5999999999999999E-3</v>
      </c>
      <c r="AJ4" s="228">
        <v>89.5</v>
      </c>
      <c r="AK4" s="228">
        <v>88</v>
      </c>
      <c r="AL4" s="228">
        <v>1.5</v>
      </c>
      <c r="AM4" s="229">
        <v>1.17E-2</v>
      </c>
      <c r="AN4" s="231">
        <v>7662.7</v>
      </c>
      <c r="AO4" s="231">
        <v>7708.96</v>
      </c>
      <c r="AP4" s="228">
        <v>0</v>
      </c>
      <c r="AQ4" s="230">
        <v>1956</v>
      </c>
      <c r="AR4" s="230">
        <v>2517</v>
      </c>
      <c r="AS4" s="228">
        <v>-561</v>
      </c>
      <c r="AT4" s="229">
        <v>-0.22289999999999999</v>
      </c>
      <c r="AU4" s="230">
        <v>1511</v>
      </c>
      <c r="AV4" s="230">
        <v>2099</v>
      </c>
      <c r="AW4" s="228">
        <v>-588</v>
      </c>
      <c r="AX4" s="229">
        <v>-0.28010000000000002</v>
      </c>
      <c r="AY4" s="228">
        <v>424</v>
      </c>
      <c r="AZ4" s="228">
        <v>394</v>
      </c>
      <c r="BA4" s="228">
        <v>30</v>
      </c>
      <c r="BB4" s="229">
        <v>7.6100000000000001E-2</v>
      </c>
      <c r="BC4" s="228">
        <v>21</v>
      </c>
      <c r="BD4" s="228">
        <v>24</v>
      </c>
      <c r="BE4" s="228">
        <v>-3</v>
      </c>
      <c r="BF4" s="229">
        <v>-0.125</v>
      </c>
      <c r="BG4" s="230">
        <v>12600</v>
      </c>
      <c r="BH4" s="230">
        <v>22879</v>
      </c>
      <c r="BI4" s="230">
        <v>-10279</v>
      </c>
      <c r="BJ4" s="229">
        <v>-0.44929999999999998</v>
      </c>
      <c r="BK4" s="230">
        <v>6766</v>
      </c>
      <c r="BL4" s="230">
        <v>8515</v>
      </c>
      <c r="BM4" s="230">
        <v>-1749</v>
      </c>
      <c r="BN4" s="229">
        <v>-0.2054</v>
      </c>
      <c r="BO4" s="230">
        <v>21322</v>
      </c>
      <c r="BP4" s="230">
        <v>33911</v>
      </c>
      <c r="BQ4" s="230">
        <v>-12589</v>
      </c>
      <c r="BR4" s="229">
        <v>-0.37119999999999997</v>
      </c>
      <c r="BS4" s="230">
        <v>351110</v>
      </c>
      <c r="BT4" s="230">
        <v>354844</v>
      </c>
      <c r="BU4" s="230">
        <v>-3734</v>
      </c>
      <c r="BV4" s="229">
        <v>-1.0500000000000001E-2</v>
      </c>
      <c r="BW4" s="230">
        <v>2387875</v>
      </c>
      <c r="BX4" s="230">
        <v>2396375</v>
      </c>
      <c r="BY4" s="230">
        <v>-8500</v>
      </c>
      <c r="BZ4" s="229">
        <v>-3.5000000000000001E-3</v>
      </c>
      <c r="CA4" s="230">
        <v>2254625</v>
      </c>
      <c r="CB4" s="230">
        <v>2281375</v>
      </c>
      <c r="CC4" s="230">
        <v>-26750</v>
      </c>
      <c r="CD4" s="229">
        <v>-1.17E-2</v>
      </c>
      <c r="CE4" s="230">
        <v>118125</v>
      </c>
      <c r="CF4" s="230">
        <v>101750</v>
      </c>
      <c r="CG4" s="230">
        <v>16375</v>
      </c>
      <c r="CH4" s="229">
        <v>0.16089999999999999</v>
      </c>
      <c r="CI4" s="230">
        <v>15125</v>
      </c>
      <c r="CJ4" s="230">
        <v>13250</v>
      </c>
      <c r="CK4" s="230">
        <v>1875</v>
      </c>
      <c r="CL4" s="229">
        <v>0.14149999999999999</v>
      </c>
      <c r="CM4" s="230">
        <v>884750</v>
      </c>
      <c r="CN4" s="230">
        <v>872625</v>
      </c>
      <c r="CO4" s="230">
        <v>12125</v>
      </c>
      <c r="CP4" s="229">
        <v>1.3899999999999999E-2</v>
      </c>
      <c r="CQ4" s="230">
        <v>773750</v>
      </c>
      <c r="CR4" s="230">
        <v>796750</v>
      </c>
      <c r="CS4" s="230">
        <v>-23000</v>
      </c>
      <c r="CT4" s="229">
        <v>-2.8899999999999999E-2</v>
      </c>
      <c r="CU4" s="230">
        <v>4046375</v>
      </c>
      <c r="CV4" s="230">
        <v>4065750</v>
      </c>
      <c r="CW4" s="230">
        <v>-19375</v>
      </c>
      <c r="CX4" s="229">
        <v>-4.7999999999999996E-3</v>
      </c>
      <c r="CY4" s="228">
        <v>25.67</v>
      </c>
      <c r="CZ4" s="228">
        <v>22.92</v>
      </c>
      <c r="DA4" s="228">
        <v>2.75</v>
      </c>
      <c r="DB4" s="228">
        <v>2.75</v>
      </c>
      <c r="DC4" s="228">
        <v>25.18</v>
      </c>
      <c r="DD4" s="228">
        <v>25.23</v>
      </c>
      <c r="DE4" s="228">
        <v>0.49</v>
      </c>
      <c r="DF4" s="228">
        <v>-0.05</v>
      </c>
      <c r="DG4" s="228">
        <v>24.93</v>
      </c>
      <c r="DH4" s="228">
        <v>22.34</v>
      </c>
      <c r="DI4" s="228">
        <v>2.59</v>
      </c>
      <c r="DJ4" s="228">
        <v>2.59</v>
      </c>
      <c r="DK4" s="228">
        <v>27.03</v>
      </c>
      <c r="DL4" s="228">
        <v>24.48</v>
      </c>
      <c r="DM4" s="228">
        <v>2.5499999999999998</v>
      </c>
      <c r="DN4" s="228">
        <v>2.5499999999999998</v>
      </c>
      <c r="DO4" s="228">
        <v>0.87</v>
      </c>
      <c r="DP4" s="228">
        <v>0.91</v>
      </c>
      <c r="DQ4" s="228">
        <v>-0.04</v>
      </c>
      <c r="DR4" s="229">
        <v>-4.3999999999999997E-2</v>
      </c>
      <c r="DS4" s="231">
        <v>7700</v>
      </c>
      <c r="DT4" s="231">
        <v>6700</v>
      </c>
      <c r="DU4" s="228">
        <v>0.54</v>
      </c>
      <c r="DV4" s="228">
        <v>0.37</v>
      </c>
      <c r="DW4" s="228">
        <v>0.17</v>
      </c>
      <c r="DX4" s="229">
        <v>0.45950000000000002</v>
      </c>
      <c r="DY4" s="229">
        <v>5.5800000000000002E-2</v>
      </c>
      <c r="DZ4" s="230">
        <v>115000</v>
      </c>
      <c r="EA4" s="229">
        <v>5.5999999999999999E-3</v>
      </c>
      <c r="EB4" s="229">
        <v>5.5800000000000002E-2</v>
      </c>
      <c r="EC4" s="228">
        <v>46.26</v>
      </c>
      <c r="ED4" s="229">
        <v>6.0000000000000001E-3</v>
      </c>
      <c r="EE4" s="230">
        <v>191006</v>
      </c>
      <c r="EF4" s="230">
        <v>214210</v>
      </c>
      <c r="EG4" s="229">
        <v>-0.10829999999999999</v>
      </c>
      <c r="EH4" s="229">
        <v>0.54400000000000004</v>
      </c>
      <c r="EI4" s="231">
        <v>123846.46</v>
      </c>
      <c r="EJ4" s="231">
        <v>63604.05</v>
      </c>
      <c r="EK4" s="231">
        <v>18762.47</v>
      </c>
      <c r="EL4" s="231">
        <v>2771</v>
      </c>
      <c r="EM4" s="231">
        <v>206212.98</v>
      </c>
      <c r="EN4" s="231">
        <v>328767.46999999997</v>
      </c>
      <c r="EO4" s="231">
        <v>-122554.49</v>
      </c>
      <c r="EP4" s="229">
        <v>-0.37280000000000002</v>
      </c>
      <c r="EQ4" s="231">
        <v>68625</v>
      </c>
      <c r="ER4" s="231">
        <v>55207</v>
      </c>
      <c r="ES4" s="231">
        <v>182737</v>
      </c>
      <c r="ET4" s="231">
        <v>15524629</v>
      </c>
      <c r="EU4" s="231">
        <v>306569</v>
      </c>
      <c r="EV4" s="231">
        <v>309131</v>
      </c>
      <c r="EW4" s="231">
        <v>-2562</v>
      </c>
      <c r="EX4" s="229">
        <v>-8.3000000000000001E-3</v>
      </c>
      <c r="EY4" s="229">
        <v>0.2606</v>
      </c>
    </row>
    <row r="5" spans="1:155" ht="17.25" thickBot="1" x14ac:dyDescent="0.3">
      <c r="A5" s="226">
        <v>46132</v>
      </c>
      <c r="B5" s="227" t="s">
        <v>168</v>
      </c>
      <c r="C5" s="227" t="s">
        <v>169</v>
      </c>
      <c r="D5" s="231">
        <v>2514.6</v>
      </c>
      <c r="E5" s="231">
        <v>2464.3000000000002</v>
      </c>
      <c r="F5" s="228">
        <v>50.3</v>
      </c>
      <c r="G5" s="229">
        <v>2.0400000000000001E-2</v>
      </c>
      <c r="H5" s="231">
        <v>2516.8000000000002</v>
      </c>
      <c r="I5" s="231">
        <v>2464</v>
      </c>
      <c r="J5" s="228">
        <v>52.8</v>
      </c>
      <c r="K5" s="229">
        <v>2.1399999999999999E-2</v>
      </c>
      <c r="L5" s="231">
        <v>2514.6</v>
      </c>
      <c r="M5" s="231">
        <v>2464.3000000000002</v>
      </c>
      <c r="N5" s="228">
        <v>50.3</v>
      </c>
      <c r="O5" s="229">
        <v>2.0400000000000001E-2</v>
      </c>
      <c r="P5" s="231">
        <v>2529.8000000000002</v>
      </c>
      <c r="Q5" s="231">
        <v>2478.9</v>
      </c>
      <c r="R5" s="228">
        <v>50.9</v>
      </c>
      <c r="S5" s="229">
        <v>2.0500000000000001E-2</v>
      </c>
      <c r="T5" s="231">
        <v>2517.9</v>
      </c>
      <c r="U5" s="231">
        <v>2464.1999999999998</v>
      </c>
      <c r="V5" s="228">
        <v>53.7</v>
      </c>
      <c r="W5" s="229">
        <v>2.18E-2</v>
      </c>
      <c r="X5" s="228">
        <v>-2.2000000000000002</v>
      </c>
      <c r="Y5" s="228">
        <v>0.3</v>
      </c>
      <c r="Z5" s="228">
        <v>-2.5</v>
      </c>
      <c r="AA5" s="229">
        <v>-8.9999999999999998E-4</v>
      </c>
      <c r="AB5" s="228">
        <v>-2.2000000000000002</v>
      </c>
      <c r="AC5" s="228">
        <v>0.3</v>
      </c>
      <c r="AD5" s="228">
        <v>-2.5</v>
      </c>
      <c r="AE5" s="229">
        <v>-8.9999999999999998E-4</v>
      </c>
      <c r="AF5" s="228">
        <v>13</v>
      </c>
      <c r="AG5" s="228">
        <v>14.9</v>
      </c>
      <c r="AH5" s="228">
        <v>-1.9</v>
      </c>
      <c r="AI5" s="229">
        <v>5.1999999999999998E-3</v>
      </c>
      <c r="AJ5" s="228">
        <v>1.1000000000000001</v>
      </c>
      <c r="AK5" s="228">
        <v>0.2</v>
      </c>
      <c r="AL5" s="228">
        <v>0.9</v>
      </c>
      <c r="AM5" s="229">
        <v>4.0000000000000002E-4</v>
      </c>
      <c r="AN5" s="231">
        <v>2500.17</v>
      </c>
      <c r="AO5" s="231">
        <v>2515.54</v>
      </c>
      <c r="AP5" s="228">
        <v>0</v>
      </c>
      <c r="AQ5" s="230">
        <v>7984</v>
      </c>
      <c r="AR5" s="230">
        <v>12975</v>
      </c>
      <c r="AS5" s="230">
        <v>-4991</v>
      </c>
      <c r="AT5" s="229">
        <v>-0.38469999999999999</v>
      </c>
      <c r="AU5" s="230">
        <v>6517</v>
      </c>
      <c r="AV5" s="230">
        <v>9519</v>
      </c>
      <c r="AW5" s="230">
        <v>-3002</v>
      </c>
      <c r="AX5" s="229">
        <v>-0.31540000000000001</v>
      </c>
      <c r="AY5" s="230">
        <v>1293</v>
      </c>
      <c r="AZ5" s="228">
        <v>844</v>
      </c>
      <c r="BA5" s="228">
        <v>449</v>
      </c>
      <c r="BB5" s="229">
        <v>0.53200000000000003</v>
      </c>
      <c r="BC5" s="228">
        <v>174</v>
      </c>
      <c r="BD5" s="230">
        <v>2612</v>
      </c>
      <c r="BE5" s="230">
        <v>-2438</v>
      </c>
      <c r="BF5" s="229">
        <v>-0.93340000000000001</v>
      </c>
      <c r="BG5" s="230">
        <v>37012</v>
      </c>
      <c r="BH5" s="230">
        <v>36857</v>
      </c>
      <c r="BI5" s="228">
        <v>155</v>
      </c>
      <c r="BJ5" s="229">
        <v>4.1999999999999997E-3</v>
      </c>
      <c r="BK5" s="230">
        <v>29358</v>
      </c>
      <c r="BL5" s="230">
        <v>25805</v>
      </c>
      <c r="BM5" s="230">
        <v>3553</v>
      </c>
      <c r="BN5" s="229">
        <v>0.13769999999999999</v>
      </c>
      <c r="BO5" s="230">
        <v>74354</v>
      </c>
      <c r="BP5" s="230">
        <v>75637</v>
      </c>
      <c r="BQ5" s="230">
        <v>-1283</v>
      </c>
      <c r="BR5" s="229">
        <v>-1.7000000000000001E-2</v>
      </c>
      <c r="BS5" s="230">
        <v>1240595</v>
      </c>
      <c r="BT5" s="230">
        <v>1345408</v>
      </c>
      <c r="BU5" s="230">
        <v>-104813</v>
      </c>
      <c r="BV5" s="229">
        <v>-7.7899999999999997E-2</v>
      </c>
      <c r="BW5" s="230">
        <v>14537250</v>
      </c>
      <c r="BX5" s="230">
        <v>14574750</v>
      </c>
      <c r="BY5" s="230">
        <v>-37500</v>
      </c>
      <c r="BZ5" s="229">
        <v>-2.5999999999999999E-3</v>
      </c>
      <c r="CA5" s="230">
        <v>12307250</v>
      </c>
      <c r="CB5" s="230">
        <v>12529000</v>
      </c>
      <c r="CC5" s="230">
        <v>-221750</v>
      </c>
      <c r="CD5" s="229">
        <v>-1.77E-2</v>
      </c>
      <c r="CE5" s="230">
        <v>1474000</v>
      </c>
      <c r="CF5" s="230">
        <v>1308000</v>
      </c>
      <c r="CG5" s="230">
        <v>166000</v>
      </c>
      <c r="CH5" s="229">
        <v>0.12690000000000001</v>
      </c>
      <c r="CI5" s="230">
        <v>756000</v>
      </c>
      <c r="CJ5" s="230">
        <v>737750</v>
      </c>
      <c r="CK5" s="230">
        <v>18250</v>
      </c>
      <c r="CL5" s="229">
        <v>2.47E-2</v>
      </c>
      <c r="CM5" s="230">
        <v>4817250</v>
      </c>
      <c r="CN5" s="230">
        <v>4461750</v>
      </c>
      <c r="CO5" s="230">
        <v>355500</v>
      </c>
      <c r="CP5" s="229">
        <v>7.9699999999999993E-2</v>
      </c>
      <c r="CQ5" s="230">
        <v>5908000</v>
      </c>
      <c r="CR5" s="230">
        <v>5148000</v>
      </c>
      <c r="CS5" s="230">
        <v>760000</v>
      </c>
      <c r="CT5" s="229">
        <v>0.14760000000000001</v>
      </c>
      <c r="CU5" s="230">
        <v>25262500</v>
      </c>
      <c r="CV5" s="230">
        <v>24184500</v>
      </c>
      <c r="CW5" s="230">
        <v>1078000</v>
      </c>
      <c r="CX5" s="229">
        <v>4.4600000000000001E-2</v>
      </c>
      <c r="CY5" s="228">
        <v>30.75</v>
      </c>
      <c r="CZ5" s="228">
        <v>28.94</v>
      </c>
      <c r="DA5" s="228">
        <v>1.81</v>
      </c>
      <c r="DB5" s="228">
        <v>1.81</v>
      </c>
      <c r="DC5" s="228">
        <v>29.26</v>
      </c>
      <c r="DD5" s="228">
        <v>29.21</v>
      </c>
      <c r="DE5" s="228">
        <v>1.49</v>
      </c>
      <c r="DF5" s="228">
        <v>0.05</v>
      </c>
      <c r="DG5" s="228">
        <v>28.66</v>
      </c>
      <c r="DH5" s="228">
        <v>27.12</v>
      </c>
      <c r="DI5" s="228">
        <v>1.54</v>
      </c>
      <c r="DJ5" s="228">
        <v>1.54</v>
      </c>
      <c r="DK5" s="228">
        <v>33.380000000000003</v>
      </c>
      <c r="DL5" s="228">
        <v>31.55</v>
      </c>
      <c r="DM5" s="228">
        <v>1.83</v>
      </c>
      <c r="DN5" s="228">
        <v>1.83</v>
      </c>
      <c r="DO5" s="228">
        <v>1.23</v>
      </c>
      <c r="DP5" s="228">
        <v>1.1499999999999999</v>
      </c>
      <c r="DQ5" s="228">
        <v>0.08</v>
      </c>
      <c r="DR5" s="229">
        <v>6.9599999999999995E-2</v>
      </c>
      <c r="DS5" s="231">
        <v>2500</v>
      </c>
      <c r="DT5" s="231">
        <v>2400</v>
      </c>
      <c r="DU5" s="228">
        <v>0.79</v>
      </c>
      <c r="DV5" s="228">
        <v>0.7</v>
      </c>
      <c r="DW5" s="228">
        <v>0.09</v>
      </c>
      <c r="DX5" s="229">
        <v>0.12859999999999999</v>
      </c>
      <c r="DY5" s="229">
        <v>0.15340000000000001</v>
      </c>
      <c r="DZ5" s="230">
        <v>2045750</v>
      </c>
      <c r="EA5" s="229">
        <v>6.0000000000000001E-3</v>
      </c>
      <c r="EB5" s="229">
        <v>0.15340000000000001</v>
      </c>
      <c r="EC5" s="228">
        <v>15.37</v>
      </c>
      <c r="ED5" s="229">
        <v>6.1000000000000004E-3</v>
      </c>
      <c r="EE5" s="230">
        <v>680355</v>
      </c>
      <c r="EF5" s="230">
        <v>742881</v>
      </c>
      <c r="EG5" s="229">
        <v>-8.4199999999999997E-2</v>
      </c>
      <c r="EH5" s="229">
        <v>0.5484</v>
      </c>
      <c r="EI5" s="231">
        <v>238242.77</v>
      </c>
      <c r="EJ5" s="231">
        <v>177483</v>
      </c>
      <c r="EK5" s="231">
        <v>49954.27</v>
      </c>
      <c r="EL5" s="231">
        <v>8615</v>
      </c>
      <c r="EM5" s="231">
        <v>465680.04</v>
      </c>
      <c r="EN5" s="231">
        <v>468760.47</v>
      </c>
      <c r="EO5" s="231">
        <v>-3080.43</v>
      </c>
      <c r="EP5" s="229">
        <v>-6.6E-3</v>
      </c>
      <c r="EQ5" s="231">
        <v>118160</v>
      </c>
      <c r="ER5" s="231">
        <v>132469</v>
      </c>
      <c r="ES5" s="231">
        <v>365803</v>
      </c>
      <c r="ET5" s="231">
        <v>62818628</v>
      </c>
      <c r="EU5" s="231">
        <v>616431</v>
      </c>
      <c r="EV5" s="231">
        <v>581389</v>
      </c>
      <c r="EW5" s="231">
        <v>35042</v>
      </c>
      <c r="EX5" s="229">
        <v>6.0299999999999999E-2</v>
      </c>
      <c r="EY5" s="229">
        <v>0.40210000000000001</v>
      </c>
    </row>
    <row r="6" spans="1:155" ht="17.25" thickBot="1" x14ac:dyDescent="0.3">
      <c r="A6" s="226">
        <v>46132</v>
      </c>
      <c r="B6" s="227" t="s">
        <v>172</v>
      </c>
      <c r="C6" s="227" t="s">
        <v>173</v>
      </c>
      <c r="D6" s="231">
        <v>1356.2</v>
      </c>
      <c r="E6" s="231">
        <v>1363.3</v>
      </c>
      <c r="F6" s="228">
        <v>-7.1</v>
      </c>
      <c r="G6" s="229">
        <v>-5.1999999999999998E-3</v>
      </c>
      <c r="H6" s="231">
        <v>1354.7</v>
      </c>
      <c r="I6" s="231">
        <v>1359.1</v>
      </c>
      <c r="J6" s="228">
        <v>-4.4000000000000004</v>
      </c>
      <c r="K6" s="229">
        <v>-3.2000000000000002E-3</v>
      </c>
      <c r="L6" s="231">
        <v>1356.2</v>
      </c>
      <c r="M6" s="231">
        <v>1363.3</v>
      </c>
      <c r="N6" s="228">
        <v>-7.1</v>
      </c>
      <c r="O6" s="229">
        <v>-5.1999999999999998E-3</v>
      </c>
      <c r="P6" s="231">
        <v>1363.3</v>
      </c>
      <c r="Q6" s="231">
        <v>1370</v>
      </c>
      <c r="R6" s="228">
        <v>-6.7</v>
      </c>
      <c r="S6" s="229">
        <v>-4.8999999999999998E-3</v>
      </c>
      <c r="T6" s="231">
        <v>1373.1</v>
      </c>
      <c r="U6" s="231">
        <v>1379.9</v>
      </c>
      <c r="V6" s="228">
        <v>-6.8</v>
      </c>
      <c r="W6" s="229">
        <v>-4.8999999999999998E-3</v>
      </c>
      <c r="X6" s="228">
        <v>1.5</v>
      </c>
      <c r="Y6" s="228">
        <v>4.2</v>
      </c>
      <c r="Z6" s="228">
        <v>-2.7</v>
      </c>
      <c r="AA6" s="229">
        <v>1.1000000000000001E-3</v>
      </c>
      <c r="AB6" s="228">
        <v>1.5</v>
      </c>
      <c r="AC6" s="228">
        <v>4.2</v>
      </c>
      <c r="AD6" s="228">
        <v>-2.7</v>
      </c>
      <c r="AE6" s="229">
        <v>1.1000000000000001E-3</v>
      </c>
      <c r="AF6" s="228">
        <v>8.6</v>
      </c>
      <c r="AG6" s="228">
        <v>10.9</v>
      </c>
      <c r="AH6" s="228">
        <v>-2.2999999999999998</v>
      </c>
      <c r="AI6" s="229">
        <v>6.3E-3</v>
      </c>
      <c r="AJ6" s="228">
        <v>18.399999999999999</v>
      </c>
      <c r="AK6" s="228">
        <v>20.8</v>
      </c>
      <c r="AL6" s="228">
        <v>-2.4</v>
      </c>
      <c r="AM6" s="229">
        <v>1.3599999999999999E-2</v>
      </c>
      <c r="AN6" s="231">
        <v>1363.14</v>
      </c>
      <c r="AO6" s="231">
        <v>1369.55</v>
      </c>
      <c r="AP6" s="228">
        <v>0</v>
      </c>
      <c r="AQ6" s="230">
        <v>11952</v>
      </c>
      <c r="AR6" s="230">
        <v>11312</v>
      </c>
      <c r="AS6" s="228">
        <v>640</v>
      </c>
      <c r="AT6" s="229">
        <v>5.6599999999999998E-2</v>
      </c>
      <c r="AU6" s="230">
        <v>9876</v>
      </c>
      <c r="AV6" s="230">
        <v>9283</v>
      </c>
      <c r="AW6" s="228">
        <v>593</v>
      </c>
      <c r="AX6" s="229">
        <v>6.3899999999999998E-2</v>
      </c>
      <c r="AY6" s="230">
        <v>1893</v>
      </c>
      <c r="AZ6" s="230">
        <v>2005</v>
      </c>
      <c r="BA6" s="228">
        <v>-112</v>
      </c>
      <c r="BB6" s="229">
        <v>-5.5899999999999998E-2</v>
      </c>
      <c r="BC6" s="228">
        <v>183</v>
      </c>
      <c r="BD6" s="228">
        <v>24</v>
      </c>
      <c r="BE6" s="228">
        <v>159</v>
      </c>
      <c r="BF6" s="229">
        <v>6.625</v>
      </c>
      <c r="BG6" s="230">
        <v>30354</v>
      </c>
      <c r="BH6" s="230">
        <v>25677</v>
      </c>
      <c r="BI6" s="230">
        <v>4677</v>
      </c>
      <c r="BJ6" s="229">
        <v>0.18210000000000001</v>
      </c>
      <c r="BK6" s="230">
        <v>20798</v>
      </c>
      <c r="BL6" s="230">
        <v>17797</v>
      </c>
      <c r="BM6" s="230">
        <v>3001</v>
      </c>
      <c r="BN6" s="229">
        <v>0.1686</v>
      </c>
      <c r="BO6" s="230">
        <v>63104</v>
      </c>
      <c r="BP6" s="230">
        <v>54786</v>
      </c>
      <c r="BQ6" s="230">
        <v>8318</v>
      </c>
      <c r="BR6" s="229">
        <v>0.15179999999999999</v>
      </c>
      <c r="BS6" s="230">
        <v>5601419</v>
      </c>
      <c r="BT6" s="230">
        <v>4182251</v>
      </c>
      <c r="BU6" s="230">
        <v>1419168</v>
      </c>
      <c r="BV6" s="229">
        <v>0.33929999999999999</v>
      </c>
      <c r="BW6" s="230">
        <v>64467500</v>
      </c>
      <c r="BX6" s="230">
        <v>64568125</v>
      </c>
      <c r="BY6" s="230">
        <v>-100625</v>
      </c>
      <c r="BZ6" s="229">
        <v>-1.6000000000000001E-3</v>
      </c>
      <c r="CA6" s="230">
        <v>46210625</v>
      </c>
      <c r="CB6" s="230">
        <v>47011875</v>
      </c>
      <c r="CC6" s="230">
        <v>-801250</v>
      </c>
      <c r="CD6" s="229">
        <v>-1.7000000000000001E-2</v>
      </c>
      <c r="CE6" s="230">
        <v>16526875</v>
      </c>
      <c r="CF6" s="230">
        <v>15898125</v>
      </c>
      <c r="CG6" s="230">
        <v>628750</v>
      </c>
      <c r="CH6" s="229">
        <v>3.95E-2</v>
      </c>
      <c r="CI6" s="230">
        <v>1730000</v>
      </c>
      <c r="CJ6" s="230">
        <v>1658125</v>
      </c>
      <c r="CK6" s="230">
        <v>71875</v>
      </c>
      <c r="CL6" s="229">
        <v>4.3299999999999998E-2</v>
      </c>
      <c r="CM6" s="230">
        <v>16973750</v>
      </c>
      <c r="CN6" s="230">
        <v>16693125</v>
      </c>
      <c r="CO6" s="230">
        <v>280625</v>
      </c>
      <c r="CP6" s="229">
        <v>1.6799999999999999E-2</v>
      </c>
      <c r="CQ6" s="230">
        <v>13691875</v>
      </c>
      <c r="CR6" s="230">
        <v>13978750</v>
      </c>
      <c r="CS6" s="230">
        <v>-286875</v>
      </c>
      <c r="CT6" s="229">
        <v>-2.0500000000000001E-2</v>
      </c>
      <c r="CU6" s="230">
        <v>95133125</v>
      </c>
      <c r="CV6" s="230">
        <v>95240000</v>
      </c>
      <c r="CW6" s="230">
        <v>-106875</v>
      </c>
      <c r="CX6" s="229">
        <v>-1.1000000000000001E-3</v>
      </c>
      <c r="CY6" s="228">
        <v>37.909999999999997</v>
      </c>
      <c r="CZ6" s="228">
        <v>32.81</v>
      </c>
      <c r="DA6" s="228">
        <v>5.0999999999999996</v>
      </c>
      <c r="DB6" s="228">
        <v>5.0999999999999996</v>
      </c>
      <c r="DC6" s="228">
        <v>29.99</v>
      </c>
      <c r="DD6" s="228">
        <v>30.06</v>
      </c>
      <c r="DE6" s="228">
        <v>7.92</v>
      </c>
      <c r="DF6" s="228">
        <v>-7.0000000000000007E-2</v>
      </c>
      <c r="DG6" s="228">
        <v>36.770000000000003</v>
      </c>
      <c r="DH6" s="228">
        <v>31.47</v>
      </c>
      <c r="DI6" s="228">
        <v>5.3</v>
      </c>
      <c r="DJ6" s="228">
        <v>5.3</v>
      </c>
      <c r="DK6" s="228">
        <v>39.56</v>
      </c>
      <c r="DL6" s="228">
        <v>34.729999999999997</v>
      </c>
      <c r="DM6" s="228">
        <v>4.83</v>
      </c>
      <c r="DN6" s="228">
        <v>4.83</v>
      </c>
      <c r="DO6" s="228">
        <v>0.81</v>
      </c>
      <c r="DP6" s="228">
        <v>0.84</v>
      </c>
      <c r="DQ6" s="228">
        <v>-0.03</v>
      </c>
      <c r="DR6" s="229">
        <v>-3.5700000000000003E-2</v>
      </c>
      <c r="DS6" s="231">
        <v>1400</v>
      </c>
      <c r="DT6" s="231">
        <v>1300</v>
      </c>
      <c r="DU6" s="228">
        <v>0.69</v>
      </c>
      <c r="DV6" s="228">
        <v>0.69</v>
      </c>
      <c r="DW6" s="228">
        <v>0</v>
      </c>
      <c r="DX6" s="229">
        <v>0</v>
      </c>
      <c r="DY6" s="229">
        <v>0.28320000000000001</v>
      </c>
      <c r="DZ6" s="230">
        <v>17556250</v>
      </c>
      <c r="EA6" s="229">
        <v>5.1999999999999998E-3</v>
      </c>
      <c r="EB6" s="229">
        <v>0.28320000000000001</v>
      </c>
      <c r="EC6" s="228">
        <v>6.41</v>
      </c>
      <c r="ED6" s="229">
        <v>4.7000000000000002E-3</v>
      </c>
      <c r="EE6" s="230">
        <v>3323759</v>
      </c>
      <c r="EF6" s="230">
        <v>2477087</v>
      </c>
      <c r="EG6" s="229">
        <v>0.34179999999999999</v>
      </c>
      <c r="EH6" s="229">
        <v>0.59340000000000004</v>
      </c>
      <c r="EI6" s="231">
        <v>267442.40000000002</v>
      </c>
      <c r="EJ6" s="231">
        <v>173017.7</v>
      </c>
      <c r="EK6" s="231">
        <v>101919.28</v>
      </c>
      <c r="EL6" s="231">
        <v>13446</v>
      </c>
      <c r="EM6" s="231">
        <v>542379.38</v>
      </c>
      <c r="EN6" s="231">
        <v>470238.77</v>
      </c>
      <c r="EO6" s="231">
        <v>72140.61</v>
      </c>
      <c r="EP6" s="229">
        <v>0.15340000000000001</v>
      </c>
      <c r="EQ6" s="231">
        <v>227482</v>
      </c>
      <c r="ER6" s="231">
        <v>171093</v>
      </c>
      <c r="ES6" s="231">
        <v>875774</v>
      </c>
      <c r="ET6" s="231">
        <v>331596880</v>
      </c>
      <c r="EU6" s="231">
        <v>1274349</v>
      </c>
      <c r="EV6" s="231">
        <v>1279079</v>
      </c>
      <c r="EW6" s="231">
        <v>-4730</v>
      </c>
      <c r="EX6" s="229">
        <v>-3.7000000000000002E-3</v>
      </c>
      <c r="EY6" s="229">
        <v>0.28689999999999999</v>
      </c>
    </row>
    <row r="7" spans="1:155" ht="17.25" thickBot="1" x14ac:dyDescent="0.3">
      <c r="A7" s="226">
        <v>46132</v>
      </c>
      <c r="B7" s="227" t="s">
        <v>162</v>
      </c>
      <c r="C7" s="227" t="s">
        <v>174</v>
      </c>
      <c r="D7" s="231">
        <v>9811</v>
      </c>
      <c r="E7" s="231">
        <v>9761.5</v>
      </c>
      <c r="F7" s="228">
        <v>49.5</v>
      </c>
      <c r="G7" s="229">
        <v>5.1000000000000004E-3</v>
      </c>
      <c r="H7" s="231">
        <v>9803</v>
      </c>
      <c r="I7" s="231">
        <v>9773.5</v>
      </c>
      <c r="J7" s="228">
        <v>29.5</v>
      </c>
      <c r="K7" s="229">
        <v>3.0000000000000001E-3</v>
      </c>
      <c r="L7" s="231">
        <v>9811</v>
      </c>
      <c r="M7" s="231">
        <v>9761.5</v>
      </c>
      <c r="N7" s="228">
        <v>49.5</v>
      </c>
      <c r="O7" s="229">
        <v>5.1000000000000004E-3</v>
      </c>
      <c r="P7" s="231">
        <v>9829.5</v>
      </c>
      <c r="Q7" s="231">
        <v>9752</v>
      </c>
      <c r="R7" s="228">
        <v>77.5</v>
      </c>
      <c r="S7" s="229">
        <v>7.9000000000000008E-3</v>
      </c>
      <c r="T7" s="231">
        <v>9810</v>
      </c>
      <c r="U7" s="231">
        <v>9733.5</v>
      </c>
      <c r="V7" s="228">
        <v>76.5</v>
      </c>
      <c r="W7" s="229">
        <v>7.9000000000000008E-3</v>
      </c>
      <c r="X7" s="228">
        <v>8</v>
      </c>
      <c r="Y7" s="228">
        <v>-12</v>
      </c>
      <c r="Z7" s="228">
        <v>20</v>
      </c>
      <c r="AA7" s="229">
        <v>8.0000000000000004E-4</v>
      </c>
      <c r="AB7" s="228">
        <v>8</v>
      </c>
      <c r="AC7" s="228">
        <v>-12</v>
      </c>
      <c r="AD7" s="228">
        <v>20</v>
      </c>
      <c r="AE7" s="229">
        <v>8.0000000000000004E-4</v>
      </c>
      <c r="AF7" s="228">
        <v>26.5</v>
      </c>
      <c r="AG7" s="228">
        <v>-21.5</v>
      </c>
      <c r="AH7" s="228">
        <v>48</v>
      </c>
      <c r="AI7" s="229">
        <v>2.7000000000000001E-3</v>
      </c>
      <c r="AJ7" s="228">
        <v>7</v>
      </c>
      <c r="AK7" s="228">
        <v>-40</v>
      </c>
      <c r="AL7" s="228">
        <v>47</v>
      </c>
      <c r="AM7" s="229">
        <v>6.9999999999999999E-4</v>
      </c>
      <c r="AN7" s="231">
        <v>9819.3799999999992</v>
      </c>
      <c r="AO7" s="231">
        <v>9829.83</v>
      </c>
      <c r="AP7" s="228">
        <v>0</v>
      </c>
      <c r="AQ7" s="230">
        <v>3871</v>
      </c>
      <c r="AR7" s="230">
        <v>4187</v>
      </c>
      <c r="AS7" s="228">
        <v>-316</v>
      </c>
      <c r="AT7" s="229">
        <v>-7.5499999999999998E-2</v>
      </c>
      <c r="AU7" s="230">
        <v>3211</v>
      </c>
      <c r="AV7" s="230">
        <v>3759</v>
      </c>
      <c r="AW7" s="228">
        <v>-548</v>
      </c>
      <c r="AX7" s="229">
        <v>-0.14580000000000001</v>
      </c>
      <c r="AY7" s="228">
        <v>623</v>
      </c>
      <c r="AZ7" s="228">
        <v>401</v>
      </c>
      <c r="BA7" s="228">
        <v>222</v>
      </c>
      <c r="BB7" s="229">
        <v>0.55359999999999998</v>
      </c>
      <c r="BC7" s="228">
        <v>37</v>
      </c>
      <c r="BD7" s="228">
        <v>27</v>
      </c>
      <c r="BE7" s="228">
        <v>10</v>
      </c>
      <c r="BF7" s="229">
        <v>0.37040000000000001</v>
      </c>
      <c r="BG7" s="230">
        <v>23640</v>
      </c>
      <c r="BH7" s="230">
        <v>16833</v>
      </c>
      <c r="BI7" s="230">
        <v>6807</v>
      </c>
      <c r="BJ7" s="229">
        <v>0.40439999999999998</v>
      </c>
      <c r="BK7" s="230">
        <v>12065</v>
      </c>
      <c r="BL7" s="230">
        <v>11328</v>
      </c>
      <c r="BM7" s="228">
        <v>737</v>
      </c>
      <c r="BN7" s="229">
        <v>6.5100000000000005E-2</v>
      </c>
      <c r="BO7" s="230">
        <v>39576</v>
      </c>
      <c r="BP7" s="230">
        <v>32348</v>
      </c>
      <c r="BQ7" s="230">
        <v>7228</v>
      </c>
      <c r="BR7" s="229">
        <v>0.22339999999999999</v>
      </c>
      <c r="BS7" s="230">
        <v>355520</v>
      </c>
      <c r="BT7" s="230">
        <v>274564</v>
      </c>
      <c r="BU7" s="230">
        <v>80956</v>
      </c>
      <c r="BV7" s="229">
        <v>0.2949</v>
      </c>
      <c r="BW7" s="230">
        <v>3038625</v>
      </c>
      <c r="BX7" s="230">
        <v>3065250</v>
      </c>
      <c r="BY7" s="230">
        <v>-26625</v>
      </c>
      <c r="BZ7" s="229">
        <v>-8.6999999999999994E-3</v>
      </c>
      <c r="CA7" s="230">
        <v>2733600</v>
      </c>
      <c r="CB7" s="230">
        <v>2777775</v>
      </c>
      <c r="CC7" s="230">
        <v>-44175</v>
      </c>
      <c r="CD7" s="229">
        <v>-1.5900000000000001E-2</v>
      </c>
      <c r="CE7" s="230">
        <v>288000</v>
      </c>
      <c r="CF7" s="230">
        <v>270900</v>
      </c>
      <c r="CG7" s="230">
        <v>17100</v>
      </c>
      <c r="CH7" s="229">
        <v>6.3100000000000003E-2</v>
      </c>
      <c r="CI7" s="230">
        <v>17025</v>
      </c>
      <c r="CJ7" s="230">
        <v>16575</v>
      </c>
      <c r="CK7" s="228">
        <v>450</v>
      </c>
      <c r="CL7" s="229">
        <v>2.7099999999999999E-2</v>
      </c>
      <c r="CM7" s="230">
        <v>1235550</v>
      </c>
      <c r="CN7" s="230">
        <v>1282500</v>
      </c>
      <c r="CO7" s="230">
        <v>-46950</v>
      </c>
      <c r="CP7" s="229">
        <v>-3.6600000000000001E-2</v>
      </c>
      <c r="CQ7" s="230">
        <v>1121625</v>
      </c>
      <c r="CR7" s="230">
        <v>1139025</v>
      </c>
      <c r="CS7" s="230">
        <v>-17400</v>
      </c>
      <c r="CT7" s="229">
        <v>-1.5299999999999999E-2</v>
      </c>
      <c r="CU7" s="230">
        <v>5395800</v>
      </c>
      <c r="CV7" s="230">
        <v>5486775</v>
      </c>
      <c r="CW7" s="230">
        <v>-90975</v>
      </c>
      <c r="CX7" s="229">
        <v>-1.66E-2</v>
      </c>
      <c r="CY7" s="228">
        <v>29.78</v>
      </c>
      <c r="CZ7" s="228">
        <v>28.23</v>
      </c>
      <c r="DA7" s="228">
        <v>1.55</v>
      </c>
      <c r="DB7" s="228">
        <v>1.55</v>
      </c>
      <c r="DC7" s="228">
        <v>29.61</v>
      </c>
      <c r="DD7" s="228">
        <v>29.68</v>
      </c>
      <c r="DE7" s="228">
        <v>0.17</v>
      </c>
      <c r="DF7" s="228">
        <v>-7.0000000000000007E-2</v>
      </c>
      <c r="DG7" s="228">
        <v>29.1</v>
      </c>
      <c r="DH7" s="228">
        <v>27.06</v>
      </c>
      <c r="DI7" s="228">
        <v>2.04</v>
      </c>
      <c r="DJ7" s="228">
        <v>2.04</v>
      </c>
      <c r="DK7" s="228">
        <v>31.11</v>
      </c>
      <c r="DL7" s="228">
        <v>29.97</v>
      </c>
      <c r="DM7" s="228">
        <v>1.1399999999999999</v>
      </c>
      <c r="DN7" s="228">
        <v>1.1399999999999999</v>
      </c>
      <c r="DO7" s="228">
        <v>0.91</v>
      </c>
      <c r="DP7" s="228">
        <v>0.89</v>
      </c>
      <c r="DQ7" s="228">
        <v>0.02</v>
      </c>
      <c r="DR7" s="229">
        <v>2.2499999999999999E-2</v>
      </c>
      <c r="DS7" s="231">
        <v>9900</v>
      </c>
      <c r="DT7" s="231">
        <v>8000</v>
      </c>
      <c r="DU7" s="228">
        <v>0.51</v>
      </c>
      <c r="DV7" s="228">
        <v>0.67</v>
      </c>
      <c r="DW7" s="228">
        <v>-0.16</v>
      </c>
      <c r="DX7" s="229">
        <v>-0.23880000000000001</v>
      </c>
      <c r="DY7" s="229">
        <v>0.1004</v>
      </c>
      <c r="DZ7" s="230">
        <v>287475</v>
      </c>
      <c r="EA7" s="229">
        <v>1.9E-3</v>
      </c>
      <c r="EB7" s="229">
        <v>0.1004</v>
      </c>
      <c r="EC7" s="228">
        <v>10.45</v>
      </c>
      <c r="ED7" s="229">
        <v>1.1000000000000001E-3</v>
      </c>
      <c r="EE7" s="230">
        <v>219751</v>
      </c>
      <c r="EF7" s="230">
        <v>143768</v>
      </c>
      <c r="EG7" s="229">
        <v>0.52849999999999997</v>
      </c>
      <c r="EH7" s="229">
        <v>0.61809999999999998</v>
      </c>
      <c r="EI7" s="231">
        <v>179853.53</v>
      </c>
      <c r="EJ7" s="231">
        <v>85361.85</v>
      </c>
      <c r="EK7" s="231">
        <v>28512.34</v>
      </c>
      <c r="EL7" s="231">
        <v>6942</v>
      </c>
      <c r="EM7" s="231">
        <v>293727.71999999997</v>
      </c>
      <c r="EN7" s="231">
        <v>240738.6</v>
      </c>
      <c r="EO7" s="231">
        <v>52989.120000000003</v>
      </c>
      <c r="EP7" s="229">
        <v>0.22009999999999999</v>
      </c>
      <c r="EQ7" s="231">
        <v>121824</v>
      </c>
      <c r="ER7" s="231">
        <v>101488</v>
      </c>
      <c r="ES7" s="231">
        <v>298173</v>
      </c>
      <c r="ET7" s="231">
        <v>12553818</v>
      </c>
      <c r="EU7" s="231">
        <v>521484</v>
      </c>
      <c r="EV7" s="231">
        <v>528472</v>
      </c>
      <c r="EW7" s="231">
        <v>-6988</v>
      </c>
      <c r="EX7" s="229">
        <v>-1.32E-2</v>
      </c>
      <c r="EY7" s="229">
        <v>0.42980000000000002</v>
      </c>
    </row>
    <row r="8" spans="1:155" ht="17.25" thickBot="1" x14ac:dyDescent="0.3">
      <c r="A8" s="226">
        <v>46132</v>
      </c>
      <c r="B8" s="227" t="s">
        <v>175</v>
      </c>
      <c r="C8" s="227" t="s">
        <v>176</v>
      </c>
      <c r="D8" s="231">
        <v>1828.1</v>
      </c>
      <c r="E8" s="231">
        <v>1839.4</v>
      </c>
      <c r="F8" s="228">
        <v>-11.3</v>
      </c>
      <c r="G8" s="229">
        <v>-6.1000000000000004E-3</v>
      </c>
      <c r="H8" s="231">
        <v>1830.6</v>
      </c>
      <c r="I8" s="231">
        <v>1838.9</v>
      </c>
      <c r="J8" s="228">
        <v>-8.3000000000000007</v>
      </c>
      <c r="K8" s="229">
        <v>-4.4999999999999997E-3</v>
      </c>
      <c r="L8" s="231">
        <v>1828.1</v>
      </c>
      <c r="M8" s="231">
        <v>1839.4</v>
      </c>
      <c r="N8" s="228">
        <v>-11.3</v>
      </c>
      <c r="O8" s="229">
        <v>-6.1000000000000004E-3</v>
      </c>
      <c r="P8" s="231">
        <v>1839.2</v>
      </c>
      <c r="Q8" s="231">
        <v>1849.7</v>
      </c>
      <c r="R8" s="228">
        <v>-10.5</v>
      </c>
      <c r="S8" s="229">
        <v>-5.7000000000000002E-3</v>
      </c>
      <c r="T8" s="231">
        <v>1848.3</v>
      </c>
      <c r="U8" s="231">
        <v>1861.2</v>
      </c>
      <c r="V8" s="228">
        <v>-12.9</v>
      </c>
      <c r="W8" s="229">
        <v>-6.8999999999999999E-3</v>
      </c>
      <c r="X8" s="228">
        <v>-2.5</v>
      </c>
      <c r="Y8" s="228">
        <v>0.5</v>
      </c>
      <c r="Z8" s="228">
        <v>-3</v>
      </c>
      <c r="AA8" s="229">
        <v>-1.4E-3</v>
      </c>
      <c r="AB8" s="228">
        <v>-2.5</v>
      </c>
      <c r="AC8" s="228">
        <v>0.5</v>
      </c>
      <c r="AD8" s="228">
        <v>-3</v>
      </c>
      <c r="AE8" s="229">
        <v>-1.4E-3</v>
      </c>
      <c r="AF8" s="228">
        <v>8.6</v>
      </c>
      <c r="AG8" s="228">
        <v>10.8</v>
      </c>
      <c r="AH8" s="228">
        <v>-2.2000000000000002</v>
      </c>
      <c r="AI8" s="229">
        <v>4.7000000000000002E-3</v>
      </c>
      <c r="AJ8" s="228">
        <v>17.7</v>
      </c>
      <c r="AK8" s="228">
        <v>22.3</v>
      </c>
      <c r="AL8" s="228">
        <v>-4.5999999999999996</v>
      </c>
      <c r="AM8" s="229">
        <v>9.7000000000000003E-3</v>
      </c>
      <c r="AN8" s="231">
        <v>1833.26</v>
      </c>
      <c r="AO8" s="231">
        <v>1846</v>
      </c>
      <c r="AP8" s="228">
        <v>0</v>
      </c>
      <c r="AQ8" s="230">
        <v>4855</v>
      </c>
      <c r="AR8" s="230">
        <v>1793</v>
      </c>
      <c r="AS8" s="230">
        <v>3062</v>
      </c>
      <c r="AT8" s="229">
        <v>1.7078</v>
      </c>
      <c r="AU8" s="230">
        <v>3363</v>
      </c>
      <c r="AV8" s="230">
        <v>1543</v>
      </c>
      <c r="AW8" s="230">
        <v>1820</v>
      </c>
      <c r="AX8" s="229">
        <v>1.1795</v>
      </c>
      <c r="AY8" s="228">
        <v>443</v>
      </c>
      <c r="AZ8" s="228">
        <v>233</v>
      </c>
      <c r="BA8" s="228">
        <v>210</v>
      </c>
      <c r="BB8" s="229">
        <v>0.90129999999999999</v>
      </c>
      <c r="BC8" s="230">
        <v>1049</v>
      </c>
      <c r="BD8" s="228">
        <v>17</v>
      </c>
      <c r="BE8" s="230">
        <v>1032</v>
      </c>
      <c r="BF8" s="229">
        <v>60.7059</v>
      </c>
      <c r="BG8" s="230">
        <v>9303</v>
      </c>
      <c r="BH8" s="230">
        <v>7776</v>
      </c>
      <c r="BI8" s="230">
        <v>1527</v>
      </c>
      <c r="BJ8" s="229">
        <v>0.19639999999999999</v>
      </c>
      <c r="BK8" s="230">
        <v>6097</v>
      </c>
      <c r="BL8" s="230">
        <v>5112</v>
      </c>
      <c r="BM8" s="228">
        <v>985</v>
      </c>
      <c r="BN8" s="229">
        <v>0.19270000000000001</v>
      </c>
      <c r="BO8" s="230">
        <v>20255</v>
      </c>
      <c r="BP8" s="230">
        <v>14681</v>
      </c>
      <c r="BQ8" s="230">
        <v>5574</v>
      </c>
      <c r="BR8" s="229">
        <v>0.37969999999999998</v>
      </c>
      <c r="BS8" s="230">
        <v>923681</v>
      </c>
      <c r="BT8" s="230">
        <v>512844</v>
      </c>
      <c r="BU8" s="230">
        <v>410837</v>
      </c>
      <c r="BV8" s="229">
        <v>0.80110000000000003</v>
      </c>
      <c r="BW8" s="230">
        <v>11019000</v>
      </c>
      <c r="BX8" s="230">
        <v>11202250</v>
      </c>
      <c r="BY8" s="230">
        <v>-183250</v>
      </c>
      <c r="BZ8" s="229">
        <v>-1.6400000000000001E-2</v>
      </c>
      <c r="CA8" s="230">
        <v>8966250</v>
      </c>
      <c r="CB8" s="230">
        <v>9455500</v>
      </c>
      <c r="CC8" s="230">
        <v>-489250</v>
      </c>
      <c r="CD8" s="229">
        <v>-5.1700000000000003E-2</v>
      </c>
      <c r="CE8" s="230">
        <v>1736750</v>
      </c>
      <c r="CF8" s="230">
        <v>1681250</v>
      </c>
      <c r="CG8" s="230">
        <v>55500</v>
      </c>
      <c r="CH8" s="229">
        <v>3.3000000000000002E-2</v>
      </c>
      <c r="CI8" s="230">
        <v>316000</v>
      </c>
      <c r="CJ8" s="230">
        <v>65500</v>
      </c>
      <c r="CK8" s="230">
        <v>250500</v>
      </c>
      <c r="CL8" s="229">
        <v>3.8243999999999998</v>
      </c>
      <c r="CM8" s="230">
        <v>3527250</v>
      </c>
      <c r="CN8" s="230">
        <v>3498750</v>
      </c>
      <c r="CO8" s="230">
        <v>28500</v>
      </c>
      <c r="CP8" s="229">
        <v>8.0999999999999996E-3</v>
      </c>
      <c r="CQ8" s="230">
        <v>3571000</v>
      </c>
      <c r="CR8" s="230">
        <v>3578500</v>
      </c>
      <c r="CS8" s="230">
        <v>-7500</v>
      </c>
      <c r="CT8" s="229">
        <v>-2.0999999999999999E-3</v>
      </c>
      <c r="CU8" s="230">
        <v>18117250</v>
      </c>
      <c r="CV8" s="230">
        <v>18279500</v>
      </c>
      <c r="CW8" s="230">
        <v>-162250</v>
      </c>
      <c r="CX8" s="229">
        <v>-8.8999999999999999E-3</v>
      </c>
      <c r="CY8" s="228">
        <v>30.67</v>
      </c>
      <c r="CZ8" s="228">
        <v>27.51</v>
      </c>
      <c r="DA8" s="228">
        <v>3.16</v>
      </c>
      <c r="DB8" s="228">
        <v>3.16</v>
      </c>
      <c r="DC8" s="228">
        <v>30.55</v>
      </c>
      <c r="DD8" s="228">
        <v>30.62</v>
      </c>
      <c r="DE8" s="228">
        <v>0.12</v>
      </c>
      <c r="DF8" s="228">
        <v>-7.0000000000000007E-2</v>
      </c>
      <c r="DG8" s="228">
        <v>30.09</v>
      </c>
      <c r="DH8" s="228">
        <v>26.39</v>
      </c>
      <c r="DI8" s="228">
        <v>3.7</v>
      </c>
      <c r="DJ8" s="228">
        <v>3.7</v>
      </c>
      <c r="DK8" s="228">
        <v>31.57</v>
      </c>
      <c r="DL8" s="228">
        <v>29.21</v>
      </c>
      <c r="DM8" s="228">
        <v>2.36</v>
      </c>
      <c r="DN8" s="228">
        <v>2.36</v>
      </c>
      <c r="DO8" s="228">
        <v>1.01</v>
      </c>
      <c r="DP8" s="228">
        <v>1.02</v>
      </c>
      <c r="DQ8" s="228">
        <v>-0.01</v>
      </c>
      <c r="DR8" s="229">
        <v>-9.7999999999999997E-3</v>
      </c>
      <c r="DS8" s="231">
        <v>1760</v>
      </c>
      <c r="DT8" s="231">
        <v>1620</v>
      </c>
      <c r="DU8" s="228">
        <v>0.66</v>
      </c>
      <c r="DV8" s="228">
        <v>0.66</v>
      </c>
      <c r="DW8" s="228">
        <v>0</v>
      </c>
      <c r="DX8" s="229">
        <v>0</v>
      </c>
      <c r="DY8" s="229">
        <v>0.18629999999999999</v>
      </c>
      <c r="DZ8" s="230">
        <v>1746750</v>
      </c>
      <c r="EA8" s="229">
        <v>6.1000000000000004E-3</v>
      </c>
      <c r="EB8" s="229">
        <v>0.18629999999999999</v>
      </c>
      <c r="EC8" s="228">
        <v>12.74</v>
      </c>
      <c r="ED8" s="229">
        <v>6.8999999999999999E-3</v>
      </c>
      <c r="EE8" s="230">
        <v>516179</v>
      </c>
      <c r="EF8" s="230">
        <v>266505</v>
      </c>
      <c r="EG8" s="229">
        <v>0.93679999999999997</v>
      </c>
      <c r="EH8" s="229">
        <v>0.55879999999999996</v>
      </c>
      <c r="EI8" s="231">
        <v>44038.83</v>
      </c>
      <c r="EJ8" s="231">
        <v>27774.39</v>
      </c>
      <c r="EK8" s="231">
        <v>22305.3</v>
      </c>
      <c r="EL8" s="231">
        <v>3614</v>
      </c>
      <c r="EM8" s="231">
        <v>94118.52</v>
      </c>
      <c r="EN8" s="231">
        <v>68196.259999999995</v>
      </c>
      <c r="EO8" s="231">
        <v>25922.26</v>
      </c>
      <c r="EP8" s="229">
        <v>0.38009999999999999</v>
      </c>
      <c r="EQ8" s="231">
        <v>64205</v>
      </c>
      <c r="ER8" s="231">
        <v>60919</v>
      </c>
      <c r="ES8" s="231">
        <v>201695</v>
      </c>
      <c r="ET8" s="231">
        <v>65784745</v>
      </c>
      <c r="EU8" s="231">
        <v>326820</v>
      </c>
      <c r="EV8" s="231">
        <v>330826</v>
      </c>
      <c r="EW8" s="231">
        <v>-4006</v>
      </c>
      <c r="EX8" s="229">
        <v>-1.21E-2</v>
      </c>
      <c r="EY8" s="229">
        <v>0.27539999999999998</v>
      </c>
    </row>
    <row r="9" spans="1:155" ht="17.25" thickBot="1" x14ac:dyDescent="0.3">
      <c r="A9" s="226">
        <v>46132</v>
      </c>
      <c r="B9" s="227" t="s">
        <v>175</v>
      </c>
      <c r="C9" s="227" t="s">
        <v>177</v>
      </c>
      <c r="D9" s="228">
        <v>916.95</v>
      </c>
      <c r="E9" s="228">
        <v>910.95</v>
      </c>
      <c r="F9" s="228">
        <v>6</v>
      </c>
      <c r="G9" s="229">
        <v>6.6E-3</v>
      </c>
      <c r="H9" s="228">
        <v>917.75</v>
      </c>
      <c r="I9" s="228">
        <v>908.25</v>
      </c>
      <c r="J9" s="228">
        <v>9.5</v>
      </c>
      <c r="K9" s="229">
        <v>1.0500000000000001E-2</v>
      </c>
      <c r="L9" s="228">
        <v>916.95</v>
      </c>
      <c r="M9" s="228">
        <v>910.95</v>
      </c>
      <c r="N9" s="228">
        <v>6</v>
      </c>
      <c r="O9" s="229">
        <v>6.6E-3</v>
      </c>
      <c r="P9" s="228">
        <v>921.1</v>
      </c>
      <c r="Q9" s="228">
        <v>915.3</v>
      </c>
      <c r="R9" s="228">
        <v>5.8</v>
      </c>
      <c r="S9" s="229">
        <v>6.3E-3</v>
      </c>
      <c r="T9" s="228">
        <v>923.7</v>
      </c>
      <c r="U9" s="228">
        <v>917.2</v>
      </c>
      <c r="V9" s="228">
        <v>6.5</v>
      </c>
      <c r="W9" s="229">
        <v>7.1000000000000004E-3</v>
      </c>
      <c r="X9" s="228">
        <v>-0.8</v>
      </c>
      <c r="Y9" s="228">
        <v>2.7</v>
      </c>
      <c r="Z9" s="228">
        <v>-3.5</v>
      </c>
      <c r="AA9" s="229">
        <v>-8.9999999999999998E-4</v>
      </c>
      <c r="AB9" s="228">
        <v>-0.8</v>
      </c>
      <c r="AC9" s="228">
        <v>2.7</v>
      </c>
      <c r="AD9" s="228">
        <v>-3.5</v>
      </c>
      <c r="AE9" s="229">
        <v>-8.9999999999999998E-4</v>
      </c>
      <c r="AF9" s="228">
        <v>3.35</v>
      </c>
      <c r="AG9" s="228">
        <v>7.05</v>
      </c>
      <c r="AH9" s="228">
        <v>-3.7</v>
      </c>
      <c r="AI9" s="229">
        <v>3.7000000000000002E-3</v>
      </c>
      <c r="AJ9" s="228">
        <v>5.95</v>
      </c>
      <c r="AK9" s="228">
        <v>8.9499999999999993</v>
      </c>
      <c r="AL9" s="228">
        <v>-3</v>
      </c>
      <c r="AM9" s="229">
        <v>6.4999999999999997E-3</v>
      </c>
      <c r="AN9" s="228">
        <v>914.87</v>
      </c>
      <c r="AO9" s="228">
        <v>919.31</v>
      </c>
      <c r="AP9" s="228">
        <v>0</v>
      </c>
      <c r="AQ9" s="230">
        <v>8150</v>
      </c>
      <c r="AR9" s="230">
        <v>6437</v>
      </c>
      <c r="AS9" s="230">
        <v>1713</v>
      </c>
      <c r="AT9" s="229">
        <v>0.2661</v>
      </c>
      <c r="AU9" s="230">
        <v>6864</v>
      </c>
      <c r="AV9" s="230">
        <v>5297</v>
      </c>
      <c r="AW9" s="230">
        <v>1567</v>
      </c>
      <c r="AX9" s="229">
        <v>0.29580000000000001</v>
      </c>
      <c r="AY9" s="230">
        <v>1138</v>
      </c>
      <c r="AZ9" s="228">
        <v>968</v>
      </c>
      <c r="BA9" s="228">
        <v>170</v>
      </c>
      <c r="BB9" s="229">
        <v>0.17560000000000001</v>
      </c>
      <c r="BC9" s="228">
        <v>148</v>
      </c>
      <c r="BD9" s="228">
        <v>172</v>
      </c>
      <c r="BE9" s="228">
        <v>-24</v>
      </c>
      <c r="BF9" s="229">
        <v>-0.13950000000000001</v>
      </c>
      <c r="BG9" s="230">
        <v>27532</v>
      </c>
      <c r="BH9" s="230">
        <v>18559</v>
      </c>
      <c r="BI9" s="230">
        <v>8973</v>
      </c>
      <c r="BJ9" s="229">
        <v>0.48349999999999999</v>
      </c>
      <c r="BK9" s="230">
        <v>15364</v>
      </c>
      <c r="BL9" s="230">
        <v>11603</v>
      </c>
      <c r="BM9" s="230">
        <v>3761</v>
      </c>
      <c r="BN9" s="229">
        <v>0.3241</v>
      </c>
      <c r="BO9" s="230">
        <v>51046</v>
      </c>
      <c r="BP9" s="230">
        <v>36599</v>
      </c>
      <c r="BQ9" s="230">
        <v>14447</v>
      </c>
      <c r="BR9" s="229">
        <v>0.3947</v>
      </c>
      <c r="BS9" s="230">
        <v>6630447</v>
      </c>
      <c r="BT9" s="230">
        <v>6274068</v>
      </c>
      <c r="BU9" s="230">
        <v>356379</v>
      </c>
      <c r="BV9" s="229">
        <v>5.6800000000000003E-2</v>
      </c>
      <c r="BW9" s="230">
        <v>70197750</v>
      </c>
      <c r="BX9" s="230">
        <v>70972500</v>
      </c>
      <c r="BY9" s="230">
        <v>-774750</v>
      </c>
      <c r="BZ9" s="229">
        <v>-1.09E-2</v>
      </c>
      <c r="CA9" s="230">
        <v>64403250</v>
      </c>
      <c r="CB9" s="230">
        <v>65455500</v>
      </c>
      <c r="CC9" s="230">
        <v>-1052250</v>
      </c>
      <c r="CD9" s="229">
        <v>-1.61E-2</v>
      </c>
      <c r="CE9" s="230">
        <v>5291250</v>
      </c>
      <c r="CF9" s="230">
        <v>5034750</v>
      </c>
      <c r="CG9" s="230">
        <v>256500</v>
      </c>
      <c r="CH9" s="229">
        <v>5.0900000000000001E-2</v>
      </c>
      <c r="CI9" s="230">
        <v>503250</v>
      </c>
      <c r="CJ9" s="230">
        <v>482250</v>
      </c>
      <c r="CK9" s="230">
        <v>21000</v>
      </c>
      <c r="CL9" s="229">
        <v>4.3499999999999997E-2</v>
      </c>
      <c r="CM9" s="230">
        <v>21276000</v>
      </c>
      <c r="CN9" s="230">
        <v>21938250</v>
      </c>
      <c r="CO9" s="230">
        <v>-662250</v>
      </c>
      <c r="CP9" s="229">
        <v>-3.0200000000000001E-2</v>
      </c>
      <c r="CQ9" s="230">
        <v>17077500</v>
      </c>
      <c r="CR9" s="230">
        <v>17085750</v>
      </c>
      <c r="CS9" s="230">
        <v>-8250</v>
      </c>
      <c r="CT9" s="229">
        <v>-5.0000000000000001E-4</v>
      </c>
      <c r="CU9" s="230">
        <v>108551250</v>
      </c>
      <c r="CV9" s="230">
        <v>109996500</v>
      </c>
      <c r="CW9" s="230">
        <v>-1445250</v>
      </c>
      <c r="CX9" s="229">
        <v>-1.3100000000000001E-2</v>
      </c>
      <c r="CY9" s="228">
        <v>35.74</v>
      </c>
      <c r="CZ9" s="228">
        <v>33.26</v>
      </c>
      <c r="DA9" s="228">
        <v>2.48</v>
      </c>
      <c r="DB9" s="228">
        <v>2.48</v>
      </c>
      <c r="DC9" s="228">
        <v>35.94</v>
      </c>
      <c r="DD9" s="228">
        <v>36</v>
      </c>
      <c r="DE9" s="228">
        <v>-0.2</v>
      </c>
      <c r="DF9" s="228">
        <v>-0.06</v>
      </c>
      <c r="DG9" s="228">
        <v>34.020000000000003</v>
      </c>
      <c r="DH9" s="228">
        <v>31.46</v>
      </c>
      <c r="DI9" s="228">
        <v>2.56</v>
      </c>
      <c r="DJ9" s="228">
        <v>2.56</v>
      </c>
      <c r="DK9" s="228">
        <v>38.82</v>
      </c>
      <c r="DL9" s="228">
        <v>36.15</v>
      </c>
      <c r="DM9" s="228">
        <v>2.67</v>
      </c>
      <c r="DN9" s="228">
        <v>2.67</v>
      </c>
      <c r="DO9" s="228">
        <v>0.8</v>
      </c>
      <c r="DP9" s="228">
        <v>0.78</v>
      </c>
      <c r="DQ9" s="228">
        <v>0.02</v>
      </c>
      <c r="DR9" s="229">
        <v>2.5600000000000001E-2</v>
      </c>
      <c r="DS9" s="228">
        <v>920</v>
      </c>
      <c r="DT9" s="228">
        <v>800</v>
      </c>
      <c r="DU9" s="228">
        <v>0.56000000000000005</v>
      </c>
      <c r="DV9" s="228">
        <v>0.63</v>
      </c>
      <c r="DW9" s="228">
        <v>-7.0000000000000007E-2</v>
      </c>
      <c r="DX9" s="229">
        <v>-0.1111</v>
      </c>
      <c r="DY9" s="229">
        <v>8.2500000000000004E-2</v>
      </c>
      <c r="DZ9" s="230">
        <v>5517000</v>
      </c>
      <c r="EA9" s="229">
        <v>4.4999999999999997E-3</v>
      </c>
      <c r="EB9" s="229">
        <v>8.2500000000000004E-2</v>
      </c>
      <c r="EC9" s="228">
        <v>4.4400000000000004</v>
      </c>
      <c r="ED9" s="229">
        <v>4.8999999999999998E-3</v>
      </c>
      <c r="EE9" s="230">
        <v>3597310</v>
      </c>
      <c r="EF9" s="230">
        <v>3926064</v>
      </c>
      <c r="EG9" s="229">
        <v>-8.3699999999999997E-2</v>
      </c>
      <c r="EH9" s="229">
        <v>0.54249999999999998</v>
      </c>
      <c r="EI9" s="231">
        <v>195850.78</v>
      </c>
      <c r="EJ9" s="231">
        <v>103467.08</v>
      </c>
      <c r="EK9" s="231">
        <v>55965.77</v>
      </c>
      <c r="EL9" s="231">
        <v>9674</v>
      </c>
      <c r="EM9" s="231">
        <v>355283.63</v>
      </c>
      <c r="EN9" s="231">
        <v>252641.03</v>
      </c>
      <c r="EO9" s="231">
        <v>102642.6</v>
      </c>
      <c r="EP9" s="229">
        <v>0.40629999999999999</v>
      </c>
      <c r="EQ9" s="231">
        <v>194499</v>
      </c>
      <c r="ER9" s="231">
        <v>147108</v>
      </c>
      <c r="ES9" s="231">
        <v>643932</v>
      </c>
      <c r="ET9" s="231">
        <v>387962395</v>
      </c>
      <c r="EU9" s="231">
        <v>985539</v>
      </c>
      <c r="EV9" s="231">
        <v>994212</v>
      </c>
      <c r="EW9" s="231">
        <v>-8673</v>
      </c>
      <c r="EX9" s="229">
        <v>-8.6999999999999994E-3</v>
      </c>
      <c r="EY9" s="229">
        <v>0.27979999999999999</v>
      </c>
    </row>
    <row r="10" spans="1:155" ht="17.25" thickBot="1" x14ac:dyDescent="0.3">
      <c r="A10" s="226">
        <v>46132</v>
      </c>
      <c r="B10" s="227" t="s">
        <v>184</v>
      </c>
      <c r="C10" s="227" t="s">
        <v>185</v>
      </c>
      <c r="D10" s="228">
        <v>457.8</v>
      </c>
      <c r="E10" s="228">
        <v>462.9</v>
      </c>
      <c r="F10" s="228">
        <v>-5.0999999999999996</v>
      </c>
      <c r="G10" s="229">
        <v>-1.0999999999999999E-2</v>
      </c>
      <c r="H10" s="228">
        <v>457.55</v>
      </c>
      <c r="I10" s="228">
        <v>462.75</v>
      </c>
      <c r="J10" s="228">
        <v>-5.2</v>
      </c>
      <c r="K10" s="229">
        <v>-1.12E-2</v>
      </c>
      <c r="L10" s="228">
        <v>457.8</v>
      </c>
      <c r="M10" s="228">
        <v>462.9</v>
      </c>
      <c r="N10" s="228">
        <v>-5.0999999999999996</v>
      </c>
      <c r="O10" s="229">
        <v>-1.0999999999999999E-2</v>
      </c>
      <c r="P10" s="228">
        <v>460.45</v>
      </c>
      <c r="Q10" s="228">
        <v>465.55</v>
      </c>
      <c r="R10" s="228">
        <v>-5.0999999999999996</v>
      </c>
      <c r="S10" s="229">
        <v>-1.0999999999999999E-2</v>
      </c>
      <c r="T10" s="228">
        <v>463.6</v>
      </c>
      <c r="U10" s="228">
        <v>468.4</v>
      </c>
      <c r="V10" s="228">
        <v>-4.8</v>
      </c>
      <c r="W10" s="229">
        <v>-1.0200000000000001E-2</v>
      </c>
      <c r="X10" s="228">
        <v>0.25</v>
      </c>
      <c r="Y10" s="228">
        <v>0.15</v>
      </c>
      <c r="Z10" s="228">
        <v>0.1</v>
      </c>
      <c r="AA10" s="229">
        <v>5.0000000000000001E-4</v>
      </c>
      <c r="AB10" s="228">
        <v>0.25</v>
      </c>
      <c r="AC10" s="228">
        <v>0.15</v>
      </c>
      <c r="AD10" s="228">
        <v>0.1</v>
      </c>
      <c r="AE10" s="229">
        <v>5.0000000000000001E-4</v>
      </c>
      <c r="AF10" s="228">
        <v>2.9</v>
      </c>
      <c r="AG10" s="228">
        <v>2.8</v>
      </c>
      <c r="AH10" s="228">
        <v>0.1</v>
      </c>
      <c r="AI10" s="229">
        <v>6.3E-3</v>
      </c>
      <c r="AJ10" s="228">
        <v>6.05</v>
      </c>
      <c r="AK10" s="228">
        <v>5.65</v>
      </c>
      <c r="AL10" s="228">
        <v>0.4</v>
      </c>
      <c r="AM10" s="229">
        <v>1.32E-2</v>
      </c>
      <c r="AN10" s="228">
        <v>460.97</v>
      </c>
      <c r="AO10" s="228">
        <v>463.66</v>
      </c>
      <c r="AP10" s="228">
        <v>0</v>
      </c>
      <c r="AQ10" s="230">
        <v>9105</v>
      </c>
      <c r="AR10" s="230">
        <v>8750</v>
      </c>
      <c r="AS10" s="228">
        <v>355</v>
      </c>
      <c r="AT10" s="229">
        <v>4.0599999999999997E-2</v>
      </c>
      <c r="AU10" s="230">
        <v>5773</v>
      </c>
      <c r="AV10" s="230">
        <v>7092</v>
      </c>
      <c r="AW10" s="230">
        <v>-1319</v>
      </c>
      <c r="AX10" s="229">
        <v>-0.186</v>
      </c>
      <c r="AY10" s="230">
        <v>2046</v>
      </c>
      <c r="AZ10" s="230">
        <v>1413</v>
      </c>
      <c r="BA10" s="228">
        <v>633</v>
      </c>
      <c r="BB10" s="229">
        <v>0.44800000000000001</v>
      </c>
      <c r="BC10" s="230">
        <v>1286</v>
      </c>
      <c r="BD10" s="228">
        <v>245</v>
      </c>
      <c r="BE10" s="230">
        <v>1041</v>
      </c>
      <c r="BF10" s="229">
        <v>4.2489999999999997</v>
      </c>
      <c r="BG10" s="230">
        <v>32393</v>
      </c>
      <c r="BH10" s="230">
        <v>54544</v>
      </c>
      <c r="BI10" s="230">
        <v>-22151</v>
      </c>
      <c r="BJ10" s="229">
        <v>-0.40610000000000002</v>
      </c>
      <c r="BK10" s="230">
        <v>18999</v>
      </c>
      <c r="BL10" s="230">
        <v>27101</v>
      </c>
      <c r="BM10" s="230">
        <v>-8102</v>
      </c>
      <c r="BN10" s="229">
        <v>-0.29899999999999999</v>
      </c>
      <c r="BO10" s="230">
        <v>60497</v>
      </c>
      <c r="BP10" s="230">
        <v>90395</v>
      </c>
      <c r="BQ10" s="230">
        <v>-29898</v>
      </c>
      <c r="BR10" s="229">
        <v>-0.33069999999999999</v>
      </c>
      <c r="BS10" s="230">
        <v>10341964</v>
      </c>
      <c r="BT10" s="230">
        <v>14792143</v>
      </c>
      <c r="BU10" s="230">
        <v>-4450179</v>
      </c>
      <c r="BV10" s="229">
        <v>-0.30080000000000001</v>
      </c>
      <c r="BW10" s="230">
        <v>105950175</v>
      </c>
      <c r="BX10" s="230">
        <v>105736425</v>
      </c>
      <c r="BY10" s="230">
        <v>213750</v>
      </c>
      <c r="BZ10" s="229">
        <v>2E-3</v>
      </c>
      <c r="CA10" s="230">
        <v>88030800</v>
      </c>
      <c r="CB10" s="230">
        <v>90809550</v>
      </c>
      <c r="CC10" s="230">
        <v>-2778750</v>
      </c>
      <c r="CD10" s="229">
        <v>-3.0599999999999999E-2</v>
      </c>
      <c r="CE10" s="230">
        <v>12300600</v>
      </c>
      <c r="CF10" s="230">
        <v>10854225</v>
      </c>
      <c r="CG10" s="230">
        <v>1446375</v>
      </c>
      <c r="CH10" s="229">
        <v>0.1333</v>
      </c>
      <c r="CI10" s="230">
        <v>5618775</v>
      </c>
      <c r="CJ10" s="230">
        <v>4072650</v>
      </c>
      <c r="CK10" s="230">
        <v>1546125</v>
      </c>
      <c r="CL10" s="229">
        <v>0.37959999999999999</v>
      </c>
      <c r="CM10" s="230">
        <v>42465000</v>
      </c>
      <c r="CN10" s="230">
        <v>41927775</v>
      </c>
      <c r="CO10" s="230">
        <v>537225</v>
      </c>
      <c r="CP10" s="229">
        <v>1.2800000000000001E-2</v>
      </c>
      <c r="CQ10" s="230">
        <v>31206075</v>
      </c>
      <c r="CR10" s="230">
        <v>31526700</v>
      </c>
      <c r="CS10" s="230">
        <v>-320625</v>
      </c>
      <c r="CT10" s="229">
        <v>-1.0200000000000001E-2</v>
      </c>
      <c r="CU10" s="230">
        <v>179621250</v>
      </c>
      <c r="CV10" s="230">
        <v>179190900</v>
      </c>
      <c r="CW10" s="230">
        <v>430350</v>
      </c>
      <c r="CX10" s="229">
        <v>2.3999999999999998E-3</v>
      </c>
      <c r="CY10" s="228">
        <v>34.29</v>
      </c>
      <c r="CZ10" s="228">
        <v>31.06</v>
      </c>
      <c r="DA10" s="228">
        <v>3.23</v>
      </c>
      <c r="DB10" s="228">
        <v>3.23</v>
      </c>
      <c r="DC10" s="228">
        <v>37.21</v>
      </c>
      <c r="DD10" s="228">
        <v>37.28</v>
      </c>
      <c r="DE10" s="228">
        <v>-2.92</v>
      </c>
      <c r="DF10" s="228">
        <v>-7.0000000000000007E-2</v>
      </c>
      <c r="DG10" s="228">
        <v>33.56</v>
      </c>
      <c r="DH10" s="228">
        <v>29.9</v>
      </c>
      <c r="DI10" s="228">
        <v>3.66</v>
      </c>
      <c r="DJ10" s="228">
        <v>3.66</v>
      </c>
      <c r="DK10" s="228">
        <v>35.53</v>
      </c>
      <c r="DL10" s="228">
        <v>33.409999999999997</v>
      </c>
      <c r="DM10" s="228">
        <v>2.12</v>
      </c>
      <c r="DN10" s="228">
        <v>2.12</v>
      </c>
      <c r="DO10" s="228">
        <v>0.73</v>
      </c>
      <c r="DP10" s="228">
        <v>0.75</v>
      </c>
      <c r="DQ10" s="228">
        <v>-0.02</v>
      </c>
      <c r="DR10" s="229">
        <v>-2.6700000000000002E-2</v>
      </c>
      <c r="DS10" s="228">
        <v>500</v>
      </c>
      <c r="DT10" s="228">
        <v>450</v>
      </c>
      <c r="DU10" s="228">
        <v>0.59</v>
      </c>
      <c r="DV10" s="228">
        <v>0.5</v>
      </c>
      <c r="DW10" s="228">
        <v>0.09</v>
      </c>
      <c r="DX10" s="229">
        <v>0.18</v>
      </c>
      <c r="DY10" s="229">
        <v>0.1691</v>
      </c>
      <c r="DZ10" s="230">
        <v>14926875</v>
      </c>
      <c r="EA10" s="229">
        <v>5.7999999999999996E-3</v>
      </c>
      <c r="EB10" s="229">
        <v>0.1691</v>
      </c>
      <c r="EC10" s="228">
        <v>2.69</v>
      </c>
      <c r="ED10" s="229">
        <v>5.7999999999999996E-3</v>
      </c>
      <c r="EE10" s="230">
        <v>5499195</v>
      </c>
      <c r="EF10" s="230">
        <v>6636162</v>
      </c>
      <c r="EG10" s="229">
        <v>-0.17130000000000001</v>
      </c>
      <c r="EH10" s="229">
        <v>0.53169999999999995</v>
      </c>
      <c r="EI10" s="231">
        <v>222930.61</v>
      </c>
      <c r="EJ10" s="231">
        <v>121011.72</v>
      </c>
      <c r="EK10" s="231">
        <v>59998.94</v>
      </c>
      <c r="EL10" s="231">
        <v>9822</v>
      </c>
      <c r="EM10" s="231">
        <v>403941.27</v>
      </c>
      <c r="EN10" s="231">
        <v>601979.49</v>
      </c>
      <c r="EO10" s="231">
        <v>-198038.22</v>
      </c>
      <c r="EP10" s="229">
        <v>-0.32900000000000001</v>
      </c>
      <c r="EQ10" s="231">
        <v>196564</v>
      </c>
      <c r="ER10" s="231">
        <v>132741</v>
      </c>
      <c r="ES10" s="231">
        <v>485692</v>
      </c>
      <c r="ET10" s="231">
        <v>535778534</v>
      </c>
      <c r="EU10" s="231">
        <v>814997</v>
      </c>
      <c r="EV10" s="231">
        <v>817340</v>
      </c>
      <c r="EW10" s="231">
        <v>-2343</v>
      </c>
      <c r="EX10" s="229">
        <v>-2.8999999999999998E-3</v>
      </c>
      <c r="EY10" s="229">
        <v>0.33529999999999999</v>
      </c>
    </row>
    <row r="11" spans="1:155" ht="17.25" thickBot="1" x14ac:dyDescent="0.3">
      <c r="A11" s="226">
        <v>46132</v>
      </c>
      <c r="B11" s="227" t="s">
        <v>188</v>
      </c>
      <c r="C11" s="227" t="s">
        <v>189</v>
      </c>
      <c r="D11" s="231">
        <v>1845.6</v>
      </c>
      <c r="E11" s="231">
        <v>1849</v>
      </c>
      <c r="F11" s="228">
        <v>-3.4</v>
      </c>
      <c r="G11" s="229">
        <v>-1.8E-3</v>
      </c>
      <c r="H11" s="231">
        <v>1846.1</v>
      </c>
      <c r="I11" s="231">
        <v>1846.9</v>
      </c>
      <c r="J11" s="228">
        <v>-0.8</v>
      </c>
      <c r="K11" s="229">
        <v>-4.0000000000000002E-4</v>
      </c>
      <c r="L11" s="231">
        <v>1845.6</v>
      </c>
      <c r="M11" s="231">
        <v>1849</v>
      </c>
      <c r="N11" s="228">
        <v>-3.4</v>
      </c>
      <c r="O11" s="229">
        <v>-1.8E-3</v>
      </c>
      <c r="P11" s="231">
        <v>1855.8</v>
      </c>
      <c r="Q11" s="231">
        <v>1859.5</v>
      </c>
      <c r="R11" s="228">
        <v>-3.7</v>
      </c>
      <c r="S11" s="229">
        <v>-2E-3</v>
      </c>
      <c r="T11" s="231">
        <v>1868.7</v>
      </c>
      <c r="U11" s="231">
        <v>1870.8</v>
      </c>
      <c r="V11" s="228">
        <v>-2.1</v>
      </c>
      <c r="W11" s="229">
        <v>-1.1000000000000001E-3</v>
      </c>
      <c r="X11" s="228">
        <v>-0.5</v>
      </c>
      <c r="Y11" s="228">
        <v>2.1</v>
      </c>
      <c r="Z11" s="228">
        <v>-2.6</v>
      </c>
      <c r="AA11" s="229">
        <v>-2.9999999999999997E-4</v>
      </c>
      <c r="AB11" s="228">
        <v>-0.5</v>
      </c>
      <c r="AC11" s="228">
        <v>2.1</v>
      </c>
      <c r="AD11" s="228">
        <v>-2.6</v>
      </c>
      <c r="AE11" s="229">
        <v>-2.9999999999999997E-4</v>
      </c>
      <c r="AF11" s="228">
        <v>9.6999999999999993</v>
      </c>
      <c r="AG11" s="228">
        <v>12.6</v>
      </c>
      <c r="AH11" s="228">
        <v>-2.9</v>
      </c>
      <c r="AI11" s="229">
        <v>5.3E-3</v>
      </c>
      <c r="AJ11" s="228">
        <v>22.6</v>
      </c>
      <c r="AK11" s="228">
        <v>23.9</v>
      </c>
      <c r="AL11" s="228">
        <v>-1.3</v>
      </c>
      <c r="AM11" s="229">
        <v>1.2200000000000001E-2</v>
      </c>
      <c r="AN11" s="231">
        <v>1854.47</v>
      </c>
      <c r="AO11" s="231">
        <v>1863.67</v>
      </c>
      <c r="AP11" s="228">
        <v>0</v>
      </c>
      <c r="AQ11" s="230">
        <v>13202</v>
      </c>
      <c r="AR11" s="230">
        <v>8230</v>
      </c>
      <c r="AS11" s="230">
        <v>4972</v>
      </c>
      <c r="AT11" s="229">
        <v>0.60409999999999997</v>
      </c>
      <c r="AU11" s="230">
        <v>9023</v>
      </c>
      <c r="AV11" s="230">
        <v>6571</v>
      </c>
      <c r="AW11" s="230">
        <v>2452</v>
      </c>
      <c r="AX11" s="229">
        <v>0.37319999999999998</v>
      </c>
      <c r="AY11" s="230">
        <v>1805</v>
      </c>
      <c r="AZ11" s="230">
        <v>1591</v>
      </c>
      <c r="BA11" s="228">
        <v>214</v>
      </c>
      <c r="BB11" s="229">
        <v>0.13450000000000001</v>
      </c>
      <c r="BC11" s="230">
        <v>2374</v>
      </c>
      <c r="BD11" s="228">
        <v>68</v>
      </c>
      <c r="BE11" s="230">
        <v>2306</v>
      </c>
      <c r="BF11" s="229">
        <v>33.911799999999999</v>
      </c>
      <c r="BG11" s="230">
        <v>44051</v>
      </c>
      <c r="BH11" s="230">
        <v>32832</v>
      </c>
      <c r="BI11" s="230">
        <v>11219</v>
      </c>
      <c r="BJ11" s="229">
        <v>0.3417</v>
      </c>
      <c r="BK11" s="230">
        <v>18768</v>
      </c>
      <c r="BL11" s="230">
        <v>15522</v>
      </c>
      <c r="BM11" s="230">
        <v>3246</v>
      </c>
      <c r="BN11" s="229">
        <v>0.20910000000000001</v>
      </c>
      <c r="BO11" s="230">
        <v>76021</v>
      </c>
      <c r="BP11" s="230">
        <v>56584</v>
      </c>
      <c r="BQ11" s="230">
        <v>19437</v>
      </c>
      <c r="BR11" s="229">
        <v>0.34350000000000003</v>
      </c>
      <c r="BS11" s="230">
        <v>9387477</v>
      </c>
      <c r="BT11" s="230">
        <v>7465210</v>
      </c>
      <c r="BU11" s="230">
        <v>1922267</v>
      </c>
      <c r="BV11" s="229">
        <v>0.25750000000000001</v>
      </c>
      <c r="BW11" s="230">
        <v>60472250</v>
      </c>
      <c r="BX11" s="230">
        <v>60683150</v>
      </c>
      <c r="BY11" s="230">
        <v>-210900</v>
      </c>
      <c r="BZ11" s="229">
        <v>-3.5000000000000001E-3</v>
      </c>
      <c r="CA11" s="230">
        <v>43454425</v>
      </c>
      <c r="CB11" s="230">
        <v>45203375</v>
      </c>
      <c r="CC11" s="230">
        <v>-1748950</v>
      </c>
      <c r="CD11" s="229">
        <v>-3.8699999999999998E-2</v>
      </c>
      <c r="CE11" s="230">
        <v>10854700</v>
      </c>
      <c r="CF11" s="230">
        <v>10397750</v>
      </c>
      <c r="CG11" s="230">
        <v>456950</v>
      </c>
      <c r="CH11" s="229">
        <v>4.3900000000000002E-2</v>
      </c>
      <c r="CI11" s="230">
        <v>6163125</v>
      </c>
      <c r="CJ11" s="230">
        <v>5082025</v>
      </c>
      <c r="CK11" s="230">
        <v>1081100</v>
      </c>
      <c r="CL11" s="229">
        <v>0.2127</v>
      </c>
      <c r="CM11" s="230">
        <v>14108925</v>
      </c>
      <c r="CN11" s="230">
        <v>13701850</v>
      </c>
      <c r="CO11" s="230">
        <v>407075</v>
      </c>
      <c r="CP11" s="229">
        <v>2.9700000000000001E-2</v>
      </c>
      <c r="CQ11" s="230">
        <v>8442175</v>
      </c>
      <c r="CR11" s="230">
        <v>8349550</v>
      </c>
      <c r="CS11" s="230">
        <v>92625</v>
      </c>
      <c r="CT11" s="229">
        <v>1.11E-2</v>
      </c>
      <c r="CU11" s="230">
        <v>83023350</v>
      </c>
      <c r="CV11" s="230">
        <v>82734550</v>
      </c>
      <c r="CW11" s="230">
        <v>288800</v>
      </c>
      <c r="CX11" s="229">
        <v>3.5000000000000001E-3</v>
      </c>
      <c r="CY11" s="228">
        <v>23.86</v>
      </c>
      <c r="CZ11" s="228">
        <v>22.81</v>
      </c>
      <c r="DA11" s="228">
        <v>1.05</v>
      </c>
      <c r="DB11" s="228">
        <v>1.05</v>
      </c>
      <c r="DC11" s="228">
        <v>24.15</v>
      </c>
      <c r="DD11" s="228">
        <v>24.21</v>
      </c>
      <c r="DE11" s="228">
        <v>-0.28999999999999998</v>
      </c>
      <c r="DF11" s="228">
        <v>-0.06</v>
      </c>
      <c r="DG11" s="228">
        <v>24.04</v>
      </c>
      <c r="DH11" s="228">
        <v>22.06</v>
      </c>
      <c r="DI11" s="228">
        <v>1.98</v>
      </c>
      <c r="DJ11" s="228">
        <v>1.98</v>
      </c>
      <c r="DK11" s="228">
        <v>23.42</v>
      </c>
      <c r="DL11" s="228">
        <v>24.41</v>
      </c>
      <c r="DM11" s="228">
        <v>-0.99</v>
      </c>
      <c r="DN11" s="228">
        <v>-0.99</v>
      </c>
      <c r="DO11" s="228">
        <v>0.6</v>
      </c>
      <c r="DP11" s="228">
        <v>0.61</v>
      </c>
      <c r="DQ11" s="228">
        <v>-0.01</v>
      </c>
      <c r="DR11" s="229">
        <v>-1.6400000000000001E-2</v>
      </c>
      <c r="DS11" s="231">
        <v>1900</v>
      </c>
      <c r="DT11" s="231">
        <v>1800</v>
      </c>
      <c r="DU11" s="228">
        <v>0.43</v>
      </c>
      <c r="DV11" s="228">
        <v>0.47</v>
      </c>
      <c r="DW11" s="228">
        <v>-0.04</v>
      </c>
      <c r="DX11" s="229">
        <v>-8.5099999999999995E-2</v>
      </c>
      <c r="DY11" s="229">
        <v>0.28139999999999998</v>
      </c>
      <c r="DZ11" s="230">
        <v>15479775</v>
      </c>
      <c r="EA11" s="229">
        <v>5.4999999999999997E-3</v>
      </c>
      <c r="EB11" s="229">
        <v>0.28139999999999998</v>
      </c>
      <c r="EC11" s="228">
        <v>9.1999999999999993</v>
      </c>
      <c r="ED11" s="229">
        <v>5.0000000000000001E-3</v>
      </c>
      <c r="EE11" s="230">
        <v>5726616</v>
      </c>
      <c r="EF11" s="230">
        <v>3966487</v>
      </c>
      <c r="EG11" s="229">
        <v>0.44379999999999997</v>
      </c>
      <c r="EH11" s="229">
        <v>0.61</v>
      </c>
      <c r="EI11" s="231">
        <v>399081</v>
      </c>
      <c r="EJ11" s="231">
        <v>163150.92000000001</v>
      </c>
      <c r="EK11" s="231">
        <v>116645.15</v>
      </c>
      <c r="EL11" s="231">
        <v>14857</v>
      </c>
      <c r="EM11" s="231">
        <v>678877.07</v>
      </c>
      <c r="EN11" s="231">
        <v>502584.49</v>
      </c>
      <c r="EO11" s="231">
        <v>176292.58</v>
      </c>
      <c r="EP11" s="229">
        <v>0.3508</v>
      </c>
      <c r="EQ11" s="231">
        <v>267491</v>
      </c>
      <c r="ER11" s="231">
        <v>152328</v>
      </c>
      <c r="ES11" s="231">
        <v>1118607</v>
      </c>
      <c r="ET11" s="231">
        <v>342859930</v>
      </c>
      <c r="EU11" s="231">
        <v>1538426</v>
      </c>
      <c r="EV11" s="231">
        <v>1534556</v>
      </c>
      <c r="EW11" s="231">
        <v>3870</v>
      </c>
      <c r="EX11" s="229">
        <v>2.5000000000000001E-3</v>
      </c>
      <c r="EY11" s="229">
        <v>0.24210000000000001</v>
      </c>
    </row>
    <row r="12" spans="1:155" ht="17.25" thickBot="1" x14ac:dyDescent="0.3">
      <c r="A12" s="226">
        <v>46132</v>
      </c>
      <c r="B12" s="227" t="s">
        <v>170</v>
      </c>
      <c r="C12" s="227" t="s">
        <v>199</v>
      </c>
      <c r="D12" s="231">
        <v>1230.0999999999999</v>
      </c>
      <c r="E12" s="231">
        <v>1245.0999999999999</v>
      </c>
      <c r="F12" s="228">
        <v>-15</v>
      </c>
      <c r="G12" s="229">
        <v>-1.2E-2</v>
      </c>
      <c r="H12" s="231">
        <v>1229.5</v>
      </c>
      <c r="I12" s="231">
        <v>1240.8</v>
      </c>
      <c r="J12" s="228">
        <v>-11.3</v>
      </c>
      <c r="K12" s="229">
        <v>-9.1000000000000004E-3</v>
      </c>
      <c r="L12" s="231">
        <v>1230.0999999999999</v>
      </c>
      <c r="M12" s="231">
        <v>1245.0999999999999</v>
      </c>
      <c r="N12" s="228">
        <v>-15</v>
      </c>
      <c r="O12" s="229">
        <v>-1.2E-2</v>
      </c>
      <c r="P12" s="231">
        <v>1236.7</v>
      </c>
      <c r="Q12" s="231">
        <v>1252</v>
      </c>
      <c r="R12" s="228">
        <v>-15.3</v>
      </c>
      <c r="S12" s="229">
        <v>-1.2200000000000001E-2</v>
      </c>
      <c r="T12" s="231">
        <v>1242</v>
      </c>
      <c r="U12" s="231">
        <v>1254.9000000000001</v>
      </c>
      <c r="V12" s="228">
        <v>-12.9</v>
      </c>
      <c r="W12" s="229">
        <v>-1.03E-2</v>
      </c>
      <c r="X12" s="228">
        <v>0.6</v>
      </c>
      <c r="Y12" s="228">
        <v>4.3</v>
      </c>
      <c r="Z12" s="228">
        <v>-3.7</v>
      </c>
      <c r="AA12" s="229">
        <v>5.0000000000000001E-4</v>
      </c>
      <c r="AB12" s="228">
        <v>0.6</v>
      </c>
      <c r="AC12" s="228">
        <v>4.3</v>
      </c>
      <c r="AD12" s="228">
        <v>-3.7</v>
      </c>
      <c r="AE12" s="229">
        <v>5.0000000000000001E-4</v>
      </c>
      <c r="AF12" s="228">
        <v>7.2</v>
      </c>
      <c r="AG12" s="228">
        <v>11.2</v>
      </c>
      <c r="AH12" s="228">
        <v>-4</v>
      </c>
      <c r="AI12" s="229">
        <v>5.8999999999999999E-3</v>
      </c>
      <c r="AJ12" s="228">
        <v>12.5</v>
      </c>
      <c r="AK12" s="228">
        <v>14.1</v>
      </c>
      <c r="AL12" s="228">
        <v>-1.6</v>
      </c>
      <c r="AM12" s="229">
        <v>1.0200000000000001E-2</v>
      </c>
      <c r="AN12" s="231">
        <v>1235.8900000000001</v>
      </c>
      <c r="AO12" s="231">
        <v>1243.33</v>
      </c>
      <c r="AP12" s="228">
        <v>0</v>
      </c>
      <c r="AQ12" s="230">
        <v>9323</v>
      </c>
      <c r="AR12" s="230">
        <v>4359</v>
      </c>
      <c r="AS12" s="230">
        <v>4964</v>
      </c>
      <c r="AT12" s="229">
        <v>1.1388</v>
      </c>
      <c r="AU12" s="230">
        <v>5559</v>
      </c>
      <c r="AV12" s="230">
        <v>3546</v>
      </c>
      <c r="AW12" s="230">
        <v>2013</v>
      </c>
      <c r="AX12" s="229">
        <v>0.56769999999999998</v>
      </c>
      <c r="AY12" s="230">
        <v>3639</v>
      </c>
      <c r="AZ12" s="228">
        <v>691</v>
      </c>
      <c r="BA12" s="230">
        <v>2948</v>
      </c>
      <c r="BB12" s="229">
        <v>4.2663000000000002</v>
      </c>
      <c r="BC12" s="228">
        <v>125</v>
      </c>
      <c r="BD12" s="228">
        <v>122</v>
      </c>
      <c r="BE12" s="228">
        <v>3</v>
      </c>
      <c r="BF12" s="229">
        <v>2.46E-2</v>
      </c>
      <c r="BG12" s="230">
        <v>14224</v>
      </c>
      <c r="BH12" s="230">
        <v>15719</v>
      </c>
      <c r="BI12" s="230">
        <v>-1495</v>
      </c>
      <c r="BJ12" s="229">
        <v>-9.5100000000000004E-2</v>
      </c>
      <c r="BK12" s="230">
        <v>4571</v>
      </c>
      <c r="BL12" s="230">
        <v>5859</v>
      </c>
      <c r="BM12" s="230">
        <v>-1288</v>
      </c>
      <c r="BN12" s="229">
        <v>-0.2198</v>
      </c>
      <c r="BO12" s="230">
        <v>28118</v>
      </c>
      <c r="BP12" s="230">
        <v>25937</v>
      </c>
      <c r="BQ12" s="230">
        <v>2181</v>
      </c>
      <c r="BR12" s="229">
        <v>8.4099999999999994E-2</v>
      </c>
      <c r="BS12" s="230">
        <v>1189964</v>
      </c>
      <c r="BT12" s="230">
        <v>2653013</v>
      </c>
      <c r="BU12" s="230">
        <v>-1463049</v>
      </c>
      <c r="BV12" s="229">
        <v>-0.55149999999999999</v>
      </c>
      <c r="BW12" s="230">
        <v>15757500</v>
      </c>
      <c r="BX12" s="230">
        <v>15688125</v>
      </c>
      <c r="BY12" s="230">
        <v>69375</v>
      </c>
      <c r="BZ12" s="229">
        <v>4.4000000000000003E-3</v>
      </c>
      <c r="CA12" s="230">
        <v>12848250</v>
      </c>
      <c r="CB12" s="230">
        <v>14026500</v>
      </c>
      <c r="CC12" s="230">
        <v>-1178250</v>
      </c>
      <c r="CD12" s="229">
        <v>-8.4000000000000005E-2</v>
      </c>
      <c r="CE12" s="230">
        <v>2796000</v>
      </c>
      <c r="CF12" s="230">
        <v>1574625</v>
      </c>
      <c r="CG12" s="230">
        <v>1221375</v>
      </c>
      <c r="CH12" s="229">
        <v>0.77569999999999995</v>
      </c>
      <c r="CI12" s="230">
        <v>113250</v>
      </c>
      <c r="CJ12" s="230">
        <v>87000</v>
      </c>
      <c r="CK12" s="230">
        <v>26250</v>
      </c>
      <c r="CL12" s="229">
        <v>0.30170000000000002</v>
      </c>
      <c r="CM12" s="230">
        <v>4806750</v>
      </c>
      <c r="CN12" s="230">
        <v>4284375</v>
      </c>
      <c r="CO12" s="230">
        <v>522375</v>
      </c>
      <c r="CP12" s="229">
        <v>0.12189999999999999</v>
      </c>
      <c r="CQ12" s="230">
        <v>3975000</v>
      </c>
      <c r="CR12" s="230">
        <v>3826875</v>
      </c>
      <c r="CS12" s="230">
        <v>148125</v>
      </c>
      <c r="CT12" s="229">
        <v>3.8699999999999998E-2</v>
      </c>
      <c r="CU12" s="230">
        <v>24539250</v>
      </c>
      <c r="CV12" s="230">
        <v>23799375</v>
      </c>
      <c r="CW12" s="230">
        <v>739875</v>
      </c>
      <c r="CX12" s="229">
        <v>3.1099999999999999E-2</v>
      </c>
      <c r="CY12" s="228">
        <v>25.07</v>
      </c>
      <c r="CZ12" s="228">
        <v>22.88</v>
      </c>
      <c r="DA12" s="228">
        <v>2.19</v>
      </c>
      <c r="DB12" s="228">
        <v>2.19</v>
      </c>
      <c r="DC12" s="228">
        <v>25.02</v>
      </c>
      <c r="DD12" s="228">
        <v>25.03</v>
      </c>
      <c r="DE12" s="228">
        <v>0.05</v>
      </c>
      <c r="DF12" s="228">
        <v>-0.01</v>
      </c>
      <c r="DG12" s="228">
        <v>25.03</v>
      </c>
      <c r="DH12" s="228">
        <v>22.24</v>
      </c>
      <c r="DI12" s="228">
        <v>2.79</v>
      </c>
      <c r="DJ12" s="228">
        <v>2.79</v>
      </c>
      <c r="DK12" s="228">
        <v>25.21</v>
      </c>
      <c r="DL12" s="228">
        <v>24.59</v>
      </c>
      <c r="DM12" s="228">
        <v>0.62</v>
      </c>
      <c r="DN12" s="228">
        <v>0.62</v>
      </c>
      <c r="DO12" s="228">
        <v>0.83</v>
      </c>
      <c r="DP12" s="228">
        <v>0.89</v>
      </c>
      <c r="DQ12" s="228">
        <v>-0.06</v>
      </c>
      <c r="DR12" s="229">
        <v>-6.7400000000000002E-2</v>
      </c>
      <c r="DS12" s="231">
        <v>1240</v>
      </c>
      <c r="DT12" s="231">
        <v>1160</v>
      </c>
      <c r="DU12" s="228">
        <v>0.32</v>
      </c>
      <c r="DV12" s="228">
        <v>0.37</v>
      </c>
      <c r="DW12" s="228">
        <v>-0.05</v>
      </c>
      <c r="DX12" s="229">
        <v>-0.1351</v>
      </c>
      <c r="DY12" s="229">
        <v>0.18459999999999999</v>
      </c>
      <c r="DZ12" s="230">
        <v>1661625</v>
      </c>
      <c r="EA12" s="229">
        <v>5.4000000000000003E-3</v>
      </c>
      <c r="EB12" s="229">
        <v>0.18459999999999999</v>
      </c>
      <c r="EC12" s="228">
        <v>7.44</v>
      </c>
      <c r="ED12" s="229">
        <v>6.0000000000000001E-3</v>
      </c>
      <c r="EE12" s="230">
        <v>564165</v>
      </c>
      <c r="EF12" s="230">
        <v>1988311</v>
      </c>
      <c r="EG12" s="229">
        <v>-0.71630000000000005</v>
      </c>
      <c r="EH12" s="229">
        <v>0.47410000000000002</v>
      </c>
      <c r="EI12" s="231">
        <v>67915.48</v>
      </c>
      <c r="EJ12" s="231">
        <v>21174.44</v>
      </c>
      <c r="EK12" s="231">
        <v>43314.879999999997</v>
      </c>
      <c r="EL12" s="231">
        <v>3921</v>
      </c>
      <c r="EM12" s="231">
        <v>132404.79999999999</v>
      </c>
      <c r="EN12" s="231">
        <v>122266.33</v>
      </c>
      <c r="EO12" s="231">
        <v>10138.469999999999</v>
      </c>
      <c r="EP12" s="229">
        <v>8.2900000000000001E-2</v>
      </c>
      <c r="EQ12" s="231">
        <v>61468</v>
      </c>
      <c r="ER12" s="231">
        <v>47138</v>
      </c>
      <c r="ES12" s="231">
        <v>194031</v>
      </c>
      <c r="ET12" s="231">
        <v>76385219</v>
      </c>
      <c r="EU12" s="231">
        <v>302637</v>
      </c>
      <c r="EV12" s="231">
        <v>295696</v>
      </c>
      <c r="EW12" s="231">
        <v>6941</v>
      </c>
      <c r="EX12" s="229">
        <v>2.35E-2</v>
      </c>
      <c r="EY12" s="229">
        <v>0.32129999999999997</v>
      </c>
    </row>
    <row r="13" spans="1:155" ht="17.25" thickBot="1" x14ac:dyDescent="0.3">
      <c r="A13" s="226">
        <v>46132</v>
      </c>
      <c r="B13" s="227" t="s">
        <v>227</v>
      </c>
      <c r="C13" s="227" t="s">
        <v>200</v>
      </c>
      <c r="D13" s="228">
        <v>442.35</v>
      </c>
      <c r="E13" s="228">
        <v>439.55</v>
      </c>
      <c r="F13" s="228">
        <v>2.8</v>
      </c>
      <c r="G13" s="229">
        <v>6.4000000000000003E-3</v>
      </c>
      <c r="H13" s="228">
        <v>441.75</v>
      </c>
      <c r="I13" s="228">
        <v>438.75</v>
      </c>
      <c r="J13" s="228">
        <v>3</v>
      </c>
      <c r="K13" s="229">
        <v>6.7999999999999996E-3</v>
      </c>
      <c r="L13" s="228">
        <v>442.35</v>
      </c>
      <c r="M13" s="228">
        <v>439.55</v>
      </c>
      <c r="N13" s="228">
        <v>2.8</v>
      </c>
      <c r="O13" s="229">
        <v>6.4000000000000003E-3</v>
      </c>
      <c r="P13" s="228">
        <v>439.8</v>
      </c>
      <c r="Q13" s="228">
        <v>436.5</v>
      </c>
      <c r="R13" s="228">
        <v>3.3</v>
      </c>
      <c r="S13" s="229">
        <v>7.6E-3</v>
      </c>
      <c r="T13" s="228">
        <v>438.8</v>
      </c>
      <c r="U13" s="228">
        <v>434.65</v>
      </c>
      <c r="V13" s="228">
        <v>4.1500000000000004</v>
      </c>
      <c r="W13" s="229">
        <v>9.4999999999999998E-3</v>
      </c>
      <c r="X13" s="228">
        <v>0.6</v>
      </c>
      <c r="Y13" s="228">
        <v>0.8</v>
      </c>
      <c r="Z13" s="228">
        <v>-0.2</v>
      </c>
      <c r="AA13" s="229">
        <v>1.4E-3</v>
      </c>
      <c r="AB13" s="228">
        <v>0.6</v>
      </c>
      <c r="AC13" s="228">
        <v>0.8</v>
      </c>
      <c r="AD13" s="228">
        <v>-0.2</v>
      </c>
      <c r="AE13" s="229">
        <v>1.4E-3</v>
      </c>
      <c r="AF13" s="228">
        <v>-1.95</v>
      </c>
      <c r="AG13" s="228">
        <v>-2.25</v>
      </c>
      <c r="AH13" s="228">
        <v>0.3</v>
      </c>
      <c r="AI13" s="229">
        <v>-4.4000000000000003E-3</v>
      </c>
      <c r="AJ13" s="228">
        <v>-2.95</v>
      </c>
      <c r="AK13" s="228">
        <v>-4.0999999999999996</v>
      </c>
      <c r="AL13" s="228">
        <v>1.1499999999999999</v>
      </c>
      <c r="AM13" s="229">
        <v>-6.7000000000000002E-3</v>
      </c>
      <c r="AN13" s="228">
        <v>440.49</v>
      </c>
      <c r="AO13" s="228">
        <v>437.97</v>
      </c>
      <c r="AP13" s="228">
        <v>0</v>
      </c>
      <c r="AQ13" s="230">
        <v>7373</v>
      </c>
      <c r="AR13" s="230">
        <v>10186</v>
      </c>
      <c r="AS13" s="230">
        <v>-2813</v>
      </c>
      <c r="AT13" s="229">
        <v>-0.2762</v>
      </c>
      <c r="AU13" s="230">
        <v>5419</v>
      </c>
      <c r="AV13" s="230">
        <v>8072</v>
      </c>
      <c r="AW13" s="230">
        <v>-2653</v>
      </c>
      <c r="AX13" s="229">
        <v>-0.32869999999999999</v>
      </c>
      <c r="AY13" s="230">
        <v>1779</v>
      </c>
      <c r="AZ13" s="230">
        <v>1884</v>
      </c>
      <c r="BA13" s="228">
        <v>-105</v>
      </c>
      <c r="BB13" s="229">
        <v>-5.57E-2</v>
      </c>
      <c r="BC13" s="228">
        <v>175</v>
      </c>
      <c r="BD13" s="228">
        <v>230</v>
      </c>
      <c r="BE13" s="228">
        <v>-55</v>
      </c>
      <c r="BF13" s="229">
        <v>-0.23910000000000001</v>
      </c>
      <c r="BG13" s="230">
        <v>35221</v>
      </c>
      <c r="BH13" s="230">
        <v>37735</v>
      </c>
      <c r="BI13" s="230">
        <v>-2514</v>
      </c>
      <c r="BJ13" s="229">
        <v>-6.6600000000000006E-2</v>
      </c>
      <c r="BK13" s="230">
        <v>19152</v>
      </c>
      <c r="BL13" s="230">
        <v>22629</v>
      </c>
      <c r="BM13" s="230">
        <v>-3477</v>
      </c>
      <c r="BN13" s="229">
        <v>-0.1537</v>
      </c>
      <c r="BO13" s="230">
        <v>61746</v>
      </c>
      <c r="BP13" s="230">
        <v>70550</v>
      </c>
      <c r="BQ13" s="230">
        <v>-8804</v>
      </c>
      <c r="BR13" s="229">
        <v>-0.12479999999999999</v>
      </c>
      <c r="BS13" s="230">
        <v>8461130</v>
      </c>
      <c r="BT13" s="230">
        <v>11372615</v>
      </c>
      <c r="BU13" s="230">
        <v>-2911485</v>
      </c>
      <c r="BV13" s="229">
        <v>-0.25600000000000001</v>
      </c>
      <c r="BW13" s="230">
        <v>70513200</v>
      </c>
      <c r="BX13" s="230">
        <v>70181100</v>
      </c>
      <c r="BY13" s="230">
        <v>332100</v>
      </c>
      <c r="BZ13" s="229">
        <v>4.7000000000000002E-3</v>
      </c>
      <c r="CA13" s="230">
        <v>61927200</v>
      </c>
      <c r="CB13" s="230">
        <v>62379450</v>
      </c>
      <c r="CC13" s="230">
        <v>-452250</v>
      </c>
      <c r="CD13" s="229">
        <v>-7.1999999999999998E-3</v>
      </c>
      <c r="CE13" s="230">
        <v>7757100</v>
      </c>
      <c r="CF13" s="230">
        <v>6952500</v>
      </c>
      <c r="CG13" s="230">
        <v>804600</v>
      </c>
      <c r="CH13" s="229">
        <v>0.1157</v>
      </c>
      <c r="CI13" s="230">
        <v>828900</v>
      </c>
      <c r="CJ13" s="230">
        <v>849150</v>
      </c>
      <c r="CK13" s="230">
        <v>-20250</v>
      </c>
      <c r="CL13" s="229">
        <v>-2.3800000000000002E-2</v>
      </c>
      <c r="CM13" s="230">
        <v>42565500</v>
      </c>
      <c r="CN13" s="230">
        <v>44246250</v>
      </c>
      <c r="CO13" s="230">
        <v>-1680750</v>
      </c>
      <c r="CP13" s="229">
        <v>-3.7999999999999999E-2</v>
      </c>
      <c r="CQ13" s="230">
        <v>26519400</v>
      </c>
      <c r="CR13" s="230">
        <v>28370250</v>
      </c>
      <c r="CS13" s="230">
        <v>-1850850</v>
      </c>
      <c r="CT13" s="229">
        <v>-6.5199999999999994E-2</v>
      </c>
      <c r="CU13" s="230">
        <v>139598100</v>
      </c>
      <c r="CV13" s="230">
        <v>142797600</v>
      </c>
      <c r="CW13" s="230">
        <v>-3199500</v>
      </c>
      <c r="CX13" s="229">
        <v>-2.24E-2</v>
      </c>
      <c r="CY13" s="228">
        <v>31.21</v>
      </c>
      <c r="CZ13" s="228">
        <v>28.23</v>
      </c>
      <c r="DA13" s="228">
        <v>2.98</v>
      </c>
      <c r="DB13" s="228">
        <v>2.98</v>
      </c>
      <c r="DC13" s="228">
        <v>30.97</v>
      </c>
      <c r="DD13" s="228">
        <v>31.03</v>
      </c>
      <c r="DE13" s="228">
        <v>0.24</v>
      </c>
      <c r="DF13" s="228">
        <v>-0.06</v>
      </c>
      <c r="DG13" s="228">
        <v>31.07</v>
      </c>
      <c r="DH13" s="228">
        <v>27.9</v>
      </c>
      <c r="DI13" s="228">
        <v>3.17</v>
      </c>
      <c r="DJ13" s="228">
        <v>3.17</v>
      </c>
      <c r="DK13" s="228">
        <v>31.46</v>
      </c>
      <c r="DL13" s="228">
        <v>28.78</v>
      </c>
      <c r="DM13" s="228">
        <v>2.68</v>
      </c>
      <c r="DN13" s="228">
        <v>2.68</v>
      </c>
      <c r="DO13" s="228">
        <v>0.62</v>
      </c>
      <c r="DP13" s="228">
        <v>0.64</v>
      </c>
      <c r="DQ13" s="228">
        <v>-0.02</v>
      </c>
      <c r="DR13" s="229">
        <v>-3.1300000000000001E-2</v>
      </c>
      <c r="DS13" s="228">
        <v>500</v>
      </c>
      <c r="DT13" s="228">
        <v>400</v>
      </c>
      <c r="DU13" s="228">
        <v>0.54</v>
      </c>
      <c r="DV13" s="228">
        <v>0.6</v>
      </c>
      <c r="DW13" s="228">
        <v>-0.06</v>
      </c>
      <c r="DX13" s="229">
        <v>-0.1</v>
      </c>
      <c r="DY13" s="229">
        <v>0.12180000000000001</v>
      </c>
      <c r="DZ13" s="230">
        <v>7801650</v>
      </c>
      <c r="EA13" s="229">
        <v>-5.7999999999999996E-3</v>
      </c>
      <c r="EB13" s="229">
        <v>0.12180000000000001</v>
      </c>
      <c r="EC13" s="228">
        <v>-2.52</v>
      </c>
      <c r="ED13" s="229">
        <v>-5.7000000000000002E-3</v>
      </c>
      <c r="EE13" s="230">
        <v>4513898</v>
      </c>
      <c r="EF13" s="230">
        <v>6874068</v>
      </c>
      <c r="EG13" s="229">
        <v>-0.34329999999999999</v>
      </c>
      <c r="EH13" s="229">
        <v>0.53349999999999997</v>
      </c>
      <c r="EI13" s="231">
        <v>218013.31</v>
      </c>
      <c r="EJ13" s="231">
        <v>112499.73</v>
      </c>
      <c r="EK13" s="231">
        <v>43778.06</v>
      </c>
      <c r="EL13" s="231">
        <v>8653</v>
      </c>
      <c r="EM13" s="231">
        <v>374291.1</v>
      </c>
      <c r="EN13" s="231">
        <v>423781.4</v>
      </c>
      <c r="EO13" s="231">
        <v>-49490.3</v>
      </c>
      <c r="EP13" s="229">
        <v>-0.1168</v>
      </c>
      <c r="EQ13" s="231">
        <v>199312</v>
      </c>
      <c r="ER13" s="231">
        <v>113080</v>
      </c>
      <c r="ES13" s="231">
        <v>311688</v>
      </c>
      <c r="ET13" s="231">
        <v>320531323</v>
      </c>
      <c r="EU13" s="231">
        <v>624080</v>
      </c>
      <c r="EV13" s="231">
        <v>635962</v>
      </c>
      <c r="EW13" s="231">
        <v>-11882</v>
      </c>
      <c r="EX13" s="229">
        <v>-1.8700000000000001E-2</v>
      </c>
      <c r="EY13" s="229">
        <v>0.4355</v>
      </c>
    </row>
    <row r="14" spans="1:155" ht="17.25" thickBot="1" x14ac:dyDescent="0.3">
      <c r="A14" s="226">
        <v>46132</v>
      </c>
      <c r="B14" s="227" t="s">
        <v>170</v>
      </c>
      <c r="C14" s="227" t="s">
        <v>208</v>
      </c>
      <c r="D14" s="231">
        <v>1224.0999999999999</v>
      </c>
      <c r="E14" s="231">
        <v>1231.8</v>
      </c>
      <c r="F14" s="228">
        <v>-7.7</v>
      </c>
      <c r="G14" s="229">
        <v>-6.3E-3</v>
      </c>
      <c r="H14" s="231">
        <v>1232.5999999999999</v>
      </c>
      <c r="I14" s="231">
        <v>1235.7</v>
      </c>
      <c r="J14" s="228">
        <v>-3.1</v>
      </c>
      <c r="K14" s="229">
        <v>-2.5000000000000001E-3</v>
      </c>
      <c r="L14" s="231">
        <v>1224.0999999999999</v>
      </c>
      <c r="M14" s="231">
        <v>1231.8</v>
      </c>
      <c r="N14" s="228">
        <v>-7.7</v>
      </c>
      <c r="O14" s="229">
        <v>-6.3E-3</v>
      </c>
      <c r="P14" s="231">
        <v>1224.4000000000001</v>
      </c>
      <c r="Q14" s="231">
        <v>1232.2</v>
      </c>
      <c r="R14" s="228">
        <v>-7.8</v>
      </c>
      <c r="S14" s="229">
        <v>-6.3E-3</v>
      </c>
      <c r="T14" s="231">
        <v>1228.2</v>
      </c>
      <c r="U14" s="231">
        <v>1236.0999999999999</v>
      </c>
      <c r="V14" s="228">
        <v>-7.9</v>
      </c>
      <c r="W14" s="229">
        <v>-6.4000000000000003E-3</v>
      </c>
      <c r="X14" s="228">
        <v>-8.5</v>
      </c>
      <c r="Y14" s="228">
        <v>-3.9</v>
      </c>
      <c r="Z14" s="228">
        <v>-4.5999999999999996</v>
      </c>
      <c r="AA14" s="229">
        <v>-6.8999999999999999E-3</v>
      </c>
      <c r="AB14" s="228">
        <v>-8.5</v>
      </c>
      <c r="AC14" s="228">
        <v>-3.9</v>
      </c>
      <c r="AD14" s="228">
        <v>-4.5999999999999996</v>
      </c>
      <c r="AE14" s="229">
        <v>-6.8999999999999999E-3</v>
      </c>
      <c r="AF14" s="228">
        <v>-8.1999999999999993</v>
      </c>
      <c r="AG14" s="228">
        <v>-3.5</v>
      </c>
      <c r="AH14" s="228">
        <v>-4.7</v>
      </c>
      <c r="AI14" s="229">
        <v>-6.7000000000000002E-3</v>
      </c>
      <c r="AJ14" s="228">
        <v>-4.4000000000000004</v>
      </c>
      <c r="AK14" s="228">
        <v>0.4</v>
      </c>
      <c r="AL14" s="228">
        <v>-4.8</v>
      </c>
      <c r="AM14" s="229">
        <v>-3.5999999999999999E-3</v>
      </c>
      <c r="AN14" s="231">
        <v>1228.43</v>
      </c>
      <c r="AO14" s="231">
        <v>1228.3699999999999</v>
      </c>
      <c r="AP14" s="228">
        <v>0</v>
      </c>
      <c r="AQ14" s="230">
        <v>3102</v>
      </c>
      <c r="AR14" s="230">
        <v>3667</v>
      </c>
      <c r="AS14" s="228">
        <v>-565</v>
      </c>
      <c r="AT14" s="229">
        <v>-0.15409999999999999</v>
      </c>
      <c r="AU14" s="230">
        <v>2390</v>
      </c>
      <c r="AV14" s="230">
        <v>2830</v>
      </c>
      <c r="AW14" s="228">
        <v>-440</v>
      </c>
      <c r="AX14" s="229">
        <v>-0.1555</v>
      </c>
      <c r="AY14" s="228">
        <v>652</v>
      </c>
      <c r="AZ14" s="228">
        <v>778</v>
      </c>
      <c r="BA14" s="228">
        <v>-126</v>
      </c>
      <c r="BB14" s="229">
        <v>-0.16200000000000001</v>
      </c>
      <c r="BC14" s="228">
        <v>60</v>
      </c>
      <c r="BD14" s="228">
        <v>59</v>
      </c>
      <c r="BE14" s="228">
        <v>1</v>
      </c>
      <c r="BF14" s="229">
        <v>1.6899999999999998E-2</v>
      </c>
      <c r="BG14" s="230">
        <v>10809</v>
      </c>
      <c r="BH14" s="230">
        <v>15352</v>
      </c>
      <c r="BI14" s="230">
        <v>-4543</v>
      </c>
      <c r="BJ14" s="229">
        <v>-0.2959</v>
      </c>
      <c r="BK14" s="230">
        <v>5008</v>
      </c>
      <c r="BL14" s="230">
        <v>6460</v>
      </c>
      <c r="BM14" s="230">
        <v>-1452</v>
      </c>
      <c r="BN14" s="229">
        <v>-0.2248</v>
      </c>
      <c r="BO14" s="230">
        <v>18919</v>
      </c>
      <c r="BP14" s="230">
        <v>25479</v>
      </c>
      <c r="BQ14" s="230">
        <v>-6560</v>
      </c>
      <c r="BR14" s="229">
        <v>-0.25750000000000001</v>
      </c>
      <c r="BS14" s="230">
        <v>1743994</v>
      </c>
      <c r="BT14" s="230">
        <v>2640179</v>
      </c>
      <c r="BU14" s="230">
        <v>-896185</v>
      </c>
      <c r="BV14" s="229">
        <v>-0.33939999999999998</v>
      </c>
      <c r="BW14" s="230">
        <v>14146875</v>
      </c>
      <c r="BX14" s="230">
        <v>13813750</v>
      </c>
      <c r="BY14" s="230">
        <v>333125</v>
      </c>
      <c r="BZ14" s="229">
        <v>2.41E-2</v>
      </c>
      <c r="CA14" s="230">
        <v>13010625</v>
      </c>
      <c r="CB14" s="230">
        <v>12841250</v>
      </c>
      <c r="CC14" s="230">
        <v>169375</v>
      </c>
      <c r="CD14" s="229">
        <v>1.32E-2</v>
      </c>
      <c r="CE14" s="230">
        <v>1001250</v>
      </c>
      <c r="CF14" s="230">
        <v>848750</v>
      </c>
      <c r="CG14" s="230">
        <v>152500</v>
      </c>
      <c r="CH14" s="229">
        <v>0.1797</v>
      </c>
      <c r="CI14" s="230">
        <v>135000</v>
      </c>
      <c r="CJ14" s="230">
        <v>123750</v>
      </c>
      <c r="CK14" s="230">
        <v>11250</v>
      </c>
      <c r="CL14" s="229">
        <v>9.0899999999999995E-2</v>
      </c>
      <c r="CM14" s="230">
        <v>7160000</v>
      </c>
      <c r="CN14" s="230">
        <v>7251250</v>
      </c>
      <c r="CO14" s="230">
        <v>-91250</v>
      </c>
      <c r="CP14" s="229">
        <v>-1.26E-2</v>
      </c>
      <c r="CQ14" s="230">
        <v>5045625</v>
      </c>
      <c r="CR14" s="230">
        <v>5168125</v>
      </c>
      <c r="CS14" s="230">
        <v>-122500</v>
      </c>
      <c r="CT14" s="229">
        <v>-2.3699999999999999E-2</v>
      </c>
      <c r="CU14" s="230">
        <v>26352500</v>
      </c>
      <c r="CV14" s="230">
        <v>26233125</v>
      </c>
      <c r="CW14" s="230">
        <v>119375</v>
      </c>
      <c r="CX14" s="229">
        <v>4.5999999999999999E-3</v>
      </c>
      <c r="CY14" s="228">
        <v>27.32</v>
      </c>
      <c r="CZ14" s="228">
        <v>25.1</v>
      </c>
      <c r="DA14" s="228">
        <v>2.2200000000000002</v>
      </c>
      <c r="DB14" s="228">
        <v>2.2200000000000002</v>
      </c>
      <c r="DC14" s="228">
        <v>25.98</v>
      </c>
      <c r="DD14" s="228">
        <v>26.04</v>
      </c>
      <c r="DE14" s="228">
        <v>1.34</v>
      </c>
      <c r="DF14" s="228">
        <v>-0.06</v>
      </c>
      <c r="DG14" s="228">
        <v>27.14</v>
      </c>
      <c r="DH14" s="228">
        <v>24.76</v>
      </c>
      <c r="DI14" s="228">
        <v>2.38</v>
      </c>
      <c r="DJ14" s="228">
        <v>2.38</v>
      </c>
      <c r="DK14" s="228">
        <v>27.7</v>
      </c>
      <c r="DL14" s="228">
        <v>25.92</v>
      </c>
      <c r="DM14" s="228">
        <v>1.78</v>
      </c>
      <c r="DN14" s="228">
        <v>1.78</v>
      </c>
      <c r="DO14" s="228">
        <v>0.7</v>
      </c>
      <c r="DP14" s="228">
        <v>0.71</v>
      </c>
      <c r="DQ14" s="228">
        <v>-0.01</v>
      </c>
      <c r="DR14" s="229">
        <v>-1.41E-2</v>
      </c>
      <c r="DS14" s="231">
        <v>1240</v>
      </c>
      <c r="DT14" s="231">
        <v>1200</v>
      </c>
      <c r="DU14" s="228">
        <v>0.46</v>
      </c>
      <c r="DV14" s="228">
        <v>0.42</v>
      </c>
      <c r="DW14" s="228">
        <v>0.04</v>
      </c>
      <c r="DX14" s="229">
        <v>9.5200000000000007E-2</v>
      </c>
      <c r="DY14" s="229">
        <v>8.0299999999999996E-2</v>
      </c>
      <c r="DZ14" s="230">
        <v>972500</v>
      </c>
      <c r="EA14" s="229">
        <v>2.0000000000000001E-4</v>
      </c>
      <c r="EB14" s="229">
        <v>8.0299999999999996E-2</v>
      </c>
      <c r="EC14" s="228">
        <v>-0.06</v>
      </c>
      <c r="ED14" s="229">
        <v>0</v>
      </c>
      <c r="EE14" s="230">
        <v>1155026</v>
      </c>
      <c r="EF14" s="230">
        <v>1809643</v>
      </c>
      <c r="EG14" s="229">
        <v>-0.36170000000000002</v>
      </c>
      <c r="EH14" s="229">
        <v>0.6623</v>
      </c>
      <c r="EI14" s="231">
        <v>85443.47</v>
      </c>
      <c r="EJ14" s="231">
        <v>38148.58</v>
      </c>
      <c r="EK14" s="231">
        <v>23817.29</v>
      </c>
      <c r="EL14" s="231">
        <v>4655</v>
      </c>
      <c r="EM14" s="231">
        <v>147409.34</v>
      </c>
      <c r="EN14" s="231">
        <v>198355.71</v>
      </c>
      <c r="EO14" s="231">
        <v>-50946.37</v>
      </c>
      <c r="EP14" s="229">
        <v>-0.25679999999999997</v>
      </c>
      <c r="EQ14" s="231">
        <v>90428</v>
      </c>
      <c r="ER14" s="231">
        <v>59585</v>
      </c>
      <c r="ES14" s="231">
        <v>173180</v>
      </c>
      <c r="ET14" s="231">
        <v>61026255</v>
      </c>
      <c r="EU14" s="231">
        <v>323193</v>
      </c>
      <c r="EV14" s="231">
        <v>322648</v>
      </c>
      <c r="EW14" s="228">
        <v>545</v>
      </c>
      <c r="EX14" s="229">
        <v>1.6999999999999999E-3</v>
      </c>
      <c r="EY14" s="229">
        <v>0.43180000000000002</v>
      </c>
    </row>
    <row r="15" spans="1:155" ht="17.25" thickBot="1" x14ac:dyDescent="0.3">
      <c r="A15" s="226">
        <v>46132</v>
      </c>
      <c r="B15" s="227" t="s">
        <v>162</v>
      </c>
      <c r="C15" s="227" t="s">
        <v>209</v>
      </c>
      <c r="D15" s="231">
        <v>7233</v>
      </c>
      <c r="E15" s="231">
        <v>7189.5</v>
      </c>
      <c r="F15" s="228">
        <v>43.5</v>
      </c>
      <c r="G15" s="229">
        <v>6.1000000000000004E-3</v>
      </c>
      <c r="H15" s="231">
        <v>7243</v>
      </c>
      <c r="I15" s="231">
        <v>7189.5</v>
      </c>
      <c r="J15" s="228">
        <v>53.5</v>
      </c>
      <c r="K15" s="229">
        <v>7.4000000000000003E-3</v>
      </c>
      <c r="L15" s="231">
        <v>7233</v>
      </c>
      <c r="M15" s="231">
        <v>7189.5</v>
      </c>
      <c r="N15" s="228">
        <v>43.5</v>
      </c>
      <c r="O15" s="229">
        <v>6.1000000000000004E-3</v>
      </c>
      <c r="P15" s="231">
        <v>7270</v>
      </c>
      <c r="Q15" s="231">
        <v>7228.5</v>
      </c>
      <c r="R15" s="228">
        <v>41.5</v>
      </c>
      <c r="S15" s="229">
        <v>5.7000000000000002E-3</v>
      </c>
      <c r="T15" s="231">
        <v>7319</v>
      </c>
      <c r="U15" s="231">
        <v>7279</v>
      </c>
      <c r="V15" s="228">
        <v>40</v>
      </c>
      <c r="W15" s="229">
        <v>5.4999999999999997E-3</v>
      </c>
      <c r="X15" s="228">
        <v>-10</v>
      </c>
      <c r="Y15" s="228">
        <v>0</v>
      </c>
      <c r="Z15" s="228">
        <v>-10</v>
      </c>
      <c r="AA15" s="229">
        <v>-1.4E-3</v>
      </c>
      <c r="AB15" s="228">
        <v>-10</v>
      </c>
      <c r="AC15" s="228">
        <v>0</v>
      </c>
      <c r="AD15" s="228">
        <v>-10</v>
      </c>
      <c r="AE15" s="229">
        <v>-1.4E-3</v>
      </c>
      <c r="AF15" s="228">
        <v>27</v>
      </c>
      <c r="AG15" s="228">
        <v>39</v>
      </c>
      <c r="AH15" s="228">
        <v>-12</v>
      </c>
      <c r="AI15" s="229">
        <v>3.7000000000000002E-3</v>
      </c>
      <c r="AJ15" s="228">
        <v>76</v>
      </c>
      <c r="AK15" s="228">
        <v>89.5</v>
      </c>
      <c r="AL15" s="228">
        <v>-13.5</v>
      </c>
      <c r="AM15" s="229">
        <v>1.0500000000000001E-2</v>
      </c>
      <c r="AN15" s="231">
        <v>7218.43</v>
      </c>
      <c r="AO15" s="231">
        <v>7247.44</v>
      </c>
      <c r="AP15" s="228">
        <v>0</v>
      </c>
      <c r="AQ15" s="230">
        <v>4738</v>
      </c>
      <c r="AR15" s="230">
        <v>4803</v>
      </c>
      <c r="AS15" s="228">
        <v>-65</v>
      </c>
      <c r="AT15" s="229">
        <v>-1.35E-2</v>
      </c>
      <c r="AU15" s="230">
        <v>3903</v>
      </c>
      <c r="AV15" s="230">
        <v>3962</v>
      </c>
      <c r="AW15" s="228">
        <v>-59</v>
      </c>
      <c r="AX15" s="229">
        <v>-1.49E-2</v>
      </c>
      <c r="AY15" s="228">
        <v>774</v>
      </c>
      <c r="AZ15" s="228">
        <v>791</v>
      </c>
      <c r="BA15" s="228">
        <v>-17</v>
      </c>
      <c r="BB15" s="229">
        <v>-2.1499999999999998E-2</v>
      </c>
      <c r="BC15" s="228">
        <v>61</v>
      </c>
      <c r="BD15" s="228">
        <v>50</v>
      </c>
      <c r="BE15" s="228">
        <v>11</v>
      </c>
      <c r="BF15" s="229">
        <v>0.22</v>
      </c>
      <c r="BG15" s="230">
        <v>35306</v>
      </c>
      <c r="BH15" s="230">
        <v>32859</v>
      </c>
      <c r="BI15" s="230">
        <v>2447</v>
      </c>
      <c r="BJ15" s="229">
        <v>7.4499999999999997E-2</v>
      </c>
      <c r="BK15" s="230">
        <v>11859</v>
      </c>
      <c r="BL15" s="230">
        <v>11013</v>
      </c>
      <c r="BM15" s="228">
        <v>846</v>
      </c>
      <c r="BN15" s="229">
        <v>7.6799999999999993E-2</v>
      </c>
      <c r="BO15" s="230">
        <v>51903</v>
      </c>
      <c r="BP15" s="230">
        <v>48675</v>
      </c>
      <c r="BQ15" s="230">
        <v>3228</v>
      </c>
      <c r="BR15" s="229">
        <v>6.6299999999999998E-2</v>
      </c>
      <c r="BS15" s="230">
        <v>720976</v>
      </c>
      <c r="BT15" s="230">
        <v>645766</v>
      </c>
      <c r="BU15" s="230">
        <v>75210</v>
      </c>
      <c r="BV15" s="229">
        <v>0.11650000000000001</v>
      </c>
      <c r="BW15" s="230">
        <v>4204900</v>
      </c>
      <c r="BX15" s="230">
        <v>4294200</v>
      </c>
      <c r="BY15" s="230">
        <v>-89300</v>
      </c>
      <c r="BZ15" s="229">
        <v>-2.0799999999999999E-2</v>
      </c>
      <c r="CA15" s="230">
        <v>3525600</v>
      </c>
      <c r="CB15" s="230">
        <v>3626900</v>
      </c>
      <c r="CC15" s="230">
        <v>-101300</v>
      </c>
      <c r="CD15" s="229">
        <v>-2.7900000000000001E-2</v>
      </c>
      <c r="CE15" s="230">
        <v>343300</v>
      </c>
      <c r="CF15" s="230">
        <v>331600</v>
      </c>
      <c r="CG15" s="230">
        <v>11700</v>
      </c>
      <c r="CH15" s="229">
        <v>3.5299999999999998E-2</v>
      </c>
      <c r="CI15" s="230">
        <v>336000</v>
      </c>
      <c r="CJ15" s="230">
        <v>335700</v>
      </c>
      <c r="CK15" s="228">
        <v>300</v>
      </c>
      <c r="CL15" s="229">
        <v>8.9999999999999998E-4</v>
      </c>
      <c r="CM15" s="230">
        <v>2150700</v>
      </c>
      <c r="CN15" s="230">
        <v>2321600</v>
      </c>
      <c r="CO15" s="230">
        <v>-170900</v>
      </c>
      <c r="CP15" s="229">
        <v>-7.3599999999999999E-2</v>
      </c>
      <c r="CQ15" s="230">
        <v>1659000</v>
      </c>
      <c r="CR15" s="230">
        <v>1579400</v>
      </c>
      <c r="CS15" s="230">
        <v>79600</v>
      </c>
      <c r="CT15" s="229">
        <v>5.04E-2</v>
      </c>
      <c r="CU15" s="230">
        <v>8014600</v>
      </c>
      <c r="CV15" s="230">
        <v>8195200</v>
      </c>
      <c r="CW15" s="230">
        <v>-180600</v>
      </c>
      <c r="CX15" s="229">
        <v>-2.1999999999999999E-2</v>
      </c>
      <c r="CY15" s="228">
        <v>33.1</v>
      </c>
      <c r="CZ15" s="228">
        <v>30.63</v>
      </c>
      <c r="DA15" s="228">
        <v>2.4700000000000002</v>
      </c>
      <c r="DB15" s="228">
        <v>2.4700000000000002</v>
      </c>
      <c r="DC15" s="228">
        <v>33.79</v>
      </c>
      <c r="DD15" s="228">
        <v>33.86</v>
      </c>
      <c r="DE15" s="228">
        <v>-0.69</v>
      </c>
      <c r="DF15" s="228">
        <v>-7.0000000000000007E-2</v>
      </c>
      <c r="DG15" s="228">
        <v>32.49</v>
      </c>
      <c r="DH15" s="228">
        <v>30.13</v>
      </c>
      <c r="DI15" s="228">
        <v>2.36</v>
      </c>
      <c r="DJ15" s="228">
        <v>2.36</v>
      </c>
      <c r="DK15" s="228">
        <v>34.909999999999997</v>
      </c>
      <c r="DL15" s="228">
        <v>32.15</v>
      </c>
      <c r="DM15" s="228">
        <v>2.76</v>
      </c>
      <c r="DN15" s="228">
        <v>2.76</v>
      </c>
      <c r="DO15" s="228">
        <v>0.77</v>
      </c>
      <c r="DP15" s="228">
        <v>0.68</v>
      </c>
      <c r="DQ15" s="228">
        <v>0.09</v>
      </c>
      <c r="DR15" s="229">
        <v>0.13239999999999999</v>
      </c>
      <c r="DS15" s="231">
        <v>8000</v>
      </c>
      <c r="DT15" s="231">
        <v>6500</v>
      </c>
      <c r="DU15" s="228">
        <v>0.34</v>
      </c>
      <c r="DV15" s="228">
        <v>0.34</v>
      </c>
      <c r="DW15" s="228">
        <v>0</v>
      </c>
      <c r="DX15" s="229">
        <v>0</v>
      </c>
      <c r="DY15" s="229">
        <v>0.1615</v>
      </c>
      <c r="DZ15" s="230">
        <v>667300</v>
      </c>
      <c r="EA15" s="229">
        <v>5.1000000000000004E-3</v>
      </c>
      <c r="EB15" s="229">
        <v>0.1615</v>
      </c>
      <c r="EC15" s="228">
        <v>29.01</v>
      </c>
      <c r="ED15" s="229">
        <v>4.0000000000000001E-3</v>
      </c>
      <c r="EE15" s="230">
        <v>400544</v>
      </c>
      <c r="EF15" s="230">
        <v>392238</v>
      </c>
      <c r="EG15" s="229">
        <v>2.12E-2</v>
      </c>
      <c r="EH15" s="229">
        <v>0.55559999999999998</v>
      </c>
      <c r="EI15" s="231">
        <v>265754.52</v>
      </c>
      <c r="EJ15" s="231">
        <v>83185.429999999993</v>
      </c>
      <c r="EK15" s="231">
        <v>34228.199999999997</v>
      </c>
      <c r="EL15" s="231">
        <v>8286</v>
      </c>
      <c r="EM15" s="231">
        <v>383168.15</v>
      </c>
      <c r="EN15" s="231">
        <v>357447.52</v>
      </c>
      <c r="EO15" s="231">
        <v>25720.63</v>
      </c>
      <c r="EP15" s="229">
        <v>7.1999999999999995E-2</v>
      </c>
      <c r="EQ15" s="231">
        <v>159522</v>
      </c>
      <c r="ER15" s="231">
        <v>115392</v>
      </c>
      <c r="ES15" s="231">
        <v>304556</v>
      </c>
      <c r="ET15" s="231">
        <v>20960143</v>
      </c>
      <c r="EU15" s="231">
        <v>579470</v>
      </c>
      <c r="EV15" s="231">
        <v>591409</v>
      </c>
      <c r="EW15" s="231">
        <v>-11939</v>
      </c>
      <c r="EX15" s="229">
        <v>-2.0199999999999999E-2</v>
      </c>
      <c r="EY15" s="229">
        <v>0.38240000000000002</v>
      </c>
    </row>
    <row r="16" spans="1:155" ht="17.25" thickBot="1" x14ac:dyDescent="0.3">
      <c r="A16" s="226">
        <v>46132</v>
      </c>
      <c r="B16" s="227" t="s">
        <v>614</v>
      </c>
      <c r="C16" s="227" t="s">
        <v>665</v>
      </c>
      <c r="D16" s="228">
        <v>254.72</v>
      </c>
      <c r="E16" s="228">
        <v>252.59</v>
      </c>
      <c r="F16" s="228">
        <v>2.13</v>
      </c>
      <c r="G16" s="229">
        <v>8.3999999999999995E-3</v>
      </c>
      <c r="H16" s="228">
        <v>254.88</v>
      </c>
      <c r="I16" s="228">
        <v>252.61</v>
      </c>
      <c r="J16" s="228">
        <v>2.27</v>
      </c>
      <c r="K16" s="229">
        <v>8.9999999999999993E-3</v>
      </c>
      <c r="L16" s="228">
        <v>254.72</v>
      </c>
      <c r="M16" s="228">
        <v>252.59</v>
      </c>
      <c r="N16" s="228">
        <v>2.13</v>
      </c>
      <c r="O16" s="229">
        <v>8.3999999999999995E-3</v>
      </c>
      <c r="P16" s="228">
        <v>255.77</v>
      </c>
      <c r="Q16" s="228">
        <v>253.93</v>
      </c>
      <c r="R16" s="228">
        <v>1.84</v>
      </c>
      <c r="S16" s="229">
        <v>7.1999999999999998E-3</v>
      </c>
      <c r="T16" s="228">
        <v>257.77999999999997</v>
      </c>
      <c r="U16" s="228">
        <v>255.4</v>
      </c>
      <c r="V16" s="228">
        <v>2.38</v>
      </c>
      <c r="W16" s="229">
        <v>9.2999999999999992E-3</v>
      </c>
      <c r="X16" s="228">
        <v>-0.16</v>
      </c>
      <c r="Y16" s="228">
        <v>-0.02</v>
      </c>
      <c r="Z16" s="228">
        <v>-0.14000000000000001</v>
      </c>
      <c r="AA16" s="229">
        <v>-5.9999999999999995E-4</v>
      </c>
      <c r="AB16" s="228">
        <v>-0.16</v>
      </c>
      <c r="AC16" s="228">
        <v>-0.02</v>
      </c>
      <c r="AD16" s="228">
        <v>-0.14000000000000001</v>
      </c>
      <c r="AE16" s="229">
        <v>-5.9999999999999995E-4</v>
      </c>
      <c r="AF16" s="228">
        <v>0.89</v>
      </c>
      <c r="AG16" s="228">
        <v>1.32</v>
      </c>
      <c r="AH16" s="228">
        <v>-0.43</v>
      </c>
      <c r="AI16" s="229">
        <v>3.5000000000000001E-3</v>
      </c>
      <c r="AJ16" s="228">
        <v>2.9</v>
      </c>
      <c r="AK16" s="228">
        <v>2.79</v>
      </c>
      <c r="AL16" s="228">
        <v>0.11</v>
      </c>
      <c r="AM16" s="229">
        <v>1.14E-2</v>
      </c>
      <c r="AN16" s="228">
        <v>254.7</v>
      </c>
      <c r="AO16" s="228">
        <v>255.49</v>
      </c>
      <c r="AP16" s="228">
        <v>0</v>
      </c>
      <c r="AQ16" s="230">
        <v>14572</v>
      </c>
      <c r="AR16" s="230">
        <v>14770</v>
      </c>
      <c r="AS16" s="228">
        <v>-198</v>
      </c>
      <c r="AT16" s="229">
        <v>-1.34E-2</v>
      </c>
      <c r="AU16" s="230">
        <v>11849</v>
      </c>
      <c r="AV16" s="230">
        <v>13091</v>
      </c>
      <c r="AW16" s="230">
        <v>-1242</v>
      </c>
      <c r="AX16" s="229">
        <v>-9.4899999999999998E-2</v>
      </c>
      <c r="AY16" s="230">
        <v>2226</v>
      </c>
      <c r="AZ16" s="230">
        <v>1467</v>
      </c>
      <c r="BA16" s="228">
        <v>759</v>
      </c>
      <c r="BB16" s="229">
        <v>0.51739999999999997</v>
      </c>
      <c r="BC16" s="228">
        <v>497</v>
      </c>
      <c r="BD16" s="228">
        <v>212</v>
      </c>
      <c r="BE16" s="228">
        <v>285</v>
      </c>
      <c r="BF16" s="229">
        <v>1.3443000000000001</v>
      </c>
      <c r="BG16" s="230">
        <v>32812</v>
      </c>
      <c r="BH16" s="230">
        <v>35498</v>
      </c>
      <c r="BI16" s="230">
        <v>-2686</v>
      </c>
      <c r="BJ16" s="229">
        <v>-7.5700000000000003E-2</v>
      </c>
      <c r="BK16" s="230">
        <v>20044</v>
      </c>
      <c r="BL16" s="230">
        <v>17364</v>
      </c>
      <c r="BM16" s="230">
        <v>2680</v>
      </c>
      <c r="BN16" s="229">
        <v>0.15429999999999999</v>
      </c>
      <c r="BO16" s="230">
        <v>67428</v>
      </c>
      <c r="BP16" s="230">
        <v>67632</v>
      </c>
      <c r="BQ16" s="228">
        <v>-204</v>
      </c>
      <c r="BR16" s="229">
        <v>-3.0000000000000001E-3</v>
      </c>
      <c r="BS16" s="230">
        <v>41505385</v>
      </c>
      <c r="BT16" s="230">
        <v>38278410</v>
      </c>
      <c r="BU16" s="230">
        <v>3226975</v>
      </c>
      <c r="BV16" s="229">
        <v>8.43E-2</v>
      </c>
      <c r="BW16" s="230">
        <v>193578050</v>
      </c>
      <c r="BX16" s="230">
        <v>195071850</v>
      </c>
      <c r="BY16" s="230">
        <v>-1493800</v>
      </c>
      <c r="BZ16" s="229">
        <v>-7.7000000000000002E-3</v>
      </c>
      <c r="CA16" s="230">
        <v>173249275</v>
      </c>
      <c r="CB16" s="230">
        <v>176940125</v>
      </c>
      <c r="CC16" s="230">
        <v>-3690850</v>
      </c>
      <c r="CD16" s="229">
        <v>-2.0899999999999998E-2</v>
      </c>
      <c r="CE16" s="230">
        <v>16776150</v>
      </c>
      <c r="CF16" s="230">
        <v>15267800</v>
      </c>
      <c r="CG16" s="230">
        <v>1508350</v>
      </c>
      <c r="CH16" s="229">
        <v>9.8799999999999999E-2</v>
      </c>
      <c r="CI16" s="230">
        <v>3552625</v>
      </c>
      <c r="CJ16" s="230">
        <v>2863925</v>
      </c>
      <c r="CK16" s="230">
        <v>688700</v>
      </c>
      <c r="CL16" s="229">
        <v>0.24049999999999999</v>
      </c>
      <c r="CM16" s="230">
        <v>62945725</v>
      </c>
      <c r="CN16" s="230">
        <v>64820250</v>
      </c>
      <c r="CO16" s="230">
        <v>-1874525</v>
      </c>
      <c r="CP16" s="229">
        <v>-2.8899999999999999E-2</v>
      </c>
      <c r="CQ16" s="230">
        <v>50275100</v>
      </c>
      <c r="CR16" s="230">
        <v>50653400</v>
      </c>
      <c r="CS16" s="230">
        <v>-378300</v>
      </c>
      <c r="CT16" s="229">
        <v>-7.4999999999999997E-3</v>
      </c>
      <c r="CU16" s="230">
        <v>306798875</v>
      </c>
      <c r="CV16" s="230">
        <v>310545500</v>
      </c>
      <c r="CW16" s="230">
        <v>-3746625</v>
      </c>
      <c r="CX16" s="229">
        <v>-1.21E-2</v>
      </c>
      <c r="CY16" s="228">
        <v>46.54</v>
      </c>
      <c r="CZ16" s="228">
        <v>44.57</v>
      </c>
      <c r="DA16" s="228">
        <v>1.97</v>
      </c>
      <c r="DB16" s="228">
        <v>1.97</v>
      </c>
      <c r="DC16" s="228">
        <v>46.15</v>
      </c>
      <c r="DD16" s="228">
        <v>46.24</v>
      </c>
      <c r="DE16" s="228">
        <v>0.39</v>
      </c>
      <c r="DF16" s="228">
        <v>-0.09</v>
      </c>
      <c r="DG16" s="228">
        <v>44.06</v>
      </c>
      <c r="DH16" s="228">
        <v>43.2</v>
      </c>
      <c r="DI16" s="228">
        <v>0.86</v>
      </c>
      <c r="DJ16" s="228">
        <v>0.86</v>
      </c>
      <c r="DK16" s="228">
        <v>50.59</v>
      </c>
      <c r="DL16" s="228">
        <v>47.37</v>
      </c>
      <c r="DM16" s="228">
        <v>3.22</v>
      </c>
      <c r="DN16" s="228">
        <v>3.22</v>
      </c>
      <c r="DO16" s="228">
        <v>0.8</v>
      </c>
      <c r="DP16" s="228">
        <v>0.78</v>
      </c>
      <c r="DQ16" s="228">
        <v>0.02</v>
      </c>
      <c r="DR16" s="229">
        <v>2.5600000000000001E-2</v>
      </c>
      <c r="DS16" s="228">
        <v>250</v>
      </c>
      <c r="DT16" s="228">
        <v>230</v>
      </c>
      <c r="DU16" s="228">
        <v>0.61</v>
      </c>
      <c r="DV16" s="228">
        <v>0.49</v>
      </c>
      <c r="DW16" s="228">
        <v>0.12</v>
      </c>
      <c r="DX16" s="229">
        <v>0.24490000000000001</v>
      </c>
      <c r="DY16" s="229">
        <v>0.105</v>
      </c>
      <c r="DZ16" s="230">
        <v>18131725</v>
      </c>
      <c r="EA16" s="229">
        <v>4.1000000000000003E-3</v>
      </c>
      <c r="EB16" s="229">
        <v>0.105</v>
      </c>
      <c r="EC16" s="228">
        <v>0.79</v>
      </c>
      <c r="ED16" s="229">
        <v>3.0999999999999999E-3</v>
      </c>
      <c r="EE16" s="230">
        <v>21708921</v>
      </c>
      <c r="EF16" s="230">
        <v>18585012</v>
      </c>
      <c r="EG16" s="229">
        <v>0.1681</v>
      </c>
      <c r="EH16" s="229">
        <v>0.52300000000000002</v>
      </c>
      <c r="EI16" s="231">
        <v>211904.4</v>
      </c>
      <c r="EJ16" s="231">
        <v>119183.88</v>
      </c>
      <c r="EK16" s="231">
        <v>90083.64</v>
      </c>
      <c r="EL16" s="231">
        <v>14211</v>
      </c>
      <c r="EM16" s="231">
        <v>421171.92</v>
      </c>
      <c r="EN16" s="231">
        <v>423005.93</v>
      </c>
      <c r="EO16" s="231">
        <v>-1834.01</v>
      </c>
      <c r="EP16" s="229">
        <v>-4.3E-3</v>
      </c>
      <c r="EQ16" s="231">
        <v>160943</v>
      </c>
      <c r="ER16" s="231">
        <v>120614</v>
      </c>
      <c r="ES16" s="231">
        <v>493367</v>
      </c>
      <c r="ET16" s="231">
        <v>1366821859</v>
      </c>
      <c r="EU16" s="231">
        <v>774924</v>
      </c>
      <c r="EV16" s="231">
        <v>779111</v>
      </c>
      <c r="EW16" s="231">
        <v>-4187</v>
      </c>
      <c r="EX16" s="229">
        <v>-5.4000000000000003E-3</v>
      </c>
      <c r="EY16" s="229">
        <v>0.22450000000000001</v>
      </c>
    </row>
    <row r="17" spans="1:155" ht="17.25" thickBot="1" x14ac:dyDescent="0.3">
      <c r="A17" s="226">
        <v>46132</v>
      </c>
      <c r="B17" s="227" t="s">
        <v>157</v>
      </c>
      <c r="C17" s="227" t="s">
        <v>219</v>
      </c>
      <c r="D17" s="231">
        <v>2757</v>
      </c>
      <c r="E17" s="231">
        <v>2726.6</v>
      </c>
      <c r="F17" s="228">
        <v>30.4</v>
      </c>
      <c r="G17" s="229">
        <v>1.11E-2</v>
      </c>
      <c r="H17" s="231">
        <v>2760.1</v>
      </c>
      <c r="I17" s="231">
        <v>2720.5</v>
      </c>
      <c r="J17" s="228">
        <v>39.6</v>
      </c>
      <c r="K17" s="229">
        <v>1.46E-2</v>
      </c>
      <c r="L17" s="231">
        <v>2757</v>
      </c>
      <c r="M17" s="231">
        <v>2726.6</v>
      </c>
      <c r="N17" s="228">
        <v>30.4</v>
      </c>
      <c r="O17" s="229">
        <v>1.11E-2</v>
      </c>
      <c r="P17" s="231">
        <v>2775.8</v>
      </c>
      <c r="Q17" s="231">
        <v>2739.8</v>
      </c>
      <c r="R17" s="228">
        <v>36</v>
      </c>
      <c r="S17" s="229">
        <v>1.3100000000000001E-2</v>
      </c>
      <c r="T17" s="231">
        <v>2790.2</v>
      </c>
      <c r="U17" s="231">
        <v>2753.7</v>
      </c>
      <c r="V17" s="228">
        <v>36.5</v>
      </c>
      <c r="W17" s="229">
        <v>1.3299999999999999E-2</v>
      </c>
      <c r="X17" s="228">
        <v>-3.1</v>
      </c>
      <c r="Y17" s="228">
        <v>6.1</v>
      </c>
      <c r="Z17" s="228">
        <v>-9.1999999999999993</v>
      </c>
      <c r="AA17" s="229">
        <v>-1.1000000000000001E-3</v>
      </c>
      <c r="AB17" s="228">
        <v>-3.1</v>
      </c>
      <c r="AC17" s="228">
        <v>6.1</v>
      </c>
      <c r="AD17" s="228">
        <v>-9.1999999999999993</v>
      </c>
      <c r="AE17" s="229">
        <v>-1.1000000000000001E-3</v>
      </c>
      <c r="AF17" s="228">
        <v>15.7</v>
      </c>
      <c r="AG17" s="228">
        <v>19.3</v>
      </c>
      <c r="AH17" s="228">
        <v>-3.6</v>
      </c>
      <c r="AI17" s="229">
        <v>5.7000000000000002E-3</v>
      </c>
      <c r="AJ17" s="228">
        <v>30.1</v>
      </c>
      <c r="AK17" s="228">
        <v>33.200000000000003</v>
      </c>
      <c r="AL17" s="228">
        <v>-3.1</v>
      </c>
      <c r="AM17" s="229">
        <v>1.09E-2</v>
      </c>
      <c r="AN17" s="231">
        <v>2752.19</v>
      </c>
      <c r="AO17" s="231">
        <v>2770.73</v>
      </c>
      <c r="AP17" s="228">
        <v>0</v>
      </c>
      <c r="AQ17" s="230">
        <v>11388</v>
      </c>
      <c r="AR17" s="230">
        <v>1990</v>
      </c>
      <c r="AS17" s="230">
        <v>9398</v>
      </c>
      <c r="AT17" s="229">
        <v>4.7225999999999999</v>
      </c>
      <c r="AU17" s="230">
        <v>6912</v>
      </c>
      <c r="AV17" s="230">
        <v>1682</v>
      </c>
      <c r="AW17" s="230">
        <v>5230</v>
      </c>
      <c r="AX17" s="229">
        <v>3.1093999999999999</v>
      </c>
      <c r="AY17" s="230">
        <v>4444</v>
      </c>
      <c r="AZ17" s="228">
        <v>265</v>
      </c>
      <c r="BA17" s="230">
        <v>4179</v>
      </c>
      <c r="BB17" s="229">
        <v>15.7698</v>
      </c>
      <c r="BC17" s="228">
        <v>32</v>
      </c>
      <c r="BD17" s="228">
        <v>43</v>
      </c>
      <c r="BE17" s="228">
        <v>-11</v>
      </c>
      <c r="BF17" s="229">
        <v>-0.25580000000000003</v>
      </c>
      <c r="BG17" s="230">
        <v>8450</v>
      </c>
      <c r="BH17" s="230">
        <v>4999</v>
      </c>
      <c r="BI17" s="230">
        <v>3451</v>
      </c>
      <c r="BJ17" s="229">
        <v>0.69030000000000002</v>
      </c>
      <c r="BK17" s="230">
        <v>3332</v>
      </c>
      <c r="BL17" s="230">
        <v>2080</v>
      </c>
      <c r="BM17" s="230">
        <v>1252</v>
      </c>
      <c r="BN17" s="229">
        <v>0.60189999999999999</v>
      </c>
      <c r="BO17" s="230">
        <v>23170</v>
      </c>
      <c r="BP17" s="230">
        <v>9069</v>
      </c>
      <c r="BQ17" s="230">
        <v>14101</v>
      </c>
      <c r="BR17" s="229">
        <v>1.5548999999999999</v>
      </c>
      <c r="BS17" s="230">
        <v>758516</v>
      </c>
      <c r="BT17" s="230">
        <v>442157</v>
      </c>
      <c r="BU17" s="230">
        <v>316359</v>
      </c>
      <c r="BV17" s="229">
        <v>0.71550000000000002</v>
      </c>
      <c r="BW17" s="230">
        <v>14128750</v>
      </c>
      <c r="BX17" s="230">
        <v>14148500</v>
      </c>
      <c r="BY17" s="230">
        <v>-19750</v>
      </c>
      <c r="BZ17" s="229">
        <v>-1.4E-3</v>
      </c>
      <c r="CA17" s="230">
        <v>11164250</v>
      </c>
      <c r="CB17" s="230">
        <v>12221750</v>
      </c>
      <c r="CC17" s="230">
        <v>-1057500</v>
      </c>
      <c r="CD17" s="229">
        <v>-8.6499999999999994E-2</v>
      </c>
      <c r="CE17" s="230">
        <v>2594000</v>
      </c>
      <c r="CF17" s="230">
        <v>1558500</v>
      </c>
      <c r="CG17" s="230">
        <v>1035500</v>
      </c>
      <c r="CH17" s="229">
        <v>0.66439999999999999</v>
      </c>
      <c r="CI17" s="230">
        <v>370500</v>
      </c>
      <c r="CJ17" s="230">
        <v>368250</v>
      </c>
      <c r="CK17" s="230">
        <v>2250</v>
      </c>
      <c r="CL17" s="229">
        <v>6.1000000000000004E-3</v>
      </c>
      <c r="CM17" s="230">
        <v>1570500</v>
      </c>
      <c r="CN17" s="230">
        <v>1701000</v>
      </c>
      <c r="CO17" s="230">
        <v>-130500</v>
      </c>
      <c r="CP17" s="229">
        <v>-7.6700000000000004E-2</v>
      </c>
      <c r="CQ17" s="230">
        <v>1210500</v>
      </c>
      <c r="CR17" s="230">
        <v>1234250</v>
      </c>
      <c r="CS17" s="230">
        <v>-23750</v>
      </c>
      <c r="CT17" s="229">
        <v>-1.9199999999999998E-2</v>
      </c>
      <c r="CU17" s="230">
        <v>16909750</v>
      </c>
      <c r="CV17" s="230">
        <v>17083750</v>
      </c>
      <c r="CW17" s="230">
        <v>-174000</v>
      </c>
      <c r="CX17" s="229">
        <v>-1.0200000000000001E-2</v>
      </c>
      <c r="CY17" s="228">
        <v>29.22</v>
      </c>
      <c r="CZ17" s="228">
        <v>26.85</v>
      </c>
      <c r="DA17" s="228">
        <v>2.37</v>
      </c>
      <c r="DB17" s="228">
        <v>2.37</v>
      </c>
      <c r="DC17" s="228">
        <v>28.34</v>
      </c>
      <c r="DD17" s="228">
        <v>28.37</v>
      </c>
      <c r="DE17" s="228">
        <v>0.88</v>
      </c>
      <c r="DF17" s="228">
        <v>-0.03</v>
      </c>
      <c r="DG17" s="228">
        <v>28.58</v>
      </c>
      <c r="DH17" s="228">
        <v>26.37</v>
      </c>
      <c r="DI17" s="228">
        <v>2.21</v>
      </c>
      <c r="DJ17" s="228">
        <v>2.21</v>
      </c>
      <c r="DK17" s="228">
        <v>30.87</v>
      </c>
      <c r="DL17" s="228">
        <v>28</v>
      </c>
      <c r="DM17" s="228">
        <v>2.87</v>
      </c>
      <c r="DN17" s="228">
        <v>2.87</v>
      </c>
      <c r="DO17" s="228">
        <v>0.77</v>
      </c>
      <c r="DP17" s="228">
        <v>0.73</v>
      </c>
      <c r="DQ17" s="228">
        <v>0.04</v>
      </c>
      <c r="DR17" s="229">
        <v>5.4800000000000001E-2</v>
      </c>
      <c r="DS17" s="231">
        <v>2800</v>
      </c>
      <c r="DT17" s="231">
        <v>2600</v>
      </c>
      <c r="DU17" s="228">
        <v>0.39</v>
      </c>
      <c r="DV17" s="228">
        <v>0.42</v>
      </c>
      <c r="DW17" s="228">
        <v>-0.03</v>
      </c>
      <c r="DX17" s="229">
        <v>-7.1400000000000005E-2</v>
      </c>
      <c r="DY17" s="229">
        <v>0.20979999999999999</v>
      </c>
      <c r="DZ17" s="230">
        <v>1926750</v>
      </c>
      <c r="EA17" s="229">
        <v>6.7999999999999996E-3</v>
      </c>
      <c r="EB17" s="229">
        <v>0.20979999999999999</v>
      </c>
      <c r="EC17" s="228">
        <v>18.54</v>
      </c>
      <c r="ED17" s="229">
        <v>6.7000000000000002E-3</v>
      </c>
      <c r="EE17" s="230">
        <v>396654</v>
      </c>
      <c r="EF17" s="230">
        <v>248174</v>
      </c>
      <c r="EG17" s="229">
        <v>0.59830000000000005</v>
      </c>
      <c r="EH17" s="229">
        <v>0.52290000000000003</v>
      </c>
      <c r="EI17" s="231">
        <v>59668.45</v>
      </c>
      <c r="EJ17" s="231">
        <v>22427.09</v>
      </c>
      <c r="EK17" s="231">
        <v>78563.62</v>
      </c>
      <c r="EL17" s="231">
        <v>5450</v>
      </c>
      <c r="EM17" s="231">
        <v>160659.16</v>
      </c>
      <c r="EN17" s="231">
        <v>62753.55</v>
      </c>
      <c r="EO17" s="231">
        <v>97905.61</v>
      </c>
      <c r="EP17" s="229">
        <v>1.5602</v>
      </c>
      <c r="EQ17" s="231">
        <v>44025</v>
      </c>
      <c r="ER17" s="231">
        <v>31275</v>
      </c>
      <c r="ES17" s="231">
        <v>390140</v>
      </c>
      <c r="ET17" s="231">
        <v>38401443</v>
      </c>
      <c r="EU17" s="231">
        <v>465440</v>
      </c>
      <c r="EV17" s="231">
        <v>465512</v>
      </c>
      <c r="EW17" s="228">
        <v>-72</v>
      </c>
      <c r="EX17" s="229">
        <v>-2.0000000000000001E-4</v>
      </c>
      <c r="EY17" s="229">
        <v>0.44030000000000002</v>
      </c>
    </row>
    <row r="18" spans="1:155" ht="17.25" thickBot="1" x14ac:dyDescent="0.3">
      <c r="A18" s="226">
        <v>46132</v>
      </c>
      <c r="B18" s="227" t="s">
        <v>221</v>
      </c>
      <c r="C18" s="227" t="s">
        <v>222</v>
      </c>
      <c r="D18" s="231">
        <v>1407.1</v>
      </c>
      <c r="E18" s="231">
        <v>1415.3</v>
      </c>
      <c r="F18" s="228">
        <v>-8.1999999999999993</v>
      </c>
      <c r="G18" s="229">
        <v>-5.7999999999999996E-3</v>
      </c>
      <c r="H18" s="231">
        <v>1428.3</v>
      </c>
      <c r="I18" s="231">
        <v>1442.3</v>
      </c>
      <c r="J18" s="228">
        <v>-14</v>
      </c>
      <c r="K18" s="229">
        <v>-9.7000000000000003E-3</v>
      </c>
      <c r="L18" s="231">
        <v>1407.1</v>
      </c>
      <c r="M18" s="231">
        <v>1415.3</v>
      </c>
      <c r="N18" s="228">
        <v>-8.1999999999999993</v>
      </c>
      <c r="O18" s="229">
        <v>-5.7999999999999996E-3</v>
      </c>
      <c r="P18" s="231">
        <v>1394.9</v>
      </c>
      <c r="Q18" s="231">
        <v>1402.4</v>
      </c>
      <c r="R18" s="228">
        <v>-7.5</v>
      </c>
      <c r="S18" s="229">
        <v>-5.3E-3</v>
      </c>
      <c r="T18" s="231">
        <v>1391.8</v>
      </c>
      <c r="U18" s="231">
        <v>1398.2</v>
      </c>
      <c r="V18" s="228">
        <v>-6.4</v>
      </c>
      <c r="W18" s="229">
        <v>-4.5999999999999999E-3</v>
      </c>
      <c r="X18" s="228">
        <v>-21.2</v>
      </c>
      <c r="Y18" s="228">
        <v>-27</v>
      </c>
      <c r="Z18" s="228">
        <v>5.8</v>
      </c>
      <c r="AA18" s="229">
        <v>-1.4800000000000001E-2</v>
      </c>
      <c r="AB18" s="228">
        <v>-21.2</v>
      </c>
      <c r="AC18" s="228">
        <v>-27</v>
      </c>
      <c r="AD18" s="228">
        <v>5.8</v>
      </c>
      <c r="AE18" s="229">
        <v>-1.4800000000000001E-2</v>
      </c>
      <c r="AF18" s="228">
        <v>-33.4</v>
      </c>
      <c r="AG18" s="228">
        <v>-39.9</v>
      </c>
      <c r="AH18" s="228">
        <v>6.5</v>
      </c>
      <c r="AI18" s="229">
        <v>-2.3400000000000001E-2</v>
      </c>
      <c r="AJ18" s="228">
        <v>-36.5</v>
      </c>
      <c r="AK18" s="228">
        <v>-44.1</v>
      </c>
      <c r="AL18" s="228">
        <v>7.6</v>
      </c>
      <c r="AM18" s="229">
        <v>-2.5600000000000001E-2</v>
      </c>
      <c r="AN18" s="231">
        <v>1410.01</v>
      </c>
      <c r="AO18" s="231">
        <v>1397.46</v>
      </c>
      <c r="AP18" s="228">
        <v>0</v>
      </c>
      <c r="AQ18" s="230">
        <v>19882</v>
      </c>
      <c r="AR18" s="230">
        <v>20164</v>
      </c>
      <c r="AS18" s="228">
        <v>-282</v>
      </c>
      <c r="AT18" s="229">
        <v>-1.4E-2</v>
      </c>
      <c r="AU18" s="230">
        <v>14804</v>
      </c>
      <c r="AV18" s="230">
        <v>15811</v>
      </c>
      <c r="AW18" s="230">
        <v>-1007</v>
      </c>
      <c r="AX18" s="229">
        <v>-6.3700000000000007E-2</v>
      </c>
      <c r="AY18" s="230">
        <v>4930</v>
      </c>
      <c r="AZ18" s="230">
        <v>4268</v>
      </c>
      <c r="BA18" s="228">
        <v>662</v>
      </c>
      <c r="BB18" s="229">
        <v>0.15509999999999999</v>
      </c>
      <c r="BC18" s="228">
        <v>148</v>
      </c>
      <c r="BD18" s="228">
        <v>85</v>
      </c>
      <c r="BE18" s="228">
        <v>63</v>
      </c>
      <c r="BF18" s="229">
        <v>0.74119999999999997</v>
      </c>
      <c r="BG18" s="230">
        <v>25433</v>
      </c>
      <c r="BH18" s="230">
        <v>29358</v>
      </c>
      <c r="BI18" s="230">
        <v>-3925</v>
      </c>
      <c r="BJ18" s="229">
        <v>-0.13370000000000001</v>
      </c>
      <c r="BK18" s="230">
        <v>13956</v>
      </c>
      <c r="BL18" s="230">
        <v>16450</v>
      </c>
      <c r="BM18" s="230">
        <v>-2494</v>
      </c>
      <c r="BN18" s="229">
        <v>-0.15160000000000001</v>
      </c>
      <c r="BO18" s="230">
        <v>59271</v>
      </c>
      <c r="BP18" s="230">
        <v>65972</v>
      </c>
      <c r="BQ18" s="230">
        <v>-6701</v>
      </c>
      <c r="BR18" s="229">
        <v>-0.1016</v>
      </c>
      <c r="BS18" s="230">
        <v>2421112</v>
      </c>
      <c r="BT18" s="230">
        <v>3608781</v>
      </c>
      <c r="BU18" s="230">
        <v>-1187669</v>
      </c>
      <c r="BV18" s="229">
        <v>-0.3291</v>
      </c>
      <c r="BW18" s="230">
        <v>44422700</v>
      </c>
      <c r="BX18" s="230">
        <v>42867300</v>
      </c>
      <c r="BY18" s="230">
        <v>1555400</v>
      </c>
      <c r="BZ18" s="229">
        <v>3.6299999999999999E-2</v>
      </c>
      <c r="CA18" s="230">
        <v>37202900</v>
      </c>
      <c r="CB18" s="230">
        <v>36706600</v>
      </c>
      <c r="CC18" s="230">
        <v>496300</v>
      </c>
      <c r="CD18" s="229">
        <v>1.35E-2</v>
      </c>
      <c r="CE18" s="230">
        <v>6975850</v>
      </c>
      <c r="CF18" s="230">
        <v>5937400</v>
      </c>
      <c r="CG18" s="230">
        <v>1038450</v>
      </c>
      <c r="CH18" s="229">
        <v>0.1749</v>
      </c>
      <c r="CI18" s="230">
        <v>243950</v>
      </c>
      <c r="CJ18" s="230">
        <v>223300</v>
      </c>
      <c r="CK18" s="230">
        <v>20650</v>
      </c>
      <c r="CL18" s="229">
        <v>9.2499999999999999E-2</v>
      </c>
      <c r="CM18" s="230">
        <v>7597800</v>
      </c>
      <c r="CN18" s="230">
        <v>7123550</v>
      </c>
      <c r="CO18" s="230">
        <v>474250</v>
      </c>
      <c r="CP18" s="229">
        <v>6.6600000000000006E-2</v>
      </c>
      <c r="CQ18" s="230">
        <v>6377350</v>
      </c>
      <c r="CR18" s="230">
        <v>5924100</v>
      </c>
      <c r="CS18" s="230">
        <v>453250</v>
      </c>
      <c r="CT18" s="229">
        <v>7.6499999999999999E-2</v>
      </c>
      <c r="CU18" s="230">
        <v>58397850</v>
      </c>
      <c r="CV18" s="230">
        <v>55914950</v>
      </c>
      <c r="CW18" s="230">
        <v>2482900</v>
      </c>
      <c r="CX18" s="229">
        <v>4.4400000000000002E-2</v>
      </c>
      <c r="CY18" s="228">
        <v>41.04</v>
      </c>
      <c r="CZ18" s="228">
        <v>35.65</v>
      </c>
      <c r="DA18" s="228">
        <v>5.39</v>
      </c>
      <c r="DB18" s="228">
        <v>5.39</v>
      </c>
      <c r="DC18" s="228">
        <v>29.29</v>
      </c>
      <c r="DD18" s="228">
        <v>29.34</v>
      </c>
      <c r="DE18" s="228">
        <v>11.75</v>
      </c>
      <c r="DF18" s="228">
        <v>-0.05</v>
      </c>
      <c r="DG18" s="228">
        <v>40.83</v>
      </c>
      <c r="DH18" s="228">
        <v>35.47</v>
      </c>
      <c r="DI18" s="228">
        <v>5.36</v>
      </c>
      <c r="DJ18" s="228">
        <v>5.36</v>
      </c>
      <c r="DK18" s="228">
        <v>41.41</v>
      </c>
      <c r="DL18" s="228">
        <v>35.979999999999997</v>
      </c>
      <c r="DM18" s="228">
        <v>5.43</v>
      </c>
      <c r="DN18" s="228">
        <v>5.43</v>
      </c>
      <c r="DO18" s="228">
        <v>0.84</v>
      </c>
      <c r="DP18" s="228">
        <v>0.83</v>
      </c>
      <c r="DQ18" s="228">
        <v>0.01</v>
      </c>
      <c r="DR18" s="229">
        <v>1.2E-2</v>
      </c>
      <c r="DS18" s="231">
        <v>1440</v>
      </c>
      <c r="DT18" s="231">
        <v>1400</v>
      </c>
      <c r="DU18" s="228">
        <v>0.55000000000000004</v>
      </c>
      <c r="DV18" s="228">
        <v>0.56000000000000005</v>
      </c>
      <c r="DW18" s="228">
        <v>-0.01</v>
      </c>
      <c r="DX18" s="229">
        <v>-1.7899999999999999E-2</v>
      </c>
      <c r="DY18" s="229">
        <v>0.16250000000000001</v>
      </c>
      <c r="DZ18" s="230">
        <v>6160700</v>
      </c>
      <c r="EA18" s="229">
        <v>-8.6999999999999994E-3</v>
      </c>
      <c r="EB18" s="229">
        <v>0.16250000000000001</v>
      </c>
      <c r="EC18" s="228">
        <v>-12.55</v>
      </c>
      <c r="ED18" s="229">
        <v>-8.8999999999999999E-3</v>
      </c>
      <c r="EE18" s="230">
        <v>1276485</v>
      </c>
      <c r="EF18" s="230">
        <v>2104908</v>
      </c>
      <c r="EG18" s="229">
        <v>-0.39360000000000001</v>
      </c>
      <c r="EH18" s="229">
        <v>0.5272</v>
      </c>
      <c r="EI18" s="231">
        <v>132255.73000000001</v>
      </c>
      <c r="EJ18" s="231">
        <v>69372.23</v>
      </c>
      <c r="EK18" s="231">
        <v>97893.93</v>
      </c>
      <c r="EL18" s="231">
        <v>21312</v>
      </c>
      <c r="EM18" s="231">
        <v>299521.89</v>
      </c>
      <c r="EN18" s="231">
        <v>333623.05</v>
      </c>
      <c r="EO18" s="231">
        <v>-34101.160000000003</v>
      </c>
      <c r="EP18" s="229">
        <v>-0.1022</v>
      </c>
      <c r="EQ18" s="231">
        <v>111214</v>
      </c>
      <c r="ER18" s="231">
        <v>87011</v>
      </c>
      <c r="ES18" s="231">
        <v>624183</v>
      </c>
      <c r="ET18" s="231">
        <v>145140505</v>
      </c>
      <c r="EU18" s="231">
        <v>822409</v>
      </c>
      <c r="EV18" s="231">
        <v>790768</v>
      </c>
      <c r="EW18" s="231">
        <v>31641</v>
      </c>
      <c r="EX18" s="229">
        <v>0.04</v>
      </c>
      <c r="EY18" s="229">
        <v>0.40239999999999998</v>
      </c>
    </row>
    <row r="19" spans="1:155" ht="17.25" thickBot="1" x14ac:dyDescent="0.3">
      <c r="A19" s="226">
        <v>46132</v>
      </c>
      <c r="B19" s="227" t="s">
        <v>172</v>
      </c>
      <c r="C19" s="227" t="s">
        <v>224</v>
      </c>
      <c r="D19" s="228">
        <v>794.9</v>
      </c>
      <c r="E19" s="228">
        <v>801.6</v>
      </c>
      <c r="F19" s="228">
        <v>-6.7</v>
      </c>
      <c r="G19" s="229">
        <v>-8.3999999999999995E-3</v>
      </c>
      <c r="H19" s="228">
        <v>795.45</v>
      </c>
      <c r="I19" s="228">
        <v>799.9</v>
      </c>
      <c r="J19" s="228">
        <v>-4.45</v>
      </c>
      <c r="K19" s="229">
        <v>-5.5999999999999999E-3</v>
      </c>
      <c r="L19" s="228">
        <v>794.9</v>
      </c>
      <c r="M19" s="228">
        <v>801.6</v>
      </c>
      <c r="N19" s="228">
        <v>-6.7</v>
      </c>
      <c r="O19" s="229">
        <v>-8.3999999999999995E-3</v>
      </c>
      <c r="P19" s="228">
        <v>799.7</v>
      </c>
      <c r="Q19" s="228">
        <v>803.2</v>
      </c>
      <c r="R19" s="228">
        <v>-3.5</v>
      </c>
      <c r="S19" s="229">
        <v>-4.4000000000000003E-3</v>
      </c>
      <c r="T19" s="228">
        <v>791.25</v>
      </c>
      <c r="U19" s="228">
        <v>799.05</v>
      </c>
      <c r="V19" s="228">
        <v>-7.8</v>
      </c>
      <c r="W19" s="229">
        <v>-9.7999999999999997E-3</v>
      </c>
      <c r="X19" s="228">
        <v>-0.55000000000000004</v>
      </c>
      <c r="Y19" s="228">
        <v>1.7</v>
      </c>
      <c r="Z19" s="228">
        <v>-2.25</v>
      </c>
      <c r="AA19" s="229">
        <v>-6.9999999999999999E-4</v>
      </c>
      <c r="AB19" s="228">
        <v>-0.55000000000000004</v>
      </c>
      <c r="AC19" s="228">
        <v>1.7</v>
      </c>
      <c r="AD19" s="228">
        <v>-2.25</v>
      </c>
      <c r="AE19" s="229">
        <v>-6.9999999999999999E-4</v>
      </c>
      <c r="AF19" s="228">
        <v>4.25</v>
      </c>
      <c r="AG19" s="228">
        <v>3.3</v>
      </c>
      <c r="AH19" s="228">
        <v>0.95</v>
      </c>
      <c r="AI19" s="229">
        <v>5.3E-3</v>
      </c>
      <c r="AJ19" s="228">
        <v>-4.2</v>
      </c>
      <c r="AK19" s="228">
        <v>-0.85</v>
      </c>
      <c r="AL19" s="228">
        <v>-3.35</v>
      </c>
      <c r="AM19" s="229">
        <v>-5.3E-3</v>
      </c>
      <c r="AN19" s="228">
        <v>796.63</v>
      </c>
      <c r="AO19" s="228">
        <v>801.08</v>
      </c>
      <c r="AP19" s="228">
        <v>0</v>
      </c>
      <c r="AQ19" s="230">
        <v>123507</v>
      </c>
      <c r="AR19" s="230">
        <v>60198</v>
      </c>
      <c r="AS19" s="230">
        <v>63309</v>
      </c>
      <c r="AT19" s="229">
        <v>1.0517000000000001</v>
      </c>
      <c r="AU19" s="230">
        <v>84753</v>
      </c>
      <c r="AV19" s="230">
        <v>47930</v>
      </c>
      <c r="AW19" s="230">
        <v>36823</v>
      </c>
      <c r="AX19" s="229">
        <v>0.76829999999999998</v>
      </c>
      <c r="AY19" s="230">
        <v>17034</v>
      </c>
      <c r="AZ19" s="230">
        <v>10013</v>
      </c>
      <c r="BA19" s="230">
        <v>7021</v>
      </c>
      <c r="BB19" s="229">
        <v>0.70120000000000005</v>
      </c>
      <c r="BC19" s="230">
        <v>21720</v>
      </c>
      <c r="BD19" s="230">
        <v>2255</v>
      </c>
      <c r="BE19" s="230">
        <v>19465</v>
      </c>
      <c r="BF19" s="229">
        <v>8.6318999999999999</v>
      </c>
      <c r="BG19" s="230">
        <v>422238</v>
      </c>
      <c r="BH19" s="230">
        <v>192383</v>
      </c>
      <c r="BI19" s="230">
        <v>229855</v>
      </c>
      <c r="BJ19" s="229">
        <v>1.1948000000000001</v>
      </c>
      <c r="BK19" s="230">
        <v>196240</v>
      </c>
      <c r="BL19" s="230">
        <v>105347</v>
      </c>
      <c r="BM19" s="230">
        <v>90893</v>
      </c>
      <c r="BN19" s="229">
        <v>0.86280000000000001</v>
      </c>
      <c r="BO19" s="230">
        <v>741985</v>
      </c>
      <c r="BP19" s="230">
        <v>357928</v>
      </c>
      <c r="BQ19" s="230">
        <v>384057</v>
      </c>
      <c r="BR19" s="229">
        <v>1.073</v>
      </c>
      <c r="BS19" s="230">
        <v>54063314</v>
      </c>
      <c r="BT19" s="230">
        <v>38872616</v>
      </c>
      <c r="BU19" s="230">
        <v>15190698</v>
      </c>
      <c r="BV19" s="229">
        <v>0.39079999999999998</v>
      </c>
      <c r="BW19" s="230">
        <v>328107450</v>
      </c>
      <c r="BX19" s="230">
        <v>330540100</v>
      </c>
      <c r="BY19" s="230">
        <v>-2432650</v>
      </c>
      <c r="BZ19" s="229">
        <v>-7.4000000000000003E-3</v>
      </c>
      <c r="CA19" s="230">
        <v>269287700</v>
      </c>
      <c r="CB19" s="230">
        <v>288009150</v>
      </c>
      <c r="CC19" s="230">
        <v>-18721450</v>
      </c>
      <c r="CD19" s="229">
        <v>-6.5000000000000002E-2</v>
      </c>
      <c r="CE19" s="230">
        <v>29218750</v>
      </c>
      <c r="CF19" s="230">
        <v>24295700</v>
      </c>
      <c r="CG19" s="230">
        <v>4923050</v>
      </c>
      <c r="CH19" s="229">
        <v>0.2026</v>
      </c>
      <c r="CI19" s="230">
        <v>29601000</v>
      </c>
      <c r="CJ19" s="230">
        <v>18235250</v>
      </c>
      <c r="CK19" s="230">
        <v>11365750</v>
      </c>
      <c r="CL19" s="229">
        <v>0.62329999999999997</v>
      </c>
      <c r="CM19" s="230">
        <v>104784350</v>
      </c>
      <c r="CN19" s="230">
        <v>97987450</v>
      </c>
      <c r="CO19" s="230">
        <v>6796900</v>
      </c>
      <c r="CP19" s="229">
        <v>6.9400000000000003E-2</v>
      </c>
      <c r="CQ19" s="230">
        <v>55524150</v>
      </c>
      <c r="CR19" s="230">
        <v>55635250</v>
      </c>
      <c r="CS19" s="230">
        <v>-111100</v>
      </c>
      <c r="CT19" s="229">
        <v>-2E-3</v>
      </c>
      <c r="CU19" s="230">
        <v>488415950</v>
      </c>
      <c r="CV19" s="230">
        <v>484162800</v>
      </c>
      <c r="CW19" s="230">
        <v>4253150</v>
      </c>
      <c r="CX19" s="229">
        <v>8.8000000000000005E-3</v>
      </c>
      <c r="CY19" s="228">
        <v>30.48</v>
      </c>
      <c r="CZ19" s="228">
        <v>34.020000000000003</v>
      </c>
      <c r="DA19" s="228">
        <v>-3.54</v>
      </c>
      <c r="DB19" s="228">
        <v>-3.54</v>
      </c>
      <c r="DC19" s="228">
        <v>25.3</v>
      </c>
      <c r="DD19" s="228">
        <v>25.35</v>
      </c>
      <c r="DE19" s="228">
        <v>5.18</v>
      </c>
      <c r="DF19" s="228">
        <v>-0.05</v>
      </c>
      <c r="DG19" s="228">
        <v>30.6</v>
      </c>
      <c r="DH19" s="228">
        <v>34.22</v>
      </c>
      <c r="DI19" s="228">
        <v>-3.62</v>
      </c>
      <c r="DJ19" s="228">
        <v>-3.62</v>
      </c>
      <c r="DK19" s="228">
        <v>30.22</v>
      </c>
      <c r="DL19" s="228">
        <v>33.64</v>
      </c>
      <c r="DM19" s="228">
        <v>-3.42</v>
      </c>
      <c r="DN19" s="228">
        <v>-3.42</v>
      </c>
      <c r="DO19" s="228">
        <v>0.53</v>
      </c>
      <c r="DP19" s="228">
        <v>0.56999999999999995</v>
      </c>
      <c r="DQ19" s="228">
        <v>-0.04</v>
      </c>
      <c r="DR19" s="229">
        <v>-7.0199999999999999E-2</v>
      </c>
      <c r="DS19" s="228">
        <v>800</v>
      </c>
      <c r="DT19" s="228">
        <v>800</v>
      </c>
      <c r="DU19" s="228">
        <v>0.46</v>
      </c>
      <c r="DV19" s="228">
        <v>0.55000000000000004</v>
      </c>
      <c r="DW19" s="228">
        <v>-0.09</v>
      </c>
      <c r="DX19" s="229">
        <v>-0.1636</v>
      </c>
      <c r="DY19" s="229">
        <v>0.17929999999999999</v>
      </c>
      <c r="DZ19" s="230">
        <v>42530950</v>
      </c>
      <c r="EA19" s="229">
        <v>6.0000000000000001E-3</v>
      </c>
      <c r="EB19" s="229">
        <v>0.17929999999999999</v>
      </c>
      <c r="EC19" s="228">
        <v>4.45</v>
      </c>
      <c r="ED19" s="229">
        <v>5.5999999999999999E-3</v>
      </c>
      <c r="EE19" s="230">
        <v>28509334</v>
      </c>
      <c r="EF19" s="230">
        <v>24425141</v>
      </c>
      <c r="EG19" s="229">
        <v>0.16719999999999999</v>
      </c>
      <c r="EH19" s="229">
        <v>0.52729999999999999</v>
      </c>
      <c r="EI19" s="231">
        <v>1936851.49</v>
      </c>
      <c r="EJ19" s="231">
        <v>847227.68</v>
      </c>
      <c r="EK19" s="231">
        <v>541187.49</v>
      </c>
      <c r="EL19" s="231">
        <v>61080</v>
      </c>
      <c r="EM19" s="231">
        <v>3325266.66</v>
      </c>
      <c r="EN19" s="231">
        <v>1610884.02</v>
      </c>
      <c r="EO19" s="231">
        <v>1714382.64</v>
      </c>
      <c r="EP19" s="229">
        <v>1.0642</v>
      </c>
      <c r="EQ19" s="231">
        <v>878149</v>
      </c>
      <c r="ER19" s="231">
        <v>430777</v>
      </c>
      <c r="ES19" s="231">
        <v>2608448</v>
      </c>
      <c r="ET19" s="231">
        <v>1496665645</v>
      </c>
      <c r="EU19" s="231">
        <v>3917374</v>
      </c>
      <c r="EV19" s="231">
        <v>3901030</v>
      </c>
      <c r="EW19" s="231">
        <v>16344</v>
      </c>
      <c r="EX19" s="229">
        <v>4.1999999999999997E-3</v>
      </c>
      <c r="EY19" s="229">
        <v>0.32629999999999998</v>
      </c>
    </row>
    <row r="20" spans="1:155" ht="17.25" thickBot="1" x14ac:dyDescent="0.3">
      <c r="A20" s="226">
        <v>46132</v>
      </c>
      <c r="B20" s="227" t="s">
        <v>175</v>
      </c>
      <c r="C20" s="227" t="s">
        <v>225</v>
      </c>
      <c r="D20" s="228">
        <v>611</v>
      </c>
      <c r="E20" s="228">
        <v>616.29999999999995</v>
      </c>
      <c r="F20" s="228">
        <v>-5.3</v>
      </c>
      <c r="G20" s="229">
        <v>-8.6E-3</v>
      </c>
      <c r="H20" s="228">
        <v>609.75</v>
      </c>
      <c r="I20" s="228">
        <v>616.45000000000005</v>
      </c>
      <c r="J20" s="228">
        <v>-6.7</v>
      </c>
      <c r="K20" s="229">
        <v>-1.09E-2</v>
      </c>
      <c r="L20" s="228">
        <v>611</v>
      </c>
      <c r="M20" s="228">
        <v>616.29999999999995</v>
      </c>
      <c r="N20" s="228">
        <v>-5.3</v>
      </c>
      <c r="O20" s="229">
        <v>-8.6E-3</v>
      </c>
      <c r="P20" s="228">
        <v>613.85</v>
      </c>
      <c r="Q20" s="228">
        <v>619.6</v>
      </c>
      <c r="R20" s="228">
        <v>-5.75</v>
      </c>
      <c r="S20" s="229">
        <v>-9.2999999999999992E-3</v>
      </c>
      <c r="T20" s="228">
        <v>615.65</v>
      </c>
      <c r="U20" s="228">
        <v>621.1</v>
      </c>
      <c r="V20" s="228">
        <v>-5.45</v>
      </c>
      <c r="W20" s="229">
        <v>-8.8000000000000005E-3</v>
      </c>
      <c r="X20" s="228">
        <v>1.25</v>
      </c>
      <c r="Y20" s="228">
        <v>-0.15</v>
      </c>
      <c r="Z20" s="228">
        <v>1.4</v>
      </c>
      <c r="AA20" s="229">
        <v>2.0999999999999999E-3</v>
      </c>
      <c r="AB20" s="228">
        <v>1.25</v>
      </c>
      <c r="AC20" s="228">
        <v>-0.15</v>
      </c>
      <c r="AD20" s="228">
        <v>1.4</v>
      </c>
      <c r="AE20" s="229">
        <v>2.0999999999999999E-3</v>
      </c>
      <c r="AF20" s="228">
        <v>4.0999999999999996</v>
      </c>
      <c r="AG20" s="228">
        <v>3.15</v>
      </c>
      <c r="AH20" s="228">
        <v>0.95</v>
      </c>
      <c r="AI20" s="229">
        <v>6.7000000000000002E-3</v>
      </c>
      <c r="AJ20" s="228">
        <v>5.9</v>
      </c>
      <c r="AK20" s="228">
        <v>4.6500000000000004</v>
      </c>
      <c r="AL20" s="228">
        <v>1.25</v>
      </c>
      <c r="AM20" s="229">
        <v>9.7000000000000003E-3</v>
      </c>
      <c r="AN20" s="228">
        <v>611.51</v>
      </c>
      <c r="AO20" s="228">
        <v>614.54999999999995</v>
      </c>
      <c r="AP20" s="228">
        <v>0</v>
      </c>
      <c r="AQ20" s="230">
        <v>4838</v>
      </c>
      <c r="AR20" s="230">
        <v>10819</v>
      </c>
      <c r="AS20" s="230">
        <v>-5981</v>
      </c>
      <c r="AT20" s="229">
        <v>-0.55279999999999996</v>
      </c>
      <c r="AU20" s="230">
        <v>3329</v>
      </c>
      <c r="AV20" s="230">
        <v>9415</v>
      </c>
      <c r="AW20" s="230">
        <v>-6086</v>
      </c>
      <c r="AX20" s="229">
        <v>-0.64639999999999997</v>
      </c>
      <c r="AY20" s="230">
        <v>1355</v>
      </c>
      <c r="AZ20" s="230">
        <v>1216</v>
      </c>
      <c r="BA20" s="228">
        <v>139</v>
      </c>
      <c r="BB20" s="229">
        <v>0.1143</v>
      </c>
      <c r="BC20" s="228">
        <v>154</v>
      </c>
      <c r="BD20" s="228">
        <v>188</v>
      </c>
      <c r="BE20" s="228">
        <v>-34</v>
      </c>
      <c r="BF20" s="229">
        <v>-0.18090000000000001</v>
      </c>
      <c r="BG20" s="230">
        <v>21142</v>
      </c>
      <c r="BH20" s="230">
        <v>54236</v>
      </c>
      <c r="BI20" s="230">
        <v>-33094</v>
      </c>
      <c r="BJ20" s="229">
        <v>-0.61019999999999996</v>
      </c>
      <c r="BK20" s="230">
        <v>11975</v>
      </c>
      <c r="BL20" s="230">
        <v>37570</v>
      </c>
      <c r="BM20" s="230">
        <v>-25595</v>
      </c>
      <c r="BN20" s="229">
        <v>-0.68130000000000002</v>
      </c>
      <c r="BO20" s="230">
        <v>37955</v>
      </c>
      <c r="BP20" s="230">
        <v>102625</v>
      </c>
      <c r="BQ20" s="230">
        <v>-64670</v>
      </c>
      <c r="BR20" s="229">
        <v>-0.63019999999999998</v>
      </c>
      <c r="BS20" s="230">
        <v>5401184</v>
      </c>
      <c r="BT20" s="230">
        <v>9166222</v>
      </c>
      <c r="BU20" s="230">
        <v>-3765038</v>
      </c>
      <c r="BV20" s="229">
        <v>-0.4108</v>
      </c>
      <c r="BW20" s="230">
        <v>44033000</v>
      </c>
      <c r="BX20" s="230">
        <v>43734900</v>
      </c>
      <c r="BY20" s="230">
        <v>298100</v>
      </c>
      <c r="BZ20" s="229">
        <v>6.7999999999999996E-3</v>
      </c>
      <c r="CA20" s="230">
        <v>40395300</v>
      </c>
      <c r="CB20" s="230">
        <v>41059700</v>
      </c>
      <c r="CC20" s="230">
        <v>-664400</v>
      </c>
      <c r="CD20" s="229">
        <v>-1.6199999999999999E-2</v>
      </c>
      <c r="CE20" s="230">
        <v>3258200</v>
      </c>
      <c r="CF20" s="230">
        <v>2384800</v>
      </c>
      <c r="CG20" s="230">
        <v>873400</v>
      </c>
      <c r="CH20" s="229">
        <v>0.36620000000000003</v>
      </c>
      <c r="CI20" s="230">
        <v>379500</v>
      </c>
      <c r="CJ20" s="230">
        <v>290400</v>
      </c>
      <c r="CK20" s="230">
        <v>89100</v>
      </c>
      <c r="CL20" s="229">
        <v>0.30680000000000002</v>
      </c>
      <c r="CM20" s="230">
        <v>19003600</v>
      </c>
      <c r="CN20" s="230">
        <v>19886900</v>
      </c>
      <c r="CO20" s="230">
        <v>-883300</v>
      </c>
      <c r="CP20" s="229">
        <v>-4.4400000000000002E-2</v>
      </c>
      <c r="CQ20" s="230">
        <v>12281500</v>
      </c>
      <c r="CR20" s="230">
        <v>13211000</v>
      </c>
      <c r="CS20" s="230">
        <v>-929500</v>
      </c>
      <c r="CT20" s="229">
        <v>-7.0400000000000004E-2</v>
      </c>
      <c r="CU20" s="230">
        <v>75318100</v>
      </c>
      <c r="CV20" s="230">
        <v>76832800</v>
      </c>
      <c r="CW20" s="230">
        <v>-1514700</v>
      </c>
      <c r="CX20" s="229">
        <v>-1.9699999999999999E-2</v>
      </c>
      <c r="CY20" s="228">
        <v>29.85</v>
      </c>
      <c r="CZ20" s="228">
        <v>27.44</v>
      </c>
      <c r="DA20" s="228">
        <v>2.41</v>
      </c>
      <c r="DB20" s="228">
        <v>2.41</v>
      </c>
      <c r="DC20" s="228">
        <v>27.75</v>
      </c>
      <c r="DD20" s="228">
        <v>27.78</v>
      </c>
      <c r="DE20" s="228">
        <v>2.1</v>
      </c>
      <c r="DF20" s="228">
        <v>-0.03</v>
      </c>
      <c r="DG20" s="228">
        <v>30.12</v>
      </c>
      <c r="DH20" s="228">
        <v>27.56</v>
      </c>
      <c r="DI20" s="228">
        <v>2.56</v>
      </c>
      <c r="DJ20" s="228">
        <v>2.56</v>
      </c>
      <c r="DK20" s="228">
        <v>29.38</v>
      </c>
      <c r="DL20" s="228">
        <v>27.27</v>
      </c>
      <c r="DM20" s="228">
        <v>2.11</v>
      </c>
      <c r="DN20" s="228">
        <v>2.11</v>
      </c>
      <c r="DO20" s="228">
        <v>0.65</v>
      </c>
      <c r="DP20" s="228">
        <v>0.66</v>
      </c>
      <c r="DQ20" s="228">
        <v>-0.01</v>
      </c>
      <c r="DR20" s="229">
        <v>-1.52E-2</v>
      </c>
      <c r="DS20" s="228">
        <v>600</v>
      </c>
      <c r="DT20" s="228">
        <v>600</v>
      </c>
      <c r="DU20" s="228">
        <v>0.56999999999999995</v>
      </c>
      <c r="DV20" s="228">
        <v>0.69</v>
      </c>
      <c r="DW20" s="228">
        <v>-0.12</v>
      </c>
      <c r="DX20" s="229">
        <v>-0.1739</v>
      </c>
      <c r="DY20" s="229">
        <v>8.2600000000000007E-2</v>
      </c>
      <c r="DZ20" s="230">
        <v>2675200</v>
      </c>
      <c r="EA20" s="229">
        <v>4.7000000000000002E-3</v>
      </c>
      <c r="EB20" s="229">
        <v>8.2600000000000007E-2</v>
      </c>
      <c r="EC20" s="228">
        <v>3.04</v>
      </c>
      <c r="ED20" s="229">
        <v>5.0000000000000001E-3</v>
      </c>
      <c r="EE20" s="230">
        <v>3550988</v>
      </c>
      <c r="EF20" s="230">
        <v>4018782</v>
      </c>
      <c r="EG20" s="229">
        <v>-0.1164</v>
      </c>
      <c r="EH20" s="229">
        <v>0.65739999999999998</v>
      </c>
      <c r="EI20" s="231">
        <v>149198.69</v>
      </c>
      <c r="EJ20" s="231">
        <v>80255.77</v>
      </c>
      <c r="EK20" s="231">
        <v>32596.73</v>
      </c>
      <c r="EL20" s="231">
        <v>7456</v>
      </c>
      <c r="EM20" s="231">
        <v>262051.19</v>
      </c>
      <c r="EN20" s="231">
        <v>710970.28</v>
      </c>
      <c r="EO20" s="231">
        <v>-448919.09</v>
      </c>
      <c r="EP20" s="229">
        <v>-0.63139999999999996</v>
      </c>
      <c r="EQ20" s="231">
        <v>121587</v>
      </c>
      <c r="ER20" s="231">
        <v>72535</v>
      </c>
      <c r="ES20" s="231">
        <v>269152</v>
      </c>
      <c r="ET20" s="231">
        <v>156090005</v>
      </c>
      <c r="EU20" s="231">
        <v>463274</v>
      </c>
      <c r="EV20" s="231">
        <v>475357</v>
      </c>
      <c r="EW20" s="231">
        <v>-12083</v>
      </c>
      <c r="EX20" s="229">
        <v>-2.5399999999999999E-2</v>
      </c>
      <c r="EY20" s="229">
        <v>0.48249999999999998</v>
      </c>
    </row>
    <row r="21" spans="1:155" ht="17.25" thickBot="1" x14ac:dyDescent="0.3">
      <c r="A21" s="226">
        <v>46132</v>
      </c>
      <c r="B21" s="227" t="s">
        <v>227</v>
      </c>
      <c r="C21" s="227" t="s">
        <v>228</v>
      </c>
      <c r="D21" s="231">
        <v>1015.8</v>
      </c>
      <c r="E21" s="231">
        <v>1040.95</v>
      </c>
      <c r="F21" s="228">
        <v>-25.15</v>
      </c>
      <c r="G21" s="229">
        <v>-2.4199999999999999E-2</v>
      </c>
      <c r="H21" s="231">
        <v>1015.25</v>
      </c>
      <c r="I21" s="231">
        <v>1039</v>
      </c>
      <c r="J21" s="228">
        <v>-23.75</v>
      </c>
      <c r="K21" s="229">
        <v>-2.29E-2</v>
      </c>
      <c r="L21" s="231">
        <v>1015.8</v>
      </c>
      <c r="M21" s="231">
        <v>1040.95</v>
      </c>
      <c r="N21" s="228">
        <v>-25.15</v>
      </c>
      <c r="O21" s="229">
        <v>-2.4199999999999999E-2</v>
      </c>
      <c r="P21" s="231">
        <v>1021.55</v>
      </c>
      <c r="Q21" s="231">
        <v>1046.95</v>
      </c>
      <c r="R21" s="228">
        <v>-25.4</v>
      </c>
      <c r="S21" s="229">
        <v>-2.4299999999999999E-2</v>
      </c>
      <c r="T21" s="231">
        <v>1028.55</v>
      </c>
      <c r="U21" s="231">
        <v>1052.7</v>
      </c>
      <c r="V21" s="228">
        <v>-24.15</v>
      </c>
      <c r="W21" s="229">
        <v>-2.29E-2</v>
      </c>
      <c r="X21" s="228">
        <v>0.55000000000000004</v>
      </c>
      <c r="Y21" s="228">
        <v>1.95</v>
      </c>
      <c r="Z21" s="228">
        <v>-1.4</v>
      </c>
      <c r="AA21" s="229">
        <v>5.0000000000000001E-4</v>
      </c>
      <c r="AB21" s="228">
        <v>0.55000000000000004</v>
      </c>
      <c r="AC21" s="228">
        <v>1.95</v>
      </c>
      <c r="AD21" s="228">
        <v>-1.4</v>
      </c>
      <c r="AE21" s="229">
        <v>5.0000000000000001E-4</v>
      </c>
      <c r="AF21" s="228">
        <v>6.3</v>
      </c>
      <c r="AG21" s="228">
        <v>7.95</v>
      </c>
      <c r="AH21" s="228">
        <v>-1.65</v>
      </c>
      <c r="AI21" s="229">
        <v>6.1999999999999998E-3</v>
      </c>
      <c r="AJ21" s="228">
        <v>13.3</v>
      </c>
      <c r="AK21" s="228">
        <v>13.7</v>
      </c>
      <c r="AL21" s="228">
        <v>-0.4</v>
      </c>
      <c r="AM21" s="229">
        <v>1.3100000000000001E-2</v>
      </c>
      <c r="AN21" s="231">
        <v>1019.2</v>
      </c>
      <c r="AO21" s="231">
        <v>1024.9100000000001</v>
      </c>
      <c r="AP21" s="228">
        <v>0</v>
      </c>
      <c r="AQ21" s="230">
        <v>9212</v>
      </c>
      <c r="AR21" s="230">
        <v>6417</v>
      </c>
      <c r="AS21" s="230">
        <v>2795</v>
      </c>
      <c r="AT21" s="229">
        <v>0.43559999999999999</v>
      </c>
      <c r="AU21" s="230">
        <v>7557</v>
      </c>
      <c r="AV21" s="230">
        <v>5583</v>
      </c>
      <c r="AW21" s="230">
        <v>1974</v>
      </c>
      <c r="AX21" s="229">
        <v>0.35360000000000003</v>
      </c>
      <c r="AY21" s="230">
        <v>1461</v>
      </c>
      <c r="AZ21" s="228">
        <v>775</v>
      </c>
      <c r="BA21" s="228">
        <v>686</v>
      </c>
      <c r="BB21" s="229">
        <v>0.88519999999999999</v>
      </c>
      <c r="BC21" s="228">
        <v>194</v>
      </c>
      <c r="BD21" s="228">
        <v>59</v>
      </c>
      <c r="BE21" s="228">
        <v>135</v>
      </c>
      <c r="BF21" s="229">
        <v>2.2881</v>
      </c>
      <c r="BG21" s="230">
        <v>30204</v>
      </c>
      <c r="BH21" s="230">
        <v>29522</v>
      </c>
      <c r="BI21" s="228">
        <v>682</v>
      </c>
      <c r="BJ21" s="229">
        <v>2.3099999999999999E-2</v>
      </c>
      <c r="BK21" s="230">
        <v>22465</v>
      </c>
      <c r="BL21" s="230">
        <v>23160</v>
      </c>
      <c r="BM21" s="228">
        <v>-695</v>
      </c>
      <c r="BN21" s="229">
        <v>-0.03</v>
      </c>
      <c r="BO21" s="230">
        <v>61881</v>
      </c>
      <c r="BP21" s="230">
        <v>59099</v>
      </c>
      <c r="BQ21" s="230">
        <v>2782</v>
      </c>
      <c r="BR21" s="229">
        <v>4.7100000000000003E-2</v>
      </c>
      <c r="BS21" s="230">
        <v>4386376</v>
      </c>
      <c r="BT21" s="230">
        <v>4421270</v>
      </c>
      <c r="BU21" s="230">
        <v>-34894</v>
      </c>
      <c r="BV21" s="229">
        <v>-7.9000000000000008E-3</v>
      </c>
      <c r="BW21" s="230">
        <v>36621900</v>
      </c>
      <c r="BX21" s="230">
        <v>36741600</v>
      </c>
      <c r="BY21" s="230">
        <v>-119700</v>
      </c>
      <c r="BZ21" s="229">
        <v>-3.3E-3</v>
      </c>
      <c r="CA21" s="230">
        <v>31355800</v>
      </c>
      <c r="CB21" s="230">
        <v>32025000</v>
      </c>
      <c r="CC21" s="230">
        <v>-669200</v>
      </c>
      <c r="CD21" s="229">
        <v>-2.0899999999999998E-2</v>
      </c>
      <c r="CE21" s="230">
        <v>3504200</v>
      </c>
      <c r="CF21" s="230">
        <v>3024000</v>
      </c>
      <c r="CG21" s="230">
        <v>480200</v>
      </c>
      <c r="CH21" s="229">
        <v>0.1588</v>
      </c>
      <c r="CI21" s="230">
        <v>1761900</v>
      </c>
      <c r="CJ21" s="230">
        <v>1692600</v>
      </c>
      <c r="CK21" s="230">
        <v>69300</v>
      </c>
      <c r="CL21" s="229">
        <v>4.0899999999999999E-2</v>
      </c>
      <c r="CM21" s="230">
        <v>15787800</v>
      </c>
      <c r="CN21" s="230">
        <v>15120000</v>
      </c>
      <c r="CO21" s="230">
        <v>667800</v>
      </c>
      <c r="CP21" s="229">
        <v>4.4200000000000003E-2</v>
      </c>
      <c r="CQ21" s="230">
        <v>10868900</v>
      </c>
      <c r="CR21" s="230">
        <v>11953900</v>
      </c>
      <c r="CS21" s="230">
        <v>-1085000</v>
      </c>
      <c r="CT21" s="229">
        <v>-9.0800000000000006E-2</v>
      </c>
      <c r="CU21" s="230">
        <v>63278600</v>
      </c>
      <c r="CV21" s="230">
        <v>63815500</v>
      </c>
      <c r="CW21" s="230">
        <v>-536900</v>
      </c>
      <c r="CX21" s="229">
        <v>-8.3999999999999995E-3</v>
      </c>
      <c r="CY21" s="228">
        <v>36.31</v>
      </c>
      <c r="CZ21" s="228">
        <v>33.67</v>
      </c>
      <c r="DA21" s="228">
        <v>2.64</v>
      </c>
      <c r="DB21" s="228">
        <v>2.64</v>
      </c>
      <c r="DC21" s="228">
        <v>36.619999999999997</v>
      </c>
      <c r="DD21" s="228">
        <v>36.58</v>
      </c>
      <c r="DE21" s="228">
        <v>-0.31</v>
      </c>
      <c r="DF21" s="228">
        <v>0.04</v>
      </c>
      <c r="DG21" s="228">
        <v>36.4</v>
      </c>
      <c r="DH21" s="228">
        <v>32.450000000000003</v>
      </c>
      <c r="DI21" s="228">
        <v>3.95</v>
      </c>
      <c r="DJ21" s="228">
        <v>3.95</v>
      </c>
      <c r="DK21" s="228">
        <v>36.18</v>
      </c>
      <c r="DL21" s="228">
        <v>35.229999999999997</v>
      </c>
      <c r="DM21" s="228">
        <v>0.95</v>
      </c>
      <c r="DN21" s="228">
        <v>0.95</v>
      </c>
      <c r="DO21" s="228">
        <v>0.69</v>
      </c>
      <c r="DP21" s="228">
        <v>0.79</v>
      </c>
      <c r="DQ21" s="228">
        <v>-0.1</v>
      </c>
      <c r="DR21" s="229">
        <v>-0.12659999999999999</v>
      </c>
      <c r="DS21" s="228">
        <v>900</v>
      </c>
      <c r="DT21" s="228">
        <v>900</v>
      </c>
      <c r="DU21" s="228">
        <v>0.74</v>
      </c>
      <c r="DV21" s="228">
        <v>0.78</v>
      </c>
      <c r="DW21" s="228">
        <v>-0.04</v>
      </c>
      <c r="DX21" s="229">
        <v>-5.1299999999999998E-2</v>
      </c>
      <c r="DY21" s="229">
        <v>0.14380000000000001</v>
      </c>
      <c r="DZ21" s="230">
        <v>4716600</v>
      </c>
      <c r="EA21" s="229">
        <v>5.7000000000000002E-3</v>
      </c>
      <c r="EB21" s="229">
        <v>0.14380000000000001</v>
      </c>
      <c r="EC21" s="228">
        <v>5.71</v>
      </c>
      <c r="ED21" s="229">
        <v>5.5999999999999999E-3</v>
      </c>
      <c r="EE21" s="230">
        <v>2186566</v>
      </c>
      <c r="EF21" s="230">
        <v>2131443</v>
      </c>
      <c r="EG21" s="229">
        <v>2.5899999999999999E-2</v>
      </c>
      <c r="EH21" s="229">
        <v>0.4985</v>
      </c>
      <c r="EI21" s="231">
        <v>224575.73</v>
      </c>
      <c r="EJ21" s="231">
        <v>159636.89000000001</v>
      </c>
      <c r="EK21" s="231">
        <v>65795.990000000005</v>
      </c>
      <c r="EL21" s="231">
        <v>12380</v>
      </c>
      <c r="EM21" s="231">
        <v>450008.61</v>
      </c>
      <c r="EN21" s="231">
        <v>434027.78</v>
      </c>
      <c r="EO21" s="231">
        <v>15980.83</v>
      </c>
      <c r="EP21" s="229">
        <v>3.6799999999999999E-2</v>
      </c>
      <c r="EQ21" s="231">
        <v>158388</v>
      </c>
      <c r="ER21" s="231">
        <v>102082</v>
      </c>
      <c r="ES21" s="231">
        <v>372431</v>
      </c>
      <c r="ET21" s="231">
        <v>218611634</v>
      </c>
      <c r="EU21" s="231">
        <v>632902</v>
      </c>
      <c r="EV21" s="231">
        <v>647122</v>
      </c>
      <c r="EW21" s="231">
        <v>-14220</v>
      </c>
      <c r="EX21" s="229">
        <v>-2.1999999999999999E-2</v>
      </c>
      <c r="EY21" s="229">
        <v>0.28949999999999998</v>
      </c>
    </row>
    <row r="22" spans="1:155" ht="17.25" thickBot="1" x14ac:dyDescent="0.3">
      <c r="A22" s="226">
        <v>46132</v>
      </c>
      <c r="B22" s="227" t="s">
        <v>168</v>
      </c>
      <c r="C22" s="227" t="s">
        <v>230</v>
      </c>
      <c r="D22" s="231">
        <v>2235.1999999999998</v>
      </c>
      <c r="E22" s="231">
        <v>2240.6999999999998</v>
      </c>
      <c r="F22" s="228">
        <v>-5.5</v>
      </c>
      <c r="G22" s="229">
        <v>-2.5000000000000001E-3</v>
      </c>
      <c r="H22" s="231">
        <v>2231.5</v>
      </c>
      <c r="I22" s="231">
        <v>2240.8000000000002</v>
      </c>
      <c r="J22" s="228">
        <v>-9.3000000000000007</v>
      </c>
      <c r="K22" s="229">
        <v>-4.1999999999999997E-3</v>
      </c>
      <c r="L22" s="231">
        <v>2235.1999999999998</v>
      </c>
      <c r="M22" s="231">
        <v>2240.6999999999998</v>
      </c>
      <c r="N22" s="228">
        <v>-5.5</v>
      </c>
      <c r="O22" s="229">
        <v>-2.5000000000000001E-3</v>
      </c>
      <c r="P22" s="231">
        <v>2245.4</v>
      </c>
      <c r="Q22" s="231">
        <v>2251.4</v>
      </c>
      <c r="R22" s="228">
        <v>-6</v>
      </c>
      <c r="S22" s="229">
        <v>-2.7000000000000001E-3</v>
      </c>
      <c r="T22" s="231">
        <v>2237.5</v>
      </c>
      <c r="U22" s="231">
        <v>2237.8000000000002</v>
      </c>
      <c r="V22" s="228">
        <v>-0.3</v>
      </c>
      <c r="W22" s="229">
        <v>-1E-4</v>
      </c>
      <c r="X22" s="228">
        <v>3.7</v>
      </c>
      <c r="Y22" s="228">
        <v>-0.1</v>
      </c>
      <c r="Z22" s="228">
        <v>3.8</v>
      </c>
      <c r="AA22" s="229">
        <v>1.6999999999999999E-3</v>
      </c>
      <c r="AB22" s="228">
        <v>3.7</v>
      </c>
      <c r="AC22" s="228">
        <v>-0.1</v>
      </c>
      <c r="AD22" s="228">
        <v>3.8</v>
      </c>
      <c r="AE22" s="229">
        <v>1.6999999999999999E-3</v>
      </c>
      <c r="AF22" s="228">
        <v>13.9</v>
      </c>
      <c r="AG22" s="228">
        <v>10.6</v>
      </c>
      <c r="AH22" s="228">
        <v>3.3</v>
      </c>
      <c r="AI22" s="229">
        <v>6.1999999999999998E-3</v>
      </c>
      <c r="AJ22" s="228">
        <v>6</v>
      </c>
      <c r="AK22" s="228">
        <v>-3</v>
      </c>
      <c r="AL22" s="228">
        <v>9</v>
      </c>
      <c r="AM22" s="229">
        <v>2.7000000000000001E-3</v>
      </c>
      <c r="AN22" s="231">
        <v>2240.6</v>
      </c>
      <c r="AO22" s="231">
        <v>2251.3200000000002</v>
      </c>
      <c r="AP22" s="228">
        <v>0</v>
      </c>
      <c r="AQ22" s="230">
        <v>4534</v>
      </c>
      <c r="AR22" s="230">
        <v>16288</v>
      </c>
      <c r="AS22" s="230">
        <v>-11754</v>
      </c>
      <c r="AT22" s="229">
        <v>-0.72160000000000002</v>
      </c>
      <c r="AU22" s="230">
        <v>3592</v>
      </c>
      <c r="AV22" s="230">
        <v>14466</v>
      </c>
      <c r="AW22" s="230">
        <v>-10874</v>
      </c>
      <c r="AX22" s="229">
        <v>-0.75170000000000003</v>
      </c>
      <c r="AY22" s="228">
        <v>845</v>
      </c>
      <c r="AZ22" s="230">
        <v>1496</v>
      </c>
      <c r="BA22" s="228">
        <v>-651</v>
      </c>
      <c r="BB22" s="229">
        <v>-0.43519999999999998</v>
      </c>
      <c r="BC22" s="228">
        <v>97</v>
      </c>
      <c r="BD22" s="228">
        <v>326</v>
      </c>
      <c r="BE22" s="228">
        <v>-229</v>
      </c>
      <c r="BF22" s="229">
        <v>-0.70250000000000001</v>
      </c>
      <c r="BG22" s="230">
        <v>26813</v>
      </c>
      <c r="BH22" s="230">
        <v>128936</v>
      </c>
      <c r="BI22" s="230">
        <v>-102123</v>
      </c>
      <c r="BJ22" s="229">
        <v>-0.79200000000000004</v>
      </c>
      <c r="BK22" s="230">
        <v>17538</v>
      </c>
      <c r="BL22" s="230">
        <v>54428</v>
      </c>
      <c r="BM22" s="230">
        <v>-36890</v>
      </c>
      <c r="BN22" s="229">
        <v>-0.67779999999999996</v>
      </c>
      <c r="BO22" s="230">
        <v>48885</v>
      </c>
      <c r="BP22" s="230">
        <v>199652</v>
      </c>
      <c r="BQ22" s="230">
        <v>-150767</v>
      </c>
      <c r="BR22" s="229">
        <v>-0.75509999999999999</v>
      </c>
      <c r="BS22" s="230">
        <v>1564228</v>
      </c>
      <c r="BT22" s="230">
        <v>5144290</v>
      </c>
      <c r="BU22" s="230">
        <v>-3580062</v>
      </c>
      <c r="BV22" s="229">
        <v>-0.69589999999999996</v>
      </c>
      <c r="BW22" s="230">
        <v>18036900</v>
      </c>
      <c r="BX22" s="230">
        <v>17974800</v>
      </c>
      <c r="BY22" s="230">
        <v>62100</v>
      </c>
      <c r="BZ22" s="229">
        <v>3.5000000000000001E-3</v>
      </c>
      <c r="CA22" s="230">
        <v>16918200</v>
      </c>
      <c r="CB22" s="230">
        <v>16951500</v>
      </c>
      <c r="CC22" s="230">
        <v>-33300</v>
      </c>
      <c r="CD22" s="229">
        <v>-2E-3</v>
      </c>
      <c r="CE22" s="230">
        <v>932100</v>
      </c>
      <c r="CF22" s="230">
        <v>843000</v>
      </c>
      <c r="CG22" s="230">
        <v>89100</v>
      </c>
      <c r="CH22" s="229">
        <v>0.1057</v>
      </c>
      <c r="CI22" s="230">
        <v>186600</v>
      </c>
      <c r="CJ22" s="230">
        <v>180300</v>
      </c>
      <c r="CK22" s="230">
        <v>6300</v>
      </c>
      <c r="CL22" s="229">
        <v>3.49E-2</v>
      </c>
      <c r="CM22" s="230">
        <v>6643800</v>
      </c>
      <c r="CN22" s="230">
        <v>7044000</v>
      </c>
      <c r="CO22" s="230">
        <v>-400200</v>
      </c>
      <c r="CP22" s="229">
        <v>-5.6800000000000003E-2</v>
      </c>
      <c r="CQ22" s="230">
        <v>4897800</v>
      </c>
      <c r="CR22" s="230">
        <v>4959000</v>
      </c>
      <c r="CS22" s="230">
        <v>-61200</v>
      </c>
      <c r="CT22" s="229">
        <v>-1.23E-2</v>
      </c>
      <c r="CU22" s="230">
        <v>29578500</v>
      </c>
      <c r="CV22" s="230">
        <v>29977800</v>
      </c>
      <c r="CW22" s="230">
        <v>-399300</v>
      </c>
      <c r="CX22" s="229">
        <v>-1.3299999999999999E-2</v>
      </c>
      <c r="CY22" s="228">
        <v>25.4</v>
      </c>
      <c r="CZ22" s="228">
        <v>23.32</v>
      </c>
      <c r="DA22" s="228">
        <v>2.08</v>
      </c>
      <c r="DB22" s="228">
        <v>2.08</v>
      </c>
      <c r="DC22" s="228">
        <v>23.88</v>
      </c>
      <c r="DD22" s="228">
        <v>23.93</v>
      </c>
      <c r="DE22" s="228">
        <v>1.52</v>
      </c>
      <c r="DF22" s="228">
        <v>-0.05</v>
      </c>
      <c r="DG22" s="228">
        <v>24.8</v>
      </c>
      <c r="DH22" s="228">
        <v>22.79</v>
      </c>
      <c r="DI22" s="228">
        <v>2.0099999999999998</v>
      </c>
      <c r="DJ22" s="228">
        <v>2.0099999999999998</v>
      </c>
      <c r="DK22" s="228">
        <v>26.31</v>
      </c>
      <c r="DL22" s="228">
        <v>24.59</v>
      </c>
      <c r="DM22" s="228">
        <v>1.72</v>
      </c>
      <c r="DN22" s="228">
        <v>1.72</v>
      </c>
      <c r="DO22" s="228">
        <v>0.74</v>
      </c>
      <c r="DP22" s="228">
        <v>0.7</v>
      </c>
      <c r="DQ22" s="228">
        <v>0.04</v>
      </c>
      <c r="DR22" s="229">
        <v>5.7099999999999998E-2</v>
      </c>
      <c r="DS22" s="231">
        <v>2260</v>
      </c>
      <c r="DT22" s="231">
        <v>1900</v>
      </c>
      <c r="DU22" s="228">
        <v>0.65</v>
      </c>
      <c r="DV22" s="228">
        <v>0.42</v>
      </c>
      <c r="DW22" s="228">
        <v>0.23</v>
      </c>
      <c r="DX22" s="229">
        <v>0.54759999999999998</v>
      </c>
      <c r="DY22" s="229">
        <v>6.2E-2</v>
      </c>
      <c r="DZ22" s="230">
        <v>1023300</v>
      </c>
      <c r="EA22" s="229">
        <v>4.5999999999999999E-3</v>
      </c>
      <c r="EB22" s="229">
        <v>6.2E-2</v>
      </c>
      <c r="EC22" s="228">
        <v>10.72</v>
      </c>
      <c r="ED22" s="229">
        <v>4.7999999999999996E-3</v>
      </c>
      <c r="EE22" s="230">
        <v>895910</v>
      </c>
      <c r="EF22" s="230">
        <v>2985003</v>
      </c>
      <c r="EG22" s="229">
        <v>-0.69989999999999997</v>
      </c>
      <c r="EH22" s="229">
        <v>0.57269999999999999</v>
      </c>
      <c r="EI22" s="231">
        <v>185666.87</v>
      </c>
      <c r="EJ22" s="231">
        <v>115472.52</v>
      </c>
      <c r="EK22" s="231">
        <v>30503.77</v>
      </c>
      <c r="EL22" s="231">
        <v>8255</v>
      </c>
      <c r="EM22" s="231">
        <v>331643.15999999997</v>
      </c>
      <c r="EN22" s="231">
        <v>1353587.15</v>
      </c>
      <c r="EO22" s="231">
        <v>-1021943.99</v>
      </c>
      <c r="EP22" s="229">
        <v>-0.755</v>
      </c>
      <c r="EQ22" s="231">
        <v>149108</v>
      </c>
      <c r="ER22" s="231">
        <v>103206</v>
      </c>
      <c r="ES22" s="231">
        <v>403260</v>
      </c>
      <c r="ET22" s="231">
        <v>89517840</v>
      </c>
      <c r="EU22" s="231">
        <v>655574</v>
      </c>
      <c r="EV22" s="231">
        <v>665240</v>
      </c>
      <c r="EW22" s="231">
        <v>-9666</v>
      </c>
      <c r="EX22" s="229">
        <v>-1.4500000000000001E-2</v>
      </c>
      <c r="EY22" s="229">
        <v>0.33040000000000003</v>
      </c>
    </row>
    <row r="23" spans="1:155" ht="17.25" thickBot="1" x14ac:dyDescent="0.3">
      <c r="A23" s="226">
        <v>46132</v>
      </c>
      <c r="B23" s="227" t="s">
        <v>172</v>
      </c>
      <c r="C23" s="227" t="s">
        <v>232</v>
      </c>
      <c r="D23" s="231">
        <v>1357.3</v>
      </c>
      <c r="E23" s="231">
        <v>1351.6</v>
      </c>
      <c r="F23" s="228">
        <v>5.7</v>
      </c>
      <c r="G23" s="229">
        <v>4.1999999999999997E-3</v>
      </c>
      <c r="H23" s="231">
        <v>1356.2</v>
      </c>
      <c r="I23" s="231">
        <v>1346.8</v>
      </c>
      <c r="J23" s="228">
        <v>9.4</v>
      </c>
      <c r="K23" s="229">
        <v>7.0000000000000001E-3</v>
      </c>
      <c r="L23" s="231">
        <v>1357.3</v>
      </c>
      <c r="M23" s="231">
        <v>1351.6</v>
      </c>
      <c r="N23" s="228">
        <v>5.7</v>
      </c>
      <c r="O23" s="229">
        <v>4.1999999999999997E-3</v>
      </c>
      <c r="P23" s="231">
        <v>1364.7</v>
      </c>
      <c r="Q23" s="231">
        <v>1358.6</v>
      </c>
      <c r="R23" s="228">
        <v>6.1</v>
      </c>
      <c r="S23" s="229">
        <v>4.4999999999999997E-3</v>
      </c>
      <c r="T23" s="231">
        <v>1373.4</v>
      </c>
      <c r="U23" s="231">
        <v>1367.1</v>
      </c>
      <c r="V23" s="228">
        <v>6.3</v>
      </c>
      <c r="W23" s="229">
        <v>4.5999999999999999E-3</v>
      </c>
      <c r="X23" s="228">
        <v>1.1000000000000001</v>
      </c>
      <c r="Y23" s="228">
        <v>4.8</v>
      </c>
      <c r="Z23" s="228">
        <v>-3.7</v>
      </c>
      <c r="AA23" s="229">
        <v>8.0000000000000004E-4</v>
      </c>
      <c r="AB23" s="228">
        <v>1.1000000000000001</v>
      </c>
      <c r="AC23" s="228">
        <v>4.8</v>
      </c>
      <c r="AD23" s="228">
        <v>-3.7</v>
      </c>
      <c r="AE23" s="229">
        <v>8.0000000000000004E-4</v>
      </c>
      <c r="AF23" s="228">
        <v>8.5</v>
      </c>
      <c r="AG23" s="228">
        <v>11.8</v>
      </c>
      <c r="AH23" s="228">
        <v>-3.3</v>
      </c>
      <c r="AI23" s="229">
        <v>6.3E-3</v>
      </c>
      <c r="AJ23" s="228">
        <v>17.2</v>
      </c>
      <c r="AK23" s="228">
        <v>20.3</v>
      </c>
      <c r="AL23" s="228">
        <v>-3.1</v>
      </c>
      <c r="AM23" s="229">
        <v>1.2699999999999999E-2</v>
      </c>
      <c r="AN23" s="231">
        <v>1364.21</v>
      </c>
      <c r="AO23" s="231">
        <v>1371.99</v>
      </c>
      <c r="AP23" s="228">
        <v>0</v>
      </c>
      <c r="AQ23" s="230">
        <v>33784</v>
      </c>
      <c r="AR23" s="230">
        <v>25969</v>
      </c>
      <c r="AS23" s="230">
        <v>7815</v>
      </c>
      <c r="AT23" s="229">
        <v>0.3009</v>
      </c>
      <c r="AU23" s="230">
        <v>28357</v>
      </c>
      <c r="AV23" s="230">
        <v>22161</v>
      </c>
      <c r="AW23" s="230">
        <v>6196</v>
      </c>
      <c r="AX23" s="229">
        <v>0.27960000000000002</v>
      </c>
      <c r="AY23" s="230">
        <v>4619</v>
      </c>
      <c r="AZ23" s="230">
        <v>3581</v>
      </c>
      <c r="BA23" s="230">
        <v>1038</v>
      </c>
      <c r="BB23" s="229">
        <v>0.28989999999999999</v>
      </c>
      <c r="BC23" s="228">
        <v>808</v>
      </c>
      <c r="BD23" s="228">
        <v>227</v>
      </c>
      <c r="BE23" s="228">
        <v>581</v>
      </c>
      <c r="BF23" s="229">
        <v>2.5594999999999999</v>
      </c>
      <c r="BG23" s="230">
        <v>192484</v>
      </c>
      <c r="BH23" s="230">
        <v>83881</v>
      </c>
      <c r="BI23" s="230">
        <v>108603</v>
      </c>
      <c r="BJ23" s="229">
        <v>1.2947</v>
      </c>
      <c r="BK23" s="230">
        <v>100545</v>
      </c>
      <c r="BL23" s="230">
        <v>56898</v>
      </c>
      <c r="BM23" s="230">
        <v>43647</v>
      </c>
      <c r="BN23" s="229">
        <v>0.7671</v>
      </c>
      <c r="BO23" s="230">
        <v>326813</v>
      </c>
      <c r="BP23" s="230">
        <v>166748</v>
      </c>
      <c r="BQ23" s="230">
        <v>160065</v>
      </c>
      <c r="BR23" s="229">
        <v>0.95989999999999998</v>
      </c>
      <c r="BS23" s="230">
        <v>22587556</v>
      </c>
      <c r="BT23" s="230">
        <v>18309513</v>
      </c>
      <c r="BU23" s="230">
        <v>4278043</v>
      </c>
      <c r="BV23" s="229">
        <v>0.23369999999999999</v>
      </c>
      <c r="BW23" s="230">
        <v>112693700</v>
      </c>
      <c r="BX23" s="230">
        <v>115859800</v>
      </c>
      <c r="BY23" s="230">
        <v>-3166100</v>
      </c>
      <c r="BZ23" s="229">
        <v>-2.7300000000000001E-2</v>
      </c>
      <c r="CA23" s="230">
        <v>80756900</v>
      </c>
      <c r="CB23" s="230">
        <v>85801100</v>
      </c>
      <c r="CC23" s="230">
        <v>-5044200</v>
      </c>
      <c r="CD23" s="229">
        <v>-5.8799999999999998E-2</v>
      </c>
      <c r="CE23" s="230">
        <v>27367200</v>
      </c>
      <c r="CF23" s="230">
        <v>25859400</v>
      </c>
      <c r="CG23" s="230">
        <v>1507800</v>
      </c>
      <c r="CH23" s="229">
        <v>5.8299999999999998E-2</v>
      </c>
      <c r="CI23" s="230">
        <v>4569600</v>
      </c>
      <c r="CJ23" s="230">
        <v>4199300</v>
      </c>
      <c r="CK23" s="230">
        <v>370300</v>
      </c>
      <c r="CL23" s="229">
        <v>8.8200000000000001E-2</v>
      </c>
      <c r="CM23" s="230">
        <v>36117900</v>
      </c>
      <c r="CN23" s="230">
        <v>30629200</v>
      </c>
      <c r="CO23" s="230">
        <v>5488700</v>
      </c>
      <c r="CP23" s="229">
        <v>0.1792</v>
      </c>
      <c r="CQ23" s="230">
        <v>24261300</v>
      </c>
      <c r="CR23" s="230">
        <v>25355400</v>
      </c>
      <c r="CS23" s="230">
        <v>-1094100</v>
      </c>
      <c r="CT23" s="229">
        <v>-4.3200000000000002E-2</v>
      </c>
      <c r="CU23" s="230">
        <v>173072900</v>
      </c>
      <c r="CV23" s="230">
        <v>171844400</v>
      </c>
      <c r="CW23" s="230">
        <v>1228500</v>
      </c>
      <c r="CX23" s="229">
        <v>7.1000000000000004E-3</v>
      </c>
      <c r="CY23" s="228">
        <v>25.72</v>
      </c>
      <c r="CZ23" s="228">
        <v>28.99</v>
      </c>
      <c r="DA23" s="228">
        <v>-3.27</v>
      </c>
      <c r="DB23" s="228">
        <v>-3.27</v>
      </c>
      <c r="DC23" s="228">
        <v>23.84</v>
      </c>
      <c r="DD23" s="228">
        <v>23.88</v>
      </c>
      <c r="DE23" s="228">
        <v>1.88</v>
      </c>
      <c r="DF23" s="228">
        <v>-0.04</v>
      </c>
      <c r="DG23" s="228">
        <v>25.24</v>
      </c>
      <c r="DH23" s="228">
        <v>28.26</v>
      </c>
      <c r="DI23" s="228">
        <v>-3.02</v>
      </c>
      <c r="DJ23" s="228">
        <v>-3.02</v>
      </c>
      <c r="DK23" s="228">
        <v>26.64</v>
      </c>
      <c r="DL23" s="228">
        <v>30.06</v>
      </c>
      <c r="DM23" s="228">
        <v>-3.42</v>
      </c>
      <c r="DN23" s="228">
        <v>-3.42</v>
      </c>
      <c r="DO23" s="228">
        <v>0.67</v>
      </c>
      <c r="DP23" s="228">
        <v>0.83</v>
      </c>
      <c r="DQ23" s="228">
        <v>-0.16</v>
      </c>
      <c r="DR23" s="229">
        <v>-0.1928</v>
      </c>
      <c r="DS23" s="231">
        <v>1400</v>
      </c>
      <c r="DT23" s="231">
        <v>1300</v>
      </c>
      <c r="DU23" s="228">
        <v>0.52</v>
      </c>
      <c r="DV23" s="228">
        <v>0.68</v>
      </c>
      <c r="DW23" s="228">
        <v>-0.16</v>
      </c>
      <c r="DX23" s="229">
        <v>-0.23530000000000001</v>
      </c>
      <c r="DY23" s="229">
        <v>0.28339999999999999</v>
      </c>
      <c r="DZ23" s="230">
        <v>30058700</v>
      </c>
      <c r="EA23" s="229">
        <v>5.4999999999999997E-3</v>
      </c>
      <c r="EB23" s="229">
        <v>0.28339999999999999</v>
      </c>
      <c r="EC23" s="228">
        <v>7.78</v>
      </c>
      <c r="ED23" s="229">
        <v>5.7000000000000002E-3</v>
      </c>
      <c r="EE23" s="230">
        <v>11055823</v>
      </c>
      <c r="EF23" s="230">
        <v>10779112</v>
      </c>
      <c r="EG23" s="229">
        <v>2.5700000000000001E-2</v>
      </c>
      <c r="EH23" s="229">
        <v>0.48949999999999999</v>
      </c>
      <c r="EI23" s="231">
        <v>1889500.46</v>
      </c>
      <c r="EJ23" s="231">
        <v>938569.32</v>
      </c>
      <c r="EK23" s="231">
        <v>322946.74</v>
      </c>
      <c r="EL23" s="231">
        <v>31188</v>
      </c>
      <c r="EM23" s="231">
        <v>3151016.52</v>
      </c>
      <c r="EN23" s="231">
        <v>1594004.49</v>
      </c>
      <c r="EO23" s="231">
        <v>1557012.03</v>
      </c>
      <c r="EP23" s="229">
        <v>0.9768</v>
      </c>
      <c r="EQ23" s="231">
        <v>492822</v>
      </c>
      <c r="ER23" s="231">
        <v>312884</v>
      </c>
      <c r="ES23" s="231">
        <v>1532352</v>
      </c>
      <c r="ET23" s="231">
        <v>668616020</v>
      </c>
      <c r="EU23" s="231">
        <v>2338059</v>
      </c>
      <c r="EV23" s="231">
        <v>2306893</v>
      </c>
      <c r="EW23" s="231">
        <v>31166</v>
      </c>
      <c r="EX23" s="229">
        <v>1.35E-2</v>
      </c>
      <c r="EY23" s="229">
        <v>0.25890000000000002</v>
      </c>
    </row>
    <row r="24" spans="1:155" ht="17.25" thickBot="1" x14ac:dyDescent="0.3">
      <c r="A24" s="226">
        <v>46132</v>
      </c>
      <c r="B24" s="227" t="s">
        <v>215</v>
      </c>
      <c r="C24" s="227" t="s">
        <v>238</v>
      </c>
      <c r="D24" s="231">
        <v>4672.3</v>
      </c>
      <c r="E24" s="231">
        <v>4647.8999999999996</v>
      </c>
      <c r="F24" s="228">
        <v>24.4</v>
      </c>
      <c r="G24" s="229">
        <v>5.1999999999999998E-3</v>
      </c>
      <c r="H24" s="231">
        <v>4678.2</v>
      </c>
      <c r="I24" s="231">
        <v>4638.3999999999996</v>
      </c>
      <c r="J24" s="228">
        <v>39.799999999999997</v>
      </c>
      <c r="K24" s="229">
        <v>8.6E-3</v>
      </c>
      <c r="L24" s="231">
        <v>4672.3</v>
      </c>
      <c r="M24" s="231">
        <v>4647.8999999999996</v>
      </c>
      <c r="N24" s="228">
        <v>24.4</v>
      </c>
      <c r="O24" s="229">
        <v>5.1999999999999998E-3</v>
      </c>
      <c r="P24" s="231">
        <v>4684.8999999999996</v>
      </c>
      <c r="Q24" s="231">
        <v>4656.2</v>
      </c>
      <c r="R24" s="228">
        <v>28.7</v>
      </c>
      <c r="S24" s="229">
        <v>6.1999999999999998E-3</v>
      </c>
      <c r="T24" s="231">
        <v>4697</v>
      </c>
      <c r="U24" s="231">
        <v>4670.8</v>
      </c>
      <c r="V24" s="228">
        <v>26.2</v>
      </c>
      <c r="W24" s="229">
        <v>5.5999999999999999E-3</v>
      </c>
      <c r="X24" s="228">
        <v>-5.9</v>
      </c>
      <c r="Y24" s="228">
        <v>9.5</v>
      </c>
      <c r="Z24" s="228">
        <v>-15.4</v>
      </c>
      <c r="AA24" s="229">
        <v>-1.2999999999999999E-3</v>
      </c>
      <c r="AB24" s="228">
        <v>-5.9</v>
      </c>
      <c r="AC24" s="228">
        <v>9.5</v>
      </c>
      <c r="AD24" s="228">
        <v>-15.4</v>
      </c>
      <c r="AE24" s="229">
        <v>-1.2999999999999999E-3</v>
      </c>
      <c r="AF24" s="228">
        <v>6.7</v>
      </c>
      <c r="AG24" s="228">
        <v>17.8</v>
      </c>
      <c r="AH24" s="228">
        <v>-11.1</v>
      </c>
      <c r="AI24" s="229">
        <v>1.4E-3</v>
      </c>
      <c r="AJ24" s="228">
        <v>18.8</v>
      </c>
      <c r="AK24" s="228">
        <v>32.4</v>
      </c>
      <c r="AL24" s="228">
        <v>-13.6</v>
      </c>
      <c r="AM24" s="229">
        <v>4.0000000000000001E-3</v>
      </c>
      <c r="AN24" s="231">
        <v>4649.66</v>
      </c>
      <c r="AO24" s="231">
        <v>4663.2700000000004</v>
      </c>
      <c r="AP24" s="228">
        <v>0</v>
      </c>
      <c r="AQ24" s="230">
        <v>8202</v>
      </c>
      <c r="AR24" s="230">
        <v>5892</v>
      </c>
      <c r="AS24" s="230">
        <v>2310</v>
      </c>
      <c r="AT24" s="229">
        <v>0.3921</v>
      </c>
      <c r="AU24" s="230">
        <v>7038</v>
      </c>
      <c r="AV24" s="230">
        <v>5266</v>
      </c>
      <c r="AW24" s="230">
        <v>1772</v>
      </c>
      <c r="AX24" s="229">
        <v>0.33650000000000002</v>
      </c>
      <c r="AY24" s="230">
        <v>1072</v>
      </c>
      <c r="AZ24" s="228">
        <v>571</v>
      </c>
      <c r="BA24" s="228">
        <v>501</v>
      </c>
      <c r="BB24" s="229">
        <v>0.87739999999999996</v>
      </c>
      <c r="BC24" s="228">
        <v>92</v>
      </c>
      <c r="BD24" s="228">
        <v>55</v>
      </c>
      <c r="BE24" s="228">
        <v>37</v>
      </c>
      <c r="BF24" s="229">
        <v>0.67269999999999996</v>
      </c>
      <c r="BG24" s="230">
        <v>35210</v>
      </c>
      <c r="BH24" s="230">
        <v>28429</v>
      </c>
      <c r="BI24" s="230">
        <v>6781</v>
      </c>
      <c r="BJ24" s="229">
        <v>0.23849999999999999</v>
      </c>
      <c r="BK24" s="230">
        <v>33860</v>
      </c>
      <c r="BL24" s="230">
        <v>25299</v>
      </c>
      <c r="BM24" s="230">
        <v>8561</v>
      </c>
      <c r="BN24" s="229">
        <v>0.33839999999999998</v>
      </c>
      <c r="BO24" s="230">
        <v>77272</v>
      </c>
      <c r="BP24" s="230">
        <v>59620</v>
      </c>
      <c r="BQ24" s="230">
        <v>17652</v>
      </c>
      <c r="BR24" s="229">
        <v>0.29609999999999997</v>
      </c>
      <c r="BS24" s="230">
        <v>1085104</v>
      </c>
      <c r="BT24" s="230">
        <v>794960</v>
      </c>
      <c r="BU24" s="230">
        <v>290144</v>
      </c>
      <c r="BV24" s="229">
        <v>0.36499999999999999</v>
      </c>
      <c r="BW24" s="230">
        <v>6962400</v>
      </c>
      <c r="BX24" s="230">
        <v>7012500</v>
      </c>
      <c r="BY24" s="230">
        <v>-50100</v>
      </c>
      <c r="BZ24" s="229">
        <v>-7.1000000000000004E-3</v>
      </c>
      <c r="CA24" s="230">
        <v>6579750</v>
      </c>
      <c r="CB24" s="230">
        <v>6667800</v>
      </c>
      <c r="CC24" s="230">
        <v>-88050</v>
      </c>
      <c r="CD24" s="229">
        <v>-1.32E-2</v>
      </c>
      <c r="CE24" s="230">
        <v>334650</v>
      </c>
      <c r="CF24" s="230">
        <v>296400</v>
      </c>
      <c r="CG24" s="230">
        <v>38250</v>
      </c>
      <c r="CH24" s="229">
        <v>0.129</v>
      </c>
      <c r="CI24" s="230">
        <v>48000</v>
      </c>
      <c r="CJ24" s="230">
        <v>48300</v>
      </c>
      <c r="CK24" s="228">
        <v>-300</v>
      </c>
      <c r="CL24" s="229">
        <v>-6.1999999999999998E-3</v>
      </c>
      <c r="CM24" s="230">
        <v>6291300</v>
      </c>
      <c r="CN24" s="230">
        <v>6302100</v>
      </c>
      <c r="CO24" s="230">
        <v>-10800</v>
      </c>
      <c r="CP24" s="229">
        <v>-1.6999999999999999E-3</v>
      </c>
      <c r="CQ24" s="230">
        <v>4628250</v>
      </c>
      <c r="CR24" s="230">
        <v>4357800</v>
      </c>
      <c r="CS24" s="230">
        <v>270450</v>
      </c>
      <c r="CT24" s="229">
        <v>6.2100000000000002E-2</v>
      </c>
      <c r="CU24" s="230">
        <v>17881950</v>
      </c>
      <c r="CV24" s="230">
        <v>17672400</v>
      </c>
      <c r="CW24" s="230">
        <v>209550</v>
      </c>
      <c r="CX24" s="229">
        <v>1.1900000000000001E-2</v>
      </c>
      <c r="CY24" s="228">
        <v>41.35</v>
      </c>
      <c r="CZ24" s="228">
        <v>38.86</v>
      </c>
      <c r="DA24" s="228">
        <v>2.4900000000000002</v>
      </c>
      <c r="DB24" s="228">
        <v>2.4900000000000002</v>
      </c>
      <c r="DC24" s="228">
        <v>40.159999999999997</v>
      </c>
      <c r="DD24" s="228">
        <v>40.24</v>
      </c>
      <c r="DE24" s="228">
        <v>1.19</v>
      </c>
      <c r="DF24" s="228">
        <v>-0.08</v>
      </c>
      <c r="DG24" s="228">
        <v>37.32</v>
      </c>
      <c r="DH24" s="228">
        <v>34.979999999999997</v>
      </c>
      <c r="DI24" s="228">
        <v>2.34</v>
      </c>
      <c r="DJ24" s="228">
        <v>2.34</v>
      </c>
      <c r="DK24" s="228">
        <v>45.53</v>
      </c>
      <c r="DL24" s="228">
        <v>43.22</v>
      </c>
      <c r="DM24" s="228">
        <v>2.31</v>
      </c>
      <c r="DN24" s="228">
        <v>2.31</v>
      </c>
      <c r="DO24" s="228">
        <v>0.74</v>
      </c>
      <c r="DP24" s="228">
        <v>0.69</v>
      </c>
      <c r="DQ24" s="228">
        <v>0.05</v>
      </c>
      <c r="DR24" s="229">
        <v>7.2499999999999995E-2</v>
      </c>
      <c r="DS24" s="231">
        <v>4700</v>
      </c>
      <c r="DT24" s="231">
        <v>4700</v>
      </c>
      <c r="DU24" s="228">
        <v>0.96</v>
      </c>
      <c r="DV24" s="228">
        <v>0.89</v>
      </c>
      <c r="DW24" s="228">
        <v>7.0000000000000007E-2</v>
      </c>
      <c r="DX24" s="229">
        <v>7.8700000000000006E-2</v>
      </c>
      <c r="DY24" s="229">
        <v>5.5E-2</v>
      </c>
      <c r="DZ24" s="230">
        <v>344700</v>
      </c>
      <c r="EA24" s="229">
        <v>2.7000000000000001E-3</v>
      </c>
      <c r="EB24" s="229">
        <v>5.5E-2</v>
      </c>
      <c r="EC24" s="228">
        <v>13.61</v>
      </c>
      <c r="ED24" s="229">
        <v>2.8999999999999998E-3</v>
      </c>
      <c r="EE24" s="230">
        <v>535349</v>
      </c>
      <c r="EF24" s="230">
        <v>338886</v>
      </c>
      <c r="EG24" s="229">
        <v>0.57969999999999999</v>
      </c>
      <c r="EH24" s="229">
        <v>0.49340000000000001</v>
      </c>
      <c r="EI24" s="231">
        <v>257291.55</v>
      </c>
      <c r="EJ24" s="231">
        <v>229827.36</v>
      </c>
      <c r="EK24" s="231">
        <v>57230.54</v>
      </c>
      <c r="EL24" s="231">
        <v>9454</v>
      </c>
      <c r="EM24" s="231">
        <v>544349.44999999995</v>
      </c>
      <c r="EN24" s="231">
        <v>415519.49</v>
      </c>
      <c r="EO24" s="231">
        <v>128829.96</v>
      </c>
      <c r="EP24" s="229">
        <v>0.31</v>
      </c>
      <c r="EQ24" s="231">
        <v>296480</v>
      </c>
      <c r="ER24" s="231">
        <v>199372</v>
      </c>
      <c r="ES24" s="231">
        <v>325358</v>
      </c>
      <c r="ET24" s="231">
        <v>33878797</v>
      </c>
      <c r="EU24" s="231">
        <v>821211</v>
      </c>
      <c r="EV24" s="231">
        <v>809518</v>
      </c>
      <c r="EW24" s="231">
        <v>11693</v>
      </c>
      <c r="EX24" s="229">
        <v>1.44E-2</v>
      </c>
      <c r="EY24" s="229">
        <v>0.52780000000000005</v>
      </c>
    </row>
    <row r="25" spans="1:155" ht="17.25" thickBot="1" x14ac:dyDescent="0.3">
      <c r="A25" s="226">
        <v>46132</v>
      </c>
      <c r="B25" s="227" t="s">
        <v>221</v>
      </c>
      <c r="C25" s="227" t="s">
        <v>240</v>
      </c>
      <c r="D25" s="231">
        <v>1309.3</v>
      </c>
      <c r="E25" s="231">
        <v>1321</v>
      </c>
      <c r="F25" s="228">
        <v>-11.7</v>
      </c>
      <c r="G25" s="229">
        <v>-8.8999999999999999E-3</v>
      </c>
      <c r="H25" s="231">
        <v>1312.6</v>
      </c>
      <c r="I25" s="231">
        <v>1318.7</v>
      </c>
      <c r="J25" s="228">
        <v>-6.1</v>
      </c>
      <c r="K25" s="229">
        <v>-4.5999999999999999E-3</v>
      </c>
      <c r="L25" s="231">
        <v>1309.3</v>
      </c>
      <c r="M25" s="231">
        <v>1321</v>
      </c>
      <c r="N25" s="228">
        <v>-11.7</v>
      </c>
      <c r="O25" s="229">
        <v>-8.8999999999999999E-3</v>
      </c>
      <c r="P25" s="231">
        <v>1307.9000000000001</v>
      </c>
      <c r="Q25" s="231">
        <v>1319.1</v>
      </c>
      <c r="R25" s="228">
        <v>-11.2</v>
      </c>
      <c r="S25" s="229">
        <v>-8.5000000000000006E-3</v>
      </c>
      <c r="T25" s="231">
        <v>1302.5999999999999</v>
      </c>
      <c r="U25" s="231">
        <v>1311.7</v>
      </c>
      <c r="V25" s="228">
        <v>-9.1</v>
      </c>
      <c r="W25" s="229">
        <v>-6.8999999999999999E-3</v>
      </c>
      <c r="X25" s="228">
        <v>-3.3</v>
      </c>
      <c r="Y25" s="228">
        <v>2.2999999999999998</v>
      </c>
      <c r="Z25" s="228">
        <v>-5.6</v>
      </c>
      <c r="AA25" s="229">
        <v>-2.5000000000000001E-3</v>
      </c>
      <c r="AB25" s="228">
        <v>-3.3</v>
      </c>
      <c r="AC25" s="228">
        <v>2.2999999999999998</v>
      </c>
      <c r="AD25" s="228">
        <v>-5.6</v>
      </c>
      <c r="AE25" s="229">
        <v>-2.5000000000000001E-3</v>
      </c>
      <c r="AF25" s="228">
        <v>-4.7</v>
      </c>
      <c r="AG25" s="228">
        <v>0.4</v>
      </c>
      <c r="AH25" s="228">
        <v>-5.0999999999999996</v>
      </c>
      <c r="AI25" s="229">
        <v>-3.5999999999999999E-3</v>
      </c>
      <c r="AJ25" s="228">
        <v>-10</v>
      </c>
      <c r="AK25" s="228">
        <v>-7</v>
      </c>
      <c r="AL25" s="228">
        <v>-3</v>
      </c>
      <c r="AM25" s="229">
        <v>-7.6E-3</v>
      </c>
      <c r="AN25" s="231">
        <v>1313.53</v>
      </c>
      <c r="AO25" s="231">
        <v>1311.83</v>
      </c>
      <c r="AP25" s="228">
        <v>0</v>
      </c>
      <c r="AQ25" s="230">
        <v>21145</v>
      </c>
      <c r="AR25" s="230">
        <v>27667</v>
      </c>
      <c r="AS25" s="230">
        <v>-6522</v>
      </c>
      <c r="AT25" s="229">
        <v>-0.23569999999999999</v>
      </c>
      <c r="AU25" s="230">
        <v>17234</v>
      </c>
      <c r="AV25" s="230">
        <v>24194</v>
      </c>
      <c r="AW25" s="230">
        <v>-6960</v>
      </c>
      <c r="AX25" s="229">
        <v>-0.28770000000000001</v>
      </c>
      <c r="AY25" s="230">
        <v>3398</v>
      </c>
      <c r="AZ25" s="230">
        <v>3083</v>
      </c>
      <c r="BA25" s="228">
        <v>315</v>
      </c>
      <c r="BB25" s="229">
        <v>0.1022</v>
      </c>
      <c r="BC25" s="228">
        <v>513</v>
      </c>
      <c r="BD25" s="228">
        <v>390</v>
      </c>
      <c r="BE25" s="228">
        <v>123</v>
      </c>
      <c r="BF25" s="229">
        <v>0.31540000000000001</v>
      </c>
      <c r="BG25" s="230">
        <v>38613</v>
      </c>
      <c r="BH25" s="230">
        <v>45318</v>
      </c>
      <c r="BI25" s="230">
        <v>-6705</v>
      </c>
      <c r="BJ25" s="229">
        <v>-0.14799999999999999</v>
      </c>
      <c r="BK25" s="230">
        <v>22453</v>
      </c>
      <c r="BL25" s="230">
        <v>33229</v>
      </c>
      <c r="BM25" s="230">
        <v>-10776</v>
      </c>
      <c r="BN25" s="229">
        <v>-0.32429999999999998</v>
      </c>
      <c r="BO25" s="230">
        <v>82211</v>
      </c>
      <c r="BP25" s="230">
        <v>106214</v>
      </c>
      <c r="BQ25" s="230">
        <v>-24003</v>
      </c>
      <c r="BR25" s="229">
        <v>-0.22600000000000001</v>
      </c>
      <c r="BS25" s="230">
        <v>7326848</v>
      </c>
      <c r="BT25" s="230">
        <v>12443945</v>
      </c>
      <c r="BU25" s="230">
        <v>-5117097</v>
      </c>
      <c r="BV25" s="229">
        <v>-0.41120000000000001</v>
      </c>
      <c r="BW25" s="230">
        <v>80037600</v>
      </c>
      <c r="BX25" s="230">
        <v>79619200</v>
      </c>
      <c r="BY25" s="230">
        <v>418400</v>
      </c>
      <c r="BZ25" s="229">
        <v>5.3E-3</v>
      </c>
      <c r="CA25" s="230">
        <v>74802800</v>
      </c>
      <c r="CB25" s="230">
        <v>75030800</v>
      </c>
      <c r="CC25" s="230">
        <v>-228000</v>
      </c>
      <c r="CD25" s="229">
        <v>-3.0000000000000001E-3</v>
      </c>
      <c r="CE25" s="230">
        <v>4226400</v>
      </c>
      <c r="CF25" s="230">
        <v>3689600</v>
      </c>
      <c r="CG25" s="230">
        <v>536800</v>
      </c>
      <c r="CH25" s="229">
        <v>0.14549999999999999</v>
      </c>
      <c r="CI25" s="230">
        <v>1008400</v>
      </c>
      <c r="CJ25" s="230">
        <v>898800</v>
      </c>
      <c r="CK25" s="230">
        <v>109600</v>
      </c>
      <c r="CL25" s="229">
        <v>0.12189999999999999</v>
      </c>
      <c r="CM25" s="230">
        <v>28860400</v>
      </c>
      <c r="CN25" s="230">
        <v>28466400</v>
      </c>
      <c r="CO25" s="230">
        <v>394000</v>
      </c>
      <c r="CP25" s="229">
        <v>1.38E-2</v>
      </c>
      <c r="CQ25" s="230">
        <v>20484000</v>
      </c>
      <c r="CR25" s="230">
        <v>20294800</v>
      </c>
      <c r="CS25" s="230">
        <v>189200</v>
      </c>
      <c r="CT25" s="229">
        <v>9.2999999999999992E-3</v>
      </c>
      <c r="CU25" s="230">
        <v>129382000</v>
      </c>
      <c r="CV25" s="230">
        <v>128380400</v>
      </c>
      <c r="CW25" s="230">
        <v>1001600</v>
      </c>
      <c r="CX25" s="229">
        <v>7.7999999999999996E-3</v>
      </c>
      <c r="CY25" s="228">
        <v>39.44</v>
      </c>
      <c r="CZ25" s="228">
        <v>34.840000000000003</v>
      </c>
      <c r="DA25" s="228">
        <v>4.5999999999999996</v>
      </c>
      <c r="DB25" s="228">
        <v>4.5999999999999996</v>
      </c>
      <c r="DC25" s="228">
        <v>30.88</v>
      </c>
      <c r="DD25" s="228">
        <v>30.95</v>
      </c>
      <c r="DE25" s="228">
        <v>8.56</v>
      </c>
      <c r="DF25" s="228">
        <v>-7.0000000000000007E-2</v>
      </c>
      <c r="DG25" s="228">
        <v>38.44</v>
      </c>
      <c r="DH25" s="228">
        <v>33.47</v>
      </c>
      <c r="DI25" s="228">
        <v>4.97</v>
      </c>
      <c r="DJ25" s="228">
        <v>4.97</v>
      </c>
      <c r="DK25" s="228">
        <v>41.17</v>
      </c>
      <c r="DL25" s="228">
        <v>36.72</v>
      </c>
      <c r="DM25" s="228">
        <v>4.45</v>
      </c>
      <c r="DN25" s="228">
        <v>4.45</v>
      </c>
      <c r="DO25" s="228">
        <v>0.71</v>
      </c>
      <c r="DP25" s="228">
        <v>0.71</v>
      </c>
      <c r="DQ25" s="228">
        <v>0</v>
      </c>
      <c r="DR25" s="229">
        <v>0</v>
      </c>
      <c r="DS25" s="231">
        <v>1340</v>
      </c>
      <c r="DT25" s="231">
        <v>1280</v>
      </c>
      <c r="DU25" s="228">
        <v>0.57999999999999996</v>
      </c>
      <c r="DV25" s="228">
        <v>0.73</v>
      </c>
      <c r="DW25" s="228">
        <v>-0.15</v>
      </c>
      <c r="DX25" s="229">
        <v>-0.20549999999999999</v>
      </c>
      <c r="DY25" s="229">
        <v>6.54E-2</v>
      </c>
      <c r="DZ25" s="230">
        <v>4588400</v>
      </c>
      <c r="EA25" s="229">
        <v>-1.1000000000000001E-3</v>
      </c>
      <c r="EB25" s="229">
        <v>6.54E-2</v>
      </c>
      <c r="EC25" s="228">
        <v>-1.7</v>
      </c>
      <c r="ED25" s="229">
        <v>-1.2999999999999999E-3</v>
      </c>
      <c r="EE25" s="230">
        <v>3845951</v>
      </c>
      <c r="EF25" s="230">
        <v>7412894</v>
      </c>
      <c r="EG25" s="229">
        <v>-0.48120000000000002</v>
      </c>
      <c r="EH25" s="229">
        <v>0.52490000000000003</v>
      </c>
      <c r="EI25" s="231">
        <v>212675.25</v>
      </c>
      <c r="EJ25" s="231">
        <v>115999.44</v>
      </c>
      <c r="EK25" s="231">
        <v>111058.52</v>
      </c>
      <c r="EL25" s="231">
        <v>33495</v>
      </c>
      <c r="EM25" s="231">
        <v>439733.21</v>
      </c>
      <c r="EN25" s="231">
        <v>567210.93000000005</v>
      </c>
      <c r="EO25" s="231">
        <v>-127477.72</v>
      </c>
      <c r="EP25" s="229">
        <v>-0.22470000000000001</v>
      </c>
      <c r="EQ25" s="231">
        <v>392415</v>
      </c>
      <c r="ER25" s="231">
        <v>262160</v>
      </c>
      <c r="ES25" s="231">
        <v>1047806</v>
      </c>
      <c r="ET25" s="231">
        <v>475237614</v>
      </c>
      <c r="EU25" s="231">
        <v>1702380</v>
      </c>
      <c r="EV25" s="231">
        <v>1698272</v>
      </c>
      <c r="EW25" s="231">
        <v>4108</v>
      </c>
      <c r="EX25" s="229">
        <v>2.3999999999999998E-3</v>
      </c>
      <c r="EY25" s="229">
        <v>0.2722</v>
      </c>
    </row>
    <row r="26" spans="1:155" ht="17.25" thickBot="1" x14ac:dyDescent="0.3">
      <c r="A26" s="226">
        <v>46132</v>
      </c>
      <c r="B26" s="227" t="s">
        <v>168</v>
      </c>
      <c r="C26" s="227" t="s">
        <v>242</v>
      </c>
      <c r="D26" s="228">
        <v>305.25</v>
      </c>
      <c r="E26" s="228">
        <v>307.5</v>
      </c>
      <c r="F26" s="228">
        <v>-2.25</v>
      </c>
      <c r="G26" s="229">
        <v>-7.3000000000000001E-3</v>
      </c>
      <c r="H26" s="228">
        <v>305</v>
      </c>
      <c r="I26" s="228">
        <v>306.8</v>
      </c>
      <c r="J26" s="228">
        <v>-1.8</v>
      </c>
      <c r="K26" s="229">
        <v>-5.8999999999999999E-3</v>
      </c>
      <c r="L26" s="228">
        <v>305.25</v>
      </c>
      <c r="M26" s="228">
        <v>307.5</v>
      </c>
      <c r="N26" s="228">
        <v>-2.25</v>
      </c>
      <c r="O26" s="229">
        <v>-7.3000000000000001E-3</v>
      </c>
      <c r="P26" s="228">
        <v>307.05</v>
      </c>
      <c r="Q26" s="228">
        <v>309.25</v>
      </c>
      <c r="R26" s="228">
        <v>-2.2000000000000002</v>
      </c>
      <c r="S26" s="229">
        <v>-7.1000000000000004E-3</v>
      </c>
      <c r="T26" s="228">
        <v>309</v>
      </c>
      <c r="U26" s="228">
        <v>311.14999999999998</v>
      </c>
      <c r="V26" s="228">
        <v>-2.15</v>
      </c>
      <c r="W26" s="229">
        <v>-6.8999999999999999E-3</v>
      </c>
      <c r="X26" s="228">
        <v>0.25</v>
      </c>
      <c r="Y26" s="228">
        <v>0.7</v>
      </c>
      <c r="Z26" s="228">
        <v>-0.45</v>
      </c>
      <c r="AA26" s="229">
        <v>8.0000000000000004E-4</v>
      </c>
      <c r="AB26" s="228">
        <v>0.25</v>
      </c>
      <c r="AC26" s="228">
        <v>0.7</v>
      </c>
      <c r="AD26" s="228">
        <v>-0.45</v>
      </c>
      <c r="AE26" s="229">
        <v>8.0000000000000004E-4</v>
      </c>
      <c r="AF26" s="228">
        <v>2.0499999999999998</v>
      </c>
      <c r="AG26" s="228">
        <v>2.4500000000000002</v>
      </c>
      <c r="AH26" s="228">
        <v>-0.4</v>
      </c>
      <c r="AI26" s="229">
        <v>6.7000000000000002E-3</v>
      </c>
      <c r="AJ26" s="228">
        <v>4</v>
      </c>
      <c r="AK26" s="228">
        <v>4.3499999999999996</v>
      </c>
      <c r="AL26" s="228">
        <v>-0.35</v>
      </c>
      <c r="AM26" s="229">
        <v>1.3100000000000001E-2</v>
      </c>
      <c r="AN26" s="228">
        <v>306.37</v>
      </c>
      <c r="AO26" s="228">
        <v>308.11</v>
      </c>
      <c r="AP26" s="228">
        <v>0</v>
      </c>
      <c r="AQ26" s="230">
        <v>7058</v>
      </c>
      <c r="AR26" s="230">
        <v>21086</v>
      </c>
      <c r="AS26" s="230">
        <v>-14028</v>
      </c>
      <c r="AT26" s="229">
        <v>-0.6653</v>
      </c>
      <c r="AU26" s="230">
        <v>4235</v>
      </c>
      <c r="AV26" s="230">
        <v>16030</v>
      </c>
      <c r="AW26" s="230">
        <v>-11795</v>
      </c>
      <c r="AX26" s="229">
        <v>-0.73580000000000001</v>
      </c>
      <c r="AY26" s="230">
        <v>2476</v>
      </c>
      <c r="AZ26" s="230">
        <v>3421</v>
      </c>
      <c r="BA26" s="228">
        <v>-945</v>
      </c>
      <c r="BB26" s="229">
        <v>-0.2762</v>
      </c>
      <c r="BC26" s="228">
        <v>347</v>
      </c>
      <c r="BD26" s="230">
        <v>1635</v>
      </c>
      <c r="BE26" s="230">
        <v>-1288</v>
      </c>
      <c r="BF26" s="229">
        <v>-0.78779999999999994</v>
      </c>
      <c r="BG26" s="230">
        <v>52273</v>
      </c>
      <c r="BH26" s="230">
        <v>178202</v>
      </c>
      <c r="BI26" s="230">
        <v>-125929</v>
      </c>
      <c r="BJ26" s="229">
        <v>-0.70669999999999999</v>
      </c>
      <c r="BK26" s="230">
        <v>17744</v>
      </c>
      <c r="BL26" s="230">
        <v>76328</v>
      </c>
      <c r="BM26" s="230">
        <v>-58584</v>
      </c>
      <c r="BN26" s="229">
        <v>-0.76749999999999996</v>
      </c>
      <c r="BO26" s="230">
        <v>77075</v>
      </c>
      <c r="BP26" s="230">
        <v>275616</v>
      </c>
      <c r="BQ26" s="230">
        <v>-198541</v>
      </c>
      <c r="BR26" s="229">
        <v>-0.72040000000000004</v>
      </c>
      <c r="BS26" s="230">
        <v>14180107</v>
      </c>
      <c r="BT26" s="230">
        <v>36660208</v>
      </c>
      <c r="BU26" s="230">
        <v>-22480101</v>
      </c>
      <c r="BV26" s="229">
        <v>-0.61319999999999997</v>
      </c>
      <c r="BW26" s="230">
        <v>166196800</v>
      </c>
      <c r="BX26" s="230">
        <v>165144000</v>
      </c>
      <c r="BY26" s="230">
        <v>1052800</v>
      </c>
      <c r="BZ26" s="229">
        <v>6.4000000000000003E-3</v>
      </c>
      <c r="CA26" s="230">
        <v>142227200</v>
      </c>
      <c r="CB26" s="230">
        <v>143740800</v>
      </c>
      <c r="CC26" s="230">
        <v>-1513600</v>
      </c>
      <c r="CD26" s="229">
        <v>-1.0500000000000001E-2</v>
      </c>
      <c r="CE26" s="230">
        <v>19222400</v>
      </c>
      <c r="CF26" s="230">
        <v>17001600</v>
      </c>
      <c r="CG26" s="230">
        <v>2220800</v>
      </c>
      <c r="CH26" s="229">
        <v>0.13059999999999999</v>
      </c>
      <c r="CI26" s="230">
        <v>4747200</v>
      </c>
      <c r="CJ26" s="230">
        <v>4401600</v>
      </c>
      <c r="CK26" s="230">
        <v>345600</v>
      </c>
      <c r="CL26" s="229">
        <v>7.85E-2</v>
      </c>
      <c r="CM26" s="230">
        <v>116665600</v>
      </c>
      <c r="CN26" s="230">
        <v>114555200</v>
      </c>
      <c r="CO26" s="230">
        <v>2110400</v>
      </c>
      <c r="CP26" s="229">
        <v>1.84E-2</v>
      </c>
      <c r="CQ26" s="230">
        <v>56326400</v>
      </c>
      <c r="CR26" s="230">
        <v>57020800</v>
      </c>
      <c r="CS26" s="230">
        <v>-694400</v>
      </c>
      <c r="CT26" s="229">
        <v>-1.2200000000000001E-2</v>
      </c>
      <c r="CU26" s="230">
        <v>339188800</v>
      </c>
      <c r="CV26" s="230">
        <v>336720000</v>
      </c>
      <c r="CW26" s="230">
        <v>2468800</v>
      </c>
      <c r="CX26" s="229">
        <v>7.3000000000000001E-3</v>
      </c>
      <c r="CY26" s="228">
        <v>23.45</v>
      </c>
      <c r="CZ26" s="228">
        <v>20.91</v>
      </c>
      <c r="DA26" s="228">
        <v>2.54</v>
      </c>
      <c r="DB26" s="228">
        <v>2.54</v>
      </c>
      <c r="DC26" s="228">
        <v>24.42</v>
      </c>
      <c r="DD26" s="228">
        <v>24.47</v>
      </c>
      <c r="DE26" s="228">
        <v>-0.97</v>
      </c>
      <c r="DF26" s="228">
        <v>-0.05</v>
      </c>
      <c r="DG26" s="228">
        <v>23.96</v>
      </c>
      <c r="DH26" s="228">
        <v>20.54</v>
      </c>
      <c r="DI26" s="228">
        <v>3.42</v>
      </c>
      <c r="DJ26" s="228">
        <v>3.42</v>
      </c>
      <c r="DK26" s="228">
        <v>21.94</v>
      </c>
      <c r="DL26" s="228">
        <v>21.78</v>
      </c>
      <c r="DM26" s="228">
        <v>0.16</v>
      </c>
      <c r="DN26" s="228">
        <v>0.16</v>
      </c>
      <c r="DO26" s="228">
        <v>0.48</v>
      </c>
      <c r="DP26" s="228">
        <v>0.5</v>
      </c>
      <c r="DQ26" s="228">
        <v>-0.02</v>
      </c>
      <c r="DR26" s="229">
        <v>-0.04</v>
      </c>
      <c r="DS26" s="228">
        <v>300</v>
      </c>
      <c r="DT26" s="228">
        <v>300</v>
      </c>
      <c r="DU26" s="228">
        <v>0.34</v>
      </c>
      <c r="DV26" s="228">
        <v>0.43</v>
      </c>
      <c r="DW26" s="228">
        <v>-0.09</v>
      </c>
      <c r="DX26" s="229">
        <v>-0.20930000000000001</v>
      </c>
      <c r="DY26" s="229">
        <v>0.14419999999999999</v>
      </c>
      <c r="DZ26" s="230">
        <v>21403200</v>
      </c>
      <c r="EA26" s="229">
        <v>5.8999999999999999E-3</v>
      </c>
      <c r="EB26" s="229">
        <v>0.14419999999999999</v>
      </c>
      <c r="EC26" s="228">
        <v>1.74</v>
      </c>
      <c r="ED26" s="229">
        <v>5.7000000000000002E-3</v>
      </c>
      <c r="EE26" s="230">
        <v>8996378</v>
      </c>
      <c r="EF26" s="230">
        <v>17476483</v>
      </c>
      <c r="EG26" s="229">
        <v>-0.48520000000000002</v>
      </c>
      <c r="EH26" s="229">
        <v>0.63439999999999996</v>
      </c>
      <c r="EI26" s="231">
        <v>266194.64</v>
      </c>
      <c r="EJ26" s="231">
        <v>86210.47</v>
      </c>
      <c r="EK26" s="231">
        <v>34686.629999999997</v>
      </c>
      <c r="EL26" s="231">
        <v>11253</v>
      </c>
      <c r="EM26" s="231">
        <v>387091.74</v>
      </c>
      <c r="EN26" s="231">
        <v>1375552.93</v>
      </c>
      <c r="EO26" s="231">
        <v>-988461.19</v>
      </c>
      <c r="EP26" s="229">
        <v>-0.71860000000000002</v>
      </c>
      <c r="EQ26" s="231">
        <v>368358</v>
      </c>
      <c r="ER26" s="231">
        <v>168443</v>
      </c>
      <c r="ES26" s="231">
        <v>507840</v>
      </c>
      <c r="ET26" s="231">
        <v>1317896781</v>
      </c>
      <c r="EU26" s="231">
        <v>1044641</v>
      </c>
      <c r="EV26" s="231">
        <v>1040129</v>
      </c>
      <c r="EW26" s="231">
        <v>4512</v>
      </c>
      <c r="EX26" s="229">
        <v>4.3E-3</v>
      </c>
      <c r="EY26" s="229">
        <v>0.25740000000000002</v>
      </c>
    </row>
    <row r="27" spans="1:155" ht="17.25" thickBot="1" x14ac:dyDescent="0.3">
      <c r="A27" s="226">
        <v>46132</v>
      </c>
      <c r="B27" s="227" t="s">
        <v>175</v>
      </c>
      <c r="C27" s="227" t="s">
        <v>569</v>
      </c>
      <c r="D27" s="228">
        <v>236.9</v>
      </c>
      <c r="E27" s="228">
        <v>244.6</v>
      </c>
      <c r="F27" s="228">
        <v>-7.7</v>
      </c>
      <c r="G27" s="229">
        <v>-3.15E-2</v>
      </c>
      <c r="H27" s="228">
        <v>237.15</v>
      </c>
      <c r="I27" s="228">
        <v>243.86</v>
      </c>
      <c r="J27" s="228">
        <v>-6.71</v>
      </c>
      <c r="K27" s="229">
        <v>-2.75E-2</v>
      </c>
      <c r="L27" s="228">
        <v>236.9</v>
      </c>
      <c r="M27" s="228">
        <v>244.6</v>
      </c>
      <c r="N27" s="228">
        <v>-7.7</v>
      </c>
      <c r="O27" s="229">
        <v>-3.15E-2</v>
      </c>
      <c r="P27" s="228">
        <v>238.17</v>
      </c>
      <c r="Q27" s="228">
        <v>245.81</v>
      </c>
      <c r="R27" s="228">
        <v>-7.64</v>
      </c>
      <c r="S27" s="229">
        <v>-3.1099999999999999E-2</v>
      </c>
      <c r="T27" s="228">
        <v>239.35</v>
      </c>
      <c r="U27" s="228">
        <v>247.57</v>
      </c>
      <c r="V27" s="228">
        <v>-8.2200000000000006</v>
      </c>
      <c r="W27" s="229">
        <v>-3.32E-2</v>
      </c>
      <c r="X27" s="228">
        <v>-0.25</v>
      </c>
      <c r="Y27" s="228">
        <v>0.74</v>
      </c>
      <c r="Z27" s="228">
        <v>-0.99</v>
      </c>
      <c r="AA27" s="229">
        <v>-1.1000000000000001E-3</v>
      </c>
      <c r="AB27" s="228">
        <v>-0.25</v>
      </c>
      <c r="AC27" s="228">
        <v>0.74</v>
      </c>
      <c r="AD27" s="228">
        <v>-0.99</v>
      </c>
      <c r="AE27" s="229">
        <v>-1.1000000000000001E-3</v>
      </c>
      <c r="AF27" s="228">
        <v>1.02</v>
      </c>
      <c r="AG27" s="228">
        <v>1.95</v>
      </c>
      <c r="AH27" s="228">
        <v>-0.93</v>
      </c>
      <c r="AI27" s="229">
        <v>4.3E-3</v>
      </c>
      <c r="AJ27" s="228">
        <v>2.2000000000000002</v>
      </c>
      <c r="AK27" s="228">
        <v>3.71</v>
      </c>
      <c r="AL27" s="228">
        <v>-1.51</v>
      </c>
      <c r="AM27" s="229">
        <v>9.2999999999999992E-3</v>
      </c>
      <c r="AN27" s="228">
        <v>237.51</v>
      </c>
      <c r="AO27" s="228">
        <v>238.96</v>
      </c>
      <c r="AP27" s="228">
        <v>0</v>
      </c>
      <c r="AQ27" s="230">
        <v>17861</v>
      </c>
      <c r="AR27" s="230">
        <v>18629</v>
      </c>
      <c r="AS27" s="228">
        <v>-768</v>
      </c>
      <c r="AT27" s="229">
        <v>-4.1200000000000001E-2</v>
      </c>
      <c r="AU27" s="230">
        <v>12790</v>
      </c>
      <c r="AV27" s="230">
        <v>13146</v>
      </c>
      <c r="AW27" s="228">
        <v>-356</v>
      </c>
      <c r="AX27" s="229">
        <v>-2.7099999999999999E-2</v>
      </c>
      <c r="AY27" s="230">
        <v>4404</v>
      </c>
      <c r="AZ27" s="230">
        <v>4498</v>
      </c>
      <c r="BA27" s="228">
        <v>-94</v>
      </c>
      <c r="BB27" s="229">
        <v>-2.0899999999999998E-2</v>
      </c>
      <c r="BC27" s="228">
        <v>667</v>
      </c>
      <c r="BD27" s="228">
        <v>985</v>
      </c>
      <c r="BE27" s="228">
        <v>-318</v>
      </c>
      <c r="BF27" s="229">
        <v>-0.32279999999999998</v>
      </c>
      <c r="BG27" s="230">
        <v>66109</v>
      </c>
      <c r="BH27" s="230">
        <v>53820</v>
      </c>
      <c r="BI27" s="230">
        <v>12289</v>
      </c>
      <c r="BJ27" s="229">
        <v>0.2283</v>
      </c>
      <c r="BK27" s="230">
        <v>36075</v>
      </c>
      <c r="BL27" s="230">
        <v>18063</v>
      </c>
      <c r="BM27" s="230">
        <v>18012</v>
      </c>
      <c r="BN27" s="229">
        <v>0.99719999999999998</v>
      </c>
      <c r="BO27" s="230">
        <v>120045</v>
      </c>
      <c r="BP27" s="230">
        <v>90512</v>
      </c>
      <c r="BQ27" s="230">
        <v>29533</v>
      </c>
      <c r="BR27" s="229">
        <v>0.32629999999999998</v>
      </c>
      <c r="BS27" s="230">
        <v>40674852</v>
      </c>
      <c r="BT27" s="230">
        <v>54250757</v>
      </c>
      <c r="BU27" s="230">
        <v>-13575905</v>
      </c>
      <c r="BV27" s="229">
        <v>-0.25019999999999998</v>
      </c>
      <c r="BW27" s="230">
        <v>169536050</v>
      </c>
      <c r="BX27" s="230">
        <v>169855650</v>
      </c>
      <c r="BY27" s="230">
        <v>-319600</v>
      </c>
      <c r="BZ27" s="229">
        <v>-1.9E-3</v>
      </c>
      <c r="CA27" s="230">
        <v>126065750</v>
      </c>
      <c r="CB27" s="230">
        <v>132995900</v>
      </c>
      <c r="CC27" s="230">
        <v>-6930150</v>
      </c>
      <c r="CD27" s="229">
        <v>-5.21E-2</v>
      </c>
      <c r="CE27" s="230">
        <v>36495500</v>
      </c>
      <c r="CF27" s="230">
        <v>30862550</v>
      </c>
      <c r="CG27" s="230">
        <v>5632950</v>
      </c>
      <c r="CH27" s="229">
        <v>0.1825</v>
      </c>
      <c r="CI27" s="230">
        <v>6974800</v>
      </c>
      <c r="CJ27" s="230">
        <v>5997200</v>
      </c>
      <c r="CK27" s="230">
        <v>977600</v>
      </c>
      <c r="CL27" s="229">
        <v>0.16300000000000001</v>
      </c>
      <c r="CM27" s="230">
        <v>73876950</v>
      </c>
      <c r="CN27" s="230">
        <v>69118200</v>
      </c>
      <c r="CO27" s="230">
        <v>4758750</v>
      </c>
      <c r="CP27" s="229">
        <v>6.88E-2</v>
      </c>
      <c r="CQ27" s="230">
        <v>47171550</v>
      </c>
      <c r="CR27" s="230">
        <v>46475950</v>
      </c>
      <c r="CS27" s="230">
        <v>695600</v>
      </c>
      <c r="CT27" s="229">
        <v>1.4999999999999999E-2</v>
      </c>
      <c r="CU27" s="230">
        <v>290584550</v>
      </c>
      <c r="CV27" s="230">
        <v>285449800</v>
      </c>
      <c r="CW27" s="230">
        <v>5134750</v>
      </c>
      <c r="CX27" s="229">
        <v>1.7999999999999999E-2</v>
      </c>
      <c r="CY27" s="228">
        <v>39.840000000000003</v>
      </c>
      <c r="CZ27" s="228">
        <v>40.93</v>
      </c>
      <c r="DA27" s="228">
        <v>-1.0900000000000001</v>
      </c>
      <c r="DB27" s="228">
        <v>-1.0900000000000001</v>
      </c>
      <c r="DC27" s="228">
        <v>37.549999999999997</v>
      </c>
      <c r="DD27" s="228">
        <v>37.39</v>
      </c>
      <c r="DE27" s="228">
        <v>2.29</v>
      </c>
      <c r="DF27" s="228">
        <v>0.16</v>
      </c>
      <c r="DG27" s="228">
        <v>39.35</v>
      </c>
      <c r="DH27" s="228">
        <v>41.02</v>
      </c>
      <c r="DI27" s="228">
        <v>-1.67</v>
      </c>
      <c r="DJ27" s="228">
        <v>-1.67</v>
      </c>
      <c r="DK27" s="228">
        <v>40.72</v>
      </c>
      <c r="DL27" s="228">
        <v>40.65</v>
      </c>
      <c r="DM27" s="228">
        <v>7.0000000000000007E-2</v>
      </c>
      <c r="DN27" s="228">
        <v>7.0000000000000007E-2</v>
      </c>
      <c r="DO27" s="228">
        <v>0.64</v>
      </c>
      <c r="DP27" s="228">
        <v>0.67</v>
      </c>
      <c r="DQ27" s="228">
        <v>-0.03</v>
      </c>
      <c r="DR27" s="229">
        <v>-4.48E-2</v>
      </c>
      <c r="DS27" s="228">
        <v>250</v>
      </c>
      <c r="DT27" s="228">
        <v>240</v>
      </c>
      <c r="DU27" s="228">
        <v>0.55000000000000004</v>
      </c>
      <c r="DV27" s="228">
        <v>0.34</v>
      </c>
      <c r="DW27" s="228">
        <v>0.21</v>
      </c>
      <c r="DX27" s="229">
        <v>0.61760000000000004</v>
      </c>
      <c r="DY27" s="229">
        <v>0.25640000000000002</v>
      </c>
      <c r="DZ27" s="230">
        <v>36859750</v>
      </c>
      <c r="EA27" s="229">
        <v>5.4000000000000003E-3</v>
      </c>
      <c r="EB27" s="229">
        <v>0.25640000000000002</v>
      </c>
      <c r="EC27" s="228">
        <v>1.45</v>
      </c>
      <c r="ED27" s="229">
        <v>6.1000000000000004E-3</v>
      </c>
      <c r="EE27" s="230">
        <v>17324397</v>
      </c>
      <c r="EF27" s="230">
        <v>33884357</v>
      </c>
      <c r="EG27" s="229">
        <v>-0.48870000000000002</v>
      </c>
      <c r="EH27" s="229">
        <v>0.4259</v>
      </c>
      <c r="EI27" s="231">
        <v>392223.94</v>
      </c>
      <c r="EJ27" s="231">
        <v>199906.43</v>
      </c>
      <c r="EK27" s="231">
        <v>99883.69</v>
      </c>
      <c r="EL27" s="231">
        <v>10372</v>
      </c>
      <c r="EM27" s="231">
        <v>692014.06</v>
      </c>
      <c r="EN27" s="231">
        <v>535169.44999999995</v>
      </c>
      <c r="EO27" s="231">
        <v>156844.60999999999</v>
      </c>
      <c r="EP27" s="229">
        <v>0.29310000000000003</v>
      </c>
      <c r="EQ27" s="231">
        <v>187071</v>
      </c>
      <c r="ER27" s="231">
        <v>114201</v>
      </c>
      <c r="ES27" s="231">
        <v>402265</v>
      </c>
      <c r="ET27" s="231">
        <v>490240515</v>
      </c>
      <c r="EU27" s="231">
        <v>703538</v>
      </c>
      <c r="EV27" s="231">
        <v>705234</v>
      </c>
      <c r="EW27" s="231">
        <v>-1696</v>
      </c>
      <c r="EX27" s="229">
        <v>-2.3999999999999998E-3</v>
      </c>
      <c r="EY27" s="229">
        <v>0.5927</v>
      </c>
    </row>
    <row r="28" spans="1:155" ht="17.25" thickBot="1" x14ac:dyDescent="0.3">
      <c r="A28" s="226">
        <v>46132</v>
      </c>
      <c r="B28" s="227" t="s">
        <v>227</v>
      </c>
      <c r="C28" s="227" t="s">
        <v>244</v>
      </c>
      <c r="D28" s="231">
        <v>1273.2</v>
      </c>
      <c r="E28" s="231">
        <v>1240.2</v>
      </c>
      <c r="F28" s="228">
        <v>33</v>
      </c>
      <c r="G28" s="229">
        <v>2.6599999999999999E-2</v>
      </c>
      <c r="H28" s="231">
        <v>1274.5</v>
      </c>
      <c r="I28" s="231">
        <v>1240.3</v>
      </c>
      <c r="J28" s="228">
        <v>34.200000000000003</v>
      </c>
      <c r="K28" s="229">
        <v>2.76E-2</v>
      </c>
      <c r="L28" s="231">
        <v>1273.2</v>
      </c>
      <c r="M28" s="231">
        <v>1240.2</v>
      </c>
      <c r="N28" s="228">
        <v>33</v>
      </c>
      <c r="O28" s="229">
        <v>2.6599999999999999E-2</v>
      </c>
      <c r="P28" s="231">
        <v>1280.0999999999999</v>
      </c>
      <c r="Q28" s="231">
        <v>1247.5999999999999</v>
      </c>
      <c r="R28" s="228">
        <v>32.5</v>
      </c>
      <c r="S28" s="229">
        <v>2.6100000000000002E-2</v>
      </c>
      <c r="T28" s="231">
        <v>1287.8</v>
      </c>
      <c r="U28" s="231">
        <v>1254.4000000000001</v>
      </c>
      <c r="V28" s="228">
        <v>33.4</v>
      </c>
      <c r="W28" s="229">
        <v>2.6599999999999999E-2</v>
      </c>
      <c r="X28" s="228">
        <v>-1.3</v>
      </c>
      <c r="Y28" s="228">
        <v>-0.1</v>
      </c>
      <c r="Z28" s="228">
        <v>-1.2</v>
      </c>
      <c r="AA28" s="229">
        <v>-1E-3</v>
      </c>
      <c r="AB28" s="228">
        <v>-1.3</v>
      </c>
      <c r="AC28" s="228">
        <v>-0.1</v>
      </c>
      <c r="AD28" s="228">
        <v>-1.2</v>
      </c>
      <c r="AE28" s="229">
        <v>-1E-3</v>
      </c>
      <c r="AF28" s="228">
        <v>5.6</v>
      </c>
      <c r="AG28" s="228">
        <v>7.3</v>
      </c>
      <c r="AH28" s="228">
        <v>-1.7</v>
      </c>
      <c r="AI28" s="229">
        <v>4.4000000000000003E-3</v>
      </c>
      <c r="AJ28" s="228">
        <v>13.3</v>
      </c>
      <c r="AK28" s="228">
        <v>14.1</v>
      </c>
      <c r="AL28" s="228">
        <v>-0.8</v>
      </c>
      <c r="AM28" s="229">
        <v>1.04E-2</v>
      </c>
      <c r="AN28" s="231">
        <v>1264.77</v>
      </c>
      <c r="AO28" s="231">
        <v>1268.8599999999999</v>
      </c>
      <c r="AP28" s="228">
        <v>0</v>
      </c>
      <c r="AQ28" s="230">
        <v>8552</v>
      </c>
      <c r="AR28" s="230">
        <v>7995</v>
      </c>
      <c r="AS28" s="228">
        <v>557</v>
      </c>
      <c r="AT28" s="229">
        <v>6.9699999999999998E-2</v>
      </c>
      <c r="AU28" s="230">
        <v>7129</v>
      </c>
      <c r="AV28" s="230">
        <v>5643</v>
      </c>
      <c r="AW28" s="230">
        <v>1486</v>
      </c>
      <c r="AX28" s="229">
        <v>0.26329999999999998</v>
      </c>
      <c r="AY28" s="230">
        <v>1347</v>
      </c>
      <c r="AZ28" s="230">
        <v>2337</v>
      </c>
      <c r="BA28" s="228">
        <v>-990</v>
      </c>
      <c r="BB28" s="229">
        <v>-0.42359999999999998</v>
      </c>
      <c r="BC28" s="228">
        <v>76</v>
      </c>
      <c r="BD28" s="228">
        <v>15</v>
      </c>
      <c r="BE28" s="228">
        <v>61</v>
      </c>
      <c r="BF28" s="229">
        <v>4.0667</v>
      </c>
      <c r="BG28" s="230">
        <v>25687</v>
      </c>
      <c r="BH28" s="230">
        <v>15929</v>
      </c>
      <c r="BI28" s="230">
        <v>9758</v>
      </c>
      <c r="BJ28" s="229">
        <v>0.61260000000000003</v>
      </c>
      <c r="BK28" s="230">
        <v>11635</v>
      </c>
      <c r="BL28" s="230">
        <v>7910</v>
      </c>
      <c r="BM28" s="230">
        <v>3725</v>
      </c>
      <c r="BN28" s="229">
        <v>0.47089999999999999</v>
      </c>
      <c r="BO28" s="230">
        <v>45874</v>
      </c>
      <c r="BP28" s="230">
        <v>31834</v>
      </c>
      <c r="BQ28" s="230">
        <v>14040</v>
      </c>
      <c r="BR28" s="229">
        <v>0.441</v>
      </c>
      <c r="BS28" s="230">
        <v>4675187</v>
      </c>
      <c r="BT28" s="230">
        <v>1941439</v>
      </c>
      <c r="BU28" s="230">
        <v>2733748</v>
      </c>
      <c r="BV28" s="229">
        <v>1.4080999999999999</v>
      </c>
      <c r="BW28" s="230">
        <v>49087350</v>
      </c>
      <c r="BX28" s="230">
        <v>49965525</v>
      </c>
      <c r="BY28" s="230">
        <v>-878175</v>
      </c>
      <c r="BZ28" s="229">
        <v>-1.7600000000000001E-2</v>
      </c>
      <c r="CA28" s="230">
        <v>42260400</v>
      </c>
      <c r="CB28" s="230">
        <v>43573950</v>
      </c>
      <c r="CC28" s="230">
        <v>-1313550</v>
      </c>
      <c r="CD28" s="229">
        <v>-3.0099999999999998E-2</v>
      </c>
      <c r="CE28" s="230">
        <v>6706800</v>
      </c>
      <c r="CF28" s="230">
        <v>6291675</v>
      </c>
      <c r="CG28" s="230">
        <v>415125</v>
      </c>
      <c r="CH28" s="229">
        <v>6.6000000000000003E-2</v>
      </c>
      <c r="CI28" s="230">
        <v>120150</v>
      </c>
      <c r="CJ28" s="230">
        <v>99900</v>
      </c>
      <c r="CK28" s="230">
        <v>20250</v>
      </c>
      <c r="CL28" s="229">
        <v>0.20269999999999999</v>
      </c>
      <c r="CM28" s="230">
        <v>6041925</v>
      </c>
      <c r="CN28" s="230">
        <v>5775300</v>
      </c>
      <c r="CO28" s="230">
        <v>266625</v>
      </c>
      <c r="CP28" s="229">
        <v>4.6199999999999998E-2</v>
      </c>
      <c r="CQ28" s="230">
        <v>6450975</v>
      </c>
      <c r="CR28" s="230">
        <v>5556600</v>
      </c>
      <c r="CS28" s="230">
        <v>894375</v>
      </c>
      <c r="CT28" s="229">
        <v>0.161</v>
      </c>
      <c r="CU28" s="230">
        <v>61580250</v>
      </c>
      <c r="CV28" s="230">
        <v>61297425</v>
      </c>
      <c r="CW28" s="230">
        <v>282825</v>
      </c>
      <c r="CX28" s="229">
        <v>4.5999999999999999E-3</v>
      </c>
      <c r="CY28" s="228">
        <v>31.32</v>
      </c>
      <c r="CZ28" s="228">
        <v>27.63</v>
      </c>
      <c r="DA28" s="228">
        <v>3.69</v>
      </c>
      <c r="DB28" s="228">
        <v>3.69</v>
      </c>
      <c r="DC28" s="228">
        <v>32.19</v>
      </c>
      <c r="DD28" s="228">
        <v>32.08</v>
      </c>
      <c r="DE28" s="228">
        <v>-0.87</v>
      </c>
      <c r="DF28" s="228">
        <v>0.11</v>
      </c>
      <c r="DG28" s="228">
        <v>30.36</v>
      </c>
      <c r="DH28" s="228">
        <v>26.39</v>
      </c>
      <c r="DI28" s="228">
        <v>3.97</v>
      </c>
      <c r="DJ28" s="228">
        <v>3.97</v>
      </c>
      <c r="DK28" s="228">
        <v>33.44</v>
      </c>
      <c r="DL28" s="228">
        <v>30.12</v>
      </c>
      <c r="DM28" s="228">
        <v>3.32</v>
      </c>
      <c r="DN28" s="228">
        <v>3.32</v>
      </c>
      <c r="DO28" s="228">
        <v>1.07</v>
      </c>
      <c r="DP28" s="228">
        <v>0.96</v>
      </c>
      <c r="DQ28" s="228">
        <v>0.11</v>
      </c>
      <c r="DR28" s="229">
        <v>0.11459999999999999</v>
      </c>
      <c r="DS28" s="231">
        <v>1350</v>
      </c>
      <c r="DT28" s="231">
        <v>1100</v>
      </c>
      <c r="DU28" s="228">
        <v>0.45</v>
      </c>
      <c r="DV28" s="228">
        <v>0.5</v>
      </c>
      <c r="DW28" s="228">
        <v>-0.05</v>
      </c>
      <c r="DX28" s="229">
        <v>-0.1</v>
      </c>
      <c r="DY28" s="229">
        <v>0.1391</v>
      </c>
      <c r="DZ28" s="230">
        <v>6391575</v>
      </c>
      <c r="EA28" s="229">
        <v>5.4000000000000003E-3</v>
      </c>
      <c r="EB28" s="229">
        <v>0.1391</v>
      </c>
      <c r="EC28" s="228">
        <v>4.09</v>
      </c>
      <c r="ED28" s="229">
        <v>3.2000000000000002E-3</v>
      </c>
      <c r="EE28" s="230">
        <v>2996176</v>
      </c>
      <c r="EF28" s="230">
        <v>890179</v>
      </c>
      <c r="EG28" s="229">
        <v>2.3658000000000001</v>
      </c>
      <c r="EH28" s="229">
        <v>0.64090000000000003</v>
      </c>
      <c r="EI28" s="231">
        <v>226003.02</v>
      </c>
      <c r="EJ28" s="231">
        <v>95972.62</v>
      </c>
      <c r="EK28" s="231">
        <v>73055.820000000007</v>
      </c>
      <c r="EL28" s="231">
        <v>5177</v>
      </c>
      <c r="EM28" s="231">
        <v>395031.46</v>
      </c>
      <c r="EN28" s="231">
        <v>266808.99</v>
      </c>
      <c r="EO28" s="231">
        <v>128222.47</v>
      </c>
      <c r="EP28" s="229">
        <v>0.48060000000000003</v>
      </c>
      <c r="EQ28" s="231">
        <v>75508</v>
      </c>
      <c r="ER28" s="231">
        <v>73858</v>
      </c>
      <c r="ES28" s="231">
        <v>625460</v>
      </c>
      <c r="ET28" s="231">
        <v>133242960</v>
      </c>
      <c r="EU28" s="231">
        <v>774826</v>
      </c>
      <c r="EV28" s="231">
        <v>754071</v>
      </c>
      <c r="EW28" s="231">
        <v>20755</v>
      </c>
      <c r="EX28" s="229">
        <v>2.75E-2</v>
      </c>
      <c r="EY28" s="229">
        <v>0.4622</v>
      </c>
    </row>
    <row r="29" spans="1:155" ht="17.25" thickBot="1" x14ac:dyDescent="0.3">
      <c r="A29" s="226">
        <v>46132</v>
      </c>
      <c r="B29" s="227" t="s">
        <v>172</v>
      </c>
      <c r="C29" s="227" t="s">
        <v>246</v>
      </c>
      <c r="D29" s="228">
        <v>378.9</v>
      </c>
      <c r="E29" s="228">
        <v>383.6</v>
      </c>
      <c r="F29" s="228">
        <v>-4.7</v>
      </c>
      <c r="G29" s="229">
        <v>-1.23E-2</v>
      </c>
      <c r="H29" s="228">
        <v>379.2</v>
      </c>
      <c r="I29" s="228">
        <v>383.6</v>
      </c>
      <c r="J29" s="228">
        <v>-4.4000000000000004</v>
      </c>
      <c r="K29" s="229">
        <v>-1.15E-2</v>
      </c>
      <c r="L29" s="228">
        <v>378.9</v>
      </c>
      <c r="M29" s="228">
        <v>383.6</v>
      </c>
      <c r="N29" s="228">
        <v>-4.7</v>
      </c>
      <c r="O29" s="229">
        <v>-1.23E-2</v>
      </c>
      <c r="P29" s="228">
        <v>381.15</v>
      </c>
      <c r="Q29" s="228">
        <v>385.35</v>
      </c>
      <c r="R29" s="228">
        <v>-4.2</v>
      </c>
      <c r="S29" s="229">
        <v>-1.09E-2</v>
      </c>
      <c r="T29" s="228">
        <v>383.45</v>
      </c>
      <c r="U29" s="228">
        <v>388.45</v>
      </c>
      <c r="V29" s="228">
        <v>-5</v>
      </c>
      <c r="W29" s="229">
        <v>-1.29E-2</v>
      </c>
      <c r="X29" s="228">
        <v>-0.3</v>
      </c>
      <c r="Y29" s="228">
        <v>0</v>
      </c>
      <c r="Z29" s="228">
        <v>-0.3</v>
      </c>
      <c r="AA29" s="229">
        <v>-8.0000000000000004E-4</v>
      </c>
      <c r="AB29" s="228">
        <v>-0.3</v>
      </c>
      <c r="AC29" s="228">
        <v>0</v>
      </c>
      <c r="AD29" s="228">
        <v>-0.3</v>
      </c>
      <c r="AE29" s="229">
        <v>-8.0000000000000004E-4</v>
      </c>
      <c r="AF29" s="228">
        <v>1.95</v>
      </c>
      <c r="AG29" s="228">
        <v>1.75</v>
      </c>
      <c r="AH29" s="228">
        <v>0.2</v>
      </c>
      <c r="AI29" s="229">
        <v>5.1000000000000004E-3</v>
      </c>
      <c r="AJ29" s="228">
        <v>4.25</v>
      </c>
      <c r="AK29" s="228">
        <v>4.8499999999999996</v>
      </c>
      <c r="AL29" s="228">
        <v>-0.6</v>
      </c>
      <c r="AM29" s="229">
        <v>1.12E-2</v>
      </c>
      <c r="AN29" s="228">
        <v>381.71</v>
      </c>
      <c r="AO29" s="228">
        <v>383.38</v>
      </c>
      <c r="AP29" s="228">
        <v>0</v>
      </c>
      <c r="AQ29" s="230">
        <v>10658</v>
      </c>
      <c r="AR29" s="230">
        <v>11951</v>
      </c>
      <c r="AS29" s="230">
        <v>-1293</v>
      </c>
      <c r="AT29" s="229">
        <v>-0.1082</v>
      </c>
      <c r="AU29" s="230">
        <v>7661</v>
      </c>
      <c r="AV29" s="230">
        <v>8796</v>
      </c>
      <c r="AW29" s="230">
        <v>-1135</v>
      </c>
      <c r="AX29" s="229">
        <v>-0.129</v>
      </c>
      <c r="AY29" s="230">
        <v>1536</v>
      </c>
      <c r="AZ29" s="230">
        <v>1086</v>
      </c>
      <c r="BA29" s="228">
        <v>450</v>
      </c>
      <c r="BB29" s="229">
        <v>0.41439999999999999</v>
      </c>
      <c r="BC29" s="230">
        <v>1461</v>
      </c>
      <c r="BD29" s="230">
        <v>2069</v>
      </c>
      <c r="BE29" s="228">
        <v>-608</v>
      </c>
      <c r="BF29" s="229">
        <v>-0.29389999999999999</v>
      </c>
      <c r="BG29" s="230">
        <v>14686</v>
      </c>
      <c r="BH29" s="230">
        <v>14020</v>
      </c>
      <c r="BI29" s="228">
        <v>666</v>
      </c>
      <c r="BJ29" s="229">
        <v>4.7500000000000001E-2</v>
      </c>
      <c r="BK29" s="230">
        <v>8020</v>
      </c>
      <c r="BL29" s="230">
        <v>8519</v>
      </c>
      <c r="BM29" s="228">
        <v>-499</v>
      </c>
      <c r="BN29" s="229">
        <v>-5.8599999999999999E-2</v>
      </c>
      <c r="BO29" s="230">
        <v>33364</v>
      </c>
      <c r="BP29" s="230">
        <v>34490</v>
      </c>
      <c r="BQ29" s="230">
        <v>-1126</v>
      </c>
      <c r="BR29" s="229">
        <v>-3.2599999999999997E-2</v>
      </c>
      <c r="BS29" s="230">
        <v>11454357</v>
      </c>
      <c r="BT29" s="230">
        <v>11976142</v>
      </c>
      <c r="BU29" s="230">
        <v>-521785</v>
      </c>
      <c r="BV29" s="229">
        <v>-4.36E-2</v>
      </c>
      <c r="BW29" s="230">
        <v>215510000</v>
      </c>
      <c r="BX29" s="230">
        <v>217516000</v>
      </c>
      <c r="BY29" s="230">
        <v>-2006000</v>
      </c>
      <c r="BZ29" s="229">
        <v>-9.1999999999999998E-3</v>
      </c>
      <c r="CA29" s="230">
        <v>164620000</v>
      </c>
      <c r="CB29" s="230">
        <v>171224000</v>
      </c>
      <c r="CC29" s="230">
        <v>-6604000</v>
      </c>
      <c r="CD29" s="229">
        <v>-3.8600000000000002E-2</v>
      </c>
      <c r="CE29" s="230">
        <v>35602000</v>
      </c>
      <c r="CF29" s="230">
        <v>33820000</v>
      </c>
      <c r="CG29" s="230">
        <v>1782000</v>
      </c>
      <c r="CH29" s="229">
        <v>5.2699999999999997E-2</v>
      </c>
      <c r="CI29" s="230">
        <v>15288000</v>
      </c>
      <c r="CJ29" s="230">
        <v>12472000</v>
      </c>
      <c r="CK29" s="230">
        <v>2816000</v>
      </c>
      <c r="CL29" s="229">
        <v>0.2258</v>
      </c>
      <c r="CM29" s="230">
        <v>32790000</v>
      </c>
      <c r="CN29" s="230">
        <v>30824000</v>
      </c>
      <c r="CO29" s="230">
        <v>1966000</v>
      </c>
      <c r="CP29" s="229">
        <v>6.3799999999999996E-2</v>
      </c>
      <c r="CQ29" s="230">
        <v>27782000</v>
      </c>
      <c r="CR29" s="230">
        <v>27720000</v>
      </c>
      <c r="CS29" s="230">
        <v>62000</v>
      </c>
      <c r="CT29" s="229">
        <v>2.2000000000000001E-3</v>
      </c>
      <c r="CU29" s="230">
        <v>276082000</v>
      </c>
      <c r="CV29" s="230">
        <v>276060000</v>
      </c>
      <c r="CW29" s="230">
        <v>22000</v>
      </c>
      <c r="CX29" s="229">
        <v>1E-4</v>
      </c>
      <c r="CY29" s="228">
        <v>28.35</v>
      </c>
      <c r="CZ29" s="228">
        <v>27.3</v>
      </c>
      <c r="DA29" s="228">
        <v>1.05</v>
      </c>
      <c r="DB29" s="228">
        <v>1.05</v>
      </c>
      <c r="DC29" s="228">
        <v>27.33</v>
      </c>
      <c r="DD29" s="228">
        <v>27.35</v>
      </c>
      <c r="DE29" s="228">
        <v>1.02</v>
      </c>
      <c r="DF29" s="228">
        <v>-0.02</v>
      </c>
      <c r="DG29" s="228">
        <v>28.34</v>
      </c>
      <c r="DH29" s="228">
        <v>26.74</v>
      </c>
      <c r="DI29" s="228">
        <v>1.6</v>
      </c>
      <c r="DJ29" s="228">
        <v>1.6</v>
      </c>
      <c r="DK29" s="228">
        <v>28.38</v>
      </c>
      <c r="DL29" s="228">
        <v>28.23</v>
      </c>
      <c r="DM29" s="228">
        <v>0.15</v>
      </c>
      <c r="DN29" s="228">
        <v>0.15</v>
      </c>
      <c r="DO29" s="228">
        <v>0.85</v>
      </c>
      <c r="DP29" s="228">
        <v>0.9</v>
      </c>
      <c r="DQ29" s="228">
        <v>-0.05</v>
      </c>
      <c r="DR29" s="229">
        <v>-5.5599999999999997E-2</v>
      </c>
      <c r="DS29" s="228">
        <v>370</v>
      </c>
      <c r="DT29" s="228">
        <v>335</v>
      </c>
      <c r="DU29" s="228">
        <v>0.55000000000000004</v>
      </c>
      <c r="DV29" s="228">
        <v>0.61</v>
      </c>
      <c r="DW29" s="228">
        <v>-0.06</v>
      </c>
      <c r="DX29" s="229">
        <v>-9.8400000000000001E-2</v>
      </c>
      <c r="DY29" s="229">
        <v>0.2361</v>
      </c>
      <c r="DZ29" s="230">
        <v>46292000</v>
      </c>
      <c r="EA29" s="229">
        <v>5.8999999999999999E-3</v>
      </c>
      <c r="EB29" s="229">
        <v>0.2361</v>
      </c>
      <c r="EC29" s="228">
        <v>1.67</v>
      </c>
      <c r="ED29" s="229">
        <v>4.4000000000000003E-3</v>
      </c>
      <c r="EE29" s="230">
        <v>6982653</v>
      </c>
      <c r="EF29" s="230">
        <v>8135992</v>
      </c>
      <c r="EG29" s="229">
        <v>-0.14180000000000001</v>
      </c>
      <c r="EH29" s="229">
        <v>0.60960000000000003</v>
      </c>
      <c r="EI29" s="231">
        <v>115897.78</v>
      </c>
      <c r="EJ29" s="231">
        <v>61292.68</v>
      </c>
      <c r="EK29" s="231">
        <v>81570.34</v>
      </c>
      <c r="EL29" s="231">
        <v>12856</v>
      </c>
      <c r="EM29" s="231">
        <v>258760.8</v>
      </c>
      <c r="EN29" s="231">
        <v>267418.45</v>
      </c>
      <c r="EO29" s="231">
        <v>-8657.65</v>
      </c>
      <c r="EP29" s="229">
        <v>-3.2399999999999998E-2</v>
      </c>
      <c r="EQ29" s="231">
        <v>127480</v>
      </c>
      <c r="ER29" s="231">
        <v>99673</v>
      </c>
      <c r="ES29" s="231">
        <v>818064</v>
      </c>
      <c r="ET29" s="231">
        <v>882793124</v>
      </c>
      <c r="EU29" s="231">
        <v>1045218</v>
      </c>
      <c r="EV29" s="231">
        <v>1054684</v>
      </c>
      <c r="EW29" s="231">
        <v>-9466</v>
      </c>
      <c r="EX29" s="229">
        <v>-8.9999999999999993E-3</v>
      </c>
      <c r="EY29" s="229">
        <v>0.31269999999999998</v>
      </c>
    </row>
    <row r="30" spans="1:155" ht="17.25" thickBot="1" x14ac:dyDescent="0.3">
      <c r="A30" s="226">
        <v>46132</v>
      </c>
      <c r="B30" s="227" t="s">
        <v>184</v>
      </c>
      <c r="C30" s="227" t="s">
        <v>249</v>
      </c>
      <c r="D30" s="231">
        <v>4056.4</v>
      </c>
      <c r="E30" s="231">
        <v>4106.8999999999996</v>
      </c>
      <c r="F30" s="228">
        <v>-50.5</v>
      </c>
      <c r="G30" s="229">
        <v>-1.23E-2</v>
      </c>
      <c r="H30" s="231">
        <v>4051</v>
      </c>
      <c r="I30" s="231">
        <v>4096.1000000000004</v>
      </c>
      <c r="J30" s="228">
        <v>-45.1</v>
      </c>
      <c r="K30" s="229">
        <v>-1.0999999999999999E-2</v>
      </c>
      <c r="L30" s="231">
        <v>4056.4</v>
      </c>
      <c r="M30" s="231">
        <v>4106.8999999999996</v>
      </c>
      <c r="N30" s="228">
        <v>-50.5</v>
      </c>
      <c r="O30" s="229">
        <v>-1.23E-2</v>
      </c>
      <c r="P30" s="231">
        <v>4075.9</v>
      </c>
      <c r="Q30" s="231">
        <v>4128.7</v>
      </c>
      <c r="R30" s="228">
        <v>-52.8</v>
      </c>
      <c r="S30" s="229">
        <v>-1.2800000000000001E-2</v>
      </c>
      <c r="T30" s="231">
        <v>4077.8</v>
      </c>
      <c r="U30" s="231">
        <v>4124.8999999999996</v>
      </c>
      <c r="V30" s="228">
        <v>-47.1</v>
      </c>
      <c r="W30" s="229">
        <v>-1.14E-2</v>
      </c>
      <c r="X30" s="228">
        <v>5.4</v>
      </c>
      <c r="Y30" s="228">
        <v>10.8</v>
      </c>
      <c r="Z30" s="228">
        <v>-5.4</v>
      </c>
      <c r="AA30" s="229">
        <v>1.2999999999999999E-3</v>
      </c>
      <c r="AB30" s="228">
        <v>5.4</v>
      </c>
      <c r="AC30" s="228">
        <v>10.8</v>
      </c>
      <c r="AD30" s="228">
        <v>-5.4</v>
      </c>
      <c r="AE30" s="229">
        <v>1.2999999999999999E-3</v>
      </c>
      <c r="AF30" s="228">
        <v>24.9</v>
      </c>
      <c r="AG30" s="228">
        <v>32.6</v>
      </c>
      <c r="AH30" s="228">
        <v>-7.7</v>
      </c>
      <c r="AI30" s="229">
        <v>6.1000000000000004E-3</v>
      </c>
      <c r="AJ30" s="228">
        <v>26.8</v>
      </c>
      <c r="AK30" s="228">
        <v>28.8</v>
      </c>
      <c r="AL30" s="228">
        <v>-2</v>
      </c>
      <c r="AM30" s="229">
        <v>6.6E-3</v>
      </c>
      <c r="AN30" s="231">
        <v>4075.79</v>
      </c>
      <c r="AO30" s="231">
        <v>4098.6099999999997</v>
      </c>
      <c r="AP30" s="228">
        <v>0</v>
      </c>
      <c r="AQ30" s="230">
        <v>15162</v>
      </c>
      <c r="AR30" s="230">
        <v>11168</v>
      </c>
      <c r="AS30" s="230">
        <v>3994</v>
      </c>
      <c r="AT30" s="229">
        <v>0.35759999999999997</v>
      </c>
      <c r="AU30" s="230">
        <v>10340</v>
      </c>
      <c r="AV30" s="230">
        <v>8408</v>
      </c>
      <c r="AW30" s="230">
        <v>1932</v>
      </c>
      <c r="AX30" s="229">
        <v>0.2298</v>
      </c>
      <c r="AY30" s="230">
        <v>4499</v>
      </c>
      <c r="AZ30" s="230">
        <v>2614</v>
      </c>
      <c r="BA30" s="230">
        <v>1885</v>
      </c>
      <c r="BB30" s="229">
        <v>0.72109999999999996</v>
      </c>
      <c r="BC30" s="228">
        <v>323</v>
      </c>
      <c r="BD30" s="228">
        <v>146</v>
      </c>
      <c r="BE30" s="228">
        <v>177</v>
      </c>
      <c r="BF30" s="229">
        <v>1.2122999999999999</v>
      </c>
      <c r="BG30" s="230">
        <v>43490</v>
      </c>
      <c r="BH30" s="230">
        <v>35295</v>
      </c>
      <c r="BI30" s="230">
        <v>8195</v>
      </c>
      <c r="BJ30" s="229">
        <v>0.23219999999999999</v>
      </c>
      <c r="BK30" s="230">
        <v>34274</v>
      </c>
      <c r="BL30" s="230">
        <v>31731</v>
      </c>
      <c r="BM30" s="230">
        <v>2543</v>
      </c>
      <c r="BN30" s="229">
        <v>8.0100000000000005E-2</v>
      </c>
      <c r="BO30" s="230">
        <v>92926</v>
      </c>
      <c r="BP30" s="230">
        <v>78194</v>
      </c>
      <c r="BQ30" s="230">
        <v>14732</v>
      </c>
      <c r="BR30" s="229">
        <v>0.18840000000000001</v>
      </c>
      <c r="BS30" s="230">
        <v>3675668</v>
      </c>
      <c r="BT30" s="230">
        <v>2940508</v>
      </c>
      <c r="BU30" s="230">
        <v>735160</v>
      </c>
      <c r="BV30" s="229">
        <v>0.25</v>
      </c>
      <c r="BW30" s="230">
        <v>14904400</v>
      </c>
      <c r="BX30" s="230">
        <v>14843850</v>
      </c>
      <c r="BY30" s="230">
        <v>60550</v>
      </c>
      <c r="BZ30" s="229">
        <v>4.1000000000000003E-3</v>
      </c>
      <c r="CA30" s="230">
        <v>11697350</v>
      </c>
      <c r="CB30" s="230">
        <v>12165825</v>
      </c>
      <c r="CC30" s="230">
        <v>-468475</v>
      </c>
      <c r="CD30" s="229">
        <v>-3.85E-2</v>
      </c>
      <c r="CE30" s="230">
        <v>2971850</v>
      </c>
      <c r="CF30" s="230">
        <v>2468900</v>
      </c>
      <c r="CG30" s="230">
        <v>502950</v>
      </c>
      <c r="CH30" s="229">
        <v>0.20369999999999999</v>
      </c>
      <c r="CI30" s="230">
        <v>235200</v>
      </c>
      <c r="CJ30" s="230">
        <v>209125</v>
      </c>
      <c r="CK30" s="230">
        <v>26075</v>
      </c>
      <c r="CL30" s="229">
        <v>0.12470000000000001</v>
      </c>
      <c r="CM30" s="230">
        <v>9609600</v>
      </c>
      <c r="CN30" s="230">
        <v>9248225</v>
      </c>
      <c r="CO30" s="230">
        <v>361375</v>
      </c>
      <c r="CP30" s="229">
        <v>3.9100000000000003E-2</v>
      </c>
      <c r="CQ30" s="230">
        <v>8368675</v>
      </c>
      <c r="CR30" s="230">
        <v>8221150</v>
      </c>
      <c r="CS30" s="230">
        <v>147525</v>
      </c>
      <c r="CT30" s="229">
        <v>1.7899999999999999E-2</v>
      </c>
      <c r="CU30" s="230">
        <v>32882675</v>
      </c>
      <c r="CV30" s="230">
        <v>32313225</v>
      </c>
      <c r="CW30" s="230">
        <v>569450</v>
      </c>
      <c r="CX30" s="229">
        <v>1.7600000000000001E-2</v>
      </c>
      <c r="CY30" s="228">
        <v>33.869999999999997</v>
      </c>
      <c r="CZ30" s="228">
        <v>29.77</v>
      </c>
      <c r="DA30" s="228">
        <v>4.0999999999999996</v>
      </c>
      <c r="DB30" s="228">
        <v>4.0999999999999996</v>
      </c>
      <c r="DC30" s="228">
        <v>33.96</v>
      </c>
      <c r="DD30" s="228">
        <v>34.020000000000003</v>
      </c>
      <c r="DE30" s="228">
        <v>-0.09</v>
      </c>
      <c r="DF30" s="228">
        <v>-0.06</v>
      </c>
      <c r="DG30" s="228">
        <v>32.32</v>
      </c>
      <c r="DH30" s="228">
        <v>27.83</v>
      </c>
      <c r="DI30" s="228">
        <v>4.49</v>
      </c>
      <c r="DJ30" s="228">
        <v>4.49</v>
      </c>
      <c r="DK30" s="228">
        <v>35.83</v>
      </c>
      <c r="DL30" s="228">
        <v>31.92</v>
      </c>
      <c r="DM30" s="228">
        <v>3.91</v>
      </c>
      <c r="DN30" s="228">
        <v>3.91</v>
      </c>
      <c r="DO30" s="228">
        <v>0.87</v>
      </c>
      <c r="DP30" s="228">
        <v>0.89</v>
      </c>
      <c r="DQ30" s="228">
        <v>-0.02</v>
      </c>
      <c r="DR30" s="229">
        <v>-2.2499999999999999E-2</v>
      </c>
      <c r="DS30" s="231">
        <v>4000</v>
      </c>
      <c r="DT30" s="231">
        <v>4000</v>
      </c>
      <c r="DU30" s="228">
        <v>0.79</v>
      </c>
      <c r="DV30" s="228">
        <v>0.9</v>
      </c>
      <c r="DW30" s="228">
        <v>-0.11</v>
      </c>
      <c r="DX30" s="229">
        <v>-0.1222</v>
      </c>
      <c r="DY30" s="229">
        <v>0.2152</v>
      </c>
      <c r="DZ30" s="230">
        <v>2678025</v>
      </c>
      <c r="EA30" s="229">
        <v>4.7999999999999996E-3</v>
      </c>
      <c r="EB30" s="229">
        <v>0.2152</v>
      </c>
      <c r="EC30" s="228">
        <v>22.82</v>
      </c>
      <c r="ED30" s="229">
        <v>5.5999999999999999E-3</v>
      </c>
      <c r="EE30" s="230">
        <v>2231459</v>
      </c>
      <c r="EF30" s="230">
        <v>1808575</v>
      </c>
      <c r="EG30" s="229">
        <v>0.23380000000000001</v>
      </c>
      <c r="EH30" s="229">
        <v>0.60709999999999997</v>
      </c>
      <c r="EI30" s="231">
        <v>322537.86</v>
      </c>
      <c r="EJ30" s="231">
        <v>239866.72</v>
      </c>
      <c r="EK30" s="231">
        <v>108338.66</v>
      </c>
      <c r="EL30" s="231">
        <v>16083</v>
      </c>
      <c r="EM30" s="231">
        <v>670743.24</v>
      </c>
      <c r="EN30" s="231">
        <v>563848.53</v>
      </c>
      <c r="EO30" s="231">
        <v>106894.71</v>
      </c>
      <c r="EP30" s="229">
        <v>0.18959999999999999</v>
      </c>
      <c r="EQ30" s="231">
        <v>386565</v>
      </c>
      <c r="ER30" s="231">
        <v>318531</v>
      </c>
      <c r="ES30" s="231">
        <v>605212</v>
      </c>
      <c r="ET30" s="231">
        <v>136099497</v>
      </c>
      <c r="EU30" s="231">
        <v>1310308</v>
      </c>
      <c r="EV30" s="231">
        <v>1293863</v>
      </c>
      <c r="EW30" s="231">
        <v>16445</v>
      </c>
      <c r="EX30" s="229">
        <v>1.2699999999999999E-2</v>
      </c>
      <c r="EY30" s="229">
        <v>0.24160000000000001</v>
      </c>
    </row>
    <row r="31" spans="1:155" ht="17.25" thickBot="1" x14ac:dyDescent="0.3">
      <c r="A31" s="226">
        <v>46132</v>
      </c>
      <c r="B31" s="227" t="s">
        <v>162</v>
      </c>
      <c r="C31" s="227" t="s">
        <v>251</v>
      </c>
      <c r="D31" s="231">
        <v>3218.3</v>
      </c>
      <c r="E31" s="231">
        <v>3207.2</v>
      </c>
      <c r="F31" s="228">
        <v>11.1</v>
      </c>
      <c r="G31" s="229">
        <v>3.5000000000000001E-3</v>
      </c>
      <c r="H31" s="231">
        <v>3221.6</v>
      </c>
      <c r="I31" s="231">
        <v>3200.2</v>
      </c>
      <c r="J31" s="228">
        <v>21.4</v>
      </c>
      <c r="K31" s="229">
        <v>6.7000000000000002E-3</v>
      </c>
      <c r="L31" s="231">
        <v>3218.3</v>
      </c>
      <c r="M31" s="231">
        <v>3207.2</v>
      </c>
      <c r="N31" s="228">
        <v>11.1</v>
      </c>
      <c r="O31" s="229">
        <v>3.5000000000000001E-3</v>
      </c>
      <c r="P31" s="231">
        <v>3236.6</v>
      </c>
      <c r="Q31" s="231">
        <v>3225.7</v>
      </c>
      <c r="R31" s="228">
        <v>10.9</v>
      </c>
      <c r="S31" s="229">
        <v>3.3999999999999998E-3</v>
      </c>
      <c r="T31" s="231">
        <v>3257.1</v>
      </c>
      <c r="U31" s="231">
        <v>3244</v>
      </c>
      <c r="V31" s="228">
        <v>13.1</v>
      </c>
      <c r="W31" s="229">
        <v>4.0000000000000001E-3</v>
      </c>
      <c r="X31" s="228">
        <v>-3.3</v>
      </c>
      <c r="Y31" s="228">
        <v>7</v>
      </c>
      <c r="Z31" s="228">
        <v>-10.3</v>
      </c>
      <c r="AA31" s="229">
        <v>-1E-3</v>
      </c>
      <c r="AB31" s="228">
        <v>-3.3</v>
      </c>
      <c r="AC31" s="228">
        <v>7</v>
      </c>
      <c r="AD31" s="228">
        <v>-10.3</v>
      </c>
      <c r="AE31" s="229">
        <v>-1E-3</v>
      </c>
      <c r="AF31" s="228">
        <v>15</v>
      </c>
      <c r="AG31" s="228">
        <v>25.5</v>
      </c>
      <c r="AH31" s="228">
        <v>-10.5</v>
      </c>
      <c r="AI31" s="229">
        <v>4.7000000000000002E-3</v>
      </c>
      <c r="AJ31" s="228">
        <v>35.5</v>
      </c>
      <c r="AK31" s="228">
        <v>43.8</v>
      </c>
      <c r="AL31" s="228">
        <v>-8.3000000000000007</v>
      </c>
      <c r="AM31" s="229">
        <v>1.0999999999999999E-2</v>
      </c>
      <c r="AN31" s="231">
        <v>3212.93</v>
      </c>
      <c r="AO31" s="231">
        <v>3229.78</v>
      </c>
      <c r="AP31" s="228">
        <v>0</v>
      </c>
      <c r="AQ31" s="230">
        <v>10410</v>
      </c>
      <c r="AR31" s="230">
        <v>11711</v>
      </c>
      <c r="AS31" s="230">
        <v>-1301</v>
      </c>
      <c r="AT31" s="229">
        <v>-0.1111</v>
      </c>
      <c r="AU31" s="230">
        <v>8501</v>
      </c>
      <c r="AV31" s="230">
        <v>8654</v>
      </c>
      <c r="AW31" s="228">
        <v>-153</v>
      </c>
      <c r="AX31" s="229">
        <v>-1.77E-2</v>
      </c>
      <c r="AY31" s="230">
        <v>1632</v>
      </c>
      <c r="AZ31" s="230">
        <v>1889</v>
      </c>
      <c r="BA31" s="228">
        <v>-257</v>
      </c>
      <c r="BB31" s="229">
        <v>-0.1361</v>
      </c>
      <c r="BC31" s="228">
        <v>277</v>
      </c>
      <c r="BD31" s="230">
        <v>1168</v>
      </c>
      <c r="BE31" s="228">
        <v>-891</v>
      </c>
      <c r="BF31" s="229">
        <v>-0.76280000000000003</v>
      </c>
      <c r="BG31" s="230">
        <v>35858</v>
      </c>
      <c r="BH31" s="230">
        <v>30635</v>
      </c>
      <c r="BI31" s="230">
        <v>5223</v>
      </c>
      <c r="BJ31" s="229">
        <v>0.17050000000000001</v>
      </c>
      <c r="BK31" s="230">
        <v>17182</v>
      </c>
      <c r="BL31" s="230">
        <v>16936</v>
      </c>
      <c r="BM31" s="228">
        <v>246</v>
      </c>
      <c r="BN31" s="229">
        <v>1.4500000000000001E-2</v>
      </c>
      <c r="BO31" s="230">
        <v>63450</v>
      </c>
      <c r="BP31" s="230">
        <v>59282</v>
      </c>
      <c r="BQ31" s="230">
        <v>4168</v>
      </c>
      <c r="BR31" s="229">
        <v>7.0300000000000001E-2</v>
      </c>
      <c r="BS31" s="230">
        <v>3266359</v>
      </c>
      <c r="BT31" s="230">
        <v>2396669</v>
      </c>
      <c r="BU31" s="230">
        <v>869690</v>
      </c>
      <c r="BV31" s="229">
        <v>0.3629</v>
      </c>
      <c r="BW31" s="230">
        <v>19930400</v>
      </c>
      <c r="BX31" s="230">
        <v>19783200</v>
      </c>
      <c r="BY31" s="230">
        <v>147200</v>
      </c>
      <c r="BZ31" s="229">
        <v>7.4000000000000003E-3</v>
      </c>
      <c r="CA31" s="230">
        <v>15569800</v>
      </c>
      <c r="CB31" s="230">
        <v>15588600</v>
      </c>
      <c r="CC31" s="230">
        <v>-18800</v>
      </c>
      <c r="CD31" s="229">
        <v>-1.1999999999999999E-3</v>
      </c>
      <c r="CE31" s="230">
        <v>3306400</v>
      </c>
      <c r="CF31" s="230">
        <v>3168800</v>
      </c>
      <c r="CG31" s="230">
        <v>137600</v>
      </c>
      <c r="CH31" s="229">
        <v>4.3400000000000001E-2</v>
      </c>
      <c r="CI31" s="230">
        <v>1054200</v>
      </c>
      <c r="CJ31" s="230">
        <v>1025800</v>
      </c>
      <c r="CK31" s="230">
        <v>28400</v>
      </c>
      <c r="CL31" s="229">
        <v>2.7699999999999999E-2</v>
      </c>
      <c r="CM31" s="230">
        <v>5164000</v>
      </c>
      <c r="CN31" s="230">
        <v>5522800</v>
      </c>
      <c r="CO31" s="230">
        <v>-358800</v>
      </c>
      <c r="CP31" s="229">
        <v>-6.5000000000000002E-2</v>
      </c>
      <c r="CQ31" s="230">
        <v>3677400</v>
      </c>
      <c r="CR31" s="230">
        <v>3581000</v>
      </c>
      <c r="CS31" s="230">
        <v>96400</v>
      </c>
      <c r="CT31" s="229">
        <v>2.69E-2</v>
      </c>
      <c r="CU31" s="230">
        <v>28771800</v>
      </c>
      <c r="CV31" s="230">
        <v>28887000</v>
      </c>
      <c r="CW31" s="230">
        <v>-115200</v>
      </c>
      <c r="CX31" s="229">
        <v>-4.0000000000000001E-3</v>
      </c>
      <c r="CY31" s="228">
        <v>34.72</v>
      </c>
      <c r="CZ31" s="228">
        <v>32.299999999999997</v>
      </c>
      <c r="DA31" s="228">
        <v>2.42</v>
      </c>
      <c r="DB31" s="228">
        <v>2.42</v>
      </c>
      <c r="DC31" s="228">
        <v>35.56</v>
      </c>
      <c r="DD31" s="228">
        <v>35.64</v>
      </c>
      <c r="DE31" s="228">
        <v>-0.84</v>
      </c>
      <c r="DF31" s="228">
        <v>-0.08</v>
      </c>
      <c r="DG31" s="228">
        <v>33.880000000000003</v>
      </c>
      <c r="DH31" s="228">
        <v>31.76</v>
      </c>
      <c r="DI31" s="228">
        <v>2.12</v>
      </c>
      <c r="DJ31" s="228">
        <v>2.12</v>
      </c>
      <c r="DK31" s="228">
        <v>36.49</v>
      </c>
      <c r="DL31" s="228">
        <v>33.28</v>
      </c>
      <c r="DM31" s="228">
        <v>3.21</v>
      </c>
      <c r="DN31" s="228">
        <v>3.21</v>
      </c>
      <c r="DO31" s="228">
        <v>0.71</v>
      </c>
      <c r="DP31" s="228">
        <v>0.65</v>
      </c>
      <c r="DQ31" s="228">
        <v>0.06</v>
      </c>
      <c r="DR31" s="229">
        <v>9.2299999999999993E-2</v>
      </c>
      <c r="DS31" s="231">
        <v>3300</v>
      </c>
      <c r="DT31" s="231">
        <v>3100</v>
      </c>
      <c r="DU31" s="228">
        <v>0.48</v>
      </c>
      <c r="DV31" s="228">
        <v>0.55000000000000004</v>
      </c>
      <c r="DW31" s="228">
        <v>-7.0000000000000007E-2</v>
      </c>
      <c r="DX31" s="229">
        <v>-0.1273</v>
      </c>
      <c r="DY31" s="229">
        <v>0.21879999999999999</v>
      </c>
      <c r="DZ31" s="230">
        <v>4194600</v>
      </c>
      <c r="EA31" s="229">
        <v>5.7000000000000002E-3</v>
      </c>
      <c r="EB31" s="229">
        <v>0.21879999999999999</v>
      </c>
      <c r="EC31" s="228">
        <v>16.850000000000001</v>
      </c>
      <c r="ED31" s="229">
        <v>5.1999999999999998E-3</v>
      </c>
      <c r="EE31" s="230">
        <v>1990301</v>
      </c>
      <c r="EF31" s="230">
        <v>1381871</v>
      </c>
      <c r="EG31" s="229">
        <v>0.44030000000000002</v>
      </c>
      <c r="EH31" s="229">
        <v>0.60929999999999995</v>
      </c>
      <c r="EI31" s="231">
        <v>238244.36</v>
      </c>
      <c r="EJ31" s="231">
        <v>109571.29</v>
      </c>
      <c r="EK31" s="231">
        <v>66969.09</v>
      </c>
      <c r="EL31" s="231">
        <v>12872</v>
      </c>
      <c r="EM31" s="231">
        <v>414784.74</v>
      </c>
      <c r="EN31" s="231">
        <v>387957.16</v>
      </c>
      <c r="EO31" s="231">
        <v>26827.58</v>
      </c>
      <c r="EP31" s="229">
        <v>6.9199999999999998E-2</v>
      </c>
      <c r="EQ31" s="231">
        <v>169595</v>
      </c>
      <c r="ER31" s="231">
        <v>114350</v>
      </c>
      <c r="ES31" s="231">
        <v>642434</v>
      </c>
      <c r="ET31" s="231">
        <v>120808308</v>
      </c>
      <c r="EU31" s="231">
        <v>926379</v>
      </c>
      <c r="EV31" s="231">
        <v>928121</v>
      </c>
      <c r="EW31" s="231">
        <v>-1742</v>
      </c>
      <c r="EX31" s="229">
        <v>-1.9E-3</v>
      </c>
      <c r="EY31" s="229">
        <v>0.2382</v>
      </c>
    </row>
    <row r="32" spans="1:155" ht="17.25" thickBot="1" x14ac:dyDescent="0.3">
      <c r="A32" s="226">
        <v>46132</v>
      </c>
      <c r="B32" s="227" t="s">
        <v>162</v>
      </c>
      <c r="C32" s="227" t="s">
        <v>255</v>
      </c>
      <c r="D32" s="231">
        <v>13442</v>
      </c>
      <c r="E32" s="231">
        <v>13490</v>
      </c>
      <c r="F32" s="228">
        <v>-48</v>
      </c>
      <c r="G32" s="229">
        <v>-3.5999999999999999E-3</v>
      </c>
      <c r="H32" s="231">
        <v>13450</v>
      </c>
      <c r="I32" s="231">
        <v>13453</v>
      </c>
      <c r="J32" s="228">
        <v>-3</v>
      </c>
      <c r="K32" s="229">
        <v>-2.0000000000000001E-4</v>
      </c>
      <c r="L32" s="231">
        <v>13442</v>
      </c>
      <c r="M32" s="231">
        <v>13490</v>
      </c>
      <c r="N32" s="228">
        <v>-48</v>
      </c>
      <c r="O32" s="229">
        <v>-3.5999999999999999E-3</v>
      </c>
      <c r="P32" s="231">
        <v>13522</v>
      </c>
      <c r="Q32" s="231">
        <v>13560</v>
      </c>
      <c r="R32" s="228">
        <v>-38</v>
      </c>
      <c r="S32" s="229">
        <v>-2.8E-3</v>
      </c>
      <c r="T32" s="231">
        <v>13608</v>
      </c>
      <c r="U32" s="231">
        <v>13656</v>
      </c>
      <c r="V32" s="228">
        <v>-48</v>
      </c>
      <c r="W32" s="229">
        <v>-3.5000000000000001E-3</v>
      </c>
      <c r="X32" s="228">
        <v>-8</v>
      </c>
      <c r="Y32" s="228">
        <v>37</v>
      </c>
      <c r="Z32" s="228">
        <v>-45</v>
      </c>
      <c r="AA32" s="229">
        <v>-5.9999999999999995E-4</v>
      </c>
      <c r="AB32" s="228">
        <v>-8</v>
      </c>
      <c r="AC32" s="228">
        <v>37</v>
      </c>
      <c r="AD32" s="228">
        <v>-45</v>
      </c>
      <c r="AE32" s="229">
        <v>-5.9999999999999995E-4</v>
      </c>
      <c r="AF32" s="228">
        <v>72</v>
      </c>
      <c r="AG32" s="228">
        <v>107</v>
      </c>
      <c r="AH32" s="228">
        <v>-35</v>
      </c>
      <c r="AI32" s="229">
        <v>5.4000000000000003E-3</v>
      </c>
      <c r="AJ32" s="228">
        <v>158</v>
      </c>
      <c r="AK32" s="228">
        <v>203</v>
      </c>
      <c r="AL32" s="228">
        <v>-45</v>
      </c>
      <c r="AM32" s="229">
        <v>1.17E-2</v>
      </c>
      <c r="AN32" s="231">
        <v>13458.4</v>
      </c>
      <c r="AO32" s="231">
        <v>13536.64</v>
      </c>
      <c r="AP32" s="228">
        <v>0</v>
      </c>
      <c r="AQ32" s="230">
        <v>5954</v>
      </c>
      <c r="AR32" s="230">
        <v>12341</v>
      </c>
      <c r="AS32" s="230">
        <v>-6387</v>
      </c>
      <c r="AT32" s="229">
        <v>-0.51749999999999996</v>
      </c>
      <c r="AU32" s="230">
        <v>4772</v>
      </c>
      <c r="AV32" s="230">
        <v>10419</v>
      </c>
      <c r="AW32" s="230">
        <v>-5647</v>
      </c>
      <c r="AX32" s="229">
        <v>-0.54200000000000004</v>
      </c>
      <c r="AY32" s="230">
        <v>1060</v>
      </c>
      <c r="AZ32" s="230">
        <v>1831</v>
      </c>
      <c r="BA32" s="228">
        <v>-771</v>
      </c>
      <c r="BB32" s="229">
        <v>-0.42109999999999997</v>
      </c>
      <c r="BC32" s="228">
        <v>122</v>
      </c>
      <c r="BD32" s="228">
        <v>91</v>
      </c>
      <c r="BE32" s="228">
        <v>31</v>
      </c>
      <c r="BF32" s="229">
        <v>0.3407</v>
      </c>
      <c r="BG32" s="230">
        <v>41349</v>
      </c>
      <c r="BH32" s="230">
        <v>124580</v>
      </c>
      <c r="BI32" s="230">
        <v>-83231</v>
      </c>
      <c r="BJ32" s="229">
        <v>-0.66810000000000003</v>
      </c>
      <c r="BK32" s="230">
        <v>22631</v>
      </c>
      <c r="BL32" s="230">
        <v>51867</v>
      </c>
      <c r="BM32" s="230">
        <v>-29236</v>
      </c>
      <c r="BN32" s="229">
        <v>-0.56369999999999998</v>
      </c>
      <c r="BO32" s="230">
        <v>69934</v>
      </c>
      <c r="BP32" s="230">
        <v>188788</v>
      </c>
      <c r="BQ32" s="230">
        <v>-118854</v>
      </c>
      <c r="BR32" s="229">
        <v>-0.62960000000000005</v>
      </c>
      <c r="BS32" s="230">
        <v>366189</v>
      </c>
      <c r="BT32" s="230">
        <v>616185</v>
      </c>
      <c r="BU32" s="230">
        <v>-249996</v>
      </c>
      <c r="BV32" s="229">
        <v>-0.40570000000000001</v>
      </c>
      <c r="BW32" s="230">
        <v>3537050</v>
      </c>
      <c r="BX32" s="230">
        <v>3493650</v>
      </c>
      <c r="BY32" s="230">
        <v>43400</v>
      </c>
      <c r="BZ32" s="229">
        <v>1.24E-2</v>
      </c>
      <c r="CA32" s="230">
        <v>2973650</v>
      </c>
      <c r="CB32" s="230">
        <v>2962650</v>
      </c>
      <c r="CC32" s="230">
        <v>11000</v>
      </c>
      <c r="CD32" s="229">
        <v>3.7000000000000002E-3</v>
      </c>
      <c r="CE32" s="230">
        <v>466650</v>
      </c>
      <c r="CF32" s="230">
        <v>438450</v>
      </c>
      <c r="CG32" s="230">
        <v>28200</v>
      </c>
      <c r="CH32" s="229">
        <v>6.4299999999999996E-2</v>
      </c>
      <c r="CI32" s="230">
        <v>96750</v>
      </c>
      <c r="CJ32" s="230">
        <v>92550</v>
      </c>
      <c r="CK32" s="230">
        <v>4200</v>
      </c>
      <c r="CL32" s="229">
        <v>4.5400000000000003E-2</v>
      </c>
      <c r="CM32" s="230">
        <v>2063350</v>
      </c>
      <c r="CN32" s="230">
        <v>2103200</v>
      </c>
      <c r="CO32" s="230">
        <v>-39850</v>
      </c>
      <c r="CP32" s="229">
        <v>-1.89E-2</v>
      </c>
      <c r="CQ32" s="230">
        <v>1252350</v>
      </c>
      <c r="CR32" s="230">
        <v>1245750</v>
      </c>
      <c r="CS32" s="230">
        <v>6600</v>
      </c>
      <c r="CT32" s="229">
        <v>5.3E-3</v>
      </c>
      <c r="CU32" s="230">
        <v>6852750</v>
      </c>
      <c r="CV32" s="230">
        <v>6842600</v>
      </c>
      <c r="CW32" s="230">
        <v>10150</v>
      </c>
      <c r="CX32" s="229">
        <v>1.5E-3</v>
      </c>
      <c r="CY32" s="228">
        <v>34.93</v>
      </c>
      <c r="CZ32" s="228">
        <v>30.49</v>
      </c>
      <c r="DA32" s="228">
        <v>4.4400000000000004</v>
      </c>
      <c r="DB32" s="228">
        <v>4.4400000000000004</v>
      </c>
      <c r="DC32" s="228">
        <v>28.91</v>
      </c>
      <c r="DD32" s="228">
        <v>28.99</v>
      </c>
      <c r="DE32" s="228">
        <v>6.02</v>
      </c>
      <c r="DF32" s="228">
        <v>-0.08</v>
      </c>
      <c r="DG32" s="228">
        <v>34.14</v>
      </c>
      <c r="DH32" s="228">
        <v>29.72</v>
      </c>
      <c r="DI32" s="228">
        <v>4.42</v>
      </c>
      <c r="DJ32" s="228">
        <v>4.42</v>
      </c>
      <c r="DK32" s="228">
        <v>36.369999999999997</v>
      </c>
      <c r="DL32" s="228">
        <v>32.340000000000003</v>
      </c>
      <c r="DM32" s="228">
        <v>4.03</v>
      </c>
      <c r="DN32" s="228">
        <v>4.03</v>
      </c>
      <c r="DO32" s="228">
        <v>0.61</v>
      </c>
      <c r="DP32" s="228">
        <v>0.59</v>
      </c>
      <c r="DQ32" s="228">
        <v>0.02</v>
      </c>
      <c r="DR32" s="229">
        <v>3.39E-2</v>
      </c>
      <c r="DS32" s="231">
        <v>14000</v>
      </c>
      <c r="DT32" s="231">
        <v>13000</v>
      </c>
      <c r="DU32" s="228">
        <v>0.55000000000000004</v>
      </c>
      <c r="DV32" s="228">
        <v>0.42</v>
      </c>
      <c r="DW32" s="228">
        <v>0.13</v>
      </c>
      <c r="DX32" s="229">
        <v>0.3095</v>
      </c>
      <c r="DY32" s="229">
        <v>0.1593</v>
      </c>
      <c r="DZ32" s="230">
        <v>531000</v>
      </c>
      <c r="EA32" s="229">
        <v>6.0000000000000001E-3</v>
      </c>
      <c r="EB32" s="229">
        <v>0.1593</v>
      </c>
      <c r="EC32" s="228">
        <v>78.239999999999995</v>
      </c>
      <c r="ED32" s="229">
        <v>5.7999999999999996E-3</v>
      </c>
      <c r="EE32" s="230">
        <v>187238</v>
      </c>
      <c r="EF32" s="230">
        <v>300764</v>
      </c>
      <c r="EG32" s="229">
        <v>-0.3775</v>
      </c>
      <c r="EH32" s="229">
        <v>0.51129999999999998</v>
      </c>
      <c r="EI32" s="231">
        <v>291170.8</v>
      </c>
      <c r="EJ32" s="231">
        <v>148572.35999999999</v>
      </c>
      <c r="EK32" s="231">
        <v>40117.49</v>
      </c>
      <c r="EL32" s="231">
        <v>14526</v>
      </c>
      <c r="EM32" s="231">
        <v>479860.65</v>
      </c>
      <c r="EN32" s="231">
        <v>1305358.51</v>
      </c>
      <c r="EO32" s="231">
        <v>-825497.86</v>
      </c>
      <c r="EP32" s="229">
        <v>-0.63239999999999996</v>
      </c>
      <c r="EQ32" s="231">
        <v>285873</v>
      </c>
      <c r="ER32" s="231">
        <v>159123</v>
      </c>
      <c r="ES32" s="231">
        <v>475984</v>
      </c>
      <c r="ET32" s="231">
        <v>19673414</v>
      </c>
      <c r="EU32" s="231">
        <v>920980</v>
      </c>
      <c r="EV32" s="231">
        <v>921775</v>
      </c>
      <c r="EW32" s="228">
        <v>-795</v>
      </c>
      <c r="EX32" s="229">
        <v>-8.9999999999999998E-4</v>
      </c>
      <c r="EY32" s="229">
        <v>0.3483</v>
      </c>
    </row>
    <row r="33" spans="1:155" ht="17.25" thickBot="1" x14ac:dyDescent="0.3">
      <c r="A33" s="226">
        <v>46132</v>
      </c>
      <c r="B33" s="227" t="s">
        <v>170</v>
      </c>
      <c r="C33" s="227" t="s">
        <v>602</v>
      </c>
      <c r="D33" s="231">
        <v>1009.95</v>
      </c>
      <c r="E33" s="231">
        <v>1007.45</v>
      </c>
      <c r="F33" s="228">
        <v>2.5</v>
      </c>
      <c r="G33" s="229">
        <v>2.5000000000000001E-3</v>
      </c>
      <c r="H33" s="231">
        <v>1011.35</v>
      </c>
      <c r="I33" s="231">
        <v>1007.65</v>
      </c>
      <c r="J33" s="228">
        <v>3.7</v>
      </c>
      <c r="K33" s="229">
        <v>3.7000000000000002E-3</v>
      </c>
      <c r="L33" s="231">
        <v>1009.95</v>
      </c>
      <c r="M33" s="231">
        <v>1007.45</v>
      </c>
      <c r="N33" s="228">
        <v>2.5</v>
      </c>
      <c r="O33" s="229">
        <v>2.5000000000000001E-3</v>
      </c>
      <c r="P33" s="231">
        <v>1015.6</v>
      </c>
      <c r="Q33" s="231">
        <v>1013.05</v>
      </c>
      <c r="R33" s="228">
        <v>2.5499999999999998</v>
      </c>
      <c r="S33" s="229">
        <v>2.5000000000000001E-3</v>
      </c>
      <c r="T33" s="231">
        <v>1020.65</v>
      </c>
      <c r="U33" s="231">
        <v>1020.65</v>
      </c>
      <c r="V33" s="228">
        <v>0</v>
      </c>
      <c r="W33" s="229">
        <v>0</v>
      </c>
      <c r="X33" s="228">
        <v>-1.4</v>
      </c>
      <c r="Y33" s="228">
        <v>-0.2</v>
      </c>
      <c r="Z33" s="228">
        <v>-1.2</v>
      </c>
      <c r="AA33" s="229">
        <v>-1.4E-3</v>
      </c>
      <c r="AB33" s="228">
        <v>-1.4</v>
      </c>
      <c r="AC33" s="228">
        <v>-0.2</v>
      </c>
      <c r="AD33" s="228">
        <v>-1.2</v>
      </c>
      <c r="AE33" s="229">
        <v>-1.4E-3</v>
      </c>
      <c r="AF33" s="228">
        <v>4.25</v>
      </c>
      <c r="AG33" s="228">
        <v>5.4</v>
      </c>
      <c r="AH33" s="228">
        <v>-1.1499999999999999</v>
      </c>
      <c r="AI33" s="229">
        <v>4.1999999999999997E-3</v>
      </c>
      <c r="AJ33" s="228">
        <v>9.3000000000000007</v>
      </c>
      <c r="AK33" s="228">
        <v>13</v>
      </c>
      <c r="AL33" s="228">
        <v>-3.7</v>
      </c>
      <c r="AM33" s="229">
        <v>9.1999999999999998E-3</v>
      </c>
      <c r="AN33" s="231">
        <v>1010.77</v>
      </c>
      <c r="AO33" s="231">
        <v>1016.98</v>
      </c>
      <c r="AP33" s="228">
        <v>0</v>
      </c>
      <c r="AQ33" s="230">
        <v>4021</v>
      </c>
      <c r="AR33" s="230">
        <v>2963</v>
      </c>
      <c r="AS33" s="230">
        <v>1058</v>
      </c>
      <c r="AT33" s="229">
        <v>0.35709999999999997</v>
      </c>
      <c r="AU33" s="230">
        <v>3736</v>
      </c>
      <c r="AV33" s="230">
        <v>2659</v>
      </c>
      <c r="AW33" s="230">
        <v>1077</v>
      </c>
      <c r="AX33" s="229">
        <v>0.40500000000000003</v>
      </c>
      <c r="AY33" s="228">
        <v>268</v>
      </c>
      <c r="AZ33" s="228">
        <v>288</v>
      </c>
      <c r="BA33" s="228">
        <v>-20</v>
      </c>
      <c r="BB33" s="229">
        <v>-6.9400000000000003E-2</v>
      </c>
      <c r="BC33" s="228">
        <v>17</v>
      </c>
      <c r="BD33" s="228">
        <v>16</v>
      </c>
      <c r="BE33" s="228">
        <v>1</v>
      </c>
      <c r="BF33" s="229">
        <v>6.25E-2</v>
      </c>
      <c r="BG33" s="230">
        <v>13317</v>
      </c>
      <c r="BH33" s="230">
        <v>13519</v>
      </c>
      <c r="BI33" s="228">
        <v>-202</v>
      </c>
      <c r="BJ33" s="229">
        <v>-1.49E-2</v>
      </c>
      <c r="BK33" s="230">
        <v>5187</v>
      </c>
      <c r="BL33" s="230">
        <v>4673</v>
      </c>
      <c r="BM33" s="228">
        <v>514</v>
      </c>
      <c r="BN33" s="229">
        <v>0.11</v>
      </c>
      <c r="BO33" s="230">
        <v>22525</v>
      </c>
      <c r="BP33" s="230">
        <v>21155</v>
      </c>
      <c r="BQ33" s="230">
        <v>1370</v>
      </c>
      <c r="BR33" s="229">
        <v>6.4799999999999996E-2</v>
      </c>
      <c r="BS33" s="230">
        <v>2332665</v>
      </c>
      <c r="BT33" s="230">
        <v>1713809</v>
      </c>
      <c r="BU33" s="230">
        <v>618856</v>
      </c>
      <c r="BV33" s="229">
        <v>0.36109999999999998</v>
      </c>
      <c r="BW33" s="230">
        <v>14344050</v>
      </c>
      <c r="BX33" s="230">
        <v>14541975</v>
      </c>
      <c r="BY33" s="230">
        <v>-197925</v>
      </c>
      <c r="BZ33" s="229">
        <v>-1.3599999999999999E-2</v>
      </c>
      <c r="CA33" s="230">
        <v>13494075</v>
      </c>
      <c r="CB33" s="230">
        <v>13731375</v>
      </c>
      <c r="CC33" s="230">
        <v>-237300</v>
      </c>
      <c r="CD33" s="229">
        <v>-1.7299999999999999E-2</v>
      </c>
      <c r="CE33" s="230">
        <v>746550</v>
      </c>
      <c r="CF33" s="230">
        <v>704550</v>
      </c>
      <c r="CG33" s="230">
        <v>42000</v>
      </c>
      <c r="CH33" s="229">
        <v>5.96E-2</v>
      </c>
      <c r="CI33" s="230">
        <v>103425</v>
      </c>
      <c r="CJ33" s="230">
        <v>106050</v>
      </c>
      <c r="CK33" s="230">
        <v>-2625</v>
      </c>
      <c r="CL33" s="229">
        <v>-2.4799999999999999E-2</v>
      </c>
      <c r="CM33" s="230">
        <v>4200525</v>
      </c>
      <c r="CN33" s="230">
        <v>4379550</v>
      </c>
      <c r="CO33" s="230">
        <v>-179025</v>
      </c>
      <c r="CP33" s="229">
        <v>-4.0899999999999999E-2</v>
      </c>
      <c r="CQ33" s="230">
        <v>2440200</v>
      </c>
      <c r="CR33" s="230">
        <v>2440725</v>
      </c>
      <c r="CS33" s="228">
        <v>-525</v>
      </c>
      <c r="CT33" s="229">
        <v>-2.0000000000000001E-4</v>
      </c>
      <c r="CU33" s="230">
        <v>20984775</v>
      </c>
      <c r="CV33" s="230">
        <v>21362250</v>
      </c>
      <c r="CW33" s="230">
        <v>-377475</v>
      </c>
      <c r="CX33" s="229">
        <v>-1.77E-2</v>
      </c>
      <c r="CY33" s="228">
        <v>29.91</v>
      </c>
      <c r="CZ33" s="228">
        <v>28.11</v>
      </c>
      <c r="DA33" s="228">
        <v>1.8</v>
      </c>
      <c r="DB33" s="228">
        <v>1.8</v>
      </c>
      <c r="DC33" s="228">
        <v>36.22</v>
      </c>
      <c r="DD33" s="228">
        <v>36.299999999999997</v>
      </c>
      <c r="DE33" s="228">
        <v>-6.31</v>
      </c>
      <c r="DF33" s="228">
        <v>-0.08</v>
      </c>
      <c r="DG33" s="228">
        <v>29.14</v>
      </c>
      <c r="DH33" s="228">
        <v>27.4</v>
      </c>
      <c r="DI33" s="228">
        <v>1.74</v>
      </c>
      <c r="DJ33" s="228">
        <v>1.74</v>
      </c>
      <c r="DK33" s="228">
        <v>31.89</v>
      </c>
      <c r="DL33" s="228">
        <v>30.16</v>
      </c>
      <c r="DM33" s="228">
        <v>1.73</v>
      </c>
      <c r="DN33" s="228">
        <v>1.73</v>
      </c>
      <c r="DO33" s="228">
        <v>0.57999999999999996</v>
      </c>
      <c r="DP33" s="228">
        <v>0.56000000000000005</v>
      </c>
      <c r="DQ33" s="228">
        <v>0.02</v>
      </c>
      <c r="DR33" s="229">
        <v>3.5700000000000003E-2</v>
      </c>
      <c r="DS33" s="231">
        <v>1020</v>
      </c>
      <c r="DT33" s="228">
        <v>960</v>
      </c>
      <c r="DU33" s="228">
        <v>0.39</v>
      </c>
      <c r="DV33" s="228">
        <v>0.35</v>
      </c>
      <c r="DW33" s="228">
        <v>0.04</v>
      </c>
      <c r="DX33" s="229">
        <v>0.1143</v>
      </c>
      <c r="DY33" s="229">
        <v>5.9299999999999999E-2</v>
      </c>
      <c r="DZ33" s="230">
        <v>810600</v>
      </c>
      <c r="EA33" s="229">
        <v>5.5999999999999999E-3</v>
      </c>
      <c r="EB33" s="229">
        <v>5.9299999999999999E-2</v>
      </c>
      <c r="EC33" s="228">
        <v>6.21</v>
      </c>
      <c r="ED33" s="229">
        <v>6.1000000000000004E-3</v>
      </c>
      <c r="EE33" s="230">
        <v>1349564</v>
      </c>
      <c r="EF33" s="230">
        <v>992451</v>
      </c>
      <c r="EG33" s="229">
        <v>0.35980000000000001</v>
      </c>
      <c r="EH33" s="229">
        <v>0.5786</v>
      </c>
      <c r="EI33" s="231">
        <v>72790.850000000006</v>
      </c>
      <c r="EJ33" s="231">
        <v>27414.06</v>
      </c>
      <c r="EK33" s="231">
        <v>21347.41</v>
      </c>
      <c r="EL33" s="231">
        <v>5013</v>
      </c>
      <c r="EM33" s="231">
        <v>121552.32000000001</v>
      </c>
      <c r="EN33" s="231">
        <v>113192.38</v>
      </c>
      <c r="EO33" s="231">
        <v>8359.94</v>
      </c>
      <c r="EP33" s="229">
        <v>7.3899999999999993E-2</v>
      </c>
      <c r="EQ33" s="231">
        <v>42846</v>
      </c>
      <c r="ER33" s="231">
        <v>23539</v>
      </c>
      <c r="ES33" s="231">
        <v>144921</v>
      </c>
      <c r="ET33" s="231">
        <v>111298748</v>
      </c>
      <c r="EU33" s="231">
        <v>211306</v>
      </c>
      <c r="EV33" s="231">
        <v>214573</v>
      </c>
      <c r="EW33" s="231">
        <v>-3267</v>
      </c>
      <c r="EX33" s="229">
        <v>-1.52E-2</v>
      </c>
      <c r="EY33" s="229">
        <v>0.1885</v>
      </c>
    </row>
    <row r="34" spans="1:155" ht="17.25" thickBot="1" x14ac:dyDescent="0.3">
      <c r="A34" s="226">
        <v>46132</v>
      </c>
      <c r="B34" s="227" t="s">
        <v>168</v>
      </c>
      <c r="C34" s="227" t="s">
        <v>265</v>
      </c>
      <c r="D34" s="231">
        <v>1287.7</v>
      </c>
      <c r="E34" s="231">
        <v>1286</v>
      </c>
      <c r="F34" s="228">
        <v>1.7</v>
      </c>
      <c r="G34" s="229">
        <v>1.2999999999999999E-3</v>
      </c>
      <c r="H34" s="231">
        <v>1286.4000000000001</v>
      </c>
      <c r="I34" s="231">
        <v>1285.5999999999999</v>
      </c>
      <c r="J34" s="228">
        <v>0.8</v>
      </c>
      <c r="K34" s="229">
        <v>5.9999999999999995E-4</v>
      </c>
      <c r="L34" s="231">
        <v>1287.7</v>
      </c>
      <c r="M34" s="231">
        <v>1286</v>
      </c>
      <c r="N34" s="228">
        <v>1.7</v>
      </c>
      <c r="O34" s="229">
        <v>1.2999999999999999E-3</v>
      </c>
      <c r="P34" s="231">
        <v>1293.4000000000001</v>
      </c>
      <c r="Q34" s="231">
        <v>1293.5</v>
      </c>
      <c r="R34" s="228">
        <v>-0.1</v>
      </c>
      <c r="S34" s="229">
        <v>-1E-4</v>
      </c>
      <c r="T34" s="231">
        <v>1303</v>
      </c>
      <c r="U34" s="231">
        <v>1301.0999999999999</v>
      </c>
      <c r="V34" s="228">
        <v>1.9</v>
      </c>
      <c r="W34" s="229">
        <v>1.5E-3</v>
      </c>
      <c r="X34" s="228">
        <v>1.3</v>
      </c>
      <c r="Y34" s="228">
        <v>0.4</v>
      </c>
      <c r="Z34" s="228">
        <v>0.9</v>
      </c>
      <c r="AA34" s="229">
        <v>1E-3</v>
      </c>
      <c r="AB34" s="228">
        <v>1.3</v>
      </c>
      <c r="AC34" s="228">
        <v>0.4</v>
      </c>
      <c r="AD34" s="228">
        <v>0.9</v>
      </c>
      <c r="AE34" s="229">
        <v>1E-3</v>
      </c>
      <c r="AF34" s="228">
        <v>7</v>
      </c>
      <c r="AG34" s="228">
        <v>7.9</v>
      </c>
      <c r="AH34" s="228">
        <v>-0.9</v>
      </c>
      <c r="AI34" s="229">
        <v>5.4000000000000003E-3</v>
      </c>
      <c r="AJ34" s="228">
        <v>16.600000000000001</v>
      </c>
      <c r="AK34" s="228">
        <v>15.5</v>
      </c>
      <c r="AL34" s="228">
        <v>1.1000000000000001</v>
      </c>
      <c r="AM34" s="229">
        <v>1.29E-2</v>
      </c>
      <c r="AN34" s="231">
        <v>1286.8800000000001</v>
      </c>
      <c r="AO34" s="231">
        <v>1292.0999999999999</v>
      </c>
      <c r="AP34" s="228">
        <v>0</v>
      </c>
      <c r="AQ34" s="230">
        <v>5264</v>
      </c>
      <c r="AR34" s="230">
        <v>4031</v>
      </c>
      <c r="AS34" s="230">
        <v>1233</v>
      </c>
      <c r="AT34" s="229">
        <v>0.30590000000000001</v>
      </c>
      <c r="AU34" s="230">
        <v>4647</v>
      </c>
      <c r="AV34" s="230">
        <v>3689</v>
      </c>
      <c r="AW34" s="228">
        <v>958</v>
      </c>
      <c r="AX34" s="229">
        <v>0.25969999999999999</v>
      </c>
      <c r="AY34" s="228">
        <v>559</v>
      </c>
      <c r="AZ34" s="228">
        <v>328</v>
      </c>
      <c r="BA34" s="228">
        <v>231</v>
      </c>
      <c r="BB34" s="229">
        <v>0.70430000000000004</v>
      </c>
      <c r="BC34" s="228">
        <v>58</v>
      </c>
      <c r="BD34" s="228">
        <v>14</v>
      </c>
      <c r="BE34" s="228">
        <v>44</v>
      </c>
      <c r="BF34" s="229">
        <v>3.1429</v>
      </c>
      <c r="BG34" s="230">
        <v>15775</v>
      </c>
      <c r="BH34" s="230">
        <v>19929</v>
      </c>
      <c r="BI34" s="230">
        <v>-4154</v>
      </c>
      <c r="BJ34" s="229">
        <v>-0.2084</v>
      </c>
      <c r="BK34" s="230">
        <v>5167</v>
      </c>
      <c r="BL34" s="230">
        <v>5198</v>
      </c>
      <c r="BM34" s="228">
        <v>-31</v>
      </c>
      <c r="BN34" s="229">
        <v>-6.0000000000000001E-3</v>
      </c>
      <c r="BO34" s="230">
        <v>26206</v>
      </c>
      <c r="BP34" s="230">
        <v>29158</v>
      </c>
      <c r="BQ34" s="230">
        <v>-2952</v>
      </c>
      <c r="BR34" s="229">
        <v>-0.1012</v>
      </c>
      <c r="BS34" s="230">
        <v>1228797</v>
      </c>
      <c r="BT34" s="230">
        <v>2070753</v>
      </c>
      <c r="BU34" s="230">
        <v>-841956</v>
      </c>
      <c r="BV34" s="229">
        <v>-0.40660000000000002</v>
      </c>
      <c r="BW34" s="230">
        <v>18992000</v>
      </c>
      <c r="BX34" s="230">
        <v>18938000</v>
      </c>
      <c r="BY34" s="230">
        <v>54000</v>
      </c>
      <c r="BZ34" s="229">
        <v>2.8999999999999998E-3</v>
      </c>
      <c r="CA34" s="230">
        <v>17656000</v>
      </c>
      <c r="CB34" s="230">
        <v>17624000</v>
      </c>
      <c r="CC34" s="230">
        <v>32000</v>
      </c>
      <c r="CD34" s="229">
        <v>1.8E-3</v>
      </c>
      <c r="CE34" s="230">
        <v>611000</v>
      </c>
      <c r="CF34" s="230">
        <v>578000</v>
      </c>
      <c r="CG34" s="230">
        <v>33000</v>
      </c>
      <c r="CH34" s="229">
        <v>5.7099999999999998E-2</v>
      </c>
      <c r="CI34" s="230">
        <v>725000</v>
      </c>
      <c r="CJ34" s="230">
        <v>736000</v>
      </c>
      <c r="CK34" s="230">
        <v>-11000</v>
      </c>
      <c r="CL34" s="229">
        <v>-1.49E-2</v>
      </c>
      <c r="CM34" s="230">
        <v>4878000</v>
      </c>
      <c r="CN34" s="230">
        <v>4183500</v>
      </c>
      <c r="CO34" s="230">
        <v>694500</v>
      </c>
      <c r="CP34" s="229">
        <v>0.16600000000000001</v>
      </c>
      <c r="CQ34" s="230">
        <v>2629500</v>
      </c>
      <c r="CR34" s="230">
        <v>2351000</v>
      </c>
      <c r="CS34" s="230">
        <v>278500</v>
      </c>
      <c r="CT34" s="229">
        <v>0.11849999999999999</v>
      </c>
      <c r="CU34" s="230">
        <v>26499500</v>
      </c>
      <c r="CV34" s="230">
        <v>25472500</v>
      </c>
      <c r="CW34" s="230">
        <v>1027000</v>
      </c>
      <c r="CX34" s="229">
        <v>4.0300000000000002E-2</v>
      </c>
      <c r="CY34" s="228">
        <v>36.07</v>
      </c>
      <c r="CZ34" s="228">
        <v>28.7</v>
      </c>
      <c r="DA34" s="228">
        <v>7.37</v>
      </c>
      <c r="DB34" s="228">
        <v>7.37</v>
      </c>
      <c r="DC34" s="228">
        <v>23.52</v>
      </c>
      <c r="DD34" s="228">
        <v>23.57</v>
      </c>
      <c r="DE34" s="228">
        <v>12.55</v>
      </c>
      <c r="DF34" s="228">
        <v>-0.05</v>
      </c>
      <c r="DG34" s="228">
        <v>36.08</v>
      </c>
      <c r="DH34" s="228">
        <v>28.27</v>
      </c>
      <c r="DI34" s="228">
        <v>7.81</v>
      </c>
      <c r="DJ34" s="228">
        <v>7.81</v>
      </c>
      <c r="DK34" s="228">
        <v>36.04</v>
      </c>
      <c r="DL34" s="228">
        <v>30.36</v>
      </c>
      <c r="DM34" s="228">
        <v>5.68</v>
      </c>
      <c r="DN34" s="228">
        <v>5.68</v>
      </c>
      <c r="DO34" s="228">
        <v>0.54</v>
      </c>
      <c r="DP34" s="228">
        <v>0.56000000000000005</v>
      </c>
      <c r="DQ34" s="228">
        <v>-0.02</v>
      </c>
      <c r="DR34" s="229">
        <v>-3.5700000000000003E-2</v>
      </c>
      <c r="DS34" s="231">
        <v>1300</v>
      </c>
      <c r="DT34" s="231">
        <v>1250</v>
      </c>
      <c r="DU34" s="228">
        <v>0.33</v>
      </c>
      <c r="DV34" s="228">
        <v>0.26</v>
      </c>
      <c r="DW34" s="228">
        <v>7.0000000000000007E-2</v>
      </c>
      <c r="DX34" s="229">
        <v>0.26919999999999999</v>
      </c>
      <c r="DY34" s="229">
        <v>7.0300000000000001E-2</v>
      </c>
      <c r="DZ34" s="230">
        <v>1314000</v>
      </c>
      <c r="EA34" s="229">
        <v>4.4000000000000003E-3</v>
      </c>
      <c r="EB34" s="229">
        <v>7.0300000000000001E-2</v>
      </c>
      <c r="EC34" s="228">
        <v>5.22</v>
      </c>
      <c r="ED34" s="229">
        <v>4.1000000000000003E-3</v>
      </c>
      <c r="EE34" s="230">
        <v>584027</v>
      </c>
      <c r="EF34" s="230">
        <v>1138206</v>
      </c>
      <c r="EG34" s="229">
        <v>-0.4869</v>
      </c>
      <c r="EH34" s="229">
        <v>0.4753</v>
      </c>
      <c r="EI34" s="231">
        <v>105185.56</v>
      </c>
      <c r="EJ34" s="231">
        <v>32766.44</v>
      </c>
      <c r="EK34" s="231">
        <v>33889.760000000002</v>
      </c>
      <c r="EL34" s="231">
        <v>4532</v>
      </c>
      <c r="EM34" s="231">
        <v>171841.76</v>
      </c>
      <c r="EN34" s="231">
        <v>191302.13</v>
      </c>
      <c r="EO34" s="231">
        <v>-19460.37</v>
      </c>
      <c r="EP34" s="229">
        <v>-0.1017</v>
      </c>
      <c r="EQ34" s="231">
        <v>62881</v>
      </c>
      <c r="ER34" s="231">
        <v>31908</v>
      </c>
      <c r="ES34" s="231">
        <v>244706</v>
      </c>
      <c r="ET34" s="231">
        <v>71801274</v>
      </c>
      <c r="EU34" s="231">
        <v>339495</v>
      </c>
      <c r="EV34" s="231">
        <v>325652</v>
      </c>
      <c r="EW34" s="231">
        <v>13843</v>
      </c>
      <c r="EX34" s="229">
        <v>4.2500000000000003E-2</v>
      </c>
      <c r="EY34" s="229">
        <v>0.36909999999999998</v>
      </c>
    </row>
    <row r="35" spans="1:155" ht="17.25" thickBot="1" x14ac:dyDescent="0.3">
      <c r="A35" s="226">
        <v>46132</v>
      </c>
      <c r="B35" s="227" t="s">
        <v>161</v>
      </c>
      <c r="C35" s="227" t="s">
        <v>268</v>
      </c>
      <c r="D35" s="228">
        <v>398.3</v>
      </c>
      <c r="E35" s="228">
        <v>395.2</v>
      </c>
      <c r="F35" s="228">
        <v>3.1</v>
      </c>
      <c r="G35" s="229">
        <v>7.7999999999999996E-3</v>
      </c>
      <c r="H35" s="228">
        <v>398</v>
      </c>
      <c r="I35" s="228">
        <v>393.6</v>
      </c>
      <c r="J35" s="228">
        <v>4.4000000000000004</v>
      </c>
      <c r="K35" s="229">
        <v>1.12E-2</v>
      </c>
      <c r="L35" s="228">
        <v>398.3</v>
      </c>
      <c r="M35" s="228">
        <v>395.2</v>
      </c>
      <c r="N35" s="228">
        <v>3.1</v>
      </c>
      <c r="O35" s="229">
        <v>7.7999999999999996E-3</v>
      </c>
      <c r="P35" s="228">
        <v>400.35</v>
      </c>
      <c r="Q35" s="228">
        <v>397.1</v>
      </c>
      <c r="R35" s="228">
        <v>3.25</v>
      </c>
      <c r="S35" s="229">
        <v>8.2000000000000007E-3</v>
      </c>
      <c r="T35" s="228">
        <v>403.15</v>
      </c>
      <c r="U35" s="228">
        <v>399.1</v>
      </c>
      <c r="V35" s="228">
        <v>4.05</v>
      </c>
      <c r="W35" s="229">
        <v>1.01E-2</v>
      </c>
      <c r="X35" s="228">
        <v>0.3</v>
      </c>
      <c r="Y35" s="228">
        <v>1.6</v>
      </c>
      <c r="Z35" s="228">
        <v>-1.3</v>
      </c>
      <c r="AA35" s="229">
        <v>8.0000000000000004E-4</v>
      </c>
      <c r="AB35" s="228">
        <v>0.3</v>
      </c>
      <c r="AC35" s="228">
        <v>1.6</v>
      </c>
      <c r="AD35" s="228">
        <v>-1.3</v>
      </c>
      <c r="AE35" s="229">
        <v>8.0000000000000004E-4</v>
      </c>
      <c r="AF35" s="228">
        <v>2.35</v>
      </c>
      <c r="AG35" s="228">
        <v>3.5</v>
      </c>
      <c r="AH35" s="228">
        <v>-1.1499999999999999</v>
      </c>
      <c r="AI35" s="229">
        <v>5.8999999999999999E-3</v>
      </c>
      <c r="AJ35" s="228">
        <v>5.15</v>
      </c>
      <c r="AK35" s="228">
        <v>5.5</v>
      </c>
      <c r="AL35" s="228">
        <v>-0.35</v>
      </c>
      <c r="AM35" s="229">
        <v>1.29E-2</v>
      </c>
      <c r="AN35" s="228">
        <v>398.53</v>
      </c>
      <c r="AO35" s="228">
        <v>400.38</v>
      </c>
      <c r="AP35" s="228">
        <v>0</v>
      </c>
      <c r="AQ35" s="230">
        <v>14153</v>
      </c>
      <c r="AR35" s="230">
        <v>13709</v>
      </c>
      <c r="AS35" s="228">
        <v>444</v>
      </c>
      <c r="AT35" s="229">
        <v>3.2399999999999998E-2</v>
      </c>
      <c r="AU35" s="230">
        <v>11143</v>
      </c>
      <c r="AV35" s="230">
        <v>11182</v>
      </c>
      <c r="AW35" s="228">
        <v>-39</v>
      </c>
      <c r="AX35" s="229">
        <v>-3.5000000000000001E-3</v>
      </c>
      <c r="AY35" s="230">
        <v>1845</v>
      </c>
      <c r="AZ35" s="230">
        <v>2448</v>
      </c>
      <c r="BA35" s="228">
        <v>-603</v>
      </c>
      <c r="BB35" s="229">
        <v>-0.24629999999999999</v>
      </c>
      <c r="BC35" s="230">
        <v>1165</v>
      </c>
      <c r="BD35" s="228">
        <v>79</v>
      </c>
      <c r="BE35" s="230">
        <v>1086</v>
      </c>
      <c r="BF35" s="229">
        <v>13.7468</v>
      </c>
      <c r="BG35" s="230">
        <v>72990</v>
      </c>
      <c r="BH35" s="230">
        <v>56654</v>
      </c>
      <c r="BI35" s="230">
        <v>16336</v>
      </c>
      <c r="BJ35" s="229">
        <v>0.2883</v>
      </c>
      <c r="BK35" s="230">
        <v>33174</v>
      </c>
      <c r="BL35" s="230">
        <v>26803</v>
      </c>
      <c r="BM35" s="230">
        <v>6371</v>
      </c>
      <c r="BN35" s="229">
        <v>0.23769999999999999</v>
      </c>
      <c r="BO35" s="230">
        <v>120317</v>
      </c>
      <c r="BP35" s="230">
        <v>97166</v>
      </c>
      <c r="BQ35" s="230">
        <v>23151</v>
      </c>
      <c r="BR35" s="229">
        <v>0.23830000000000001</v>
      </c>
      <c r="BS35" s="230">
        <v>10702238</v>
      </c>
      <c r="BT35" s="230">
        <v>15936041</v>
      </c>
      <c r="BU35" s="230">
        <v>-5233803</v>
      </c>
      <c r="BV35" s="229">
        <v>-0.32840000000000003</v>
      </c>
      <c r="BW35" s="230">
        <v>104403000</v>
      </c>
      <c r="BX35" s="230">
        <v>98035500</v>
      </c>
      <c r="BY35" s="230">
        <v>6367500</v>
      </c>
      <c r="BZ35" s="229">
        <v>6.5000000000000002E-2</v>
      </c>
      <c r="CA35" s="230">
        <v>86224500</v>
      </c>
      <c r="CB35" s="230">
        <v>82618500</v>
      </c>
      <c r="CC35" s="230">
        <v>3606000</v>
      </c>
      <c r="CD35" s="229">
        <v>4.36E-2</v>
      </c>
      <c r="CE35" s="230">
        <v>13222500</v>
      </c>
      <c r="CF35" s="230">
        <v>12052500</v>
      </c>
      <c r="CG35" s="230">
        <v>1170000</v>
      </c>
      <c r="CH35" s="229">
        <v>9.7100000000000006E-2</v>
      </c>
      <c r="CI35" s="230">
        <v>4956000</v>
      </c>
      <c r="CJ35" s="230">
        <v>3364500</v>
      </c>
      <c r="CK35" s="230">
        <v>1591500</v>
      </c>
      <c r="CL35" s="229">
        <v>0.47299999999999998</v>
      </c>
      <c r="CM35" s="230">
        <v>68433000</v>
      </c>
      <c r="CN35" s="230">
        <v>59341500</v>
      </c>
      <c r="CO35" s="230">
        <v>9091500</v>
      </c>
      <c r="CP35" s="229">
        <v>0.1532</v>
      </c>
      <c r="CQ35" s="230">
        <v>36288000</v>
      </c>
      <c r="CR35" s="230">
        <v>31327500</v>
      </c>
      <c r="CS35" s="230">
        <v>4960500</v>
      </c>
      <c r="CT35" s="229">
        <v>0.1583</v>
      </c>
      <c r="CU35" s="230">
        <v>209124000</v>
      </c>
      <c r="CV35" s="230">
        <v>188704500</v>
      </c>
      <c r="CW35" s="230">
        <v>20419500</v>
      </c>
      <c r="CX35" s="229">
        <v>0.1082</v>
      </c>
      <c r="CY35" s="228">
        <v>21.01</v>
      </c>
      <c r="CZ35" s="228">
        <v>19.97</v>
      </c>
      <c r="DA35" s="228">
        <v>1.04</v>
      </c>
      <c r="DB35" s="228">
        <v>1.04</v>
      </c>
      <c r="DC35" s="228">
        <v>27.39</v>
      </c>
      <c r="DD35" s="228">
        <v>27.42</v>
      </c>
      <c r="DE35" s="228">
        <v>-6.38</v>
      </c>
      <c r="DF35" s="228">
        <v>-0.03</v>
      </c>
      <c r="DG35" s="228">
        <v>20.3</v>
      </c>
      <c r="DH35" s="228">
        <v>19.21</v>
      </c>
      <c r="DI35" s="228">
        <v>1.0900000000000001</v>
      </c>
      <c r="DJ35" s="228">
        <v>1.0900000000000001</v>
      </c>
      <c r="DK35" s="228">
        <v>22.57</v>
      </c>
      <c r="DL35" s="228">
        <v>21.58</v>
      </c>
      <c r="DM35" s="228">
        <v>0.99</v>
      </c>
      <c r="DN35" s="228">
        <v>0.99</v>
      </c>
      <c r="DO35" s="228">
        <v>0.53</v>
      </c>
      <c r="DP35" s="228">
        <v>0.53</v>
      </c>
      <c r="DQ35" s="228">
        <v>0</v>
      </c>
      <c r="DR35" s="229">
        <v>0</v>
      </c>
      <c r="DS35" s="228">
        <v>400</v>
      </c>
      <c r="DT35" s="228">
        <v>380</v>
      </c>
      <c r="DU35" s="228">
        <v>0.45</v>
      </c>
      <c r="DV35" s="228">
        <v>0.47</v>
      </c>
      <c r="DW35" s="228">
        <v>-0.02</v>
      </c>
      <c r="DX35" s="229">
        <v>-4.2599999999999999E-2</v>
      </c>
      <c r="DY35" s="229">
        <v>0.1741</v>
      </c>
      <c r="DZ35" s="230">
        <v>15417000</v>
      </c>
      <c r="EA35" s="229">
        <v>5.1000000000000004E-3</v>
      </c>
      <c r="EB35" s="229">
        <v>0.1741</v>
      </c>
      <c r="EC35" s="228">
        <v>1.85</v>
      </c>
      <c r="ED35" s="229">
        <v>4.5999999999999999E-3</v>
      </c>
      <c r="EE35" s="230">
        <v>5815796</v>
      </c>
      <c r="EF35" s="230">
        <v>10153267</v>
      </c>
      <c r="EG35" s="229">
        <v>-0.42720000000000002</v>
      </c>
      <c r="EH35" s="229">
        <v>0.54339999999999999</v>
      </c>
      <c r="EI35" s="231">
        <v>445336.86</v>
      </c>
      <c r="EJ35" s="231">
        <v>195613.38</v>
      </c>
      <c r="EK35" s="231">
        <v>84737.83</v>
      </c>
      <c r="EL35" s="231">
        <v>10166</v>
      </c>
      <c r="EM35" s="231">
        <v>725688.07</v>
      </c>
      <c r="EN35" s="231">
        <v>580016.14</v>
      </c>
      <c r="EO35" s="231">
        <v>145671.93</v>
      </c>
      <c r="EP35" s="229">
        <v>0.25119999999999998</v>
      </c>
      <c r="EQ35" s="231">
        <v>268864</v>
      </c>
      <c r="ER35" s="231">
        <v>136554</v>
      </c>
      <c r="ES35" s="231">
        <v>416349</v>
      </c>
      <c r="ET35" s="231">
        <v>550512361</v>
      </c>
      <c r="EU35" s="231">
        <v>821767</v>
      </c>
      <c r="EV35" s="231">
        <v>736199</v>
      </c>
      <c r="EW35" s="231">
        <v>85568</v>
      </c>
      <c r="EX35" s="229">
        <v>0.1162</v>
      </c>
      <c r="EY35" s="229">
        <v>0.37990000000000002</v>
      </c>
    </row>
    <row r="36" spans="1:155" ht="17.25" thickBot="1" x14ac:dyDescent="0.3">
      <c r="A36" s="226">
        <v>46132</v>
      </c>
      <c r="B36" s="227" t="s">
        <v>193</v>
      </c>
      <c r="C36" s="227" t="s">
        <v>269</v>
      </c>
      <c r="D36" s="228">
        <v>284</v>
      </c>
      <c r="E36" s="228">
        <v>284.89999999999998</v>
      </c>
      <c r="F36" s="228">
        <v>-0.9</v>
      </c>
      <c r="G36" s="229">
        <v>-3.2000000000000002E-3</v>
      </c>
      <c r="H36" s="228">
        <v>283.35000000000002</v>
      </c>
      <c r="I36" s="228">
        <v>284.05</v>
      </c>
      <c r="J36" s="228">
        <v>-0.7</v>
      </c>
      <c r="K36" s="229">
        <v>-2.5000000000000001E-3</v>
      </c>
      <c r="L36" s="228">
        <v>284</v>
      </c>
      <c r="M36" s="228">
        <v>284.89999999999998</v>
      </c>
      <c r="N36" s="228">
        <v>-0.9</v>
      </c>
      <c r="O36" s="229">
        <v>-3.2000000000000002E-3</v>
      </c>
      <c r="P36" s="228">
        <v>285.3</v>
      </c>
      <c r="Q36" s="228">
        <v>286.35000000000002</v>
      </c>
      <c r="R36" s="228">
        <v>-1.05</v>
      </c>
      <c r="S36" s="229">
        <v>-3.7000000000000002E-3</v>
      </c>
      <c r="T36" s="228">
        <v>287.2</v>
      </c>
      <c r="U36" s="228">
        <v>288.10000000000002</v>
      </c>
      <c r="V36" s="228">
        <v>-0.9</v>
      </c>
      <c r="W36" s="229">
        <v>-3.0999999999999999E-3</v>
      </c>
      <c r="X36" s="228">
        <v>0.65</v>
      </c>
      <c r="Y36" s="228">
        <v>0.85</v>
      </c>
      <c r="Z36" s="228">
        <v>-0.2</v>
      </c>
      <c r="AA36" s="229">
        <v>2.3E-3</v>
      </c>
      <c r="AB36" s="228">
        <v>0.65</v>
      </c>
      <c r="AC36" s="228">
        <v>0.85</v>
      </c>
      <c r="AD36" s="228">
        <v>-0.2</v>
      </c>
      <c r="AE36" s="229">
        <v>2.3E-3</v>
      </c>
      <c r="AF36" s="228">
        <v>1.95</v>
      </c>
      <c r="AG36" s="228">
        <v>2.2999999999999998</v>
      </c>
      <c r="AH36" s="228">
        <v>-0.35</v>
      </c>
      <c r="AI36" s="229">
        <v>6.8999999999999999E-3</v>
      </c>
      <c r="AJ36" s="228">
        <v>3.85</v>
      </c>
      <c r="AK36" s="228">
        <v>4.05</v>
      </c>
      <c r="AL36" s="228">
        <v>-0.2</v>
      </c>
      <c r="AM36" s="229">
        <v>1.3599999999999999E-2</v>
      </c>
      <c r="AN36" s="228">
        <v>284.49</v>
      </c>
      <c r="AO36" s="228">
        <v>285.98</v>
      </c>
      <c r="AP36" s="228">
        <v>0</v>
      </c>
      <c r="AQ36" s="230">
        <v>4523</v>
      </c>
      <c r="AR36" s="230">
        <v>5988</v>
      </c>
      <c r="AS36" s="230">
        <v>-1465</v>
      </c>
      <c r="AT36" s="229">
        <v>-0.2447</v>
      </c>
      <c r="AU36" s="230">
        <v>3540</v>
      </c>
      <c r="AV36" s="230">
        <v>4556</v>
      </c>
      <c r="AW36" s="230">
        <v>-1016</v>
      </c>
      <c r="AX36" s="229">
        <v>-0.223</v>
      </c>
      <c r="AY36" s="228">
        <v>941</v>
      </c>
      <c r="AZ36" s="228">
        <v>592</v>
      </c>
      <c r="BA36" s="228">
        <v>349</v>
      </c>
      <c r="BB36" s="229">
        <v>0.58950000000000002</v>
      </c>
      <c r="BC36" s="228">
        <v>42</v>
      </c>
      <c r="BD36" s="228">
        <v>840</v>
      </c>
      <c r="BE36" s="228">
        <v>-798</v>
      </c>
      <c r="BF36" s="229">
        <v>-0.95</v>
      </c>
      <c r="BG36" s="230">
        <v>27697</v>
      </c>
      <c r="BH36" s="230">
        <v>24959</v>
      </c>
      <c r="BI36" s="230">
        <v>2738</v>
      </c>
      <c r="BJ36" s="229">
        <v>0.10970000000000001</v>
      </c>
      <c r="BK36" s="230">
        <v>9136</v>
      </c>
      <c r="BL36" s="230">
        <v>11091</v>
      </c>
      <c r="BM36" s="230">
        <v>-1955</v>
      </c>
      <c r="BN36" s="229">
        <v>-0.17630000000000001</v>
      </c>
      <c r="BO36" s="230">
        <v>41356</v>
      </c>
      <c r="BP36" s="230">
        <v>42038</v>
      </c>
      <c r="BQ36" s="228">
        <v>-682</v>
      </c>
      <c r="BR36" s="229">
        <v>-1.6199999999999999E-2</v>
      </c>
      <c r="BS36" s="230">
        <v>11338983</v>
      </c>
      <c r="BT36" s="230">
        <v>18639168</v>
      </c>
      <c r="BU36" s="230">
        <v>-7300185</v>
      </c>
      <c r="BV36" s="229">
        <v>-0.39169999999999999</v>
      </c>
      <c r="BW36" s="230">
        <v>98196750</v>
      </c>
      <c r="BX36" s="230">
        <v>96527250</v>
      </c>
      <c r="BY36" s="230">
        <v>1669500</v>
      </c>
      <c r="BZ36" s="229">
        <v>1.7299999999999999E-2</v>
      </c>
      <c r="CA36" s="230">
        <v>86658750</v>
      </c>
      <c r="CB36" s="230">
        <v>86386500</v>
      </c>
      <c r="CC36" s="230">
        <v>272250</v>
      </c>
      <c r="CD36" s="229">
        <v>3.2000000000000002E-3</v>
      </c>
      <c r="CE36" s="230">
        <v>4612500</v>
      </c>
      <c r="CF36" s="230">
        <v>3244500</v>
      </c>
      <c r="CG36" s="230">
        <v>1368000</v>
      </c>
      <c r="CH36" s="229">
        <v>0.42159999999999997</v>
      </c>
      <c r="CI36" s="230">
        <v>6925500</v>
      </c>
      <c r="CJ36" s="230">
        <v>6896250</v>
      </c>
      <c r="CK36" s="230">
        <v>29250</v>
      </c>
      <c r="CL36" s="229">
        <v>4.1999999999999997E-3</v>
      </c>
      <c r="CM36" s="230">
        <v>95305500</v>
      </c>
      <c r="CN36" s="230">
        <v>97166250</v>
      </c>
      <c r="CO36" s="230">
        <v>-1860750</v>
      </c>
      <c r="CP36" s="229">
        <v>-1.9199999999999998E-2</v>
      </c>
      <c r="CQ36" s="230">
        <v>35788500</v>
      </c>
      <c r="CR36" s="230">
        <v>36182250</v>
      </c>
      <c r="CS36" s="230">
        <v>-393750</v>
      </c>
      <c r="CT36" s="229">
        <v>-1.09E-2</v>
      </c>
      <c r="CU36" s="230">
        <v>229290750</v>
      </c>
      <c r="CV36" s="230">
        <v>229875750</v>
      </c>
      <c r="CW36" s="230">
        <v>-585000</v>
      </c>
      <c r="CX36" s="229">
        <v>-2.5000000000000001E-3</v>
      </c>
      <c r="CY36" s="228">
        <v>26.77</v>
      </c>
      <c r="CZ36" s="228">
        <v>24.42</v>
      </c>
      <c r="DA36" s="228">
        <v>2.35</v>
      </c>
      <c r="DB36" s="228">
        <v>2.35</v>
      </c>
      <c r="DC36" s="228">
        <v>31.65</v>
      </c>
      <c r="DD36" s="228">
        <v>31.73</v>
      </c>
      <c r="DE36" s="228">
        <v>-4.88</v>
      </c>
      <c r="DF36" s="228">
        <v>-0.08</v>
      </c>
      <c r="DG36" s="228">
        <v>26.56</v>
      </c>
      <c r="DH36" s="228">
        <v>23.91</v>
      </c>
      <c r="DI36" s="228">
        <v>2.65</v>
      </c>
      <c r="DJ36" s="228">
        <v>2.65</v>
      </c>
      <c r="DK36" s="228">
        <v>27.42</v>
      </c>
      <c r="DL36" s="228">
        <v>25.58</v>
      </c>
      <c r="DM36" s="228">
        <v>1.84</v>
      </c>
      <c r="DN36" s="228">
        <v>1.84</v>
      </c>
      <c r="DO36" s="228">
        <v>0.38</v>
      </c>
      <c r="DP36" s="228">
        <v>0.37</v>
      </c>
      <c r="DQ36" s="228">
        <v>0.01</v>
      </c>
      <c r="DR36" s="229">
        <v>2.7E-2</v>
      </c>
      <c r="DS36" s="228">
        <v>290</v>
      </c>
      <c r="DT36" s="228">
        <v>270</v>
      </c>
      <c r="DU36" s="228">
        <v>0.33</v>
      </c>
      <c r="DV36" s="228">
        <v>0.44</v>
      </c>
      <c r="DW36" s="228">
        <v>-0.11</v>
      </c>
      <c r="DX36" s="229">
        <v>-0.25</v>
      </c>
      <c r="DY36" s="229">
        <v>0.11749999999999999</v>
      </c>
      <c r="DZ36" s="230">
        <v>10140750</v>
      </c>
      <c r="EA36" s="229">
        <v>4.5999999999999999E-3</v>
      </c>
      <c r="EB36" s="229">
        <v>0.11749999999999999</v>
      </c>
      <c r="EC36" s="228">
        <v>1.49</v>
      </c>
      <c r="ED36" s="229">
        <v>5.1999999999999998E-3</v>
      </c>
      <c r="EE36" s="230">
        <v>7108517</v>
      </c>
      <c r="EF36" s="230">
        <v>12382494</v>
      </c>
      <c r="EG36" s="229">
        <v>-0.4259</v>
      </c>
      <c r="EH36" s="229">
        <v>0.62690000000000001</v>
      </c>
      <c r="EI36" s="231">
        <v>184810.6</v>
      </c>
      <c r="EJ36" s="231">
        <v>57925.06</v>
      </c>
      <c r="EK36" s="231">
        <v>28985.9</v>
      </c>
      <c r="EL36" s="231">
        <v>6378</v>
      </c>
      <c r="EM36" s="231">
        <v>271721.56</v>
      </c>
      <c r="EN36" s="231">
        <v>274570.44</v>
      </c>
      <c r="EO36" s="231">
        <v>-2848.88</v>
      </c>
      <c r="EP36" s="229">
        <v>-1.04E-2</v>
      </c>
      <c r="EQ36" s="231">
        <v>281181</v>
      </c>
      <c r="ER36" s="231">
        <v>98193</v>
      </c>
      <c r="ES36" s="231">
        <v>279160</v>
      </c>
      <c r="ET36" s="231">
        <v>711370982</v>
      </c>
      <c r="EU36" s="231">
        <v>658534</v>
      </c>
      <c r="EV36" s="231">
        <v>661884</v>
      </c>
      <c r="EW36" s="231">
        <v>-3350</v>
      </c>
      <c r="EX36" s="229">
        <v>-5.1000000000000004E-3</v>
      </c>
      <c r="EY36" s="229">
        <v>0.32229999999999998</v>
      </c>
    </row>
    <row r="37" spans="1:155" ht="17.25" thickBot="1" x14ac:dyDescent="0.3">
      <c r="A37" s="226">
        <v>46132</v>
      </c>
      <c r="B37" s="227" t="s">
        <v>161</v>
      </c>
      <c r="C37" s="227" t="s">
        <v>276</v>
      </c>
      <c r="D37" s="228">
        <v>318.85000000000002</v>
      </c>
      <c r="E37" s="228">
        <v>317.64999999999998</v>
      </c>
      <c r="F37" s="228">
        <v>1.2</v>
      </c>
      <c r="G37" s="229">
        <v>3.8E-3</v>
      </c>
      <c r="H37" s="228">
        <v>319.7</v>
      </c>
      <c r="I37" s="228">
        <v>318.10000000000002</v>
      </c>
      <c r="J37" s="228">
        <v>1.6</v>
      </c>
      <c r="K37" s="229">
        <v>5.0000000000000001E-3</v>
      </c>
      <c r="L37" s="228">
        <v>318.85000000000002</v>
      </c>
      <c r="M37" s="228">
        <v>317.64999999999998</v>
      </c>
      <c r="N37" s="228">
        <v>1.2</v>
      </c>
      <c r="O37" s="229">
        <v>3.8E-3</v>
      </c>
      <c r="P37" s="228">
        <v>320.5</v>
      </c>
      <c r="Q37" s="228">
        <v>319.55</v>
      </c>
      <c r="R37" s="228">
        <v>0.95</v>
      </c>
      <c r="S37" s="229">
        <v>3.0000000000000001E-3</v>
      </c>
      <c r="T37" s="228">
        <v>322.89999999999998</v>
      </c>
      <c r="U37" s="228">
        <v>321.25</v>
      </c>
      <c r="V37" s="228">
        <v>1.65</v>
      </c>
      <c r="W37" s="229">
        <v>5.1000000000000004E-3</v>
      </c>
      <c r="X37" s="228">
        <v>-0.85</v>
      </c>
      <c r="Y37" s="228">
        <v>-0.45</v>
      </c>
      <c r="Z37" s="228">
        <v>-0.4</v>
      </c>
      <c r="AA37" s="229">
        <v>-2.7000000000000001E-3</v>
      </c>
      <c r="AB37" s="228">
        <v>-0.85</v>
      </c>
      <c r="AC37" s="228">
        <v>-0.45</v>
      </c>
      <c r="AD37" s="228">
        <v>-0.4</v>
      </c>
      <c r="AE37" s="229">
        <v>-2.7000000000000001E-3</v>
      </c>
      <c r="AF37" s="228">
        <v>0.8</v>
      </c>
      <c r="AG37" s="228">
        <v>1.45</v>
      </c>
      <c r="AH37" s="228">
        <v>-0.65</v>
      </c>
      <c r="AI37" s="229">
        <v>2.5000000000000001E-3</v>
      </c>
      <c r="AJ37" s="228">
        <v>3.2</v>
      </c>
      <c r="AK37" s="228">
        <v>3.15</v>
      </c>
      <c r="AL37" s="228">
        <v>0.05</v>
      </c>
      <c r="AM37" s="229">
        <v>0.01</v>
      </c>
      <c r="AN37" s="228">
        <v>319.54000000000002</v>
      </c>
      <c r="AO37" s="228">
        <v>321.61</v>
      </c>
      <c r="AP37" s="228">
        <v>0</v>
      </c>
      <c r="AQ37" s="230">
        <v>11748</v>
      </c>
      <c r="AR37" s="230">
        <v>8527</v>
      </c>
      <c r="AS37" s="230">
        <v>3221</v>
      </c>
      <c r="AT37" s="229">
        <v>0.37769999999999998</v>
      </c>
      <c r="AU37" s="230">
        <v>8112</v>
      </c>
      <c r="AV37" s="230">
        <v>7400</v>
      </c>
      <c r="AW37" s="228">
        <v>712</v>
      </c>
      <c r="AX37" s="229">
        <v>9.6199999999999994E-2</v>
      </c>
      <c r="AY37" s="230">
        <v>1460</v>
      </c>
      <c r="AZ37" s="230">
        <v>1041</v>
      </c>
      <c r="BA37" s="228">
        <v>419</v>
      </c>
      <c r="BB37" s="229">
        <v>0.40250000000000002</v>
      </c>
      <c r="BC37" s="230">
        <v>2176</v>
      </c>
      <c r="BD37" s="228">
        <v>86</v>
      </c>
      <c r="BE37" s="230">
        <v>2090</v>
      </c>
      <c r="BF37" s="229">
        <v>24.302299999999999</v>
      </c>
      <c r="BG37" s="230">
        <v>36952</v>
      </c>
      <c r="BH37" s="230">
        <v>43577</v>
      </c>
      <c r="BI37" s="230">
        <v>-6625</v>
      </c>
      <c r="BJ37" s="229">
        <v>-0.152</v>
      </c>
      <c r="BK37" s="230">
        <v>12870</v>
      </c>
      <c r="BL37" s="230">
        <v>16466</v>
      </c>
      <c r="BM37" s="230">
        <v>-3596</v>
      </c>
      <c r="BN37" s="229">
        <v>-0.21840000000000001</v>
      </c>
      <c r="BO37" s="230">
        <v>61570</v>
      </c>
      <c r="BP37" s="230">
        <v>68570</v>
      </c>
      <c r="BQ37" s="230">
        <v>-7000</v>
      </c>
      <c r="BR37" s="229">
        <v>-0.1021</v>
      </c>
      <c r="BS37" s="230">
        <v>11257256</v>
      </c>
      <c r="BT37" s="230">
        <v>14210473</v>
      </c>
      <c r="BU37" s="230">
        <v>-2953217</v>
      </c>
      <c r="BV37" s="229">
        <v>-0.20780000000000001</v>
      </c>
      <c r="BW37" s="230">
        <v>78952600</v>
      </c>
      <c r="BX37" s="230">
        <v>79214800</v>
      </c>
      <c r="BY37" s="230">
        <v>-262200</v>
      </c>
      <c r="BZ37" s="229">
        <v>-3.3E-3</v>
      </c>
      <c r="CA37" s="230">
        <v>65240300</v>
      </c>
      <c r="CB37" s="230">
        <v>70529900</v>
      </c>
      <c r="CC37" s="230">
        <v>-5289600</v>
      </c>
      <c r="CD37" s="229">
        <v>-7.4999999999999997E-2</v>
      </c>
      <c r="CE37" s="230">
        <v>7455600</v>
      </c>
      <c r="CF37" s="230">
        <v>6397300</v>
      </c>
      <c r="CG37" s="230">
        <v>1058300</v>
      </c>
      <c r="CH37" s="229">
        <v>0.16539999999999999</v>
      </c>
      <c r="CI37" s="230">
        <v>6256700</v>
      </c>
      <c r="CJ37" s="230">
        <v>2287600</v>
      </c>
      <c r="CK37" s="230">
        <v>3969100</v>
      </c>
      <c r="CL37" s="229">
        <v>1.7350000000000001</v>
      </c>
      <c r="CM37" s="230">
        <v>40154600</v>
      </c>
      <c r="CN37" s="230">
        <v>37433800</v>
      </c>
      <c r="CO37" s="230">
        <v>2720800</v>
      </c>
      <c r="CP37" s="229">
        <v>7.2700000000000001E-2</v>
      </c>
      <c r="CQ37" s="230">
        <v>24720900</v>
      </c>
      <c r="CR37" s="230">
        <v>23620800</v>
      </c>
      <c r="CS37" s="230">
        <v>1100100</v>
      </c>
      <c r="CT37" s="229">
        <v>4.6600000000000003E-2</v>
      </c>
      <c r="CU37" s="230">
        <v>143828100</v>
      </c>
      <c r="CV37" s="230">
        <v>140269400</v>
      </c>
      <c r="CW37" s="230">
        <v>3558700</v>
      </c>
      <c r="CX37" s="229">
        <v>2.5399999999999999E-2</v>
      </c>
      <c r="CY37" s="228">
        <v>24.67</v>
      </c>
      <c r="CZ37" s="228">
        <v>23.79</v>
      </c>
      <c r="DA37" s="228">
        <v>0.88</v>
      </c>
      <c r="DB37" s="228">
        <v>0.88</v>
      </c>
      <c r="DC37" s="228">
        <v>28.97</v>
      </c>
      <c r="DD37" s="228">
        <v>29.03</v>
      </c>
      <c r="DE37" s="228">
        <v>-4.3</v>
      </c>
      <c r="DF37" s="228">
        <v>-0.06</v>
      </c>
      <c r="DG37" s="228">
        <v>24.06</v>
      </c>
      <c r="DH37" s="228">
        <v>22.97</v>
      </c>
      <c r="DI37" s="228">
        <v>1.0900000000000001</v>
      </c>
      <c r="DJ37" s="228">
        <v>1.0900000000000001</v>
      </c>
      <c r="DK37" s="228">
        <v>26.4</v>
      </c>
      <c r="DL37" s="228">
        <v>25.94</v>
      </c>
      <c r="DM37" s="228">
        <v>0.46</v>
      </c>
      <c r="DN37" s="228">
        <v>0.46</v>
      </c>
      <c r="DO37" s="228">
        <v>0.62</v>
      </c>
      <c r="DP37" s="228">
        <v>0.63</v>
      </c>
      <c r="DQ37" s="228">
        <v>-0.01</v>
      </c>
      <c r="DR37" s="229">
        <v>-1.5900000000000001E-2</v>
      </c>
      <c r="DS37" s="228">
        <v>315</v>
      </c>
      <c r="DT37" s="228">
        <v>300</v>
      </c>
      <c r="DU37" s="228">
        <v>0.35</v>
      </c>
      <c r="DV37" s="228">
        <v>0.38</v>
      </c>
      <c r="DW37" s="228">
        <v>-0.03</v>
      </c>
      <c r="DX37" s="229">
        <v>-7.8899999999999998E-2</v>
      </c>
      <c r="DY37" s="229">
        <v>0.17369999999999999</v>
      </c>
      <c r="DZ37" s="230">
        <v>8684900</v>
      </c>
      <c r="EA37" s="229">
        <v>5.1999999999999998E-3</v>
      </c>
      <c r="EB37" s="229">
        <v>0.17369999999999999</v>
      </c>
      <c r="EC37" s="228">
        <v>2.0699999999999998</v>
      </c>
      <c r="ED37" s="229">
        <v>6.4999999999999997E-3</v>
      </c>
      <c r="EE37" s="230">
        <v>6224629</v>
      </c>
      <c r="EF37" s="230">
        <v>8894487</v>
      </c>
      <c r="EG37" s="229">
        <v>-0.30020000000000002</v>
      </c>
      <c r="EH37" s="229">
        <v>0.55289999999999995</v>
      </c>
      <c r="EI37" s="231">
        <v>229969.15</v>
      </c>
      <c r="EJ37" s="231">
        <v>76351.08</v>
      </c>
      <c r="EK37" s="231">
        <v>71564.160000000003</v>
      </c>
      <c r="EL37" s="231">
        <v>9294</v>
      </c>
      <c r="EM37" s="231">
        <v>377884.39</v>
      </c>
      <c r="EN37" s="231">
        <v>416294.77</v>
      </c>
      <c r="EO37" s="231">
        <v>-38410.379999999997</v>
      </c>
      <c r="EP37" s="229">
        <v>-9.2299999999999993E-2</v>
      </c>
      <c r="EQ37" s="231">
        <v>127768</v>
      </c>
      <c r="ER37" s="231">
        <v>73373</v>
      </c>
      <c r="ES37" s="231">
        <v>252117</v>
      </c>
      <c r="ET37" s="231">
        <v>660840864</v>
      </c>
      <c r="EU37" s="231">
        <v>453258</v>
      </c>
      <c r="EV37" s="231">
        <v>439984</v>
      </c>
      <c r="EW37" s="231">
        <v>13274</v>
      </c>
      <c r="EX37" s="229">
        <v>3.0200000000000001E-2</v>
      </c>
      <c r="EY37" s="229">
        <v>0.21759999999999999</v>
      </c>
    </row>
    <row r="38" spans="1:155" ht="17.25" thickBot="1" x14ac:dyDescent="0.3">
      <c r="A38" s="226">
        <v>46132</v>
      </c>
      <c r="B38" s="227" t="s">
        <v>193</v>
      </c>
      <c r="C38" s="227" t="s">
        <v>281</v>
      </c>
      <c r="D38" s="231">
        <v>1362.4</v>
      </c>
      <c r="E38" s="231">
        <v>1366.3</v>
      </c>
      <c r="F38" s="228">
        <v>-3.9</v>
      </c>
      <c r="G38" s="229">
        <v>-2.8999999999999998E-3</v>
      </c>
      <c r="H38" s="231">
        <v>1363.3</v>
      </c>
      <c r="I38" s="231">
        <v>1365</v>
      </c>
      <c r="J38" s="228">
        <v>-1.7</v>
      </c>
      <c r="K38" s="229">
        <v>-1.1999999999999999E-3</v>
      </c>
      <c r="L38" s="231">
        <v>1362.4</v>
      </c>
      <c r="M38" s="231">
        <v>1366.3</v>
      </c>
      <c r="N38" s="228">
        <v>-3.9</v>
      </c>
      <c r="O38" s="229">
        <v>-2.8999999999999998E-3</v>
      </c>
      <c r="P38" s="231">
        <v>1370.2</v>
      </c>
      <c r="Q38" s="231">
        <v>1373.6</v>
      </c>
      <c r="R38" s="228">
        <v>-3.4</v>
      </c>
      <c r="S38" s="229">
        <v>-2.5000000000000001E-3</v>
      </c>
      <c r="T38" s="231">
        <v>1378.5</v>
      </c>
      <c r="U38" s="231">
        <v>1383.2</v>
      </c>
      <c r="V38" s="228">
        <v>-4.7</v>
      </c>
      <c r="W38" s="229">
        <v>-3.3999999999999998E-3</v>
      </c>
      <c r="X38" s="228">
        <v>-0.9</v>
      </c>
      <c r="Y38" s="228">
        <v>1.3</v>
      </c>
      <c r="Z38" s="228">
        <v>-2.2000000000000002</v>
      </c>
      <c r="AA38" s="229">
        <v>-6.9999999999999999E-4</v>
      </c>
      <c r="AB38" s="228">
        <v>-0.9</v>
      </c>
      <c r="AC38" s="228">
        <v>1.3</v>
      </c>
      <c r="AD38" s="228">
        <v>-2.2000000000000002</v>
      </c>
      <c r="AE38" s="229">
        <v>-6.9999999999999999E-4</v>
      </c>
      <c r="AF38" s="228">
        <v>6.9</v>
      </c>
      <c r="AG38" s="228">
        <v>8.6</v>
      </c>
      <c r="AH38" s="228">
        <v>-1.7</v>
      </c>
      <c r="AI38" s="229">
        <v>5.1000000000000004E-3</v>
      </c>
      <c r="AJ38" s="228">
        <v>15.2</v>
      </c>
      <c r="AK38" s="228">
        <v>18.2</v>
      </c>
      <c r="AL38" s="228">
        <v>-3</v>
      </c>
      <c r="AM38" s="229">
        <v>1.11E-2</v>
      </c>
      <c r="AN38" s="231">
        <v>1365.65</v>
      </c>
      <c r="AO38" s="231">
        <v>1373.47</v>
      </c>
      <c r="AP38" s="228">
        <v>0</v>
      </c>
      <c r="AQ38" s="230">
        <v>26742</v>
      </c>
      <c r="AR38" s="230">
        <v>26697</v>
      </c>
      <c r="AS38" s="228">
        <v>45</v>
      </c>
      <c r="AT38" s="229">
        <v>1.6999999999999999E-3</v>
      </c>
      <c r="AU38" s="230">
        <v>20838</v>
      </c>
      <c r="AV38" s="230">
        <v>21506</v>
      </c>
      <c r="AW38" s="228">
        <v>-668</v>
      </c>
      <c r="AX38" s="229">
        <v>-3.1099999999999999E-2</v>
      </c>
      <c r="AY38" s="230">
        <v>5096</v>
      </c>
      <c r="AZ38" s="230">
        <v>3412</v>
      </c>
      <c r="BA38" s="230">
        <v>1684</v>
      </c>
      <c r="BB38" s="229">
        <v>0.49359999999999998</v>
      </c>
      <c r="BC38" s="228">
        <v>808</v>
      </c>
      <c r="BD38" s="230">
        <v>1779</v>
      </c>
      <c r="BE38" s="228">
        <v>-971</v>
      </c>
      <c r="BF38" s="229">
        <v>-0.54579999999999995</v>
      </c>
      <c r="BG38" s="230">
        <v>142846</v>
      </c>
      <c r="BH38" s="230">
        <v>206176</v>
      </c>
      <c r="BI38" s="230">
        <v>-63330</v>
      </c>
      <c r="BJ38" s="229">
        <v>-0.30719999999999997</v>
      </c>
      <c r="BK38" s="230">
        <v>75836</v>
      </c>
      <c r="BL38" s="230">
        <v>99141</v>
      </c>
      <c r="BM38" s="230">
        <v>-23305</v>
      </c>
      <c r="BN38" s="229">
        <v>-0.2351</v>
      </c>
      <c r="BO38" s="230">
        <v>245424</v>
      </c>
      <c r="BP38" s="230">
        <v>332014</v>
      </c>
      <c r="BQ38" s="230">
        <v>-86590</v>
      </c>
      <c r="BR38" s="229">
        <v>-0.26079999999999998</v>
      </c>
      <c r="BS38" s="230">
        <v>14223567</v>
      </c>
      <c r="BT38" s="230">
        <v>15236906</v>
      </c>
      <c r="BU38" s="230">
        <v>-1013339</v>
      </c>
      <c r="BV38" s="229">
        <v>-6.6500000000000004E-2</v>
      </c>
      <c r="BW38" s="230">
        <v>95601000</v>
      </c>
      <c r="BX38" s="230">
        <v>96256500</v>
      </c>
      <c r="BY38" s="230">
        <v>-655500</v>
      </c>
      <c r="BZ38" s="229">
        <v>-6.7999999999999996E-3</v>
      </c>
      <c r="CA38" s="230">
        <v>74045500</v>
      </c>
      <c r="CB38" s="230">
        <v>76190500</v>
      </c>
      <c r="CC38" s="230">
        <v>-2145000</v>
      </c>
      <c r="CD38" s="229">
        <v>-2.8199999999999999E-2</v>
      </c>
      <c r="CE38" s="230">
        <v>16949000</v>
      </c>
      <c r="CF38" s="230">
        <v>15668500</v>
      </c>
      <c r="CG38" s="230">
        <v>1280500</v>
      </c>
      <c r="CH38" s="229">
        <v>8.1699999999999995E-2</v>
      </c>
      <c r="CI38" s="230">
        <v>4606500</v>
      </c>
      <c r="CJ38" s="230">
        <v>4397500</v>
      </c>
      <c r="CK38" s="230">
        <v>209000</v>
      </c>
      <c r="CL38" s="229">
        <v>4.7500000000000001E-2</v>
      </c>
      <c r="CM38" s="230">
        <v>78316000</v>
      </c>
      <c r="CN38" s="230">
        <v>79750000</v>
      </c>
      <c r="CO38" s="230">
        <v>-1434000</v>
      </c>
      <c r="CP38" s="229">
        <v>-1.7999999999999999E-2</v>
      </c>
      <c r="CQ38" s="230">
        <v>38233500</v>
      </c>
      <c r="CR38" s="230">
        <v>38565000</v>
      </c>
      <c r="CS38" s="230">
        <v>-331500</v>
      </c>
      <c r="CT38" s="229">
        <v>-8.6E-3</v>
      </c>
      <c r="CU38" s="230">
        <v>212150500</v>
      </c>
      <c r="CV38" s="230">
        <v>214571500</v>
      </c>
      <c r="CW38" s="230">
        <v>-2421000</v>
      </c>
      <c r="CX38" s="229">
        <v>-1.1299999999999999E-2</v>
      </c>
      <c r="CY38" s="228">
        <v>26.76</v>
      </c>
      <c r="CZ38" s="228">
        <v>23.58</v>
      </c>
      <c r="DA38" s="228">
        <v>3.18</v>
      </c>
      <c r="DB38" s="228">
        <v>3.18</v>
      </c>
      <c r="DC38" s="228">
        <v>26.4</v>
      </c>
      <c r="DD38" s="228">
        <v>26.47</v>
      </c>
      <c r="DE38" s="228">
        <v>0.36</v>
      </c>
      <c r="DF38" s="228">
        <v>-7.0000000000000007E-2</v>
      </c>
      <c r="DG38" s="228">
        <v>26.68</v>
      </c>
      <c r="DH38" s="228">
        <v>23.11</v>
      </c>
      <c r="DI38" s="228">
        <v>3.57</v>
      </c>
      <c r="DJ38" s="228">
        <v>3.57</v>
      </c>
      <c r="DK38" s="228">
        <v>26.92</v>
      </c>
      <c r="DL38" s="228">
        <v>24.53</v>
      </c>
      <c r="DM38" s="228">
        <v>2.39</v>
      </c>
      <c r="DN38" s="228">
        <v>2.39</v>
      </c>
      <c r="DO38" s="228">
        <v>0.49</v>
      </c>
      <c r="DP38" s="228">
        <v>0.48</v>
      </c>
      <c r="DQ38" s="228">
        <v>0.01</v>
      </c>
      <c r="DR38" s="229">
        <v>2.0799999999999999E-2</v>
      </c>
      <c r="DS38" s="231">
        <v>1400</v>
      </c>
      <c r="DT38" s="231">
        <v>1300</v>
      </c>
      <c r="DU38" s="228">
        <v>0.53</v>
      </c>
      <c r="DV38" s="228">
        <v>0.48</v>
      </c>
      <c r="DW38" s="228">
        <v>0.05</v>
      </c>
      <c r="DX38" s="229">
        <v>0.1042</v>
      </c>
      <c r="DY38" s="229">
        <v>0.22550000000000001</v>
      </c>
      <c r="DZ38" s="230">
        <v>20066000</v>
      </c>
      <c r="EA38" s="229">
        <v>5.7000000000000002E-3</v>
      </c>
      <c r="EB38" s="229">
        <v>0.22550000000000001</v>
      </c>
      <c r="EC38" s="228">
        <v>7.82</v>
      </c>
      <c r="ED38" s="229">
        <v>5.7000000000000002E-3</v>
      </c>
      <c r="EE38" s="230">
        <v>6287233</v>
      </c>
      <c r="EF38" s="230">
        <v>7056605</v>
      </c>
      <c r="EG38" s="229">
        <v>-0.109</v>
      </c>
      <c r="EH38" s="229">
        <v>0.442</v>
      </c>
      <c r="EI38" s="231">
        <v>1009543.96</v>
      </c>
      <c r="EJ38" s="231">
        <v>513170.86</v>
      </c>
      <c r="EK38" s="231">
        <v>182865.8</v>
      </c>
      <c r="EL38" s="231">
        <v>27078</v>
      </c>
      <c r="EM38" s="231">
        <v>1705580.62</v>
      </c>
      <c r="EN38" s="231">
        <v>2297538.46</v>
      </c>
      <c r="EO38" s="231">
        <v>-591957.84</v>
      </c>
      <c r="EP38" s="229">
        <v>-0.2576</v>
      </c>
      <c r="EQ38" s="231">
        <v>1099634</v>
      </c>
      <c r="ER38" s="231">
        <v>513775</v>
      </c>
      <c r="ES38" s="231">
        <v>1304532</v>
      </c>
      <c r="ET38" s="231">
        <v>664381721</v>
      </c>
      <c r="EU38" s="231">
        <v>2917940</v>
      </c>
      <c r="EV38" s="231">
        <v>2953496</v>
      </c>
      <c r="EW38" s="231">
        <v>-35556</v>
      </c>
      <c r="EX38" s="229">
        <v>-1.2E-2</v>
      </c>
      <c r="EY38" s="229">
        <v>0.31929999999999997</v>
      </c>
    </row>
    <row r="39" spans="1:155" ht="17.25" thickBot="1" x14ac:dyDescent="0.3">
      <c r="A39" s="226">
        <v>46132</v>
      </c>
      <c r="B39" s="227" t="s">
        <v>175</v>
      </c>
      <c r="C39" s="227" t="s">
        <v>462</v>
      </c>
      <c r="D39" s="231">
        <v>1984.3</v>
      </c>
      <c r="E39" s="231">
        <v>1970.4</v>
      </c>
      <c r="F39" s="228">
        <v>13.9</v>
      </c>
      <c r="G39" s="229">
        <v>7.1000000000000004E-3</v>
      </c>
      <c r="H39" s="231">
        <v>1982.5</v>
      </c>
      <c r="I39" s="231">
        <v>1970.9</v>
      </c>
      <c r="J39" s="228">
        <v>11.6</v>
      </c>
      <c r="K39" s="229">
        <v>5.8999999999999999E-3</v>
      </c>
      <c r="L39" s="231">
        <v>1984.3</v>
      </c>
      <c r="M39" s="231">
        <v>1970.4</v>
      </c>
      <c r="N39" s="228">
        <v>13.9</v>
      </c>
      <c r="O39" s="229">
        <v>7.1000000000000004E-3</v>
      </c>
      <c r="P39" s="231">
        <v>1995.7</v>
      </c>
      <c r="Q39" s="231">
        <v>1982</v>
      </c>
      <c r="R39" s="228">
        <v>13.7</v>
      </c>
      <c r="S39" s="229">
        <v>6.8999999999999999E-3</v>
      </c>
      <c r="T39" s="231">
        <v>2010</v>
      </c>
      <c r="U39" s="231">
        <v>1994.2</v>
      </c>
      <c r="V39" s="228">
        <v>15.8</v>
      </c>
      <c r="W39" s="229">
        <v>7.9000000000000008E-3</v>
      </c>
      <c r="X39" s="228">
        <v>1.8</v>
      </c>
      <c r="Y39" s="228">
        <v>-0.5</v>
      </c>
      <c r="Z39" s="228">
        <v>2.2999999999999998</v>
      </c>
      <c r="AA39" s="229">
        <v>8.9999999999999998E-4</v>
      </c>
      <c r="AB39" s="228">
        <v>1.8</v>
      </c>
      <c r="AC39" s="228">
        <v>-0.5</v>
      </c>
      <c r="AD39" s="228">
        <v>2.2999999999999998</v>
      </c>
      <c r="AE39" s="229">
        <v>8.9999999999999998E-4</v>
      </c>
      <c r="AF39" s="228">
        <v>13.2</v>
      </c>
      <c r="AG39" s="228">
        <v>11.1</v>
      </c>
      <c r="AH39" s="228">
        <v>2.1</v>
      </c>
      <c r="AI39" s="229">
        <v>6.7000000000000002E-3</v>
      </c>
      <c r="AJ39" s="228">
        <v>27.5</v>
      </c>
      <c r="AK39" s="228">
        <v>23.3</v>
      </c>
      <c r="AL39" s="228">
        <v>4.2</v>
      </c>
      <c r="AM39" s="229">
        <v>1.3899999999999999E-2</v>
      </c>
      <c r="AN39" s="231">
        <v>1979.9</v>
      </c>
      <c r="AO39" s="231">
        <v>1993.31</v>
      </c>
      <c r="AP39" s="228">
        <v>0</v>
      </c>
      <c r="AQ39" s="230">
        <v>4667</v>
      </c>
      <c r="AR39" s="230">
        <v>1777</v>
      </c>
      <c r="AS39" s="230">
        <v>2890</v>
      </c>
      <c r="AT39" s="229">
        <v>1.6263000000000001</v>
      </c>
      <c r="AU39" s="230">
        <v>3490</v>
      </c>
      <c r="AV39" s="230">
        <v>1705</v>
      </c>
      <c r="AW39" s="230">
        <v>1785</v>
      </c>
      <c r="AX39" s="229">
        <v>1.0468999999999999</v>
      </c>
      <c r="AY39" s="228">
        <v>404</v>
      </c>
      <c r="AZ39" s="228">
        <v>65</v>
      </c>
      <c r="BA39" s="228">
        <v>339</v>
      </c>
      <c r="BB39" s="229">
        <v>5.2153999999999998</v>
      </c>
      <c r="BC39" s="228">
        <v>773</v>
      </c>
      <c r="BD39" s="228">
        <v>7</v>
      </c>
      <c r="BE39" s="228">
        <v>766</v>
      </c>
      <c r="BF39" s="229">
        <v>109.4286</v>
      </c>
      <c r="BG39" s="230">
        <v>7190</v>
      </c>
      <c r="BH39" s="230">
        <v>6902</v>
      </c>
      <c r="BI39" s="228">
        <v>288</v>
      </c>
      <c r="BJ39" s="229">
        <v>4.1700000000000001E-2</v>
      </c>
      <c r="BK39" s="230">
        <v>2547</v>
      </c>
      <c r="BL39" s="230">
        <v>3009</v>
      </c>
      <c r="BM39" s="228">
        <v>-462</v>
      </c>
      <c r="BN39" s="229">
        <v>-0.1535</v>
      </c>
      <c r="BO39" s="230">
        <v>14404</v>
      </c>
      <c r="BP39" s="230">
        <v>11688</v>
      </c>
      <c r="BQ39" s="230">
        <v>2716</v>
      </c>
      <c r="BR39" s="229">
        <v>0.2324</v>
      </c>
      <c r="BS39" s="230">
        <v>1041717</v>
      </c>
      <c r="BT39" s="230">
        <v>539992</v>
      </c>
      <c r="BU39" s="230">
        <v>501725</v>
      </c>
      <c r="BV39" s="229">
        <v>0.92910000000000004</v>
      </c>
      <c r="BW39" s="230">
        <v>10657125</v>
      </c>
      <c r="BX39" s="230">
        <v>10581000</v>
      </c>
      <c r="BY39" s="230">
        <v>76125</v>
      </c>
      <c r="BZ39" s="229">
        <v>7.1999999999999998E-3</v>
      </c>
      <c r="CA39" s="230">
        <v>9595500</v>
      </c>
      <c r="CB39" s="230">
        <v>9892125</v>
      </c>
      <c r="CC39" s="230">
        <v>-296625</v>
      </c>
      <c r="CD39" s="229">
        <v>-0.03</v>
      </c>
      <c r="CE39" s="230">
        <v>359625</v>
      </c>
      <c r="CF39" s="230">
        <v>270375</v>
      </c>
      <c r="CG39" s="230">
        <v>89250</v>
      </c>
      <c r="CH39" s="229">
        <v>0.3301</v>
      </c>
      <c r="CI39" s="230">
        <v>702000</v>
      </c>
      <c r="CJ39" s="230">
        <v>418500</v>
      </c>
      <c r="CK39" s="230">
        <v>283500</v>
      </c>
      <c r="CL39" s="229">
        <v>0.6774</v>
      </c>
      <c r="CM39" s="230">
        <v>3738375</v>
      </c>
      <c r="CN39" s="230">
        <v>3708375</v>
      </c>
      <c r="CO39" s="230">
        <v>30000</v>
      </c>
      <c r="CP39" s="229">
        <v>8.0999999999999996E-3</v>
      </c>
      <c r="CQ39" s="230">
        <v>2306625</v>
      </c>
      <c r="CR39" s="230">
        <v>2247000</v>
      </c>
      <c r="CS39" s="230">
        <v>59625</v>
      </c>
      <c r="CT39" s="229">
        <v>2.6499999999999999E-2</v>
      </c>
      <c r="CU39" s="230">
        <v>16702125</v>
      </c>
      <c r="CV39" s="230">
        <v>16536375</v>
      </c>
      <c r="CW39" s="230">
        <v>165750</v>
      </c>
      <c r="CX39" s="229">
        <v>0.01</v>
      </c>
      <c r="CY39" s="228">
        <v>28.24</v>
      </c>
      <c r="CZ39" s="228">
        <v>24.35</v>
      </c>
      <c r="DA39" s="228">
        <v>3.89</v>
      </c>
      <c r="DB39" s="228">
        <v>3.89</v>
      </c>
      <c r="DC39" s="228">
        <v>25.87</v>
      </c>
      <c r="DD39" s="228">
        <v>25.92</v>
      </c>
      <c r="DE39" s="228">
        <v>2.37</v>
      </c>
      <c r="DF39" s="228">
        <v>-0.05</v>
      </c>
      <c r="DG39" s="228">
        <v>27.41</v>
      </c>
      <c r="DH39" s="228">
        <v>23.66</v>
      </c>
      <c r="DI39" s="228">
        <v>3.75</v>
      </c>
      <c r="DJ39" s="228">
        <v>3.75</v>
      </c>
      <c r="DK39" s="228">
        <v>30.57</v>
      </c>
      <c r="DL39" s="228">
        <v>25.94</v>
      </c>
      <c r="DM39" s="228">
        <v>4.63</v>
      </c>
      <c r="DN39" s="228">
        <v>4.63</v>
      </c>
      <c r="DO39" s="228">
        <v>0.62</v>
      </c>
      <c r="DP39" s="228">
        <v>0.61</v>
      </c>
      <c r="DQ39" s="228">
        <v>0.01</v>
      </c>
      <c r="DR39" s="229">
        <v>1.6400000000000001E-2</v>
      </c>
      <c r="DS39" s="231">
        <v>2000</v>
      </c>
      <c r="DT39" s="231">
        <v>1960</v>
      </c>
      <c r="DU39" s="228">
        <v>0.35</v>
      </c>
      <c r="DV39" s="228">
        <v>0.44</v>
      </c>
      <c r="DW39" s="228">
        <v>-0.09</v>
      </c>
      <c r="DX39" s="229">
        <v>-0.20449999999999999</v>
      </c>
      <c r="DY39" s="229">
        <v>9.9599999999999994E-2</v>
      </c>
      <c r="DZ39" s="230">
        <v>688875</v>
      </c>
      <c r="EA39" s="229">
        <v>5.7000000000000002E-3</v>
      </c>
      <c r="EB39" s="229">
        <v>9.9599999999999994E-2</v>
      </c>
      <c r="EC39" s="228">
        <v>13.41</v>
      </c>
      <c r="ED39" s="229">
        <v>6.7999999999999996E-3</v>
      </c>
      <c r="EE39" s="230">
        <v>653293</v>
      </c>
      <c r="EF39" s="230">
        <v>337862</v>
      </c>
      <c r="EG39" s="229">
        <v>0.93359999999999999</v>
      </c>
      <c r="EH39" s="229">
        <v>0.62709999999999999</v>
      </c>
      <c r="EI39" s="231">
        <v>55076.74</v>
      </c>
      <c r="EJ39" s="231">
        <v>18514.830000000002</v>
      </c>
      <c r="EK39" s="231">
        <v>34735.32</v>
      </c>
      <c r="EL39" s="231">
        <v>3055</v>
      </c>
      <c r="EM39" s="231">
        <v>108326.89</v>
      </c>
      <c r="EN39" s="231">
        <v>88081.14</v>
      </c>
      <c r="EO39" s="231">
        <v>20245.75</v>
      </c>
      <c r="EP39" s="229">
        <v>0.22989999999999999</v>
      </c>
      <c r="EQ39" s="231">
        <v>74223</v>
      </c>
      <c r="ER39" s="231">
        <v>42125</v>
      </c>
      <c r="ES39" s="231">
        <v>211691</v>
      </c>
      <c r="ET39" s="231">
        <v>45527821</v>
      </c>
      <c r="EU39" s="231">
        <v>328039</v>
      </c>
      <c r="EV39" s="231">
        <v>323035</v>
      </c>
      <c r="EW39" s="231">
        <v>5004</v>
      </c>
      <c r="EX39" s="229">
        <v>1.55E-2</v>
      </c>
      <c r="EY39" s="229">
        <v>0.3669</v>
      </c>
    </row>
    <row r="40" spans="1:155" ht="17.25" thickBot="1" x14ac:dyDescent="0.3">
      <c r="A40" s="226">
        <v>46132</v>
      </c>
      <c r="B40" s="227" t="s">
        <v>172</v>
      </c>
      <c r="C40" s="227" t="s">
        <v>283</v>
      </c>
      <c r="D40" s="231">
        <v>1106.3</v>
      </c>
      <c r="E40" s="231">
        <v>1082.8</v>
      </c>
      <c r="F40" s="228">
        <v>23.5</v>
      </c>
      <c r="G40" s="229">
        <v>2.1700000000000001E-2</v>
      </c>
      <c r="H40" s="231">
        <v>1107.8499999999999</v>
      </c>
      <c r="I40" s="231">
        <v>1080.25</v>
      </c>
      <c r="J40" s="228">
        <v>27.6</v>
      </c>
      <c r="K40" s="229">
        <v>2.5499999999999998E-2</v>
      </c>
      <c r="L40" s="231">
        <v>1106.3</v>
      </c>
      <c r="M40" s="231">
        <v>1082.8</v>
      </c>
      <c r="N40" s="228">
        <v>23.5</v>
      </c>
      <c r="O40" s="229">
        <v>2.1700000000000001E-2</v>
      </c>
      <c r="P40" s="231">
        <v>1100.0999999999999</v>
      </c>
      <c r="Q40" s="231">
        <v>1077.0999999999999</v>
      </c>
      <c r="R40" s="228">
        <v>23</v>
      </c>
      <c r="S40" s="229">
        <v>2.1399999999999999E-2</v>
      </c>
      <c r="T40" s="231">
        <v>1102.5</v>
      </c>
      <c r="U40" s="231">
        <v>1078.7</v>
      </c>
      <c r="V40" s="228">
        <v>23.8</v>
      </c>
      <c r="W40" s="229">
        <v>2.2100000000000002E-2</v>
      </c>
      <c r="X40" s="228">
        <v>-1.55</v>
      </c>
      <c r="Y40" s="228">
        <v>2.5499999999999998</v>
      </c>
      <c r="Z40" s="228">
        <v>-4.0999999999999996</v>
      </c>
      <c r="AA40" s="229">
        <v>-1.4E-3</v>
      </c>
      <c r="AB40" s="228">
        <v>-1.55</v>
      </c>
      <c r="AC40" s="228">
        <v>2.5499999999999998</v>
      </c>
      <c r="AD40" s="228">
        <v>-4.0999999999999996</v>
      </c>
      <c r="AE40" s="229">
        <v>-1.4E-3</v>
      </c>
      <c r="AF40" s="228">
        <v>-7.75</v>
      </c>
      <c r="AG40" s="228">
        <v>-3.15</v>
      </c>
      <c r="AH40" s="228">
        <v>-4.5999999999999996</v>
      </c>
      <c r="AI40" s="229">
        <v>-7.0000000000000001E-3</v>
      </c>
      <c r="AJ40" s="228">
        <v>-5.35</v>
      </c>
      <c r="AK40" s="228">
        <v>-1.55</v>
      </c>
      <c r="AL40" s="228">
        <v>-3.8</v>
      </c>
      <c r="AM40" s="229">
        <v>-4.7999999999999996E-3</v>
      </c>
      <c r="AN40" s="231">
        <v>1107.5</v>
      </c>
      <c r="AO40" s="231">
        <v>1101.73</v>
      </c>
      <c r="AP40" s="228">
        <v>0</v>
      </c>
      <c r="AQ40" s="230">
        <v>36852</v>
      </c>
      <c r="AR40" s="230">
        <v>16159</v>
      </c>
      <c r="AS40" s="230">
        <v>20693</v>
      </c>
      <c r="AT40" s="229">
        <v>1.2806</v>
      </c>
      <c r="AU40" s="230">
        <v>28674</v>
      </c>
      <c r="AV40" s="230">
        <v>12667</v>
      </c>
      <c r="AW40" s="230">
        <v>16007</v>
      </c>
      <c r="AX40" s="229">
        <v>1.2637</v>
      </c>
      <c r="AY40" s="230">
        <v>5420</v>
      </c>
      <c r="AZ40" s="230">
        <v>3190</v>
      </c>
      <c r="BA40" s="230">
        <v>2230</v>
      </c>
      <c r="BB40" s="229">
        <v>0.69910000000000005</v>
      </c>
      <c r="BC40" s="230">
        <v>2758</v>
      </c>
      <c r="BD40" s="228">
        <v>302</v>
      </c>
      <c r="BE40" s="230">
        <v>2456</v>
      </c>
      <c r="BF40" s="229">
        <v>8.1325000000000003</v>
      </c>
      <c r="BG40" s="230">
        <v>248743</v>
      </c>
      <c r="BH40" s="230">
        <v>76032</v>
      </c>
      <c r="BI40" s="230">
        <v>172711</v>
      </c>
      <c r="BJ40" s="229">
        <v>2.2715999999999998</v>
      </c>
      <c r="BK40" s="230">
        <v>135603</v>
      </c>
      <c r="BL40" s="230">
        <v>46934</v>
      </c>
      <c r="BM40" s="230">
        <v>88669</v>
      </c>
      <c r="BN40" s="229">
        <v>1.8892</v>
      </c>
      <c r="BO40" s="230">
        <v>421198</v>
      </c>
      <c r="BP40" s="230">
        <v>139125</v>
      </c>
      <c r="BQ40" s="230">
        <v>282073</v>
      </c>
      <c r="BR40" s="229">
        <v>2.0274999999999999</v>
      </c>
      <c r="BS40" s="230">
        <v>32565522</v>
      </c>
      <c r="BT40" s="230">
        <v>17533119</v>
      </c>
      <c r="BU40" s="230">
        <v>15032403</v>
      </c>
      <c r="BV40" s="229">
        <v>0.85740000000000005</v>
      </c>
      <c r="BW40" s="230">
        <v>78059250</v>
      </c>
      <c r="BX40" s="230">
        <v>80589750</v>
      </c>
      <c r="BY40" s="230">
        <v>-2530500</v>
      </c>
      <c r="BZ40" s="229">
        <v>-3.1399999999999997E-2</v>
      </c>
      <c r="CA40" s="230">
        <v>66411750</v>
      </c>
      <c r="CB40" s="230">
        <v>71784750</v>
      </c>
      <c r="CC40" s="230">
        <v>-5373000</v>
      </c>
      <c r="CD40" s="229">
        <v>-7.4800000000000005E-2</v>
      </c>
      <c r="CE40" s="230">
        <v>8328000</v>
      </c>
      <c r="CF40" s="230">
        <v>7102500</v>
      </c>
      <c r="CG40" s="230">
        <v>1225500</v>
      </c>
      <c r="CH40" s="229">
        <v>0.17249999999999999</v>
      </c>
      <c r="CI40" s="230">
        <v>3319500</v>
      </c>
      <c r="CJ40" s="230">
        <v>1702500</v>
      </c>
      <c r="CK40" s="230">
        <v>1617000</v>
      </c>
      <c r="CL40" s="229">
        <v>0.94979999999999998</v>
      </c>
      <c r="CM40" s="230">
        <v>45209250</v>
      </c>
      <c r="CN40" s="230">
        <v>44845500</v>
      </c>
      <c r="CO40" s="230">
        <v>363750</v>
      </c>
      <c r="CP40" s="229">
        <v>8.0999999999999996E-3</v>
      </c>
      <c r="CQ40" s="230">
        <v>40200000</v>
      </c>
      <c r="CR40" s="230">
        <v>36129000</v>
      </c>
      <c r="CS40" s="230">
        <v>4071000</v>
      </c>
      <c r="CT40" s="229">
        <v>0.11269999999999999</v>
      </c>
      <c r="CU40" s="230">
        <v>163468500</v>
      </c>
      <c r="CV40" s="230">
        <v>161564250</v>
      </c>
      <c r="CW40" s="230">
        <v>1904250</v>
      </c>
      <c r="CX40" s="229">
        <v>1.18E-2</v>
      </c>
      <c r="CY40" s="228">
        <v>30.42</v>
      </c>
      <c r="CZ40" s="228">
        <v>27.52</v>
      </c>
      <c r="DA40" s="228">
        <v>2.9</v>
      </c>
      <c r="DB40" s="228">
        <v>2.9</v>
      </c>
      <c r="DC40" s="228">
        <v>29.31</v>
      </c>
      <c r="DD40" s="228">
        <v>29.18</v>
      </c>
      <c r="DE40" s="228">
        <v>1.1100000000000001</v>
      </c>
      <c r="DF40" s="228">
        <v>0.13</v>
      </c>
      <c r="DG40" s="228">
        <v>29.2</v>
      </c>
      <c r="DH40" s="228">
        <v>26.09</v>
      </c>
      <c r="DI40" s="228">
        <v>3.11</v>
      </c>
      <c r="DJ40" s="228">
        <v>3.11</v>
      </c>
      <c r="DK40" s="228">
        <v>32.659999999999997</v>
      </c>
      <c r="DL40" s="228">
        <v>29.85</v>
      </c>
      <c r="DM40" s="228">
        <v>2.81</v>
      </c>
      <c r="DN40" s="228">
        <v>2.81</v>
      </c>
      <c r="DO40" s="228">
        <v>0.89</v>
      </c>
      <c r="DP40" s="228">
        <v>0.81</v>
      </c>
      <c r="DQ40" s="228">
        <v>0.08</v>
      </c>
      <c r="DR40" s="229">
        <v>9.8799999999999999E-2</v>
      </c>
      <c r="DS40" s="231">
        <v>1200</v>
      </c>
      <c r="DT40" s="231">
        <v>1000</v>
      </c>
      <c r="DU40" s="228">
        <v>0.55000000000000004</v>
      </c>
      <c r="DV40" s="228">
        <v>0.62</v>
      </c>
      <c r="DW40" s="228">
        <v>-7.0000000000000007E-2</v>
      </c>
      <c r="DX40" s="229">
        <v>-0.1129</v>
      </c>
      <c r="DY40" s="229">
        <v>0.1492</v>
      </c>
      <c r="DZ40" s="230">
        <v>8805000</v>
      </c>
      <c r="EA40" s="229">
        <v>-5.5999999999999999E-3</v>
      </c>
      <c r="EB40" s="229">
        <v>0.1492</v>
      </c>
      <c r="EC40" s="228">
        <v>-5.77</v>
      </c>
      <c r="ED40" s="229">
        <v>-5.1999999999999998E-3</v>
      </c>
      <c r="EE40" s="230">
        <v>18962424</v>
      </c>
      <c r="EF40" s="230">
        <v>11113948</v>
      </c>
      <c r="EG40" s="229">
        <v>0.70620000000000005</v>
      </c>
      <c r="EH40" s="229">
        <v>0.58230000000000004</v>
      </c>
      <c r="EI40" s="231">
        <v>2134040.64</v>
      </c>
      <c r="EJ40" s="231">
        <v>1093451.1399999999</v>
      </c>
      <c r="EK40" s="231">
        <v>305837.56</v>
      </c>
      <c r="EL40" s="231">
        <v>16519</v>
      </c>
      <c r="EM40" s="231">
        <v>3533329.34</v>
      </c>
      <c r="EN40" s="231">
        <v>1137477.3700000001</v>
      </c>
      <c r="EO40" s="231">
        <v>2395851.9700000002</v>
      </c>
      <c r="EP40" s="229">
        <v>2.1063000000000001</v>
      </c>
      <c r="EQ40" s="231">
        <v>504541</v>
      </c>
      <c r="ER40" s="231">
        <v>416624</v>
      </c>
      <c r="ES40" s="231">
        <v>862927</v>
      </c>
      <c r="ET40" s="231">
        <v>580324288</v>
      </c>
      <c r="EU40" s="231">
        <v>1784092</v>
      </c>
      <c r="EV40" s="231">
        <v>1738909</v>
      </c>
      <c r="EW40" s="231">
        <v>45183</v>
      </c>
      <c r="EX40" s="229">
        <v>2.5999999999999999E-2</v>
      </c>
      <c r="EY40" s="229">
        <v>0.28170000000000001</v>
      </c>
    </row>
    <row r="41" spans="1:155" ht="17.25" thickBot="1" x14ac:dyDescent="0.3">
      <c r="A41" s="226">
        <v>46132</v>
      </c>
      <c r="B41" s="227" t="s">
        <v>175</v>
      </c>
      <c r="C41" s="227" t="s">
        <v>561</v>
      </c>
      <c r="D41" s="231">
        <v>1043.9000000000001</v>
      </c>
      <c r="E41" s="231">
        <v>1036.7</v>
      </c>
      <c r="F41" s="228">
        <v>7.2</v>
      </c>
      <c r="G41" s="229">
        <v>6.8999999999999999E-3</v>
      </c>
      <c r="H41" s="231">
        <v>1045.1500000000001</v>
      </c>
      <c r="I41" s="231">
        <v>1036.95</v>
      </c>
      <c r="J41" s="228">
        <v>8.1999999999999993</v>
      </c>
      <c r="K41" s="229">
        <v>7.9000000000000008E-3</v>
      </c>
      <c r="L41" s="231">
        <v>1043.9000000000001</v>
      </c>
      <c r="M41" s="231">
        <v>1036.7</v>
      </c>
      <c r="N41" s="228">
        <v>7.2</v>
      </c>
      <c r="O41" s="229">
        <v>6.8999999999999999E-3</v>
      </c>
      <c r="P41" s="231">
        <v>1049.3499999999999</v>
      </c>
      <c r="Q41" s="231">
        <v>1042.4000000000001</v>
      </c>
      <c r="R41" s="228">
        <v>6.95</v>
      </c>
      <c r="S41" s="229">
        <v>6.7000000000000002E-3</v>
      </c>
      <c r="T41" s="231">
        <v>1056.4000000000001</v>
      </c>
      <c r="U41" s="231">
        <v>1047.45</v>
      </c>
      <c r="V41" s="228">
        <v>8.9499999999999993</v>
      </c>
      <c r="W41" s="229">
        <v>8.5000000000000006E-3</v>
      </c>
      <c r="X41" s="228">
        <v>-1.25</v>
      </c>
      <c r="Y41" s="228">
        <v>-0.25</v>
      </c>
      <c r="Z41" s="228">
        <v>-1</v>
      </c>
      <c r="AA41" s="229">
        <v>-1.1999999999999999E-3</v>
      </c>
      <c r="AB41" s="228">
        <v>-1.25</v>
      </c>
      <c r="AC41" s="228">
        <v>-0.25</v>
      </c>
      <c r="AD41" s="228">
        <v>-1</v>
      </c>
      <c r="AE41" s="229">
        <v>-1.1999999999999999E-3</v>
      </c>
      <c r="AF41" s="228">
        <v>4.2</v>
      </c>
      <c r="AG41" s="228">
        <v>5.45</v>
      </c>
      <c r="AH41" s="228">
        <v>-1.25</v>
      </c>
      <c r="AI41" s="229">
        <v>4.0000000000000001E-3</v>
      </c>
      <c r="AJ41" s="228">
        <v>11.25</v>
      </c>
      <c r="AK41" s="228">
        <v>10.5</v>
      </c>
      <c r="AL41" s="228">
        <v>0.75</v>
      </c>
      <c r="AM41" s="229">
        <v>1.0800000000000001E-2</v>
      </c>
      <c r="AN41" s="231">
        <v>1043.33</v>
      </c>
      <c r="AO41" s="231">
        <v>1048.72</v>
      </c>
      <c r="AP41" s="228">
        <v>0</v>
      </c>
      <c r="AQ41" s="230">
        <v>9116</v>
      </c>
      <c r="AR41" s="230">
        <v>7009</v>
      </c>
      <c r="AS41" s="230">
        <v>2107</v>
      </c>
      <c r="AT41" s="229">
        <v>0.30059999999999998</v>
      </c>
      <c r="AU41" s="230">
        <v>6648</v>
      </c>
      <c r="AV41" s="230">
        <v>5219</v>
      </c>
      <c r="AW41" s="230">
        <v>1429</v>
      </c>
      <c r="AX41" s="229">
        <v>0.27379999999999999</v>
      </c>
      <c r="AY41" s="230">
        <v>1359</v>
      </c>
      <c r="AZ41" s="228">
        <v>645</v>
      </c>
      <c r="BA41" s="228">
        <v>714</v>
      </c>
      <c r="BB41" s="229">
        <v>1.107</v>
      </c>
      <c r="BC41" s="230">
        <v>1109</v>
      </c>
      <c r="BD41" s="230">
        <v>1145</v>
      </c>
      <c r="BE41" s="228">
        <v>-36</v>
      </c>
      <c r="BF41" s="229">
        <v>-3.1399999999999997E-2</v>
      </c>
      <c r="BG41" s="230">
        <v>19178</v>
      </c>
      <c r="BH41" s="230">
        <v>16096</v>
      </c>
      <c r="BI41" s="230">
        <v>3082</v>
      </c>
      <c r="BJ41" s="229">
        <v>0.1915</v>
      </c>
      <c r="BK41" s="230">
        <v>9037</v>
      </c>
      <c r="BL41" s="230">
        <v>7308</v>
      </c>
      <c r="BM41" s="230">
        <v>1729</v>
      </c>
      <c r="BN41" s="229">
        <v>0.2366</v>
      </c>
      <c r="BO41" s="230">
        <v>37331</v>
      </c>
      <c r="BP41" s="230">
        <v>30413</v>
      </c>
      <c r="BQ41" s="230">
        <v>6918</v>
      </c>
      <c r="BR41" s="229">
        <v>0.22750000000000001</v>
      </c>
      <c r="BS41" s="230">
        <v>4829055</v>
      </c>
      <c r="BT41" s="230">
        <v>4455463</v>
      </c>
      <c r="BU41" s="230">
        <v>373592</v>
      </c>
      <c r="BV41" s="229">
        <v>8.3900000000000002E-2</v>
      </c>
      <c r="BW41" s="230">
        <v>40288050</v>
      </c>
      <c r="BX41" s="230">
        <v>40702200</v>
      </c>
      <c r="BY41" s="230">
        <v>-414150</v>
      </c>
      <c r="BZ41" s="229">
        <v>-1.0200000000000001E-2</v>
      </c>
      <c r="CA41" s="230">
        <v>34145100</v>
      </c>
      <c r="CB41" s="230">
        <v>35898225</v>
      </c>
      <c r="CC41" s="230">
        <v>-1753125</v>
      </c>
      <c r="CD41" s="229">
        <v>-4.8800000000000003E-2</v>
      </c>
      <c r="CE41" s="230">
        <v>3234000</v>
      </c>
      <c r="CF41" s="230">
        <v>2737350</v>
      </c>
      <c r="CG41" s="230">
        <v>496650</v>
      </c>
      <c r="CH41" s="229">
        <v>0.18140000000000001</v>
      </c>
      <c r="CI41" s="230">
        <v>2908950</v>
      </c>
      <c r="CJ41" s="230">
        <v>2066625</v>
      </c>
      <c r="CK41" s="230">
        <v>842325</v>
      </c>
      <c r="CL41" s="229">
        <v>0.40760000000000002</v>
      </c>
      <c r="CM41" s="230">
        <v>13866600</v>
      </c>
      <c r="CN41" s="230">
        <v>14006850</v>
      </c>
      <c r="CO41" s="230">
        <v>-140250</v>
      </c>
      <c r="CP41" s="229">
        <v>-0.01</v>
      </c>
      <c r="CQ41" s="230">
        <v>10170600</v>
      </c>
      <c r="CR41" s="230">
        <v>10157400</v>
      </c>
      <c r="CS41" s="230">
        <v>13200</v>
      </c>
      <c r="CT41" s="229">
        <v>1.2999999999999999E-3</v>
      </c>
      <c r="CU41" s="230">
        <v>64325250</v>
      </c>
      <c r="CV41" s="230">
        <v>64866450</v>
      </c>
      <c r="CW41" s="230">
        <v>-541200</v>
      </c>
      <c r="CX41" s="229">
        <v>-8.3000000000000001E-3</v>
      </c>
      <c r="CY41" s="228">
        <v>48.14</v>
      </c>
      <c r="CZ41" s="228">
        <v>44.04</v>
      </c>
      <c r="DA41" s="228">
        <v>4.0999999999999996</v>
      </c>
      <c r="DB41" s="228">
        <v>4.0999999999999996</v>
      </c>
      <c r="DC41" s="228">
        <v>45.01</v>
      </c>
      <c r="DD41" s="228">
        <v>45.11</v>
      </c>
      <c r="DE41" s="228">
        <v>3.13</v>
      </c>
      <c r="DF41" s="228">
        <v>-0.1</v>
      </c>
      <c r="DG41" s="228">
        <v>47.04</v>
      </c>
      <c r="DH41" s="228">
        <v>43.22</v>
      </c>
      <c r="DI41" s="228">
        <v>3.82</v>
      </c>
      <c r="DJ41" s="228">
        <v>3.82</v>
      </c>
      <c r="DK41" s="228">
        <v>50.47</v>
      </c>
      <c r="DL41" s="228">
        <v>45.85</v>
      </c>
      <c r="DM41" s="228">
        <v>4.62</v>
      </c>
      <c r="DN41" s="228">
        <v>4.62</v>
      </c>
      <c r="DO41" s="228">
        <v>0.73</v>
      </c>
      <c r="DP41" s="228">
        <v>0.73</v>
      </c>
      <c r="DQ41" s="228">
        <v>0</v>
      </c>
      <c r="DR41" s="229">
        <v>0</v>
      </c>
      <c r="DS41" s="231">
        <v>1100</v>
      </c>
      <c r="DT41" s="231">
        <v>1000</v>
      </c>
      <c r="DU41" s="228">
        <v>0.47</v>
      </c>
      <c r="DV41" s="228">
        <v>0.45</v>
      </c>
      <c r="DW41" s="228">
        <v>0.02</v>
      </c>
      <c r="DX41" s="229">
        <v>4.4400000000000002E-2</v>
      </c>
      <c r="DY41" s="229">
        <v>0.1525</v>
      </c>
      <c r="DZ41" s="230">
        <v>4803975</v>
      </c>
      <c r="EA41" s="229">
        <v>5.1999999999999998E-3</v>
      </c>
      <c r="EB41" s="229">
        <v>0.1525</v>
      </c>
      <c r="EC41" s="228">
        <v>5.39</v>
      </c>
      <c r="ED41" s="229">
        <v>5.1999999999999998E-3</v>
      </c>
      <c r="EE41" s="230">
        <v>2737651</v>
      </c>
      <c r="EF41" s="230">
        <v>2239567</v>
      </c>
      <c r="EG41" s="229">
        <v>0.22239999999999999</v>
      </c>
      <c r="EH41" s="229">
        <v>0.56689999999999996</v>
      </c>
      <c r="EI41" s="231">
        <v>172685.43</v>
      </c>
      <c r="EJ41" s="231">
        <v>75989.279999999999</v>
      </c>
      <c r="EK41" s="231">
        <v>78659.66</v>
      </c>
      <c r="EL41" s="231">
        <v>8664</v>
      </c>
      <c r="EM41" s="231">
        <v>327334.37</v>
      </c>
      <c r="EN41" s="231">
        <v>264959.69</v>
      </c>
      <c r="EO41" s="231">
        <v>62374.68</v>
      </c>
      <c r="EP41" s="229">
        <v>0.2354</v>
      </c>
      <c r="EQ41" s="231">
        <v>143629</v>
      </c>
      <c r="ER41" s="231">
        <v>96657</v>
      </c>
      <c r="ES41" s="231">
        <v>421107</v>
      </c>
      <c r="ET41" s="231">
        <v>210567108</v>
      </c>
      <c r="EU41" s="231">
        <v>661392</v>
      </c>
      <c r="EV41" s="231">
        <v>662982</v>
      </c>
      <c r="EW41" s="231">
        <v>-1590</v>
      </c>
      <c r="EX41" s="229">
        <v>-2.3999999999999998E-3</v>
      </c>
      <c r="EY41" s="229">
        <v>0.30549999999999999</v>
      </c>
    </row>
    <row r="42" spans="1:155" ht="17.25" thickBot="1" x14ac:dyDescent="0.3">
      <c r="A42" s="226">
        <v>46132</v>
      </c>
      <c r="B42" s="227" t="s">
        <v>170</v>
      </c>
      <c r="C42" s="227" t="s">
        <v>288</v>
      </c>
      <c r="D42" s="231">
        <v>1667.3</v>
      </c>
      <c r="E42" s="231">
        <v>1674.9</v>
      </c>
      <c r="F42" s="228">
        <v>-7.6</v>
      </c>
      <c r="G42" s="229">
        <v>-4.4999999999999997E-3</v>
      </c>
      <c r="H42" s="231">
        <v>1668.6</v>
      </c>
      <c r="I42" s="231">
        <v>1675.5</v>
      </c>
      <c r="J42" s="228">
        <v>-6.9</v>
      </c>
      <c r="K42" s="229">
        <v>-4.1000000000000003E-3</v>
      </c>
      <c r="L42" s="231">
        <v>1667.3</v>
      </c>
      <c r="M42" s="231">
        <v>1674.9</v>
      </c>
      <c r="N42" s="228">
        <v>-7.6</v>
      </c>
      <c r="O42" s="229">
        <v>-4.4999999999999997E-3</v>
      </c>
      <c r="P42" s="231">
        <v>1676.8</v>
      </c>
      <c r="Q42" s="231">
        <v>1684.2</v>
      </c>
      <c r="R42" s="228">
        <v>-7.4</v>
      </c>
      <c r="S42" s="229">
        <v>-4.4000000000000003E-3</v>
      </c>
      <c r="T42" s="231">
        <v>1688.6</v>
      </c>
      <c r="U42" s="231">
        <v>1696.3</v>
      </c>
      <c r="V42" s="228">
        <v>-7.7</v>
      </c>
      <c r="W42" s="229">
        <v>-4.4999999999999997E-3</v>
      </c>
      <c r="X42" s="228">
        <v>-1.3</v>
      </c>
      <c r="Y42" s="228">
        <v>-0.6</v>
      </c>
      <c r="Z42" s="228">
        <v>-0.7</v>
      </c>
      <c r="AA42" s="229">
        <v>-8.0000000000000004E-4</v>
      </c>
      <c r="AB42" s="228">
        <v>-1.3</v>
      </c>
      <c r="AC42" s="228">
        <v>-0.6</v>
      </c>
      <c r="AD42" s="228">
        <v>-0.7</v>
      </c>
      <c r="AE42" s="229">
        <v>-8.0000000000000004E-4</v>
      </c>
      <c r="AF42" s="228">
        <v>8.1999999999999993</v>
      </c>
      <c r="AG42" s="228">
        <v>8.6999999999999993</v>
      </c>
      <c r="AH42" s="228">
        <v>-0.5</v>
      </c>
      <c r="AI42" s="229">
        <v>4.8999999999999998E-3</v>
      </c>
      <c r="AJ42" s="228">
        <v>20</v>
      </c>
      <c r="AK42" s="228">
        <v>20.8</v>
      </c>
      <c r="AL42" s="228">
        <v>-0.8</v>
      </c>
      <c r="AM42" s="229">
        <v>1.2E-2</v>
      </c>
      <c r="AN42" s="231">
        <v>1670.7</v>
      </c>
      <c r="AO42" s="231">
        <v>1680.82</v>
      </c>
      <c r="AP42" s="228">
        <v>0</v>
      </c>
      <c r="AQ42" s="230">
        <v>5280</v>
      </c>
      <c r="AR42" s="230">
        <v>7850</v>
      </c>
      <c r="AS42" s="230">
        <v>-2570</v>
      </c>
      <c r="AT42" s="229">
        <v>-0.32740000000000002</v>
      </c>
      <c r="AU42" s="230">
        <v>3733</v>
      </c>
      <c r="AV42" s="230">
        <v>6078</v>
      </c>
      <c r="AW42" s="230">
        <v>-2345</v>
      </c>
      <c r="AX42" s="229">
        <v>-0.38579999999999998</v>
      </c>
      <c r="AY42" s="228">
        <v>548</v>
      </c>
      <c r="AZ42" s="228">
        <v>572</v>
      </c>
      <c r="BA42" s="228">
        <v>-24</v>
      </c>
      <c r="BB42" s="229">
        <v>-4.2000000000000003E-2</v>
      </c>
      <c r="BC42" s="228">
        <v>999</v>
      </c>
      <c r="BD42" s="230">
        <v>1200</v>
      </c>
      <c r="BE42" s="228">
        <v>-201</v>
      </c>
      <c r="BF42" s="229">
        <v>-0.16750000000000001</v>
      </c>
      <c r="BG42" s="230">
        <v>19441</v>
      </c>
      <c r="BH42" s="230">
        <v>28000</v>
      </c>
      <c r="BI42" s="230">
        <v>-8559</v>
      </c>
      <c r="BJ42" s="229">
        <v>-0.30570000000000003</v>
      </c>
      <c r="BK42" s="230">
        <v>9587</v>
      </c>
      <c r="BL42" s="230">
        <v>20653</v>
      </c>
      <c r="BM42" s="230">
        <v>-11066</v>
      </c>
      <c r="BN42" s="229">
        <v>-0.53580000000000005</v>
      </c>
      <c r="BO42" s="230">
        <v>34308</v>
      </c>
      <c r="BP42" s="230">
        <v>56503</v>
      </c>
      <c r="BQ42" s="230">
        <v>-22195</v>
      </c>
      <c r="BR42" s="229">
        <v>-0.39279999999999998</v>
      </c>
      <c r="BS42" s="230">
        <v>1876428</v>
      </c>
      <c r="BT42" s="230">
        <v>3328143</v>
      </c>
      <c r="BU42" s="230">
        <v>-1451715</v>
      </c>
      <c r="BV42" s="229">
        <v>-0.43619999999999998</v>
      </c>
      <c r="BW42" s="230">
        <v>18735150</v>
      </c>
      <c r="BX42" s="230">
        <v>18700500</v>
      </c>
      <c r="BY42" s="230">
        <v>34650</v>
      </c>
      <c r="BZ42" s="229">
        <v>1.9E-3</v>
      </c>
      <c r="CA42" s="230">
        <v>14505750</v>
      </c>
      <c r="CB42" s="230">
        <v>14903350</v>
      </c>
      <c r="CC42" s="230">
        <v>-397600</v>
      </c>
      <c r="CD42" s="229">
        <v>-2.6700000000000002E-2</v>
      </c>
      <c r="CE42" s="230">
        <v>2597000</v>
      </c>
      <c r="CF42" s="230">
        <v>2503200</v>
      </c>
      <c r="CG42" s="230">
        <v>93800</v>
      </c>
      <c r="CH42" s="229">
        <v>3.7499999999999999E-2</v>
      </c>
      <c r="CI42" s="230">
        <v>1632400</v>
      </c>
      <c r="CJ42" s="230">
        <v>1293950</v>
      </c>
      <c r="CK42" s="230">
        <v>338450</v>
      </c>
      <c r="CL42" s="229">
        <v>0.2616</v>
      </c>
      <c r="CM42" s="230">
        <v>8292200</v>
      </c>
      <c r="CN42" s="230">
        <v>8200500</v>
      </c>
      <c r="CO42" s="230">
        <v>91700</v>
      </c>
      <c r="CP42" s="229">
        <v>1.12E-2</v>
      </c>
      <c r="CQ42" s="230">
        <v>5504450</v>
      </c>
      <c r="CR42" s="230">
        <v>5840800</v>
      </c>
      <c r="CS42" s="230">
        <v>-336350</v>
      </c>
      <c r="CT42" s="229">
        <v>-5.7599999999999998E-2</v>
      </c>
      <c r="CU42" s="230">
        <v>32531800</v>
      </c>
      <c r="CV42" s="230">
        <v>32741800</v>
      </c>
      <c r="CW42" s="230">
        <v>-210000</v>
      </c>
      <c r="CX42" s="229">
        <v>-6.4000000000000003E-3</v>
      </c>
      <c r="CY42" s="228">
        <v>27.36</v>
      </c>
      <c r="CZ42" s="228">
        <v>25.71</v>
      </c>
      <c r="DA42" s="228">
        <v>1.65</v>
      </c>
      <c r="DB42" s="228">
        <v>1.65</v>
      </c>
      <c r="DC42" s="228">
        <v>23.69</v>
      </c>
      <c r="DD42" s="228">
        <v>23.75</v>
      </c>
      <c r="DE42" s="228">
        <v>3.67</v>
      </c>
      <c r="DF42" s="228">
        <v>-0.06</v>
      </c>
      <c r="DG42" s="228">
        <v>26.92</v>
      </c>
      <c r="DH42" s="228">
        <v>24.87</v>
      </c>
      <c r="DI42" s="228">
        <v>2.0499999999999998</v>
      </c>
      <c r="DJ42" s="228">
        <v>2.0499999999999998</v>
      </c>
      <c r="DK42" s="228">
        <v>28.25</v>
      </c>
      <c r="DL42" s="228">
        <v>26.86</v>
      </c>
      <c r="DM42" s="228">
        <v>1.39</v>
      </c>
      <c r="DN42" s="228">
        <v>1.39</v>
      </c>
      <c r="DO42" s="228">
        <v>0.66</v>
      </c>
      <c r="DP42" s="228">
        <v>0.71</v>
      </c>
      <c r="DQ42" s="228">
        <v>-0.05</v>
      </c>
      <c r="DR42" s="229">
        <v>-7.0400000000000004E-2</v>
      </c>
      <c r="DS42" s="231">
        <v>1800</v>
      </c>
      <c r="DT42" s="231">
        <v>1600</v>
      </c>
      <c r="DU42" s="228">
        <v>0.49</v>
      </c>
      <c r="DV42" s="228">
        <v>0.74</v>
      </c>
      <c r="DW42" s="228">
        <v>-0.25</v>
      </c>
      <c r="DX42" s="229">
        <v>-0.33779999999999999</v>
      </c>
      <c r="DY42" s="229">
        <v>0.22570000000000001</v>
      </c>
      <c r="DZ42" s="230">
        <v>3797150</v>
      </c>
      <c r="EA42" s="229">
        <v>5.7000000000000002E-3</v>
      </c>
      <c r="EB42" s="229">
        <v>0.22570000000000001</v>
      </c>
      <c r="EC42" s="228">
        <v>10.119999999999999</v>
      </c>
      <c r="ED42" s="229">
        <v>6.1000000000000004E-3</v>
      </c>
      <c r="EE42" s="230">
        <v>1143577</v>
      </c>
      <c r="EF42" s="230">
        <v>2209790</v>
      </c>
      <c r="EG42" s="229">
        <v>-0.48249999999999998</v>
      </c>
      <c r="EH42" s="229">
        <v>0.60940000000000005</v>
      </c>
      <c r="EI42" s="231">
        <v>117809.27</v>
      </c>
      <c r="EJ42" s="231">
        <v>55599.05</v>
      </c>
      <c r="EK42" s="231">
        <v>30962.07</v>
      </c>
      <c r="EL42" s="231">
        <v>8617</v>
      </c>
      <c r="EM42" s="231">
        <v>204370.39</v>
      </c>
      <c r="EN42" s="231">
        <v>336802.97</v>
      </c>
      <c r="EO42" s="231">
        <v>-132432.57999999999</v>
      </c>
      <c r="EP42" s="229">
        <v>-0.39319999999999999</v>
      </c>
      <c r="EQ42" s="231">
        <v>145309</v>
      </c>
      <c r="ER42" s="231">
        <v>90664</v>
      </c>
      <c r="ES42" s="231">
        <v>312966</v>
      </c>
      <c r="ET42" s="231">
        <v>121755902</v>
      </c>
      <c r="EU42" s="231">
        <v>548939</v>
      </c>
      <c r="EV42" s="231">
        <v>553497</v>
      </c>
      <c r="EW42" s="231">
        <v>-4558</v>
      </c>
      <c r="EX42" s="229">
        <v>-8.2000000000000007E-3</v>
      </c>
      <c r="EY42" s="229">
        <v>0.26719999999999999</v>
      </c>
    </row>
    <row r="43" spans="1:155" ht="17.25" thickBot="1" x14ac:dyDescent="0.3">
      <c r="A43" s="226">
        <v>46132</v>
      </c>
      <c r="B43" s="227" t="s">
        <v>168</v>
      </c>
      <c r="C43" s="227" t="s">
        <v>291</v>
      </c>
      <c r="D43" s="231">
        <v>1119.4000000000001</v>
      </c>
      <c r="E43" s="231">
        <v>1113.9000000000001</v>
      </c>
      <c r="F43" s="228">
        <v>5.5</v>
      </c>
      <c r="G43" s="229">
        <v>4.8999999999999998E-3</v>
      </c>
      <c r="H43" s="231">
        <v>1120.4000000000001</v>
      </c>
      <c r="I43" s="231">
        <v>1113.2</v>
      </c>
      <c r="J43" s="228">
        <v>7.2</v>
      </c>
      <c r="K43" s="229">
        <v>6.4999999999999997E-3</v>
      </c>
      <c r="L43" s="231">
        <v>1119.4000000000001</v>
      </c>
      <c r="M43" s="231">
        <v>1113.9000000000001</v>
      </c>
      <c r="N43" s="228">
        <v>5.5</v>
      </c>
      <c r="O43" s="229">
        <v>4.8999999999999998E-3</v>
      </c>
      <c r="P43" s="231">
        <v>1122.9000000000001</v>
      </c>
      <c r="Q43" s="231">
        <v>1117.2</v>
      </c>
      <c r="R43" s="228">
        <v>5.7</v>
      </c>
      <c r="S43" s="229">
        <v>5.1000000000000004E-3</v>
      </c>
      <c r="T43" s="231">
        <v>1125.7</v>
      </c>
      <c r="U43" s="231">
        <v>1120.5</v>
      </c>
      <c r="V43" s="228">
        <v>5.2</v>
      </c>
      <c r="W43" s="229">
        <v>4.5999999999999999E-3</v>
      </c>
      <c r="X43" s="228">
        <v>-1</v>
      </c>
      <c r="Y43" s="228">
        <v>0.7</v>
      </c>
      <c r="Z43" s="228">
        <v>-1.7</v>
      </c>
      <c r="AA43" s="229">
        <v>-8.9999999999999998E-4</v>
      </c>
      <c r="AB43" s="228">
        <v>-1</v>
      </c>
      <c r="AC43" s="228">
        <v>0.7</v>
      </c>
      <c r="AD43" s="228">
        <v>-1.7</v>
      </c>
      <c r="AE43" s="229">
        <v>-8.9999999999999998E-4</v>
      </c>
      <c r="AF43" s="228">
        <v>2.5</v>
      </c>
      <c r="AG43" s="228">
        <v>4</v>
      </c>
      <c r="AH43" s="228">
        <v>-1.5</v>
      </c>
      <c r="AI43" s="229">
        <v>2.2000000000000001E-3</v>
      </c>
      <c r="AJ43" s="228">
        <v>5.3</v>
      </c>
      <c r="AK43" s="228">
        <v>7.3</v>
      </c>
      <c r="AL43" s="228">
        <v>-2</v>
      </c>
      <c r="AM43" s="229">
        <v>4.7000000000000002E-3</v>
      </c>
      <c r="AN43" s="231">
        <v>1121.07</v>
      </c>
      <c r="AO43" s="231">
        <v>1125.0899999999999</v>
      </c>
      <c r="AP43" s="228">
        <v>0</v>
      </c>
      <c r="AQ43" s="230">
        <v>2094</v>
      </c>
      <c r="AR43" s="230">
        <v>3072</v>
      </c>
      <c r="AS43" s="228">
        <v>-978</v>
      </c>
      <c r="AT43" s="229">
        <v>-0.31840000000000002</v>
      </c>
      <c r="AU43" s="230">
        <v>1800</v>
      </c>
      <c r="AV43" s="230">
        <v>2810</v>
      </c>
      <c r="AW43" s="230">
        <v>-1010</v>
      </c>
      <c r="AX43" s="229">
        <v>-0.3594</v>
      </c>
      <c r="AY43" s="228">
        <v>251</v>
      </c>
      <c r="AZ43" s="228">
        <v>243</v>
      </c>
      <c r="BA43" s="228">
        <v>8</v>
      </c>
      <c r="BB43" s="229">
        <v>3.2899999999999999E-2</v>
      </c>
      <c r="BC43" s="228">
        <v>43</v>
      </c>
      <c r="BD43" s="228">
        <v>19</v>
      </c>
      <c r="BE43" s="228">
        <v>24</v>
      </c>
      <c r="BF43" s="229">
        <v>1.2632000000000001</v>
      </c>
      <c r="BG43" s="230">
        <v>4932</v>
      </c>
      <c r="BH43" s="230">
        <v>11188</v>
      </c>
      <c r="BI43" s="230">
        <v>-6256</v>
      </c>
      <c r="BJ43" s="229">
        <v>-0.55920000000000003</v>
      </c>
      <c r="BK43" s="230">
        <v>1952</v>
      </c>
      <c r="BL43" s="230">
        <v>2685</v>
      </c>
      <c r="BM43" s="228">
        <v>-733</v>
      </c>
      <c r="BN43" s="229">
        <v>-0.27300000000000002</v>
      </c>
      <c r="BO43" s="230">
        <v>8978</v>
      </c>
      <c r="BP43" s="230">
        <v>16945</v>
      </c>
      <c r="BQ43" s="230">
        <v>-7967</v>
      </c>
      <c r="BR43" s="229">
        <v>-0.47020000000000001</v>
      </c>
      <c r="BS43" s="230">
        <v>1164339</v>
      </c>
      <c r="BT43" s="230">
        <v>1310394</v>
      </c>
      <c r="BU43" s="230">
        <v>-146055</v>
      </c>
      <c r="BV43" s="229">
        <v>-0.1115</v>
      </c>
      <c r="BW43" s="230">
        <v>13081750</v>
      </c>
      <c r="BX43" s="230">
        <v>13252250</v>
      </c>
      <c r="BY43" s="230">
        <v>-170500</v>
      </c>
      <c r="BZ43" s="229">
        <v>-1.29E-2</v>
      </c>
      <c r="CA43" s="230">
        <v>12154450</v>
      </c>
      <c r="CB43" s="230">
        <v>12372250</v>
      </c>
      <c r="CC43" s="230">
        <v>-217800</v>
      </c>
      <c r="CD43" s="229">
        <v>-1.7600000000000001E-2</v>
      </c>
      <c r="CE43" s="230">
        <v>839300</v>
      </c>
      <c r="CF43" s="230">
        <v>805200</v>
      </c>
      <c r="CG43" s="230">
        <v>34100</v>
      </c>
      <c r="CH43" s="229">
        <v>4.2299999999999997E-2</v>
      </c>
      <c r="CI43" s="230">
        <v>88000</v>
      </c>
      <c r="CJ43" s="230">
        <v>74800</v>
      </c>
      <c r="CK43" s="230">
        <v>13200</v>
      </c>
      <c r="CL43" s="229">
        <v>0.17649999999999999</v>
      </c>
      <c r="CM43" s="230">
        <v>2314400</v>
      </c>
      <c r="CN43" s="230">
        <v>2451350</v>
      </c>
      <c r="CO43" s="230">
        <v>-136950</v>
      </c>
      <c r="CP43" s="229">
        <v>-5.5899999999999998E-2</v>
      </c>
      <c r="CQ43" s="230">
        <v>2616900</v>
      </c>
      <c r="CR43" s="230">
        <v>2457400</v>
      </c>
      <c r="CS43" s="230">
        <v>159500</v>
      </c>
      <c r="CT43" s="229">
        <v>6.4899999999999999E-2</v>
      </c>
      <c r="CU43" s="230">
        <v>18013050</v>
      </c>
      <c r="CV43" s="230">
        <v>18161000</v>
      </c>
      <c r="CW43" s="230">
        <v>-147950</v>
      </c>
      <c r="CX43" s="229">
        <v>-8.0999999999999996E-3</v>
      </c>
      <c r="CY43" s="228">
        <v>31.58</v>
      </c>
      <c r="CZ43" s="228">
        <v>28.47</v>
      </c>
      <c r="DA43" s="228">
        <v>3.11</v>
      </c>
      <c r="DB43" s="228">
        <v>3.11</v>
      </c>
      <c r="DC43" s="228">
        <v>27.3</v>
      </c>
      <c r="DD43" s="228">
        <v>27.36</v>
      </c>
      <c r="DE43" s="228">
        <v>4.28</v>
      </c>
      <c r="DF43" s="228">
        <v>-0.06</v>
      </c>
      <c r="DG43" s="228">
        <v>30.74</v>
      </c>
      <c r="DH43" s="228">
        <v>27.94</v>
      </c>
      <c r="DI43" s="228">
        <v>2.8</v>
      </c>
      <c r="DJ43" s="228">
        <v>2.8</v>
      </c>
      <c r="DK43" s="228">
        <v>33.72</v>
      </c>
      <c r="DL43" s="228">
        <v>30.68</v>
      </c>
      <c r="DM43" s="228">
        <v>3.04</v>
      </c>
      <c r="DN43" s="228">
        <v>3.04</v>
      </c>
      <c r="DO43" s="228">
        <v>1.1299999999999999</v>
      </c>
      <c r="DP43" s="228">
        <v>1</v>
      </c>
      <c r="DQ43" s="228">
        <v>0.13</v>
      </c>
      <c r="DR43" s="229">
        <v>0.13</v>
      </c>
      <c r="DS43" s="231">
        <v>1100</v>
      </c>
      <c r="DT43" s="228">
        <v>930</v>
      </c>
      <c r="DU43" s="228">
        <v>0.4</v>
      </c>
      <c r="DV43" s="228">
        <v>0.24</v>
      </c>
      <c r="DW43" s="228">
        <v>0.16</v>
      </c>
      <c r="DX43" s="229">
        <v>0.66669999999999996</v>
      </c>
      <c r="DY43" s="229">
        <v>7.0900000000000005E-2</v>
      </c>
      <c r="DZ43" s="230">
        <v>880000</v>
      </c>
      <c r="EA43" s="229">
        <v>3.0999999999999999E-3</v>
      </c>
      <c r="EB43" s="229">
        <v>7.0900000000000005E-2</v>
      </c>
      <c r="EC43" s="228">
        <v>4.0199999999999996</v>
      </c>
      <c r="ED43" s="229">
        <v>3.5999999999999999E-3</v>
      </c>
      <c r="EE43" s="230">
        <v>686659</v>
      </c>
      <c r="EF43" s="230">
        <v>565447</v>
      </c>
      <c r="EG43" s="229">
        <v>0.21440000000000001</v>
      </c>
      <c r="EH43" s="229">
        <v>0.5897</v>
      </c>
      <c r="EI43" s="231">
        <v>31434.86</v>
      </c>
      <c r="EJ43" s="231">
        <v>11678.76</v>
      </c>
      <c r="EK43" s="231">
        <v>12918.25</v>
      </c>
      <c r="EL43" s="231">
        <v>2327</v>
      </c>
      <c r="EM43" s="231">
        <v>56031.87</v>
      </c>
      <c r="EN43" s="231">
        <v>105997.39</v>
      </c>
      <c r="EO43" s="231">
        <v>-49965.52</v>
      </c>
      <c r="EP43" s="229">
        <v>-0.47139999999999999</v>
      </c>
      <c r="EQ43" s="231">
        <v>26249</v>
      </c>
      <c r="ER43" s="231">
        <v>26627</v>
      </c>
      <c r="ES43" s="231">
        <v>146472</v>
      </c>
      <c r="ET43" s="231">
        <v>65472757</v>
      </c>
      <c r="EU43" s="231">
        <v>199348</v>
      </c>
      <c r="EV43" s="231">
        <v>200280</v>
      </c>
      <c r="EW43" s="228">
        <v>-932</v>
      </c>
      <c r="EX43" s="229">
        <v>-4.7000000000000002E-3</v>
      </c>
      <c r="EY43" s="229">
        <v>0.27510000000000001</v>
      </c>
    </row>
    <row r="44" spans="1:155" ht="17.25" thickBot="1" x14ac:dyDescent="0.3">
      <c r="A44" s="226">
        <v>46132</v>
      </c>
      <c r="B44" s="227" t="s">
        <v>227</v>
      </c>
      <c r="C44" s="227" t="s">
        <v>294</v>
      </c>
      <c r="D44" s="228">
        <v>211.52</v>
      </c>
      <c r="E44" s="228">
        <v>212.3</v>
      </c>
      <c r="F44" s="228">
        <v>-0.78</v>
      </c>
      <c r="G44" s="229">
        <v>-3.7000000000000002E-3</v>
      </c>
      <c r="H44" s="228">
        <v>211.72</v>
      </c>
      <c r="I44" s="228">
        <v>212.12</v>
      </c>
      <c r="J44" s="228">
        <v>-0.4</v>
      </c>
      <c r="K44" s="229">
        <v>-1.9E-3</v>
      </c>
      <c r="L44" s="228">
        <v>211.52</v>
      </c>
      <c r="M44" s="228">
        <v>212.3</v>
      </c>
      <c r="N44" s="228">
        <v>-0.78</v>
      </c>
      <c r="O44" s="229">
        <v>-3.7000000000000002E-3</v>
      </c>
      <c r="P44" s="228">
        <v>212.62</v>
      </c>
      <c r="Q44" s="228">
        <v>213.63</v>
      </c>
      <c r="R44" s="228">
        <v>-1.01</v>
      </c>
      <c r="S44" s="229">
        <v>-4.7000000000000002E-3</v>
      </c>
      <c r="T44" s="228">
        <v>211.15</v>
      </c>
      <c r="U44" s="228">
        <v>211.66</v>
      </c>
      <c r="V44" s="228">
        <v>-0.51</v>
      </c>
      <c r="W44" s="229">
        <v>-2.3999999999999998E-3</v>
      </c>
      <c r="X44" s="228">
        <v>-0.2</v>
      </c>
      <c r="Y44" s="228">
        <v>0.18</v>
      </c>
      <c r="Z44" s="228">
        <v>-0.38</v>
      </c>
      <c r="AA44" s="229">
        <v>-8.9999999999999998E-4</v>
      </c>
      <c r="AB44" s="228">
        <v>-0.2</v>
      </c>
      <c r="AC44" s="228">
        <v>0.18</v>
      </c>
      <c r="AD44" s="228">
        <v>-0.38</v>
      </c>
      <c r="AE44" s="229">
        <v>-8.9999999999999998E-4</v>
      </c>
      <c r="AF44" s="228">
        <v>0.9</v>
      </c>
      <c r="AG44" s="228">
        <v>1.51</v>
      </c>
      <c r="AH44" s="228">
        <v>-0.61</v>
      </c>
      <c r="AI44" s="229">
        <v>4.3E-3</v>
      </c>
      <c r="AJ44" s="228">
        <v>-0.56999999999999995</v>
      </c>
      <c r="AK44" s="228">
        <v>-0.46</v>
      </c>
      <c r="AL44" s="228">
        <v>-0.11</v>
      </c>
      <c r="AM44" s="229">
        <v>-2.7000000000000001E-3</v>
      </c>
      <c r="AN44" s="228">
        <v>211.72</v>
      </c>
      <c r="AO44" s="228">
        <v>213.01</v>
      </c>
      <c r="AP44" s="228">
        <v>0</v>
      </c>
      <c r="AQ44" s="230">
        <v>6120</v>
      </c>
      <c r="AR44" s="230">
        <v>5399</v>
      </c>
      <c r="AS44" s="228">
        <v>721</v>
      </c>
      <c r="AT44" s="229">
        <v>0.13350000000000001</v>
      </c>
      <c r="AU44" s="230">
        <v>4345</v>
      </c>
      <c r="AV44" s="230">
        <v>4488</v>
      </c>
      <c r="AW44" s="228">
        <v>-143</v>
      </c>
      <c r="AX44" s="229">
        <v>-3.1899999999999998E-2</v>
      </c>
      <c r="AY44" s="230">
        <v>1560</v>
      </c>
      <c r="AZ44" s="228">
        <v>786</v>
      </c>
      <c r="BA44" s="228">
        <v>774</v>
      </c>
      <c r="BB44" s="229">
        <v>0.98470000000000002</v>
      </c>
      <c r="BC44" s="228">
        <v>215</v>
      </c>
      <c r="BD44" s="228">
        <v>125</v>
      </c>
      <c r="BE44" s="228">
        <v>90</v>
      </c>
      <c r="BF44" s="229">
        <v>0.72</v>
      </c>
      <c r="BG44" s="230">
        <v>20587</v>
      </c>
      <c r="BH44" s="230">
        <v>21525</v>
      </c>
      <c r="BI44" s="228">
        <v>-938</v>
      </c>
      <c r="BJ44" s="229">
        <v>-4.36E-2</v>
      </c>
      <c r="BK44" s="230">
        <v>11591</v>
      </c>
      <c r="BL44" s="230">
        <v>13965</v>
      </c>
      <c r="BM44" s="230">
        <v>-2374</v>
      </c>
      <c r="BN44" s="229">
        <v>-0.17</v>
      </c>
      <c r="BO44" s="230">
        <v>38298</v>
      </c>
      <c r="BP44" s="230">
        <v>40889</v>
      </c>
      <c r="BQ44" s="230">
        <v>-2591</v>
      </c>
      <c r="BR44" s="229">
        <v>-6.3399999999999998E-2</v>
      </c>
      <c r="BS44" s="230">
        <v>26056362</v>
      </c>
      <c r="BT44" s="230">
        <v>24403581</v>
      </c>
      <c r="BU44" s="230">
        <v>1652781</v>
      </c>
      <c r="BV44" s="229">
        <v>6.7699999999999996E-2</v>
      </c>
      <c r="BW44" s="230">
        <v>179333000</v>
      </c>
      <c r="BX44" s="230">
        <v>178337500</v>
      </c>
      <c r="BY44" s="230">
        <v>995500</v>
      </c>
      <c r="BZ44" s="229">
        <v>5.5999999999999999E-3</v>
      </c>
      <c r="CA44" s="230">
        <v>150826500</v>
      </c>
      <c r="CB44" s="230">
        <v>153642500</v>
      </c>
      <c r="CC44" s="230">
        <v>-2816000</v>
      </c>
      <c r="CD44" s="229">
        <v>-1.83E-2</v>
      </c>
      <c r="CE44" s="230">
        <v>22814000</v>
      </c>
      <c r="CF44" s="230">
        <v>19184000</v>
      </c>
      <c r="CG44" s="230">
        <v>3630000</v>
      </c>
      <c r="CH44" s="229">
        <v>0.18920000000000001</v>
      </c>
      <c r="CI44" s="230">
        <v>5692500</v>
      </c>
      <c r="CJ44" s="230">
        <v>5511000</v>
      </c>
      <c r="CK44" s="230">
        <v>181500</v>
      </c>
      <c r="CL44" s="229">
        <v>3.2899999999999999E-2</v>
      </c>
      <c r="CM44" s="230">
        <v>119295000</v>
      </c>
      <c r="CN44" s="230">
        <v>116435000</v>
      </c>
      <c r="CO44" s="230">
        <v>2860000</v>
      </c>
      <c r="CP44" s="229">
        <v>2.46E-2</v>
      </c>
      <c r="CQ44" s="230">
        <v>100815000</v>
      </c>
      <c r="CR44" s="230">
        <v>99880000</v>
      </c>
      <c r="CS44" s="230">
        <v>935000</v>
      </c>
      <c r="CT44" s="229">
        <v>9.4000000000000004E-3</v>
      </c>
      <c r="CU44" s="230">
        <v>399443000</v>
      </c>
      <c r="CV44" s="230">
        <v>394652500</v>
      </c>
      <c r="CW44" s="230">
        <v>4790500</v>
      </c>
      <c r="CX44" s="229">
        <v>1.21E-2</v>
      </c>
      <c r="CY44" s="228">
        <v>32.17</v>
      </c>
      <c r="CZ44" s="228">
        <v>29.64</v>
      </c>
      <c r="DA44" s="228">
        <v>2.5299999999999998</v>
      </c>
      <c r="DB44" s="228">
        <v>2.5299999999999998</v>
      </c>
      <c r="DC44" s="228">
        <v>36.07</v>
      </c>
      <c r="DD44" s="228">
        <v>36.159999999999997</v>
      </c>
      <c r="DE44" s="228">
        <v>-3.9</v>
      </c>
      <c r="DF44" s="228">
        <v>-0.09</v>
      </c>
      <c r="DG44" s="228">
        <v>31.01</v>
      </c>
      <c r="DH44" s="228">
        <v>28.19</v>
      </c>
      <c r="DI44" s="228">
        <v>2.82</v>
      </c>
      <c r="DJ44" s="228">
        <v>2.82</v>
      </c>
      <c r="DK44" s="228">
        <v>34.22</v>
      </c>
      <c r="DL44" s="228">
        <v>31.87</v>
      </c>
      <c r="DM44" s="228">
        <v>2.35</v>
      </c>
      <c r="DN44" s="228">
        <v>2.35</v>
      </c>
      <c r="DO44" s="228">
        <v>0.85</v>
      </c>
      <c r="DP44" s="228">
        <v>0.86</v>
      </c>
      <c r="DQ44" s="228">
        <v>-0.01</v>
      </c>
      <c r="DR44" s="229">
        <v>-1.1599999999999999E-2</v>
      </c>
      <c r="DS44" s="228">
        <v>195</v>
      </c>
      <c r="DT44" s="228">
        <v>200</v>
      </c>
      <c r="DU44" s="228">
        <v>0.56000000000000005</v>
      </c>
      <c r="DV44" s="228">
        <v>0.65</v>
      </c>
      <c r="DW44" s="228">
        <v>-0.09</v>
      </c>
      <c r="DX44" s="229">
        <v>-0.13850000000000001</v>
      </c>
      <c r="DY44" s="229">
        <v>0.159</v>
      </c>
      <c r="DZ44" s="230">
        <v>24695000</v>
      </c>
      <c r="EA44" s="229">
        <v>5.1999999999999998E-3</v>
      </c>
      <c r="EB44" s="229">
        <v>0.159</v>
      </c>
      <c r="EC44" s="228">
        <v>1.29</v>
      </c>
      <c r="ED44" s="229">
        <v>6.1000000000000004E-3</v>
      </c>
      <c r="EE44" s="230">
        <v>11214620</v>
      </c>
      <c r="EF44" s="230">
        <v>9314487</v>
      </c>
      <c r="EG44" s="229">
        <v>0.20399999999999999</v>
      </c>
      <c r="EH44" s="229">
        <v>0.4304</v>
      </c>
      <c r="EI44" s="231">
        <v>247681.55</v>
      </c>
      <c r="EJ44" s="231">
        <v>131558.13</v>
      </c>
      <c r="EK44" s="231">
        <v>71367.839999999997</v>
      </c>
      <c r="EL44" s="231">
        <v>6381</v>
      </c>
      <c r="EM44" s="231">
        <v>450607.52</v>
      </c>
      <c r="EN44" s="231">
        <v>479106.43</v>
      </c>
      <c r="EO44" s="231">
        <v>-28498.91</v>
      </c>
      <c r="EP44" s="229">
        <v>-5.9499999999999997E-2</v>
      </c>
      <c r="EQ44" s="231">
        <v>248316</v>
      </c>
      <c r="ER44" s="231">
        <v>196622</v>
      </c>
      <c r="ES44" s="231">
        <v>379555</v>
      </c>
      <c r="ET44" s="231">
        <v>1049350971</v>
      </c>
      <c r="EU44" s="231">
        <v>824493</v>
      </c>
      <c r="EV44" s="231">
        <v>815086</v>
      </c>
      <c r="EW44" s="231">
        <v>9407</v>
      </c>
      <c r="EX44" s="229">
        <v>1.15E-2</v>
      </c>
      <c r="EY44" s="229">
        <v>0.38069999999999998</v>
      </c>
    </row>
    <row r="45" spans="1:155" ht="17.25" thickBot="1" x14ac:dyDescent="0.3">
      <c r="A45" s="226">
        <v>46132</v>
      </c>
      <c r="B45" s="227" t="s">
        <v>221</v>
      </c>
      <c r="C45" s="227" t="s">
        <v>295</v>
      </c>
      <c r="D45" s="231">
        <v>2565</v>
      </c>
      <c r="E45" s="231">
        <v>2561.1999999999998</v>
      </c>
      <c r="F45" s="228">
        <v>3.8</v>
      </c>
      <c r="G45" s="229">
        <v>1.5E-3</v>
      </c>
      <c r="H45" s="231">
        <v>2579.6</v>
      </c>
      <c r="I45" s="231">
        <v>2581.5</v>
      </c>
      <c r="J45" s="228">
        <v>-1.9</v>
      </c>
      <c r="K45" s="229">
        <v>-6.9999999999999999E-4</v>
      </c>
      <c r="L45" s="231">
        <v>2565</v>
      </c>
      <c r="M45" s="231">
        <v>2561.1999999999998</v>
      </c>
      <c r="N45" s="228">
        <v>3.8</v>
      </c>
      <c r="O45" s="229">
        <v>1.5E-3</v>
      </c>
      <c r="P45" s="231">
        <v>2560.5</v>
      </c>
      <c r="Q45" s="231">
        <v>2553.3000000000002</v>
      </c>
      <c r="R45" s="228">
        <v>7.2</v>
      </c>
      <c r="S45" s="229">
        <v>2.8E-3</v>
      </c>
      <c r="T45" s="231">
        <v>2558.5</v>
      </c>
      <c r="U45" s="231">
        <v>2553.6</v>
      </c>
      <c r="V45" s="228">
        <v>4.9000000000000004</v>
      </c>
      <c r="W45" s="229">
        <v>1.9E-3</v>
      </c>
      <c r="X45" s="228">
        <v>-14.6</v>
      </c>
      <c r="Y45" s="228">
        <v>-20.3</v>
      </c>
      <c r="Z45" s="228">
        <v>5.7</v>
      </c>
      <c r="AA45" s="229">
        <v>-5.7000000000000002E-3</v>
      </c>
      <c r="AB45" s="228">
        <v>-14.6</v>
      </c>
      <c r="AC45" s="228">
        <v>-20.3</v>
      </c>
      <c r="AD45" s="228">
        <v>5.7</v>
      </c>
      <c r="AE45" s="229">
        <v>-5.7000000000000002E-3</v>
      </c>
      <c r="AF45" s="228">
        <v>-19.100000000000001</v>
      </c>
      <c r="AG45" s="228">
        <v>-28.2</v>
      </c>
      <c r="AH45" s="228">
        <v>9.1</v>
      </c>
      <c r="AI45" s="229">
        <v>-7.4000000000000003E-3</v>
      </c>
      <c r="AJ45" s="228">
        <v>-21.1</v>
      </c>
      <c r="AK45" s="228">
        <v>-27.9</v>
      </c>
      <c r="AL45" s="228">
        <v>6.8</v>
      </c>
      <c r="AM45" s="229">
        <v>-8.2000000000000007E-3</v>
      </c>
      <c r="AN45" s="231">
        <v>2565.67</v>
      </c>
      <c r="AO45" s="231">
        <v>2559.71</v>
      </c>
      <c r="AP45" s="228">
        <v>0</v>
      </c>
      <c r="AQ45" s="230">
        <v>17695</v>
      </c>
      <c r="AR45" s="230">
        <v>16509</v>
      </c>
      <c r="AS45" s="230">
        <v>1186</v>
      </c>
      <c r="AT45" s="229">
        <v>7.1800000000000003E-2</v>
      </c>
      <c r="AU45" s="230">
        <v>13488</v>
      </c>
      <c r="AV45" s="230">
        <v>13174</v>
      </c>
      <c r="AW45" s="228">
        <v>314</v>
      </c>
      <c r="AX45" s="229">
        <v>2.3800000000000002E-2</v>
      </c>
      <c r="AY45" s="230">
        <v>3596</v>
      </c>
      <c r="AZ45" s="230">
        <v>2569</v>
      </c>
      <c r="BA45" s="230">
        <v>1027</v>
      </c>
      <c r="BB45" s="229">
        <v>0.39979999999999999</v>
      </c>
      <c r="BC45" s="228">
        <v>611</v>
      </c>
      <c r="BD45" s="228">
        <v>766</v>
      </c>
      <c r="BE45" s="228">
        <v>-155</v>
      </c>
      <c r="BF45" s="229">
        <v>-0.20230000000000001</v>
      </c>
      <c r="BG45" s="230">
        <v>93530</v>
      </c>
      <c r="BH45" s="230">
        <v>96380</v>
      </c>
      <c r="BI45" s="230">
        <v>-2850</v>
      </c>
      <c r="BJ45" s="229">
        <v>-2.9600000000000001E-2</v>
      </c>
      <c r="BK45" s="230">
        <v>49638</v>
      </c>
      <c r="BL45" s="230">
        <v>56190</v>
      </c>
      <c r="BM45" s="230">
        <v>-6552</v>
      </c>
      <c r="BN45" s="229">
        <v>-0.1166</v>
      </c>
      <c r="BO45" s="230">
        <v>160863</v>
      </c>
      <c r="BP45" s="230">
        <v>169079</v>
      </c>
      <c r="BQ45" s="230">
        <v>-8216</v>
      </c>
      <c r="BR45" s="229">
        <v>-4.8599999999999997E-2</v>
      </c>
      <c r="BS45" s="230">
        <v>2430532</v>
      </c>
      <c r="BT45" s="230">
        <v>2872327</v>
      </c>
      <c r="BU45" s="230">
        <v>-441795</v>
      </c>
      <c r="BV45" s="229">
        <v>-0.15379999999999999</v>
      </c>
      <c r="BW45" s="230">
        <v>35568750</v>
      </c>
      <c r="BX45" s="230">
        <v>35561225</v>
      </c>
      <c r="BY45" s="230">
        <v>7525</v>
      </c>
      <c r="BZ45" s="229">
        <v>2.0000000000000001E-4</v>
      </c>
      <c r="CA45" s="230">
        <v>31798025</v>
      </c>
      <c r="CB45" s="230">
        <v>32095700</v>
      </c>
      <c r="CC45" s="230">
        <v>-297675</v>
      </c>
      <c r="CD45" s="229">
        <v>-9.2999999999999992E-3</v>
      </c>
      <c r="CE45" s="230">
        <v>3123925</v>
      </c>
      <c r="CF45" s="230">
        <v>2845500</v>
      </c>
      <c r="CG45" s="230">
        <v>278425</v>
      </c>
      <c r="CH45" s="229">
        <v>9.7799999999999998E-2</v>
      </c>
      <c r="CI45" s="230">
        <v>646800</v>
      </c>
      <c r="CJ45" s="230">
        <v>620025</v>
      </c>
      <c r="CK45" s="230">
        <v>26775</v>
      </c>
      <c r="CL45" s="229">
        <v>4.3200000000000002E-2</v>
      </c>
      <c r="CM45" s="230">
        <v>17157350</v>
      </c>
      <c r="CN45" s="230">
        <v>18088175</v>
      </c>
      <c r="CO45" s="230">
        <v>-930825</v>
      </c>
      <c r="CP45" s="229">
        <v>-5.1499999999999997E-2</v>
      </c>
      <c r="CQ45" s="230">
        <v>11582725</v>
      </c>
      <c r="CR45" s="230">
        <v>11833675</v>
      </c>
      <c r="CS45" s="230">
        <v>-250950</v>
      </c>
      <c r="CT45" s="229">
        <v>-2.12E-2</v>
      </c>
      <c r="CU45" s="230">
        <v>64308825</v>
      </c>
      <c r="CV45" s="230">
        <v>65483075</v>
      </c>
      <c r="CW45" s="230">
        <v>-1174250</v>
      </c>
      <c r="CX45" s="229">
        <v>-1.7899999999999999E-2</v>
      </c>
      <c r="CY45" s="228">
        <v>27.81</v>
      </c>
      <c r="CZ45" s="228">
        <v>25.09</v>
      </c>
      <c r="DA45" s="228">
        <v>2.72</v>
      </c>
      <c r="DB45" s="228">
        <v>2.72</v>
      </c>
      <c r="DC45" s="228">
        <v>27.25</v>
      </c>
      <c r="DD45" s="228">
        <v>27.32</v>
      </c>
      <c r="DE45" s="228">
        <v>0.56000000000000005</v>
      </c>
      <c r="DF45" s="228">
        <v>-7.0000000000000007E-2</v>
      </c>
      <c r="DG45" s="228">
        <v>26.56</v>
      </c>
      <c r="DH45" s="228">
        <v>24.62</v>
      </c>
      <c r="DI45" s="228">
        <v>1.94</v>
      </c>
      <c r="DJ45" s="228">
        <v>1.94</v>
      </c>
      <c r="DK45" s="228">
        <v>30.14</v>
      </c>
      <c r="DL45" s="228">
        <v>25.89</v>
      </c>
      <c r="DM45" s="228">
        <v>4.25</v>
      </c>
      <c r="DN45" s="228">
        <v>4.25</v>
      </c>
      <c r="DO45" s="228">
        <v>0.68</v>
      </c>
      <c r="DP45" s="228">
        <v>0.65</v>
      </c>
      <c r="DQ45" s="228">
        <v>0.03</v>
      </c>
      <c r="DR45" s="229">
        <v>4.6199999999999998E-2</v>
      </c>
      <c r="DS45" s="231">
        <v>2600</v>
      </c>
      <c r="DT45" s="231">
        <v>2400</v>
      </c>
      <c r="DU45" s="228">
        <v>0.53</v>
      </c>
      <c r="DV45" s="228">
        <v>0.57999999999999996</v>
      </c>
      <c r="DW45" s="228">
        <v>-0.05</v>
      </c>
      <c r="DX45" s="229">
        <v>-8.6199999999999999E-2</v>
      </c>
      <c r="DY45" s="229">
        <v>0.106</v>
      </c>
      <c r="DZ45" s="230">
        <v>3465525</v>
      </c>
      <c r="EA45" s="229">
        <v>-1.8E-3</v>
      </c>
      <c r="EB45" s="229">
        <v>0.106</v>
      </c>
      <c r="EC45" s="228">
        <v>-5.96</v>
      </c>
      <c r="ED45" s="229">
        <v>-2.3E-3</v>
      </c>
      <c r="EE45" s="230">
        <v>1224946</v>
      </c>
      <c r="EF45" s="230">
        <v>1761926</v>
      </c>
      <c r="EG45" s="229">
        <v>-0.30480000000000002</v>
      </c>
      <c r="EH45" s="229">
        <v>0.504</v>
      </c>
      <c r="EI45" s="231">
        <v>436785.39</v>
      </c>
      <c r="EJ45" s="231">
        <v>217583.95</v>
      </c>
      <c r="EK45" s="231">
        <v>79403.33</v>
      </c>
      <c r="EL45" s="231">
        <v>23425</v>
      </c>
      <c r="EM45" s="231">
        <v>733772.67</v>
      </c>
      <c r="EN45" s="231">
        <v>771846.16</v>
      </c>
      <c r="EO45" s="231">
        <v>-38073.49</v>
      </c>
      <c r="EP45" s="229">
        <v>-4.9299999999999997E-2</v>
      </c>
      <c r="EQ45" s="231">
        <v>455782</v>
      </c>
      <c r="ER45" s="231">
        <v>291363</v>
      </c>
      <c r="ES45" s="231">
        <v>912156</v>
      </c>
      <c r="ET45" s="231">
        <v>153229333</v>
      </c>
      <c r="EU45" s="231">
        <v>1659301</v>
      </c>
      <c r="EV45" s="231">
        <v>1687769</v>
      </c>
      <c r="EW45" s="231">
        <v>-28468</v>
      </c>
      <c r="EX45" s="229">
        <v>-1.6899999999999998E-2</v>
      </c>
      <c r="EY45" s="229">
        <v>0.41970000000000002</v>
      </c>
    </row>
    <row r="46" spans="1:155" ht="17.25" thickBot="1" x14ac:dyDescent="0.3">
      <c r="A46" s="226">
        <v>46132</v>
      </c>
      <c r="B46" s="227" t="s">
        <v>221</v>
      </c>
      <c r="C46" s="227" t="s">
        <v>296</v>
      </c>
      <c r="D46" s="231">
        <v>1497.7</v>
      </c>
      <c r="E46" s="231">
        <v>1503.1</v>
      </c>
      <c r="F46" s="228">
        <v>-5.4</v>
      </c>
      <c r="G46" s="229">
        <v>-3.5999999999999999E-3</v>
      </c>
      <c r="H46" s="231">
        <v>1504.4</v>
      </c>
      <c r="I46" s="231">
        <v>1511.4</v>
      </c>
      <c r="J46" s="228">
        <v>-7</v>
      </c>
      <c r="K46" s="229">
        <v>-4.5999999999999999E-3</v>
      </c>
      <c r="L46" s="231">
        <v>1497.7</v>
      </c>
      <c r="M46" s="231">
        <v>1503.1</v>
      </c>
      <c r="N46" s="228">
        <v>-5.4</v>
      </c>
      <c r="O46" s="229">
        <v>-3.5999999999999999E-3</v>
      </c>
      <c r="P46" s="231">
        <v>1494.5</v>
      </c>
      <c r="Q46" s="231">
        <v>1497</v>
      </c>
      <c r="R46" s="228">
        <v>-2.5</v>
      </c>
      <c r="S46" s="229">
        <v>-1.6999999999999999E-3</v>
      </c>
      <c r="T46" s="231">
        <v>1500.8</v>
      </c>
      <c r="U46" s="231">
        <v>1498.6</v>
      </c>
      <c r="V46" s="228">
        <v>2.2000000000000002</v>
      </c>
      <c r="W46" s="229">
        <v>1.5E-3</v>
      </c>
      <c r="X46" s="228">
        <v>-6.7</v>
      </c>
      <c r="Y46" s="228">
        <v>-8.3000000000000007</v>
      </c>
      <c r="Z46" s="228">
        <v>1.6</v>
      </c>
      <c r="AA46" s="229">
        <v>-4.4999999999999997E-3</v>
      </c>
      <c r="AB46" s="228">
        <v>-6.7</v>
      </c>
      <c r="AC46" s="228">
        <v>-8.3000000000000007</v>
      </c>
      <c r="AD46" s="228">
        <v>1.6</v>
      </c>
      <c r="AE46" s="229">
        <v>-4.4999999999999997E-3</v>
      </c>
      <c r="AF46" s="228">
        <v>-9.9</v>
      </c>
      <c r="AG46" s="228">
        <v>-14.4</v>
      </c>
      <c r="AH46" s="228">
        <v>4.5</v>
      </c>
      <c r="AI46" s="229">
        <v>-6.6E-3</v>
      </c>
      <c r="AJ46" s="228">
        <v>-3.6</v>
      </c>
      <c r="AK46" s="228">
        <v>-12.8</v>
      </c>
      <c r="AL46" s="228">
        <v>9.1999999999999993</v>
      </c>
      <c r="AM46" s="229">
        <v>-2.3999999999999998E-3</v>
      </c>
      <c r="AN46" s="231">
        <v>1506.04</v>
      </c>
      <c r="AO46" s="231">
        <v>1501.98</v>
      </c>
      <c r="AP46" s="228">
        <v>0</v>
      </c>
      <c r="AQ46" s="230">
        <v>5536</v>
      </c>
      <c r="AR46" s="230">
        <v>4250</v>
      </c>
      <c r="AS46" s="230">
        <v>1286</v>
      </c>
      <c r="AT46" s="229">
        <v>0.30259999999999998</v>
      </c>
      <c r="AU46" s="230">
        <v>5034</v>
      </c>
      <c r="AV46" s="230">
        <v>3613</v>
      </c>
      <c r="AW46" s="230">
        <v>1421</v>
      </c>
      <c r="AX46" s="229">
        <v>0.39329999999999998</v>
      </c>
      <c r="AY46" s="228">
        <v>464</v>
      </c>
      <c r="AZ46" s="228">
        <v>598</v>
      </c>
      <c r="BA46" s="228">
        <v>-134</v>
      </c>
      <c r="BB46" s="229">
        <v>-0.22409999999999999</v>
      </c>
      <c r="BC46" s="228">
        <v>38</v>
      </c>
      <c r="BD46" s="228">
        <v>39</v>
      </c>
      <c r="BE46" s="228">
        <v>-1</v>
      </c>
      <c r="BF46" s="229">
        <v>-2.5600000000000001E-2</v>
      </c>
      <c r="BG46" s="230">
        <v>14431</v>
      </c>
      <c r="BH46" s="230">
        <v>19192</v>
      </c>
      <c r="BI46" s="230">
        <v>-4761</v>
      </c>
      <c r="BJ46" s="229">
        <v>-0.24809999999999999</v>
      </c>
      <c r="BK46" s="230">
        <v>10983</v>
      </c>
      <c r="BL46" s="230">
        <v>8859</v>
      </c>
      <c r="BM46" s="230">
        <v>2124</v>
      </c>
      <c r="BN46" s="229">
        <v>0.23980000000000001</v>
      </c>
      <c r="BO46" s="230">
        <v>30950</v>
      </c>
      <c r="BP46" s="230">
        <v>32301</v>
      </c>
      <c r="BQ46" s="230">
        <v>-1351</v>
      </c>
      <c r="BR46" s="229">
        <v>-4.1799999999999997E-2</v>
      </c>
      <c r="BS46" s="230">
        <v>1387756</v>
      </c>
      <c r="BT46" s="230">
        <v>1891487</v>
      </c>
      <c r="BU46" s="230">
        <v>-503731</v>
      </c>
      <c r="BV46" s="229">
        <v>-0.26629999999999998</v>
      </c>
      <c r="BW46" s="230">
        <v>18578400</v>
      </c>
      <c r="BX46" s="230">
        <v>18625200</v>
      </c>
      <c r="BY46" s="230">
        <v>-46800</v>
      </c>
      <c r="BZ46" s="229">
        <v>-2.5000000000000001E-3</v>
      </c>
      <c r="CA46" s="230">
        <v>17670600</v>
      </c>
      <c r="CB46" s="230">
        <v>17795400</v>
      </c>
      <c r="CC46" s="230">
        <v>-124800</v>
      </c>
      <c r="CD46" s="229">
        <v>-7.0000000000000001E-3</v>
      </c>
      <c r="CE46" s="230">
        <v>813600</v>
      </c>
      <c r="CF46" s="230">
        <v>733200</v>
      </c>
      <c r="CG46" s="230">
        <v>80400</v>
      </c>
      <c r="CH46" s="229">
        <v>0.10970000000000001</v>
      </c>
      <c r="CI46" s="230">
        <v>94200</v>
      </c>
      <c r="CJ46" s="230">
        <v>96600</v>
      </c>
      <c r="CK46" s="230">
        <v>-2400</v>
      </c>
      <c r="CL46" s="229">
        <v>-2.4799999999999999E-2</v>
      </c>
      <c r="CM46" s="230">
        <v>4807200</v>
      </c>
      <c r="CN46" s="230">
        <v>4977000</v>
      </c>
      <c r="CO46" s="230">
        <v>-169800</v>
      </c>
      <c r="CP46" s="229">
        <v>-3.4099999999999998E-2</v>
      </c>
      <c r="CQ46" s="230">
        <v>3909600</v>
      </c>
      <c r="CR46" s="230">
        <v>4185600</v>
      </c>
      <c r="CS46" s="230">
        <v>-276000</v>
      </c>
      <c r="CT46" s="229">
        <v>-6.59E-2</v>
      </c>
      <c r="CU46" s="230">
        <v>27295200</v>
      </c>
      <c r="CV46" s="230">
        <v>27787800</v>
      </c>
      <c r="CW46" s="230">
        <v>-492600</v>
      </c>
      <c r="CX46" s="229">
        <v>-1.77E-2</v>
      </c>
      <c r="CY46" s="228">
        <v>40.1</v>
      </c>
      <c r="CZ46" s="228">
        <v>34.130000000000003</v>
      </c>
      <c r="DA46" s="228">
        <v>5.97</v>
      </c>
      <c r="DB46" s="228">
        <v>5.97</v>
      </c>
      <c r="DC46" s="228">
        <v>31.23</v>
      </c>
      <c r="DD46" s="228">
        <v>31.3</v>
      </c>
      <c r="DE46" s="228">
        <v>8.8699999999999992</v>
      </c>
      <c r="DF46" s="228">
        <v>-7.0000000000000007E-2</v>
      </c>
      <c r="DG46" s="228">
        <v>39.4</v>
      </c>
      <c r="DH46" s="228">
        <v>33.24</v>
      </c>
      <c r="DI46" s="228">
        <v>6.16</v>
      </c>
      <c r="DJ46" s="228">
        <v>6.16</v>
      </c>
      <c r="DK46" s="228">
        <v>41.02</v>
      </c>
      <c r="DL46" s="228">
        <v>36.06</v>
      </c>
      <c r="DM46" s="228">
        <v>4.96</v>
      </c>
      <c r="DN46" s="228">
        <v>4.96</v>
      </c>
      <c r="DO46" s="228">
        <v>0.81</v>
      </c>
      <c r="DP46" s="228">
        <v>0.84</v>
      </c>
      <c r="DQ46" s="228">
        <v>-0.03</v>
      </c>
      <c r="DR46" s="229">
        <v>-3.5700000000000003E-2</v>
      </c>
      <c r="DS46" s="231">
        <v>1500</v>
      </c>
      <c r="DT46" s="231">
        <v>1400</v>
      </c>
      <c r="DU46" s="228">
        <v>0.76</v>
      </c>
      <c r="DV46" s="228">
        <v>0.46</v>
      </c>
      <c r="DW46" s="228">
        <v>0.3</v>
      </c>
      <c r="DX46" s="229">
        <v>0.6522</v>
      </c>
      <c r="DY46" s="229">
        <v>4.8899999999999999E-2</v>
      </c>
      <c r="DZ46" s="230">
        <v>829800</v>
      </c>
      <c r="EA46" s="229">
        <v>-2.0999999999999999E-3</v>
      </c>
      <c r="EB46" s="229">
        <v>4.8899999999999999E-2</v>
      </c>
      <c r="EC46" s="228">
        <v>-4.0599999999999996</v>
      </c>
      <c r="ED46" s="229">
        <v>-2.7000000000000001E-3</v>
      </c>
      <c r="EE46" s="230">
        <v>600156</v>
      </c>
      <c r="EF46" s="230">
        <v>959857</v>
      </c>
      <c r="EG46" s="229">
        <v>-0.37469999999999998</v>
      </c>
      <c r="EH46" s="229">
        <v>0.4325</v>
      </c>
      <c r="EI46" s="231">
        <v>135353.69</v>
      </c>
      <c r="EJ46" s="231">
        <v>98067.21</v>
      </c>
      <c r="EK46" s="231">
        <v>50012.53</v>
      </c>
      <c r="EL46" s="231">
        <v>3560</v>
      </c>
      <c r="EM46" s="231">
        <v>283433.43</v>
      </c>
      <c r="EN46" s="231">
        <v>296447.53999999998</v>
      </c>
      <c r="EO46" s="231">
        <v>-13014.11</v>
      </c>
      <c r="EP46" s="229">
        <v>-4.3900000000000002E-2</v>
      </c>
      <c r="EQ46" s="231">
        <v>72613</v>
      </c>
      <c r="ER46" s="231">
        <v>55414</v>
      </c>
      <c r="ES46" s="231">
        <v>278226</v>
      </c>
      <c r="ET46" s="231">
        <v>95553300</v>
      </c>
      <c r="EU46" s="231">
        <v>406253</v>
      </c>
      <c r="EV46" s="231">
        <v>413785</v>
      </c>
      <c r="EW46" s="231">
        <v>-7532</v>
      </c>
      <c r="EX46" s="229">
        <v>-1.8200000000000001E-2</v>
      </c>
      <c r="EY46" s="229">
        <v>0.28570000000000001</v>
      </c>
    </row>
    <row r="47" spans="1:155" ht="17.25" thickBot="1" x14ac:dyDescent="0.3">
      <c r="A47" s="226">
        <v>46132</v>
      </c>
      <c r="B47" s="227" t="s">
        <v>168</v>
      </c>
      <c r="C47" s="227" t="s">
        <v>297</v>
      </c>
      <c r="D47" s="231">
        <v>4510.2</v>
      </c>
      <c r="E47" s="231">
        <v>4525</v>
      </c>
      <c r="F47" s="228">
        <v>-14.8</v>
      </c>
      <c r="G47" s="229">
        <v>-3.3E-3</v>
      </c>
      <c r="H47" s="231">
        <v>4513</v>
      </c>
      <c r="I47" s="231">
        <v>4525.8999999999996</v>
      </c>
      <c r="J47" s="228">
        <v>-12.9</v>
      </c>
      <c r="K47" s="229">
        <v>-2.8999999999999998E-3</v>
      </c>
      <c r="L47" s="231">
        <v>4510.2</v>
      </c>
      <c r="M47" s="231">
        <v>4525</v>
      </c>
      <c r="N47" s="228">
        <v>-14.8</v>
      </c>
      <c r="O47" s="229">
        <v>-3.3E-3</v>
      </c>
      <c r="P47" s="231">
        <v>4530.6000000000004</v>
      </c>
      <c r="Q47" s="231">
        <v>4548.3999999999996</v>
      </c>
      <c r="R47" s="228">
        <v>-17.8</v>
      </c>
      <c r="S47" s="229">
        <v>-3.8999999999999998E-3</v>
      </c>
      <c r="T47" s="231">
        <v>4558.2</v>
      </c>
      <c r="U47" s="231">
        <v>4572.3</v>
      </c>
      <c r="V47" s="228">
        <v>-14.1</v>
      </c>
      <c r="W47" s="229">
        <v>-3.0999999999999999E-3</v>
      </c>
      <c r="X47" s="228">
        <v>-2.8</v>
      </c>
      <c r="Y47" s="228">
        <v>-0.9</v>
      </c>
      <c r="Z47" s="228">
        <v>-1.9</v>
      </c>
      <c r="AA47" s="229">
        <v>-5.9999999999999995E-4</v>
      </c>
      <c r="AB47" s="228">
        <v>-2.8</v>
      </c>
      <c r="AC47" s="228">
        <v>-0.9</v>
      </c>
      <c r="AD47" s="228">
        <v>-1.9</v>
      </c>
      <c r="AE47" s="229">
        <v>-5.9999999999999995E-4</v>
      </c>
      <c r="AF47" s="228">
        <v>17.600000000000001</v>
      </c>
      <c r="AG47" s="228">
        <v>22.5</v>
      </c>
      <c r="AH47" s="228">
        <v>-4.9000000000000004</v>
      </c>
      <c r="AI47" s="229">
        <v>3.8999999999999998E-3</v>
      </c>
      <c r="AJ47" s="228">
        <v>45.2</v>
      </c>
      <c r="AK47" s="228">
        <v>46.4</v>
      </c>
      <c r="AL47" s="228">
        <v>-1.2</v>
      </c>
      <c r="AM47" s="229">
        <v>0.01</v>
      </c>
      <c r="AN47" s="231">
        <v>4502.18</v>
      </c>
      <c r="AO47" s="231">
        <v>4525.8599999999997</v>
      </c>
      <c r="AP47" s="228">
        <v>0</v>
      </c>
      <c r="AQ47" s="230">
        <v>5449</v>
      </c>
      <c r="AR47" s="230">
        <v>18265</v>
      </c>
      <c r="AS47" s="230">
        <v>-12816</v>
      </c>
      <c r="AT47" s="229">
        <v>-0.70169999999999999</v>
      </c>
      <c r="AU47" s="230">
        <v>4679</v>
      </c>
      <c r="AV47" s="230">
        <v>16477</v>
      </c>
      <c r="AW47" s="230">
        <v>-11798</v>
      </c>
      <c r="AX47" s="229">
        <v>-0.71599999999999997</v>
      </c>
      <c r="AY47" s="228">
        <v>698</v>
      </c>
      <c r="AZ47" s="230">
        <v>1620</v>
      </c>
      <c r="BA47" s="228">
        <v>-922</v>
      </c>
      <c r="BB47" s="229">
        <v>-0.56910000000000005</v>
      </c>
      <c r="BC47" s="228">
        <v>72</v>
      </c>
      <c r="BD47" s="228">
        <v>168</v>
      </c>
      <c r="BE47" s="228">
        <v>-96</v>
      </c>
      <c r="BF47" s="229">
        <v>-0.57140000000000002</v>
      </c>
      <c r="BG47" s="230">
        <v>22586</v>
      </c>
      <c r="BH47" s="230">
        <v>76545</v>
      </c>
      <c r="BI47" s="230">
        <v>-53959</v>
      </c>
      <c r="BJ47" s="229">
        <v>-0.70489999999999997</v>
      </c>
      <c r="BK47" s="230">
        <v>17350</v>
      </c>
      <c r="BL47" s="230">
        <v>70987</v>
      </c>
      <c r="BM47" s="230">
        <v>-53637</v>
      </c>
      <c r="BN47" s="229">
        <v>-0.75560000000000005</v>
      </c>
      <c r="BO47" s="230">
        <v>45385</v>
      </c>
      <c r="BP47" s="230">
        <v>165797</v>
      </c>
      <c r="BQ47" s="230">
        <v>-120412</v>
      </c>
      <c r="BR47" s="229">
        <v>-0.72629999999999995</v>
      </c>
      <c r="BS47" s="230">
        <v>1700257</v>
      </c>
      <c r="BT47" s="230">
        <v>2179897</v>
      </c>
      <c r="BU47" s="230">
        <v>-479640</v>
      </c>
      <c r="BV47" s="229">
        <v>-0.22</v>
      </c>
      <c r="BW47" s="230">
        <v>8856925</v>
      </c>
      <c r="BX47" s="230">
        <v>8976275</v>
      </c>
      <c r="BY47" s="230">
        <v>-119350</v>
      </c>
      <c r="BZ47" s="229">
        <v>-1.3299999999999999E-2</v>
      </c>
      <c r="CA47" s="230">
        <v>7881825</v>
      </c>
      <c r="CB47" s="230">
        <v>8044225</v>
      </c>
      <c r="CC47" s="230">
        <v>-162400</v>
      </c>
      <c r="CD47" s="229">
        <v>-2.0199999999999999E-2</v>
      </c>
      <c r="CE47" s="230">
        <v>688450</v>
      </c>
      <c r="CF47" s="230">
        <v>647675</v>
      </c>
      <c r="CG47" s="230">
        <v>40775</v>
      </c>
      <c r="CH47" s="229">
        <v>6.3E-2</v>
      </c>
      <c r="CI47" s="230">
        <v>286650</v>
      </c>
      <c r="CJ47" s="230">
        <v>284375</v>
      </c>
      <c r="CK47" s="230">
        <v>2275</v>
      </c>
      <c r="CL47" s="229">
        <v>8.0000000000000002E-3</v>
      </c>
      <c r="CM47" s="230">
        <v>3971275</v>
      </c>
      <c r="CN47" s="230">
        <v>3935925</v>
      </c>
      <c r="CO47" s="230">
        <v>35350</v>
      </c>
      <c r="CP47" s="229">
        <v>8.9999999999999993E-3</v>
      </c>
      <c r="CQ47" s="230">
        <v>3152275</v>
      </c>
      <c r="CR47" s="230">
        <v>3203025</v>
      </c>
      <c r="CS47" s="230">
        <v>-50750</v>
      </c>
      <c r="CT47" s="229">
        <v>-1.5800000000000002E-2</v>
      </c>
      <c r="CU47" s="230">
        <v>15980475</v>
      </c>
      <c r="CV47" s="230">
        <v>16115225</v>
      </c>
      <c r="CW47" s="230">
        <v>-134750</v>
      </c>
      <c r="CX47" s="229">
        <v>-8.3999999999999995E-3</v>
      </c>
      <c r="CY47" s="228">
        <v>27.85</v>
      </c>
      <c r="CZ47" s="228">
        <v>26.91</v>
      </c>
      <c r="DA47" s="228">
        <v>0.94</v>
      </c>
      <c r="DB47" s="228">
        <v>0.94</v>
      </c>
      <c r="DC47" s="228">
        <v>27.9</v>
      </c>
      <c r="DD47" s="228">
        <v>27.97</v>
      </c>
      <c r="DE47" s="228">
        <v>-0.05</v>
      </c>
      <c r="DF47" s="228">
        <v>-7.0000000000000007E-2</v>
      </c>
      <c r="DG47" s="228">
        <v>26.42</v>
      </c>
      <c r="DH47" s="228">
        <v>25.28</v>
      </c>
      <c r="DI47" s="228">
        <v>1.1399999999999999</v>
      </c>
      <c r="DJ47" s="228">
        <v>1.1399999999999999</v>
      </c>
      <c r="DK47" s="228">
        <v>29.72</v>
      </c>
      <c r="DL47" s="228">
        <v>28.65</v>
      </c>
      <c r="DM47" s="228">
        <v>1.07</v>
      </c>
      <c r="DN47" s="228">
        <v>1.07</v>
      </c>
      <c r="DO47" s="228">
        <v>0.79</v>
      </c>
      <c r="DP47" s="228">
        <v>0.81</v>
      </c>
      <c r="DQ47" s="228">
        <v>-0.02</v>
      </c>
      <c r="DR47" s="229">
        <v>-2.47E-2</v>
      </c>
      <c r="DS47" s="231">
        <v>4500</v>
      </c>
      <c r="DT47" s="231">
        <v>4200</v>
      </c>
      <c r="DU47" s="228">
        <v>0.77</v>
      </c>
      <c r="DV47" s="228">
        <v>0.93</v>
      </c>
      <c r="DW47" s="228">
        <v>-0.16</v>
      </c>
      <c r="DX47" s="229">
        <v>-0.17199999999999999</v>
      </c>
      <c r="DY47" s="229">
        <v>0.1101</v>
      </c>
      <c r="DZ47" s="230">
        <v>932050</v>
      </c>
      <c r="EA47" s="229">
        <v>4.4999999999999997E-3</v>
      </c>
      <c r="EB47" s="229">
        <v>0.1101</v>
      </c>
      <c r="EC47" s="228">
        <v>23.68</v>
      </c>
      <c r="ED47" s="229">
        <v>5.3E-3</v>
      </c>
      <c r="EE47" s="230">
        <v>1051581</v>
      </c>
      <c r="EF47" s="230">
        <v>1016476</v>
      </c>
      <c r="EG47" s="229">
        <v>3.4500000000000003E-2</v>
      </c>
      <c r="EH47" s="229">
        <v>0.61850000000000005</v>
      </c>
      <c r="EI47" s="231">
        <v>182625.16</v>
      </c>
      <c r="EJ47" s="231">
        <v>134646.57999999999</v>
      </c>
      <c r="EK47" s="231">
        <v>42967.11</v>
      </c>
      <c r="EL47" s="231">
        <v>9333</v>
      </c>
      <c r="EM47" s="231">
        <v>360238.85</v>
      </c>
      <c r="EN47" s="231">
        <v>1300790.97</v>
      </c>
      <c r="EO47" s="231">
        <v>-940552.12</v>
      </c>
      <c r="EP47" s="229">
        <v>-0.72309999999999997</v>
      </c>
      <c r="EQ47" s="231">
        <v>176248</v>
      </c>
      <c r="ER47" s="231">
        <v>131588</v>
      </c>
      <c r="ES47" s="231">
        <v>399743</v>
      </c>
      <c r="ET47" s="231">
        <v>41744334</v>
      </c>
      <c r="EU47" s="231">
        <v>707579</v>
      </c>
      <c r="EV47" s="231">
        <v>714695</v>
      </c>
      <c r="EW47" s="231">
        <v>-7116</v>
      </c>
      <c r="EX47" s="229">
        <v>-0.01</v>
      </c>
      <c r="EY47" s="229">
        <v>0.38279999999999997</v>
      </c>
    </row>
    <row r="48" spans="1:155" ht="17.25" thickBot="1" x14ac:dyDescent="0.3">
      <c r="A48" s="226">
        <v>46132</v>
      </c>
      <c r="B48" s="227" t="s">
        <v>162</v>
      </c>
      <c r="C48" s="227" t="s">
        <v>687</v>
      </c>
      <c r="D48" s="228">
        <v>354.55</v>
      </c>
      <c r="E48" s="228">
        <v>360.25</v>
      </c>
      <c r="F48" s="228">
        <v>-5.7</v>
      </c>
      <c r="G48" s="229">
        <v>-1.5800000000000002E-2</v>
      </c>
      <c r="H48" s="228">
        <v>355.7</v>
      </c>
      <c r="I48" s="228">
        <v>360.1</v>
      </c>
      <c r="J48" s="228">
        <v>-4.4000000000000004</v>
      </c>
      <c r="K48" s="229">
        <v>-1.2200000000000001E-2</v>
      </c>
      <c r="L48" s="228">
        <v>354.55</v>
      </c>
      <c r="M48" s="228">
        <v>360.25</v>
      </c>
      <c r="N48" s="228">
        <v>-5.7</v>
      </c>
      <c r="O48" s="229">
        <v>-1.5800000000000002E-2</v>
      </c>
      <c r="P48" s="228">
        <v>356.3</v>
      </c>
      <c r="Q48" s="228">
        <v>362.25</v>
      </c>
      <c r="R48" s="228">
        <v>-5.95</v>
      </c>
      <c r="S48" s="229">
        <v>-1.6400000000000001E-2</v>
      </c>
      <c r="T48" s="228">
        <v>356.95</v>
      </c>
      <c r="U48" s="228">
        <v>362.3</v>
      </c>
      <c r="V48" s="228">
        <v>-5.35</v>
      </c>
      <c r="W48" s="229">
        <v>-1.4800000000000001E-2</v>
      </c>
      <c r="X48" s="228">
        <v>-1.1499999999999999</v>
      </c>
      <c r="Y48" s="228">
        <v>0.15</v>
      </c>
      <c r="Z48" s="228">
        <v>-1.3</v>
      </c>
      <c r="AA48" s="229">
        <v>-3.2000000000000002E-3</v>
      </c>
      <c r="AB48" s="228">
        <v>-1.1499999999999999</v>
      </c>
      <c r="AC48" s="228">
        <v>0.15</v>
      </c>
      <c r="AD48" s="228">
        <v>-1.3</v>
      </c>
      <c r="AE48" s="229">
        <v>-3.2000000000000002E-3</v>
      </c>
      <c r="AF48" s="228">
        <v>0.6</v>
      </c>
      <c r="AG48" s="228">
        <v>2.15</v>
      </c>
      <c r="AH48" s="228">
        <v>-1.55</v>
      </c>
      <c r="AI48" s="229">
        <v>1.6999999999999999E-3</v>
      </c>
      <c r="AJ48" s="228">
        <v>1.25</v>
      </c>
      <c r="AK48" s="228">
        <v>2.2000000000000002</v>
      </c>
      <c r="AL48" s="228">
        <v>-0.95</v>
      </c>
      <c r="AM48" s="229">
        <v>3.5000000000000001E-3</v>
      </c>
      <c r="AN48" s="228">
        <v>355.81</v>
      </c>
      <c r="AO48" s="228">
        <v>357.72</v>
      </c>
      <c r="AP48" s="228">
        <v>0</v>
      </c>
      <c r="AQ48" s="230">
        <v>12670</v>
      </c>
      <c r="AR48" s="230">
        <v>11299</v>
      </c>
      <c r="AS48" s="230">
        <v>1371</v>
      </c>
      <c r="AT48" s="229">
        <v>0.12130000000000001</v>
      </c>
      <c r="AU48" s="230">
        <v>9506</v>
      </c>
      <c r="AV48" s="230">
        <v>8474</v>
      </c>
      <c r="AW48" s="230">
        <v>1032</v>
      </c>
      <c r="AX48" s="229">
        <v>0.12180000000000001</v>
      </c>
      <c r="AY48" s="230">
        <v>2679</v>
      </c>
      <c r="AZ48" s="230">
        <v>2344</v>
      </c>
      <c r="BA48" s="228">
        <v>335</v>
      </c>
      <c r="BB48" s="229">
        <v>0.1429</v>
      </c>
      <c r="BC48" s="228">
        <v>485</v>
      </c>
      <c r="BD48" s="228">
        <v>481</v>
      </c>
      <c r="BE48" s="228">
        <v>4</v>
      </c>
      <c r="BF48" s="229">
        <v>8.3000000000000001E-3</v>
      </c>
      <c r="BG48" s="230">
        <v>49060</v>
      </c>
      <c r="BH48" s="230">
        <v>43598</v>
      </c>
      <c r="BI48" s="230">
        <v>5462</v>
      </c>
      <c r="BJ48" s="229">
        <v>0.12529999999999999</v>
      </c>
      <c r="BK48" s="230">
        <v>35664</v>
      </c>
      <c r="BL48" s="230">
        <v>30216</v>
      </c>
      <c r="BM48" s="230">
        <v>5448</v>
      </c>
      <c r="BN48" s="229">
        <v>0.18029999999999999</v>
      </c>
      <c r="BO48" s="230">
        <v>97394</v>
      </c>
      <c r="BP48" s="230">
        <v>85113</v>
      </c>
      <c r="BQ48" s="230">
        <v>12281</v>
      </c>
      <c r="BR48" s="229">
        <v>0.14430000000000001</v>
      </c>
      <c r="BS48" s="230">
        <v>7216605</v>
      </c>
      <c r="BT48" s="230">
        <v>7314044</v>
      </c>
      <c r="BU48" s="230">
        <v>-97439</v>
      </c>
      <c r="BV48" s="229">
        <v>-1.3299999999999999E-2</v>
      </c>
      <c r="BW48" s="230">
        <v>59936000</v>
      </c>
      <c r="BX48" s="230">
        <v>58587200</v>
      </c>
      <c r="BY48" s="230">
        <v>1348800</v>
      </c>
      <c r="BZ48" s="229">
        <v>2.3E-2</v>
      </c>
      <c r="CA48" s="230">
        <v>51692000</v>
      </c>
      <c r="CB48" s="230">
        <v>51525600</v>
      </c>
      <c r="CC48" s="230">
        <v>166400</v>
      </c>
      <c r="CD48" s="229">
        <v>3.2000000000000002E-3</v>
      </c>
      <c r="CE48" s="230">
        <v>6944000</v>
      </c>
      <c r="CF48" s="230">
        <v>5952800</v>
      </c>
      <c r="CG48" s="230">
        <v>991200</v>
      </c>
      <c r="CH48" s="229">
        <v>0.16650000000000001</v>
      </c>
      <c r="CI48" s="230">
        <v>1300000</v>
      </c>
      <c r="CJ48" s="230">
        <v>1108800</v>
      </c>
      <c r="CK48" s="230">
        <v>191200</v>
      </c>
      <c r="CL48" s="229">
        <v>0.1724</v>
      </c>
      <c r="CM48" s="230">
        <v>36602400</v>
      </c>
      <c r="CN48" s="230">
        <v>35904000</v>
      </c>
      <c r="CO48" s="230">
        <v>698400</v>
      </c>
      <c r="CP48" s="229">
        <v>1.95E-2</v>
      </c>
      <c r="CQ48" s="230">
        <v>29020800</v>
      </c>
      <c r="CR48" s="230">
        <v>28884800</v>
      </c>
      <c r="CS48" s="230">
        <v>136000</v>
      </c>
      <c r="CT48" s="229">
        <v>4.7000000000000002E-3</v>
      </c>
      <c r="CU48" s="230">
        <v>125559200</v>
      </c>
      <c r="CV48" s="230">
        <v>123376000</v>
      </c>
      <c r="CW48" s="230">
        <v>2183200</v>
      </c>
      <c r="CX48" s="229">
        <v>1.77E-2</v>
      </c>
      <c r="CY48" s="228">
        <v>36.729999999999997</v>
      </c>
      <c r="CZ48" s="228">
        <v>32.04</v>
      </c>
      <c r="DA48" s="228">
        <v>4.6900000000000004</v>
      </c>
      <c r="DB48" s="228">
        <v>4.6900000000000004</v>
      </c>
      <c r="DC48" s="228">
        <v>38.25</v>
      </c>
      <c r="DD48" s="228">
        <v>38.28</v>
      </c>
      <c r="DE48" s="228">
        <v>-1.52</v>
      </c>
      <c r="DF48" s="228">
        <v>-0.03</v>
      </c>
      <c r="DG48" s="228">
        <v>34.68</v>
      </c>
      <c r="DH48" s="228">
        <v>29.73</v>
      </c>
      <c r="DI48" s="228">
        <v>4.95</v>
      </c>
      <c r="DJ48" s="228">
        <v>4.95</v>
      </c>
      <c r="DK48" s="228">
        <v>39.56</v>
      </c>
      <c r="DL48" s="228">
        <v>35.380000000000003</v>
      </c>
      <c r="DM48" s="228">
        <v>4.18</v>
      </c>
      <c r="DN48" s="228">
        <v>4.18</v>
      </c>
      <c r="DO48" s="228">
        <v>0.79</v>
      </c>
      <c r="DP48" s="228">
        <v>0.8</v>
      </c>
      <c r="DQ48" s="228">
        <v>-0.01</v>
      </c>
      <c r="DR48" s="229">
        <v>-1.2500000000000001E-2</v>
      </c>
      <c r="DS48" s="228">
        <v>360</v>
      </c>
      <c r="DT48" s="228">
        <v>300</v>
      </c>
      <c r="DU48" s="228">
        <v>0.73</v>
      </c>
      <c r="DV48" s="228">
        <v>0.69</v>
      </c>
      <c r="DW48" s="228">
        <v>0.04</v>
      </c>
      <c r="DX48" s="229">
        <v>5.8000000000000003E-2</v>
      </c>
      <c r="DY48" s="229">
        <v>0.13750000000000001</v>
      </c>
      <c r="DZ48" s="230">
        <v>7061600</v>
      </c>
      <c r="EA48" s="229">
        <v>4.8999999999999998E-3</v>
      </c>
      <c r="EB48" s="229">
        <v>0.13750000000000001</v>
      </c>
      <c r="EC48" s="228">
        <v>1.91</v>
      </c>
      <c r="ED48" s="229">
        <v>5.4000000000000003E-3</v>
      </c>
      <c r="EE48" s="230">
        <v>2738658</v>
      </c>
      <c r="EF48" s="230">
        <v>3384834</v>
      </c>
      <c r="EG48" s="229">
        <v>-0.19089999999999999</v>
      </c>
      <c r="EH48" s="229">
        <v>0.3795</v>
      </c>
      <c r="EI48" s="231">
        <v>146492.82999999999</v>
      </c>
      <c r="EJ48" s="231">
        <v>99537.31</v>
      </c>
      <c r="EK48" s="231">
        <v>36113.01</v>
      </c>
      <c r="EL48" s="231">
        <v>14688</v>
      </c>
      <c r="EM48" s="231">
        <v>282143.15000000002</v>
      </c>
      <c r="EN48" s="231">
        <v>248037.73</v>
      </c>
      <c r="EO48" s="231">
        <v>34105.42</v>
      </c>
      <c r="EP48" s="229">
        <v>0.13750000000000001</v>
      </c>
      <c r="EQ48" s="231">
        <v>130714</v>
      </c>
      <c r="ER48" s="231">
        <v>96577</v>
      </c>
      <c r="ES48" s="231">
        <v>212656</v>
      </c>
      <c r="ET48" s="231">
        <v>317244234</v>
      </c>
      <c r="EU48" s="231">
        <v>439946</v>
      </c>
      <c r="EV48" s="231">
        <v>434927</v>
      </c>
      <c r="EW48" s="231">
        <v>5019</v>
      </c>
      <c r="EX48" s="229">
        <v>1.15E-2</v>
      </c>
      <c r="EY48" s="229">
        <v>0.39579999999999999</v>
      </c>
    </row>
    <row r="49" spans="1:155" ht="17.25" thickBot="1" x14ac:dyDescent="0.3">
      <c r="A49" s="226">
        <v>46132</v>
      </c>
      <c r="B49" s="227" t="s">
        <v>197</v>
      </c>
      <c r="C49" s="227" t="s">
        <v>482</v>
      </c>
      <c r="D49" s="231">
        <v>4238</v>
      </c>
      <c r="E49" s="231">
        <v>4108.3999999999996</v>
      </c>
      <c r="F49" s="228">
        <v>129.6</v>
      </c>
      <c r="G49" s="229">
        <v>3.15E-2</v>
      </c>
      <c r="H49" s="231">
        <v>4242.8</v>
      </c>
      <c r="I49" s="231">
        <v>4107.7</v>
      </c>
      <c r="J49" s="228">
        <v>135.1</v>
      </c>
      <c r="K49" s="229">
        <v>3.2899999999999999E-2</v>
      </c>
      <c r="L49" s="231">
        <v>4238</v>
      </c>
      <c r="M49" s="231">
        <v>4108.3999999999996</v>
      </c>
      <c r="N49" s="228">
        <v>129.6</v>
      </c>
      <c r="O49" s="229">
        <v>3.15E-2</v>
      </c>
      <c r="P49" s="231">
        <v>4238.7</v>
      </c>
      <c r="Q49" s="231">
        <v>4114.6000000000004</v>
      </c>
      <c r="R49" s="228">
        <v>124.1</v>
      </c>
      <c r="S49" s="229">
        <v>3.0200000000000001E-2</v>
      </c>
      <c r="T49" s="231">
        <v>4246.3</v>
      </c>
      <c r="U49" s="231">
        <v>4129</v>
      </c>
      <c r="V49" s="228">
        <v>117.3</v>
      </c>
      <c r="W49" s="229">
        <v>2.8400000000000002E-2</v>
      </c>
      <c r="X49" s="228">
        <v>-4.8</v>
      </c>
      <c r="Y49" s="228">
        <v>0.7</v>
      </c>
      <c r="Z49" s="228">
        <v>-5.5</v>
      </c>
      <c r="AA49" s="229">
        <v>-1.1000000000000001E-3</v>
      </c>
      <c r="AB49" s="228">
        <v>-4.8</v>
      </c>
      <c r="AC49" s="228">
        <v>0.7</v>
      </c>
      <c r="AD49" s="228">
        <v>-5.5</v>
      </c>
      <c r="AE49" s="229">
        <v>-1.1000000000000001E-3</v>
      </c>
      <c r="AF49" s="228">
        <v>-4.0999999999999996</v>
      </c>
      <c r="AG49" s="228">
        <v>6.9</v>
      </c>
      <c r="AH49" s="228">
        <v>-11</v>
      </c>
      <c r="AI49" s="229">
        <v>-1E-3</v>
      </c>
      <c r="AJ49" s="228">
        <v>3.5</v>
      </c>
      <c r="AK49" s="228">
        <v>21.3</v>
      </c>
      <c r="AL49" s="228">
        <v>-17.8</v>
      </c>
      <c r="AM49" s="229">
        <v>8.0000000000000004E-4</v>
      </c>
      <c r="AN49" s="231">
        <v>4216.6400000000003</v>
      </c>
      <c r="AO49" s="231">
        <v>4216.1000000000004</v>
      </c>
      <c r="AP49" s="228">
        <v>0</v>
      </c>
      <c r="AQ49" s="230">
        <v>18683</v>
      </c>
      <c r="AR49" s="230">
        <v>11141</v>
      </c>
      <c r="AS49" s="230">
        <v>7542</v>
      </c>
      <c r="AT49" s="229">
        <v>0.67700000000000005</v>
      </c>
      <c r="AU49" s="230">
        <v>14339</v>
      </c>
      <c r="AV49" s="230">
        <v>9249</v>
      </c>
      <c r="AW49" s="230">
        <v>5090</v>
      </c>
      <c r="AX49" s="229">
        <v>0.55030000000000001</v>
      </c>
      <c r="AY49" s="230">
        <v>3905</v>
      </c>
      <c r="AZ49" s="230">
        <v>1712</v>
      </c>
      <c r="BA49" s="230">
        <v>2193</v>
      </c>
      <c r="BB49" s="229">
        <v>1.2809999999999999</v>
      </c>
      <c r="BC49" s="228">
        <v>439</v>
      </c>
      <c r="BD49" s="228">
        <v>180</v>
      </c>
      <c r="BE49" s="228">
        <v>259</v>
      </c>
      <c r="BF49" s="229">
        <v>1.4389000000000001</v>
      </c>
      <c r="BG49" s="230">
        <v>170591</v>
      </c>
      <c r="BH49" s="230">
        <v>64744</v>
      </c>
      <c r="BI49" s="230">
        <v>105847</v>
      </c>
      <c r="BJ49" s="229">
        <v>1.6349</v>
      </c>
      <c r="BK49" s="230">
        <v>64284</v>
      </c>
      <c r="BL49" s="230">
        <v>30978</v>
      </c>
      <c r="BM49" s="230">
        <v>33306</v>
      </c>
      <c r="BN49" s="229">
        <v>1.0751999999999999</v>
      </c>
      <c r="BO49" s="230">
        <v>253558</v>
      </c>
      <c r="BP49" s="230">
        <v>106863</v>
      </c>
      <c r="BQ49" s="230">
        <v>146695</v>
      </c>
      <c r="BR49" s="229">
        <v>1.3727</v>
      </c>
      <c r="BS49" s="230">
        <v>2319854</v>
      </c>
      <c r="BT49" s="230">
        <v>1305505</v>
      </c>
      <c r="BU49" s="230">
        <v>1014349</v>
      </c>
      <c r="BV49" s="229">
        <v>0.77700000000000002</v>
      </c>
      <c r="BW49" s="230">
        <v>8094400</v>
      </c>
      <c r="BX49" s="230">
        <v>8166200</v>
      </c>
      <c r="BY49" s="230">
        <v>-71800</v>
      </c>
      <c r="BZ49" s="229">
        <v>-8.8000000000000005E-3</v>
      </c>
      <c r="CA49" s="230">
        <v>6818100</v>
      </c>
      <c r="CB49" s="230">
        <v>7003100</v>
      </c>
      <c r="CC49" s="230">
        <v>-185000</v>
      </c>
      <c r="CD49" s="229">
        <v>-2.64E-2</v>
      </c>
      <c r="CE49" s="230">
        <v>1203300</v>
      </c>
      <c r="CF49" s="230">
        <v>1103800</v>
      </c>
      <c r="CG49" s="230">
        <v>99500</v>
      </c>
      <c r="CH49" s="229">
        <v>9.01E-2</v>
      </c>
      <c r="CI49" s="230">
        <v>73000</v>
      </c>
      <c r="CJ49" s="230">
        <v>59300</v>
      </c>
      <c r="CK49" s="230">
        <v>13700</v>
      </c>
      <c r="CL49" s="229">
        <v>0.23100000000000001</v>
      </c>
      <c r="CM49" s="230">
        <v>3336200</v>
      </c>
      <c r="CN49" s="230">
        <v>2923600</v>
      </c>
      <c r="CO49" s="230">
        <v>412600</v>
      </c>
      <c r="CP49" s="229">
        <v>0.1411</v>
      </c>
      <c r="CQ49" s="230">
        <v>2816800</v>
      </c>
      <c r="CR49" s="230">
        <v>2511000</v>
      </c>
      <c r="CS49" s="230">
        <v>305800</v>
      </c>
      <c r="CT49" s="229">
        <v>0.12180000000000001</v>
      </c>
      <c r="CU49" s="230">
        <v>14247400</v>
      </c>
      <c r="CV49" s="230">
        <v>13600800</v>
      </c>
      <c r="CW49" s="230">
        <v>646600</v>
      </c>
      <c r="CX49" s="229">
        <v>4.7500000000000001E-2</v>
      </c>
      <c r="CY49" s="228">
        <v>47.88</v>
      </c>
      <c r="CZ49" s="228">
        <v>36.22</v>
      </c>
      <c r="DA49" s="228">
        <v>11.66</v>
      </c>
      <c r="DB49" s="228">
        <v>11.66</v>
      </c>
      <c r="DC49" s="228">
        <v>44.23</v>
      </c>
      <c r="DD49" s="228">
        <v>44.13</v>
      </c>
      <c r="DE49" s="228">
        <v>3.65</v>
      </c>
      <c r="DF49" s="228">
        <v>0.1</v>
      </c>
      <c r="DG49" s="228">
        <v>46.88</v>
      </c>
      <c r="DH49" s="228">
        <v>34.97</v>
      </c>
      <c r="DI49" s="228">
        <v>11.91</v>
      </c>
      <c r="DJ49" s="228">
        <v>11.91</v>
      </c>
      <c r="DK49" s="228">
        <v>50.53</v>
      </c>
      <c r="DL49" s="228">
        <v>38.83</v>
      </c>
      <c r="DM49" s="228">
        <v>11.7</v>
      </c>
      <c r="DN49" s="228">
        <v>11.7</v>
      </c>
      <c r="DO49" s="228">
        <v>0.84</v>
      </c>
      <c r="DP49" s="228">
        <v>0.86</v>
      </c>
      <c r="DQ49" s="228">
        <v>-0.02</v>
      </c>
      <c r="DR49" s="229">
        <v>-2.3300000000000001E-2</v>
      </c>
      <c r="DS49" s="231">
        <v>4500</v>
      </c>
      <c r="DT49" s="231">
        <v>3800</v>
      </c>
      <c r="DU49" s="228">
        <v>0.38</v>
      </c>
      <c r="DV49" s="228">
        <v>0.48</v>
      </c>
      <c r="DW49" s="228">
        <v>-0.1</v>
      </c>
      <c r="DX49" s="229">
        <v>-0.20830000000000001</v>
      </c>
      <c r="DY49" s="229">
        <v>0.15770000000000001</v>
      </c>
      <c r="DZ49" s="230">
        <v>1163100</v>
      </c>
      <c r="EA49" s="229">
        <v>2.0000000000000001E-4</v>
      </c>
      <c r="EB49" s="229">
        <v>0.15770000000000001</v>
      </c>
      <c r="EC49" s="228">
        <v>-0.54</v>
      </c>
      <c r="ED49" s="229">
        <v>-1E-4</v>
      </c>
      <c r="EE49" s="230">
        <v>599009</v>
      </c>
      <c r="EF49" s="230">
        <v>460417</v>
      </c>
      <c r="EG49" s="229">
        <v>0.30099999999999999</v>
      </c>
      <c r="EH49" s="229">
        <v>0.25819999999999999</v>
      </c>
      <c r="EI49" s="231">
        <v>752705.44</v>
      </c>
      <c r="EJ49" s="231">
        <v>263449.02</v>
      </c>
      <c r="EK49" s="231">
        <v>78780.05</v>
      </c>
      <c r="EL49" s="231">
        <v>10331</v>
      </c>
      <c r="EM49" s="231">
        <v>1094934.51</v>
      </c>
      <c r="EN49" s="231">
        <v>448484.59</v>
      </c>
      <c r="EO49" s="231">
        <v>646449.92000000004</v>
      </c>
      <c r="EP49" s="229">
        <v>1.4414</v>
      </c>
      <c r="EQ49" s="231">
        <v>136852</v>
      </c>
      <c r="ER49" s="231">
        <v>106895</v>
      </c>
      <c r="ES49" s="231">
        <v>343055</v>
      </c>
      <c r="ET49" s="231">
        <v>33590487</v>
      </c>
      <c r="EU49" s="231">
        <v>586802</v>
      </c>
      <c r="EV49" s="231">
        <v>546892</v>
      </c>
      <c r="EW49" s="231">
        <v>39910</v>
      </c>
      <c r="EX49" s="229">
        <v>7.2999999999999995E-2</v>
      </c>
      <c r="EY49" s="229">
        <v>0.42409999999999998</v>
      </c>
    </row>
    <row r="50" spans="1:155" ht="17.25" thickBot="1" x14ac:dyDescent="0.3">
      <c r="A50" s="226">
        <v>46132</v>
      </c>
      <c r="B50" s="227" t="s">
        <v>157</v>
      </c>
      <c r="C50" s="227" t="s">
        <v>302</v>
      </c>
      <c r="D50" s="231">
        <v>11897</v>
      </c>
      <c r="E50" s="231">
        <v>11884</v>
      </c>
      <c r="F50" s="228">
        <v>13</v>
      </c>
      <c r="G50" s="229">
        <v>1.1000000000000001E-3</v>
      </c>
      <c r="H50" s="231">
        <v>11917</v>
      </c>
      <c r="I50" s="231">
        <v>11886</v>
      </c>
      <c r="J50" s="228">
        <v>31</v>
      </c>
      <c r="K50" s="229">
        <v>2.5999999999999999E-3</v>
      </c>
      <c r="L50" s="231">
        <v>11897</v>
      </c>
      <c r="M50" s="231">
        <v>11884</v>
      </c>
      <c r="N50" s="228">
        <v>13</v>
      </c>
      <c r="O50" s="229">
        <v>1.1000000000000001E-3</v>
      </c>
      <c r="P50" s="231">
        <v>11965</v>
      </c>
      <c r="Q50" s="231">
        <v>11950</v>
      </c>
      <c r="R50" s="228">
        <v>15</v>
      </c>
      <c r="S50" s="229">
        <v>1.2999999999999999E-3</v>
      </c>
      <c r="T50" s="231">
        <v>12037</v>
      </c>
      <c r="U50" s="231">
        <v>12016</v>
      </c>
      <c r="V50" s="228">
        <v>21</v>
      </c>
      <c r="W50" s="229">
        <v>1.6999999999999999E-3</v>
      </c>
      <c r="X50" s="228">
        <v>-20</v>
      </c>
      <c r="Y50" s="228">
        <v>-2</v>
      </c>
      <c r="Z50" s="228">
        <v>-18</v>
      </c>
      <c r="AA50" s="229">
        <v>-1.6999999999999999E-3</v>
      </c>
      <c r="AB50" s="228">
        <v>-20</v>
      </c>
      <c r="AC50" s="228">
        <v>-2</v>
      </c>
      <c r="AD50" s="228">
        <v>-18</v>
      </c>
      <c r="AE50" s="229">
        <v>-1.6999999999999999E-3</v>
      </c>
      <c r="AF50" s="228">
        <v>48</v>
      </c>
      <c r="AG50" s="228">
        <v>64</v>
      </c>
      <c r="AH50" s="228">
        <v>-16</v>
      </c>
      <c r="AI50" s="229">
        <v>4.0000000000000001E-3</v>
      </c>
      <c r="AJ50" s="228">
        <v>120</v>
      </c>
      <c r="AK50" s="228">
        <v>130</v>
      </c>
      <c r="AL50" s="228">
        <v>-10</v>
      </c>
      <c r="AM50" s="229">
        <v>1.01E-2</v>
      </c>
      <c r="AN50" s="231">
        <v>11919.2</v>
      </c>
      <c r="AO50" s="231">
        <v>11959.44</v>
      </c>
      <c r="AP50" s="228">
        <v>0</v>
      </c>
      <c r="AQ50" s="230">
        <v>7172</v>
      </c>
      <c r="AR50" s="230">
        <v>8126</v>
      </c>
      <c r="AS50" s="228">
        <v>-954</v>
      </c>
      <c r="AT50" s="229">
        <v>-0.1174</v>
      </c>
      <c r="AU50" s="230">
        <v>5880</v>
      </c>
      <c r="AV50" s="230">
        <v>6061</v>
      </c>
      <c r="AW50" s="228">
        <v>-181</v>
      </c>
      <c r="AX50" s="229">
        <v>-2.9899999999999999E-2</v>
      </c>
      <c r="AY50" s="230">
        <v>1149</v>
      </c>
      <c r="AZ50" s="228">
        <v>249</v>
      </c>
      <c r="BA50" s="228">
        <v>900</v>
      </c>
      <c r="BB50" s="229">
        <v>3.6145</v>
      </c>
      <c r="BC50" s="228">
        <v>143</v>
      </c>
      <c r="BD50" s="230">
        <v>1816</v>
      </c>
      <c r="BE50" s="230">
        <v>-1673</v>
      </c>
      <c r="BF50" s="229">
        <v>-0.92130000000000001</v>
      </c>
      <c r="BG50" s="230">
        <v>21936</v>
      </c>
      <c r="BH50" s="230">
        <v>16834</v>
      </c>
      <c r="BI50" s="230">
        <v>5102</v>
      </c>
      <c r="BJ50" s="229">
        <v>0.30309999999999998</v>
      </c>
      <c r="BK50" s="230">
        <v>7096</v>
      </c>
      <c r="BL50" s="230">
        <v>7882</v>
      </c>
      <c r="BM50" s="228">
        <v>-786</v>
      </c>
      <c r="BN50" s="229">
        <v>-9.9699999999999997E-2</v>
      </c>
      <c r="BO50" s="230">
        <v>36204</v>
      </c>
      <c r="BP50" s="230">
        <v>32842</v>
      </c>
      <c r="BQ50" s="230">
        <v>3362</v>
      </c>
      <c r="BR50" s="229">
        <v>0.1024</v>
      </c>
      <c r="BS50" s="230">
        <v>348855</v>
      </c>
      <c r="BT50" s="230">
        <v>170793</v>
      </c>
      <c r="BU50" s="230">
        <v>178062</v>
      </c>
      <c r="BV50" s="229">
        <v>1.0426</v>
      </c>
      <c r="BW50" s="230">
        <v>2433300</v>
      </c>
      <c r="BX50" s="230">
        <v>2408850</v>
      </c>
      <c r="BY50" s="230">
        <v>24450</v>
      </c>
      <c r="BZ50" s="229">
        <v>1.0200000000000001E-2</v>
      </c>
      <c r="CA50" s="230">
        <v>1947000</v>
      </c>
      <c r="CB50" s="230">
        <v>1961450</v>
      </c>
      <c r="CC50" s="230">
        <v>-14450</v>
      </c>
      <c r="CD50" s="229">
        <v>-7.4000000000000003E-3</v>
      </c>
      <c r="CE50" s="230">
        <v>239600</v>
      </c>
      <c r="CF50" s="230">
        <v>206750</v>
      </c>
      <c r="CG50" s="230">
        <v>32850</v>
      </c>
      <c r="CH50" s="229">
        <v>0.15890000000000001</v>
      </c>
      <c r="CI50" s="230">
        <v>246700</v>
      </c>
      <c r="CJ50" s="230">
        <v>240650</v>
      </c>
      <c r="CK50" s="230">
        <v>6050</v>
      </c>
      <c r="CL50" s="229">
        <v>2.5100000000000001E-2</v>
      </c>
      <c r="CM50" s="230">
        <v>716300</v>
      </c>
      <c r="CN50" s="230">
        <v>696500</v>
      </c>
      <c r="CO50" s="230">
        <v>19800</v>
      </c>
      <c r="CP50" s="229">
        <v>2.8400000000000002E-2</v>
      </c>
      <c r="CQ50" s="230">
        <v>447700</v>
      </c>
      <c r="CR50" s="230">
        <v>429300</v>
      </c>
      <c r="CS50" s="230">
        <v>18400</v>
      </c>
      <c r="CT50" s="229">
        <v>4.2900000000000001E-2</v>
      </c>
      <c r="CU50" s="230">
        <v>3597300</v>
      </c>
      <c r="CV50" s="230">
        <v>3534650</v>
      </c>
      <c r="CW50" s="230">
        <v>62650</v>
      </c>
      <c r="CX50" s="229">
        <v>1.77E-2</v>
      </c>
      <c r="CY50" s="228">
        <v>32.950000000000003</v>
      </c>
      <c r="CZ50" s="228">
        <v>29.23</v>
      </c>
      <c r="DA50" s="228">
        <v>3.72</v>
      </c>
      <c r="DB50" s="228">
        <v>3.72</v>
      </c>
      <c r="DC50" s="228">
        <v>30.07</v>
      </c>
      <c r="DD50" s="228">
        <v>30.14</v>
      </c>
      <c r="DE50" s="228">
        <v>2.88</v>
      </c>
      <c r="DF50" s="228">
        <v>-7.0000000000000007E-2</v>
      </c>
      <c r="DG50" s="228">
        <v>32.44</v>
      </c>
      <c r="DH50" s="228">
        <v>28.29</v>
      </c>
      <c r="DI50" s="228">
        <v>4.1500000000000004</v>
      </c>
      <c r="DJ50" s="228">
        <v>4.1500000000000004</v>
      </c>
      <c r="DK50" s="228">
        <v>34.53</v>
      </c>
      <c r="DL50" s="228">
        <v>31.22</v>
      </c>
      <c r="DM50" s="228">
        <v>3.31</v>
      </c>
      <c r="DN50" s="228">
        <v>3.31</v>
      </c>
      <c r="DO50" s="228">
        <v>0.63</v>
      </c>
      <c r="DP50" s="228">
        <v>0.62</v>
      </c>
      <c r="DQ50" s="228">
        <v>0.01</v>
      </c>
      <c r="DR50" s="229">
        <v>1.61E-2</v>
      </c>
      <c r="DS50" s="231">
        <v>11800</v>
      </c>
      <c r="DT50" s="231">
        <v>11800</v>
      </c>
      <c r="DU50" s="228">
        <v>0.32</v>
      </c>
      <c r="DV50" s="228">
        <v>0.47</v>
      </c>
      <c r="DW50" s="228">
        <v>-0.15</v>
      </c>
      <c r="DX50" s="229">
        <v>-0.31909999999999999</v>
      </c>
      <c r="DY50" s="229">
        <v>0.19989999999999999</v>
      </c>
      <c r="DZ50" s="230">
        <v>447400</v>
      </c>
      <c r="EA50" s="229">
        <v>5.7000000000000002E-3</v>
      </c>
      <c r="EB50" s="229">
        <v>0.19989999999999999</v>
      </c>
      <c r="EC50" s="228">
        <v>40.24</v>
      </c>
      <c r="ED50" s="229">
        <v>3.3999999999999998E-3</v>
      </c>
      <c r="EE50" s="230">
        <v>204173</v>
      </c>
      <c r="EF50" s="230">
        <v>93359</v>
      </c>
      <c r="EG50" s="229">
        <v>1.1870000000000001</v>
      </c>
      <c r="EH50" s="229">
        <v>0.58530000000000004</v>
      </c>
      <c r="EI50" s="231">
        <v>134948.57999999999</v>
      </c>
      <c r="EJ50" s="231">
        <v>41375.61</v>
      </c>
      <c r="EK50" s="231">
        <v>42772.91</v>
      </c>
      <c r="EL50" s="231">
        <v>5896</v>
      </c>
      <c r="EM50" s="231">
        <v>219097.1</v>
      </c>
      <c r="EN50" s="231">
        <v>195486.03</v>
      </c>
      <c r="EO50" s="231">
        <v>23611.07</v>
      </c>
      <c r="EP50" s="229">
        <v>0.1208</v>
      </c>
      <c r="EQ50" s="231">
        <v>85671</v>
      </c>
      <c r="ER50" s="231">
        <v>48936</v>
      </c>
      <c r="ES50" s="231">
        <v>289998</v>
      </c>
      <c r="ET50" s="231">
        <v>12994504</v>
      </c>
      <c r="EU50" s="231">
        <v>424605</v>
      </c>
      <c r="EV50" s="231">
        <v>416496</v>
      </c>
      <c r="EW50" s="231">
        <v>8109</v>
      </c>
      <c r="EX50" s="229">
        <v>1.95E-2</v>
      </c>
      <c r="EY50" s="229">
        <v>0.27679999999999999</v>
      </c>
    </row>
    <row r="51" spans="1:155" ht="17.25" thickBot="1" x14ac:dyDescent="0.3">
      <c r="A51" s="226">
        <v>46132</v>
      </c>
      <c r="B51" s="227" t="s">
        <v>221</v>
      </c>
      <c r="C51" s="227" t="s">
        <v>306</v>
      </c>
      <c r="D51" s="228">
        <v>201.8</v>
      </c>
      <c r="E51" s="228">
        <v>202.37</v>
      </c>
      <c r="F51" s="228">
        <v>-0.56999999999999995</v>
      </c>
      <c r="G51" s="229">
        <v>-2.8E-3</v>
      </c>
      <c r="H51" s="228">
        <v>202.48</v>
      </c>
      <c r="I51" s="228">
        <v>204.32</v>
      </c>
      <c r="J51" s="228">
        <v>-1.84</v>
      </c>
      <c r="K51" s="229">
        <v>-8.9999999999999993E-3</v>
      </c>
      <c r="L51" s="228">
        <v>201.8</v>
      </c>
      <c r="M51" s="228">
        <v>202.37</v>
      </c>
      <c r="N51" s="228">
        <v>-0.56999999999999995</v>
      </c>
      <c r="O51" s="229">
        <v>-2.8E-3</v>
      </c>
      <c r="P51" s="228">
        <v>199.14</v>
      </c>
      <c r="Q51" s="228">
        <v>199.72</v>
      </c>
      <c r="R51" s="228">
        <v>-0.57999999999999996</v>
      </c>
      <c r="S51" s="229">
        <v>-2.8999999999999998E-3</v>
      </c>
      <c r="T51" s="228">
        <v>196.96</v>
      </c>
      <c r="U51" s="228">
        <v>197.36</v>
      </c>
      <c r="V51" s="228">
        <v>-0.4</v>
      </c>
      <c r="W51" s="229">
        <v>-2E-3</v>
      </c>
      <c r="X51" s="228">
        <v>-0.68</v>
      </c>
      <c r="Y51" s="228">
        <v>-1.95</v>
      </c>
      <c r="Z51" s="228">
        <v>1.27</v>
      </c>
      <c r="AA51" s="229">
        <v>-3.3999999999999998E-3</v>
      </c>
      <c r="AB51" s="228">
        <v>-0.68</v>
      </c>
      <c r="AC51" s="228">
        <v>-1.95</v>
      </c>
      <c r="AD51" s="228">
        <v>1.27</v>
      </c>
      <c r="AE51" s="229">
        <v>-3.3999999999999998E-3</v>
      </c>
      <c r="AF51" s="228">
        <v>-3.34</v>
      </c>
      <c r="AG51" s="228">
        <v>-4.5999999999999996</v>
      </c>
      <c r="AH51" s="228">
        <v>1.26</v>
      </c>
      <c r="AI51" s="229">
        <v>-1.6500000000000001E-2</v>
      </c>
      <c r="AJ51" s="228">
        <v>-5.52</v>
      </c>
      <c r="AK51" s="228">
        <v>-6.96</v>
      </c>
      <c r="AL51" s="228">
        <v>1.44</v>
      </c>
      <c r="AM51" s="229">
        <v>-2.7300000000000001E-2</v>
      </c>
      <c r="AN51" s="228">
        <v>201.83</v>
      </c>
      <c r="AO51" s="228">
        <v>199.21</v>
      </c>
      <c r="AP51" s="228">
        <v>0</v>
      </c>
      <c r="AQ51" s="230">
        <v>9577</v>
      </c>
      <c r="AR51" s="230">
        <v>38031</v>
      </c>
      <c r="AS51" s="230">
        <v>-28454</v>
      </c>
      <c r="AT51" s="229">
        <v>-0.74819999999999998</v>
      </c>
      <c r="AU51" s="230">
        <v>5472</v>
      </c>
      <c r="AV51" s="230">
        <v>25417</v>
      </c>
      <c r="AW51" s="230">
        <v>-19945</v>
      </c>
      <c r="AX51" s="229">
        <v>-0.78469999999999995</v>
      </c>
      <c r="AY51" s="230">
        <v>3560</v>
      </c>
      <c r="AZ51" s="230">
        <v>10544</v>
      </c>
      <c r="BA51" s="230">
        <v>-6984</v>
      </c>
      <c r="BB51" s="229">
        <v>-0.66239999999999999</v>
      </c>
      <c r="BC51" s="228">
        <v>545</v>
      </c>
      <c r="BD51" s="230">
        <v>2070</v>
      </c>
      <c r="BE51" s="230">
        <v>-1525</v>
      </c>
      <c r="BF51" s="229">
        <v>-0.73670000000000002</v>
      </c>
      <c r="BG51" s="230">
        <v>53433</v>
      </c>
      <c r="BH51" s="230">
        <v>150642</v>
      </c>
      <c r="BI51" s="230">
        <v>-97209</v>
      </c>
      <c r="BJ51" s="229">
        <v>-0.64529999999999998</v>
      </c>
      <c r="BK51" s="230">
        <v>23392</v>
      </c>
      <c r="BL51" s="230">
        <v>77670</v>
      </c>
      <c r="BM51" s="230">
        <v>-54278</v>
      </c>
      <c r="BN51" s="229">
        <v>-0.69879999999999998</v>
      </c>
      <c r="BO51" s="230">
        <v>86402</v>
      </c>
      <c r="BP51" s="230">
        <v>266343</v>
      </c>
      <c r="BQ51" s="230">
        <v>-179941</v>
      </c>
      <c r="BR51" s="229">
        <v>-0.67559999999999998</v>
      </c>
      <c r="BS51" s="230">
        <v>29777408</v>
      </c>
      <c r="BT51" s="230">
        <v>84058228</v>
      </c>
      <c r="BU51" s="230">
        <v>-54280820</v>
      </c>
      <c r="BV51" s="229">
        <v>-0.64580000000000004</v>
      </c>
      <c r="BW51" s="230">
        <v>327405000</v>
      </c>
      <c r="BX51" s="230">
        <v>321855000</v>
      </c>
      <c r="BY51" s="230">
        <v>5550000</v>
      </c>
      <c r="BZ51" s="229">
        <v>1.72E-2</v>
      </c>
      <c r="CA51" s="230">
        <v>251364000</v>
      </c>
      <c r="CB51" s="230">
        <v>250206000</v>
      </c>
      <c r="CC51" s="230">
        <v>1158000</v>
      </c>
      <c r="CD51" s="229">
        <v>4.5999999999999999E-3</v>
      </c>
      <c r="CE51" s="230">
        <v>66540000</v>
      </c>
      <c r="CF51" s="230">
        <v>62709000</v>
      </c>
      <c r="CG51" s="230">
        <v>3831000</v>
      </c>
      <c r="CH51" s="229">
        <v>6.1100000000000002E-2</v>
      </c>
      <c r="CI51" s="230">
        <v>9501000</v>
      </c>
      <c r="CJ51" s="230">
        <v>8940000</v>
      </c>
      <c r="CK51" s="230">
        <v>561000</v>
      </c>
      <c r="CL51" s="229">
        <v>6.2799999999999995E-2</v>
      </c>
      <c r="CM51" s="230">
        <v>169938000</v>
      </c>
      <c r="CN51" s="230">
        <v>170253000</v>
      </c>
      <c r="CO51" s="230">
        <v>-315000</v>
      </c>
      <c r="CP51" s="229">
        <v>-1.9E-3</v>
      </c>
      <c r="CQ51" s="230">
        <v>82302000</v>
      </c>
      <c r="CR51" s="230">
        <v>83544000</v>
      </c>
      <c r="CS51" s="230">
        <v>-1242000</v>
      </c>
      <c r="CT51" s="229">
        <v>-1.49E-2</v>
      </c>
      <c r="CU51" s="230">
        <v>579645000</v>
      </c>
      <c r="CV51" s="230">
        <v>575652000</v>
      </c>
      <c r="CW51" s="230">
        <v>3993000</v>
      </c>
      <c r="CX51" s="229">
        <v>6.8999999999999999E-3</v>
      </c>
      <c r="CY51" s="228">
        <v>30.35</v>
      </c>
      <c r="CZ51" s="228">
        <v>29.24</v>
      </c>
      <c r="DA51" s="228">
        <v>1.1100000000000001</v>
      </c>
      <c r="DB51" s="228">
        <v>1.1100000000000001</v>
      </c>
      <c r="DC51" s="228">
        <v>31.43</v>
      </c>
      <c r="DD51" s="228">
        <v>31.49</v>
      </c>
      <c r="DE51" s="228">
        <v>-1.08</v>
      </c>
      <c r="DF51" s="228">
        <v>-0.06</v>
      </c>
      <c r="DG51" s="228">
        <v>30.49</v>
      </c>
      <c r="DH51" s="228">
        <v>29.66</v>
      </c>
      <c r="DI51" s="228">
        <v>0.83</v>
      </c>
      <c r="DJ51" s="228">
        <v>0.83</v>
      </c>
      <c r="DK51" s="228">
        <v>30.05</v>
      </c>
      <c r="DL51" s="228">
        <v>28.43</v>
      </c>
      <c r="DM51" s="228">
        <v>1.62</v>
      </c>
      <c r="DN51" s="228">
        <v>1.62</v>
      </c>
      <c r="DO51" s="228">
        <v>0.48</v>
      </c>
      <c r="DP51" s="228">
        <v>0.49</v>
      </c>
      <c r="DQ51" s="228">
        <v>-0.01</v>
      </c>
      <c r="DR51" s="229">
        <v>-2.0400000000000001E-2</v>
      </c>
      <c r="DS51" s="228">
        <v>210</v>
      </c>
      <c r="DT51" s="228">
        <v>200</v>
      </c>
      <c r="DU51" s="228">
        <v>0.44</v>
      </c>
      <c r="DV51" s="228">
        <v>0.52</v>
      </c>
      <c r="DW51" s="228">
        <v>-0.08</v>
      </c>
      <c r="DX51" s="229">
        <v>-0.15379999999999999</v>
      </c>
      <c r="DY51" s="229">
        <v>0.23230000000000001</v>
      </c>
      <c r="DZ51" s="230">
        <v>71649000</v>
      </c>
      <c r="EA51" s="229">
        <v>-1.32E-2</v>
      </c>
      <c r="EB51" s="229">
        <v>0.23230000000000001</v>
      </c>
      <c r="EC51" s="228">
        <v>-2.62</v>
      </c>
      <c r="ED51" s="229">
        <v>-1.2999999999999999E-2</v>
      </c>
      <c r="EE51" s="230">
        <v>17296531</v>
      </c>
      <c r="EF51" s="230">
        <v>40969364</v>
      </c>
      <c r="EG51" s="229">
        <v>-0.57779999999999998</v>
      </c>
      <c r="EH51" s="229">
        <v>0.58089999999999997</v>
      </c>
      <c r="EI51" s="231">
        <v>340245.36</v>
      </c>
      <c r="EJ51" s="231">
        <v>140355.29</v>
      </c>
      <c r="EK51" s="231">
        <v>57628.89</v>
      </c>
      <c r="EL51" s="231">
        <v>23903</v>
      </c>
      <c r="EM51" s="231">
        <v>538229.54</v>
      </c>
      <c r="EN51" s="231">
        <v>1661682.7</v>
      </c>
      <c r="EO51" s="231">
        <v>-1123453.1599999999</v>
      </c>
      <c r="EP51" s="229">
        <v>-0.67610000000000003</v>
      </c>
      <c r="EQ51" s="231">
        <v>363282</v>
      </c>
      <c r="ER51" s="231">
        <v>162256</v>
      </c>
      <c r="ES51" s="231">
        <v>658473</v>
      </c>
      <c r="ET51" s="231">
        <v>428710078</v>
      </c>
      <c r="EU51" s="231">
        <v>1184012</v>
      </c>
      <c r="EV51" s="231">
        <v>1178524</v>
      </c>
      <c r="EW51" s="231">
        <v>5488</v>
      </c>
      <c r="EX51" s="229">
        <v>4.7000000000000002E-3</v>
      </c>
      <c r="EY51" s="229">
        <v>1.3521000000000001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C183" zoomScale="86" zoomScaleNormal="86" workbookViewId="0">
      <selection activeCell="N189" sqref="N189"/>
    </sheetView>
  </sheetViews>
  <sheetFormatPr defaultRowHeight="15" x14ac:dyDescent="0.25"/>
  <cols>
    <col min="1" max="1" width="12.28515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140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1.28515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46132</v>
      </c>
      <c r="B2" s="227" t="s">
        <v>175</v>
      </c>
      <c r="C2" s="227" t="s">
        <v>680</v>
      </c>
      <c r="D2" s="228">
        <v>500</v>
      </c>
      <c r="E2" s="228">
        <v>8</v>
      </c>
      <c r="F2" s="231">
        <v>1101.6500000000001</v>
      </c>
      <c r="G2" s="231">
        <v>1114.6500000000001</v>
      </c>
      <c r="H2" s="228">
        <v>-13</v>
      </c>
      <c r="I2" s="229">
        <v>-1.17E-2</v>
      </c>
      <c r="J2" s="231">
        <v>1109.25</v>
      </c>
      <c r="K2" s="231">
        <v>1113.3</v>
      </c>
      <c r="L2" s="228">
        <v>-4.05</v>
      </c>
      <c r="M2" s="229">
        <v>-3.5999999999999999E-3</v>
      </c>
      <c r="N2" s="231">
        <v>1101.6500000000001</v>
      </c>
      <c r="O2" s="231">
        <v>1114.6500000000001</v>
      </c>
      <c r="P2" s="228">
        <v>-13</v>
      </c>
      <c r="Q2" s="229">
        <v>-1.17E-2</v>
      </c>
      <c r="R2" s="231">
        <v>1100.9000000000001</v>
      </c>
      <c r="S2" s="231">
        <v>1114.3499999999999</v>
      </c>
      <c r="T2" s="228">
        <v>-13.45</v>
      </c>
      <c r="U2" s="229">
        <v>-1.21E-2</v>
      </c>
      <c r="V2" s="231">
        <v>1104</v>
      </c>
      <c r="W2" s="231">
        <v>1114.5999999999999</v>
      </c>
      <c r="X2" s="228">
        <v>-10.6</v>
      </c>
      <c r="Y2" s="229">
        <v>-9.4999999999999998E-3</v>
      </c>
      <c r="Z2" s="228">
        <v>-7.6</v>
      </c>
      <c r="AA2" s="228">
        <v>1.35</v>
      </c>
      <c r="AB2" s="228">
        <v>-8.9499999999999993</v>
      </c>
      <c r="AC2" s="229">
        <v>-6.8999999999999999E-3</v>
      </c>
      <c r="AD2" s="228">
        <v>-7.6</v>
      </c>
      <c r="AE2" s="228">
        <v>1.35</v>
      </c>
      <c r="AF2" s="228">
        <v>-8.9499999999999993</v>
      </c>
      <c r="AG2" s="229">
        <v>-6.8999999999999999E-3</v>
      </c>
      <c r="AH2" s="228">
        <v>-8.35</v>
      </c>
      <c r="AI2" s="228">
        <v>1.05</v>
      </c>
      <c r="AJ2" s="228">
        <v>-9.4</v>
      </c>
      <c r="AK2" s="229">
        <v>-7.4999999999999997E-3</v>
      </c>
      <c r="AL2" s="228">
        <v>-5.25</v>
      </c>
      <c r="AM2" s="228">
        <v>1.3</v>
      </c>
      <c r="AN2" s="228">
        <v>-6.55</v>
      </c>
      <c r="AO2" s="229">
        <v>-4.7000000000000002E-3</v>
      </c>
      <c r="AP2" s="231">
        <v>1104.58</v>
      </c>
      <c r="AQ2" s="231">
        <v>1102.73</v>
      </c>
      <c r="AR2" s="228">
        <v>0</v>
      </c>
      <c r="AS2" s="228">
        <v>118</v>
      </c>
      <c r="AT2" s="228">
        <v>278</v>
      </c>
      <c r="AU2" s="228">
        <v>-159</v>
      </c>
      <c r="AV2" s="229">
        <v>-0.57410000000000005</v>
      </c>
      <c r="AW2" s="228">
        <v>108</v>
      </c>
      <c r="AX2" s="228">
        <v>264</v>
      </c>
      <c r="AY2" s="228">
        <v>-156</v>
      </c>
      <c r="AZ2" s="229">
        <v>-0.59050000000000002</v>
      </c>
      <c r="BA2" s="228">
        <v>10</v>
      </c>
      <c r="BB2" s="228">
        <v>13</v>
      </c>
      <c r="BC2" s="228">
        <v>-3</v>
      </c>
      <c r="BD2" s="229">
        <v>-0.24579999999999999</v>
      </c>
      <c r="BE2" s="228">
        <v>0</v>
      </c>
      <c r="BF2" s="228">
        <v>0</v>
      </c>
      <c r="BG2" s="228">
        <v>0</v>
      </c>
      <c r="BH2" s="229">
        <v>-0.44440000000000002</v>
      </c>
      <c r="BI2" s="228">
        <v>337</v>
      </c>
      <c r="BJ2" s="228">
        <v>568</v>
      </c>
      <c r="BK2" s="228">
        <v>-231</v>
      </c>
      <c r="BL2" s="229">
        <v>-0.40699999999999997</v>
      </c>
      <c r="BM2" s="228">
        <v>134</v>
      </c>
      <c r="BN2" s="228">
        <v>308</v>
      </c>
      <c r="BO2" s="228">
        <v>-174</v>
      </c>
      <c r="BP2" s="229">
        <v>-0.56630000000000003</v>
      </c>
      <c r="BQ2" s="228">
        <v>588</v>
      </c>
      <c r="BR2" s="230">
        <v>1153</v>
      </c>
      <c r="BS2" s="228">
        <v>-565</v>
      </c>
      <c r="BT2" s="229">
        <v>-0.48980000000000001</v>
      </c>
      <c r="BU2" s="230">
        <v>698617</v>
      </c>
      <c r="BV2" s="230">
        <v>2736312</v>
      </c>
      <c r="BW2" s="230">
        <v>-2037695</v>
      </c>
      <c r="BX2" s="229">
        <v>-0.74470000000000003</v>
      </c>
      <c r="BY2" s="228">
        <v>626</v>
      </c>
      <c r="BZ2" s="228">
        <v>651</v>
      </c>
      <c r="CA2" s="228">
        <v>-25</v>
      </c>
      <c r="CB2" s="229">
        <v>-3.78E-2</v>
      </c>
      <c r="CC2" s="228">
        <v>567</v>
      </c>
      <c r="CD2" s="228">
        <v>593</v>
      </c>
      <c r="CE2" s="228">
        <v>-26</v>
      </c>
      <c r="CF2" s="229">
        <v>-4.41E-2</v>
      </c>
      <c r="CG2" s="228">
        <v>59</v>
      </c>
      <c r="CH2" s="228">
        <v>57</v>
      </c>
      <c r="CI2" s="228">
        <v>2</v>
      </c>
      <c r="CJ2" s="229">
        <v>2.7799999999999998E-2</v>
      </c>
      <c r="CK2" s="228">
        <v>0</v>
      </c>
      <c r="CL2" s="228">
        <v>1</v>
      </c>
      <c r="CM2" s="228">
        <v>0</v>
      </c>
      <c r="CN2" s="229">
        <v>-0.1</v>
      </c>
      <c r="CO2" s="228">
        <v>218</v>
      </c>
      <c r="CP2" s="228">
        <v>196</v>
      </c>
      <c r="CQ2" s="228">
        <v>22</v>
      </c>
      <c r="CR2" s="229">
        <v>0.1115</v>
      </c>
      <c r="CS2" s="228">
        <v>246</v>
      </c>
      <c r="CT2" s="228">
        <v>240</v>
      </c>
      <c r="CU2" s="228">
        <v>6</v>
      </c>
      <c r="CV2" s="229">
        <v>2.3599999999999999E-2</v>
      </c>
      <c r="CW2" s="230">
        <v>1090</v>
      </c>
      <c r="CX2" s="230">
        <v>1087</v>
      </c>
      <c r="CY2" s="228">
        <v>3</v>
      </c>
      <c r="CZ2" s="229">
        <v>2.7000000000000001E-3</v>
      </c>
      <c r="DA2" s="228">
        <v>51.66</v>
      </c>
      <c r="DB2" s="228">
        <v>43</v>
      </c>
      <c r="DC2" s="228">
        <v>8.66</v>
      </c>
      <c r="DD2" s="228">
        <v>8.66</v>
      </c>
      <c r="DE2" s="228">
        <v>42.1</v>
      </c>
      <c r="DF2" s="228">
        <v>42.18</v>
      </c>
      <c r="DG2" s="228">
        <v>9.56</v>
      </c>
      <c r="DH2" s="228">
        <v>-0.08</v>
      </c>
      <c r="DI2" s="228">
        <v>50.87</v>
      </c>
      <c r="DJ2" s="228">
        <v>42.41</v>
      </c>
      <c r="DK2" s="228">
        <v>8.4600000000000009</v>
      </c>
      <c r="DL2" s="228">
        <v>8.4600000000000009</v>
      </c>
      <c r="DM2" s="228">
        <v>53.64</v>
      </c>
      <c r="DN2" s="228">
        <v>44.08</v>
      </c>
      <c r="DO2" s="228">
        <v>9.56</v>
      </c>
      <c r="DP2" s="228">
        <v>9.56</v>
      </c>
      <c r="DQ2" s="228">
        <v>1.1299999999999999</v>
      </c>
      <c r="DR2" s="228">
        <v>1.23</v>
      </c>
      <c r="DS2" s="228">
        <v>-0.1</v>
      </c>
      <c r="DT2" s="229">
        <v>-8.1299999999999997E-2</v>
      </c>
      <c r="DU2" s="231">
        <v>1100</v>
      </c>
      <c r="DV2" s="231">
        <v>1000</v>
      </c>
      <c r="DW2" s="228">
        <v>0.4</v>
      </c>
      <c r="DX2" s="228">
        <v>0.54</v>
      </c>
      <c r="DY2" s="228">
        <v>-0.14000000000000001</v>
      </c>
      <c r="DZ2" s="229">
        <v>-0.25929999999999997</v>
      </c>
      <c r="EA2" s="229">
        <v>9.5000000000000001E-2</v>
      </c>
      <c r="EB2" s="230">
        <v>526000</v>
      </c>
      <c r="EC2" s="229">
        <v>-6.9999999999999999E-4</v>
      </c>
      <c r="ED2" s="229">
        <v>9.5000000000000001E-2</v>
      </c>
      <c r="EE2" s="228">
        <v>-1.85</v>
      </c>
      <c r="EF2" s="229">
        <v>-1.6999999999999999E-3</v>
      </c>
      <c r="EG2" s="230">
        <v>333938</v>
      </c>
      <c r="EH2" s="230">
        <v>1560255</v>
      </c>
      <c r="EI2" s="229">
        <v>-0.78600000000000003</v>
      </c>
      <c r="EJ2" s="229">
        <v>0.47799999999999998</v>
      </c>
      <c r="EK2" s="228">
        <v>364.41</v>
      </c>
      <c r="EL2" s="228">
        <v>125.82</v>
      </c>
      <c r="EM2" s="228">
        <v>118.56</v>
      </c>
      <c r="EN2" s="228">
        <v>32.950000000000003</v>
      </c>
      <c r="EO2" s="228">
        <v>608.78</v>
      </c>
      <c r="EP2" s="231">
        <v>1167.02</v>
      </c>
      <c r="EQ2" s="228">
        <v>-558.24</v>
      </c>
      <c r="ER2" s="229">
        <v>-0.4783</v>
      </c>
      <c r="ES2" s="228">
        <v>222.27</v>
      </c>
      <c r="ET2" s="228">
        <v>226.37</v>
      </c>
      <c r="EU2" s="228">
        <v>625.97</v>
      </c>
      <c r="EV2" s="231">
        <v>37756901</v>
      </c>
      <c r="EW2" s="231">
        <v>1074.6099999999999</v>
      </c>
      <c r="EX2" s="231">
        <v>1076.3499999999999</v>
      </c>
      <c r="EY2" s="228">
        <v>-1.74</v>
      </c>
      <c r="EZ2" s="229">
        <v>-1.6000000000000001E-3</v>
      </c>
      <c r="FA2" s="229">
        <v>0.2621</v>
      </c>
      <c r="FB2" s="227" t="s">
        <v>567</v>
      </c>
      <c r="FC2">
        <f>BY2-CC2</f>
        <v>59</v>
      </c>
    </row>
    <row r="3" spans="1:159" ht="17.25" thickBot="1" x14ac:dyDescent="0.3">
      <c r="A3" s="226">
        <v>46132</v>
      </c>
      <c r="B3" s="227" t="s">
        <v>184</v>
      </c>
      <c r="C3" s="227" t="s">
        <v>553</v>
      </c>
      <c r="D3" s="228">
        <v>125</v>
      </c>
      <c r="E3" s="228">
        <v>8</v>
      </c>
      <c r="F3" s="231">
        <v>7150.5</v>
      </c>
      <c r="G3" s="231">
        <v>7037</v>
      </c>
      <c r="H3" s="228">
        <v>113.5</v>
      </c>
      <c r="I3" s="229">
        <v>1.61E-2</v>
      </c>
      <c r="J3" s="231">
        <v>7158</v>
      </c>
      <c r="K3" s="231">
        <v>7029.5</v>
      </c>
      <c r="L3" s="228">
        <v>128.5</v>
      </c>
      <c r="M3" s="229">
        <v>1.83E-2</v>
      </c>
      <c r="N3" s="231">
        <v>7150.5</v>
      </c>
      <c r="O3" s="231">
        <v>7037</v>
      </c>
      <c r="P3" s="228">
        <v>113.5</v>
      </c>
      <c r="Q3" s="229">
        <v>1.61E-2</v>
      </c>
      <c r="R3" s="231">
        <v>7102</v>
      </c>
      <c r="S3" s="231">
        <v>6985</v>
      </c>
      <c r="T3" s="228">
        <v>117</v>
      </c>
      <c r="U3" s="229">
        <v>1.6799999999999999E-2</v>
      </c>
      <c r="V3" s="231">
        <v>7094.5</v>
      </c>
      <c r="W3" s="231">
        <v>6969</v>
      </c>
      <c r="X3" s="228">
        <v>125.5</v>
      </c>
      <c r="Y3" s="229">
        <v>1.7999999999999999E-2</v>
      </c>
      <c r="Z3" s="228">
        <v>-7.5</v>
      </c>
      <c r="AA3" s="228">
        <v>7.5</v>
      </c>
      <c r="AB3" s="228">
        <v>-15</v>
      </c>
      <c r="AC3" s="229">
        <v>-1E-3</v>
      </c>
      <c r="AD3" s="228">
        <v>-7.5</v>
      </c>
      <c r="AE3" s="228">
        <v>7.5</v>
      </c>
      <c r="AF3" s="228">
        <v>-15</v>
      </c>
      <c r="AG3" s="229">
        <v>-1E-3</v>
      </c>
      <c r="AH3" s="228">
        <v>-56</v>
      </c>
      <c r="AI3" s="228">
        <v>-44.5</v>
      </c>
      <c r="AJ3" s="228">
        <v>-11.5</v>
      </c>
      <c r="AK3" s="229">
        <v>-7.7999999999999996E-3</v>
      </c>
      <c r="AL3" s="228">
        <v>-63.5</v>
      </c>
      <c r="AM3" s="228">
        <v>-60.5</v>
      </c>
      <c r="AN3" s="228">
        <v>-3</v>
      </c>
      <c r="AO3" s="229">
        <v>-8.8999999999999999E-3</v>
      </c>
      <c r="AP3" s="231">
        <v>7177.66</v>
      </c>
      <c r="AQ3" s="231">
        <v>7127.28</v>
      </c>
      <c r="AR3" s="228">
        <v>0</v>
      </c>
      <c r="AS3" s="228">
        <v>534</v>
      </c>
      <c r="AT3" s="228">
        <v>447</v>
      </c>
      <c r="AU3" s="228">
        <v>87</v>
      </c>
      <c r="AV3" s="229">
        <v>0.19420000000000001</v>
      </c>
      <c r="AW3" s="228">
        <v>424</v>
      </c>
      <c r="AX3" s="228">
        <v>389</v>
      </c>
      <c r="AY3" s="228">
        <v>36</v>
      </c>
      <c r="AZ3" s="229">
        <v>9.1800000000000007E-2</v>
      </c>
      <c r="BA3" s="228">
        <v>102</v>
      </c>
      <c r="BB3" s="228">
        <v>54</v>
      </c>
      <c r="BC3" s="228">
        <v>48</v>
      </c>
      <c r="BD3" s="229">
        <v>0.88719999999999999</v>
      </c>
      <c r="BE3" s="228">
        <v>8</v>
      </c>
      <c r="BF3" s="228">
        <v>4</v>
      </c>
      <c r="BG3" s="228">
        <v>3</v>
      </c>
      <c r="BH3" s="229">
        <v>0.75509999999999999</v>
      </c>
      <c r="BI3" s="230">
        <v>6301</v>
      </c>
      <c r="BJ3" s="230">
        <v>2996</v>
      </c>
      <c r="BK3" s="230">
        <v>3304</v>
      </c>
      <c r="BL3" s="229">
        <v>1.1028</v>
      </c>
      <c r="BM3" s="230">
        <v>2254</v>
      </c>
      <c r="BN3" s="230">
        <v>1428</v>
      </c>
      <c r="BO3" s="228">
        <v>826</v>
      </c>
      <c r="BP3" s="229">
        <v>0.57879999999999998</v>
      </c>
      <c r="BQ3" s="230">
        <v>9089</v>
      </c>
      <c r="BR3" s="230">
        <v>4871</v>
      </c>
      <c r="BS3" s="230">
        <v>4218</v>
      </c>
      <c r="BT3" s="229">
        <v>0.8659</v>
      </c>
      <c r="BU3" s="230">
        <v>586941</v>
      </c>
      <c r="BV3" s="230">
        <v>576988</v>
      </c>
      <c r="BW3" s="230">
        <v>9953</v>
      </c>
      <c r="BX3" s="229">
        <v>1.72E-2</v>
      </c>
      <c r="BY3" s="230">
        <v>1730</v>
      </c>
      <c r="BZ3" s="230">
        <v>1718</v>
      </c>
      <c r="CA3" s="228">
        <v>12</v>
      </c>
      <c r="CB3" s="229">
        <v>6.8999999999999999E-3</v>
      </c>
      <c r="CC3" s="230">
        <v>1593</v>
      </c>
      <c r="CD3" s="230">
        <v>1607</v>
      </c>
      <c r="CE3" s="228">
        <v>-14</v>
      </c>
      <c r="CF3" s="229">
        <v>-8.6E-3</v>
      </c>
      <c r="CG3" s="228">
        <v>124</v>
      </c>
      <c r="CH3" s="228">
        <v>98</v>
      </c>
      <c r="CI3" s="228">
        <v>25</v>
      </c>
      <c r="CJ3" s="229">
        <v>0.25790000000000002</v>
      </c>
      <c r="CK3" s="228">
        <v>13</v>
      </c>
      <c r="CL3" s="228">
        <v>13</v>
      </c>
      <c r="CM3" s="228">
        <v>0</v>
      </c>
      <c r="CN3" s="229">
        <v>2.0500000000000001E-2</v>
      </c>
      <c r="CO3" s="230">
        <v>1019</v>
      </c>
      <c r="CP3" s="228">
        <v>715</v>
      </c>
      <c r="CQ3" s="228">
        <v>305</v>
      </c>
      <c r="CR3" s="229">
        <v>0.42649999999999999</v>
      </c>
      <c r="CS3" s="228">
        <v>928</v>
      </c>
      <c r="CT3" s="228">
        <v>809</v>
      </c>
      <c r="CU3" s="228">
        <v>119</v>
      </c>
      <c r="CV3" s="229">
        <v>0.14699999999999999</v>
      </c>
      <c r="CW3" s="230">
        <v>3678</v>
      </c>
      <c r="CX3" s="230">
        <v>3242</v>
      </c>
      <c r="CY3" s="228">
        <v>436</v>
      </c>
      <c r="CZ3" s="229">
        <v>0.13439999999999999</v>
      </c>
      <c r="DA3" s="228">
        <v>39.119999999999997</v>
      </c>
      <c r="DB3" s="228">
        <v>33.28</v>
      </c>
      <c r="DC3" s="228">
        <v>5.84</v>
      </c>
      <c r="DD3" s="228">
        <v>5.84</v>
      </c>
      <c r="DE3" s="228">
        <v>37.090000000000003</v>
      </c>
      <c r="DF3" s="228">
        <v>37.11</v>
      </c>
      <c r="DG3" s="228">
        <v>2.0299999999999998</v>
      </c>
      <c r="DH3" s="228">
        <v>-0.02</v>
      </c>
      <c r="DI3" s="228">
        <v>38.549999999999997</v>
      </c>
      <c r="DJ3" s="228">
        <v>31.92</v>
      </c>
      <c r="DK3" s="228">
        <v>6.63</v>
      </c>
      <c r="DL3" s="228">
        <v>6.63</v>
      </c>
      <c r="DM3" s="228">
        <v>40.71</v>
      </c>
      <c r="DN3" s="228">
        <v>36.119999999999997</v>
      </c>
      <c r="DO3" s="228">
        <v>4.59</v>
      </c>
      <c r="DP3" s="228">
        <v>4.59</v>
      </c>
      <c r="DQ3" s="228">
        <v>0.91</v>
      </c>
      <c r="DR3" s="228">
        <v>1.1299999999999999</v>
      </c>
      <c r="DS3" s="228">
        <v>-0.22</v>
      </c>
      <c r="DT3" s="229">
        <v>-0.19470000000000001</v>
      </c>
      <c r="DU3" s="231">
        <v>7500</v>
      </c>
      <c r="DV3" s="231">
        <v>7000</v>
      </c>
      <c r="DW3" s="228">
        <v>0.36</v>
      </c>
      <c r="DX3" s="228">
        <v>0.48</v>
      </c>
      <c r="DY3" s="228">
        <v>-0.12</v>
      </c>
      <c r="DZ3" s="229">
        <v>-0.25</v>
      </c>
      <c r="EA3" s="229">
        <v>7.9200000000000007E-2</v>
      </c>
      <c r="EB3" s="230">
        <v>155875</v>
      </c>
      <c r="EC3" s="229">
        <v>-6.7999999999999996E-3</v>
      </c>
      <c r="ED3" s="229">
        <v>7.9200000000000007E-2</v>
      </c>
      <c r="EE3" s="228">
        <v>-50.38</v>
      </c>
      <c r="EF3" s="229">
        <v>-7.0000000000000001E-3</v>
      </c>
      <c r="EG3" s="230">
        <v>212314</v>
      </c>
      <c r="EH3" s="230">
        <v>246166</v>
      </c>
      <c r="EI3" s="229">
        <v>-0.13750000000000001</v>
      </c>
      <c r="EJ3" s="229">
        <v>0.36170000000000002</v>
      </c>
      <c r="EK3" s="231">
        <v>6601.85</v>
      </c>
      <c r="EL3" s="231">
        <v>2184.0700000000002</v>
      </c>
      <c r="EM3" s="228">
        <v>534.85</v>
      </c>
      <c r="EN3" s="228">
        <v>46.89</v>
      </c>
      <c r="EO3" s="231">
        <v>9320.7800000000007</v>
      </c>
      <c r="EP3" s="231">
        <v>4831.58</v>
      </c>
      <c r="EQ3" s="231">
        <v>4489.1899999999996</v>
      </c>
      <c r="ER3" s="229">
        <v>0.92910000000000004</v>
      </c>
      <c r="ES3" s="231">
        <v>1023.86</v>
      </c>
      <c r="ET3" s="228">
        <v>845.12</v>
      </c>
      <c r="EU3" s="231">
        <v>1729.3</v>
      </c>
      <c r="EV3" s="231">
        <v>7946564</v>
      </c>
      <c r="EW3" s="231">
        <v>3598.28</v>
      </c>
      <c r="EX3" s="231">
        <v>3106.86</v>
      </c>
      <c r="EY3" s="228">
        <v>491.42</v>
      </c>
      <c r="EZ3" s="229">
        <v>0.15820000000000001</v>
      </c>
      <c r="FA3" s="229">
        <v>0.6472</v>
      </c>
      <c r="FB3" s="227" t="s">
        <v>555</v>
      </c>
      <c r="FC3">
        <f t="shared" ref="FC3:FC66" si="0">BY3-CC3</f>
        <v>137</v>
      </c>
    </row>
    <row r="4" spans="1:159" ht="17.25" thickBot="1" x14ac:dyDescent="0.3">
      <c r="A4" s="226">
        <v>46132</v>
      </c>
      <c r="B4" s="227" t="s">
        <v>175</v>
      </c>
      <c r="C4" s="227" t="s">
        <v>544</v>
      </c>
      <c r="D4" s="228">
        <v>3100</v>
      </c>
      <c r="E4" s="228">
        <v>8</v>
      </c>
      <c r="F4" s="228">
        <v>341</v>
      </c>
      <c r="G4" s="228">
        <v>340.8</v>
      </c>
      <c r="H4" s="228">
        <v>0.2</v>
      </c>
      <c r="I4" s="229">
        <v>5.9999999999999995E-4</v>
      </c>
      <c r="J4" s="228">
        <v>341.6</v>
      </c>
      <c r="K4" s="228">
        <v>340.4</v>
      </c>
      <c r="L4" s="228">
        <v>1.2</v>
      </c>
      <c r="M4" s="229">
        <v>3.5000000000000001E-3</v>
      </c>
      <c r="N4" s="228">
        <v>341</v>
      </c>
      <c r="O4" s="228">
        <v>340.8</v>
      </c>
      <c r="P4" s="228">
        <v>0.2</v>
      </c>
      <c r="Q4" s="229">
        <v>5.9999999999999995E-4</v>
      </c>
      <c r="R4" s="228">
        <v>342.55</v>
      </c>
      <c r="S4" s="228">
        <v>343.1</v>
      </c>
      <c r="T4" s="228">
        <v>-0.55000000000000004</v>
      </c>
      <c r="U4" s="229">
        <v>-1.6000000000000001E-3</v>
      </c>
      <c r="V4" s="228">
        <v>345.25</v>
      </c>
      <c r="W4" s="228">
        <v>345.15</v>
      </c>
      <c r="X4" s="228">
        <v>0.1</v>
      </c>
      <c r="Y4" s="229">
        <v>2.9999999999999997E-4</v>
      </c>
      <c r="Z4" s="228">
        <v>-0.6</v>
      </c>
      <c r="AA4" s="228">
        <v>0.4</v>
      </c>
      <c r="AB4" s="228">
        <v>-1</v>
      </c>
      <c r="AC4" s="229">
        <v>-1.8E-3</v>
      </c>
      <c r="AD4" s="228">
        <v>-0.6</v>
      </c>
      <c r="AE4" s="228">
        <v>0.4</v>
      </c>
      <c r="AF4" s="228">
        <v>-1</v>
      </c>
      <c r="AG4" s="229">
        <v>-1.8E-3</v>
      </c>
      <c r="AH4" s="228">
        <v>0.95</v>
      </c>
      <c r="AI4" s="228">
        <v>2.7</v>
      </c>
      <c r="AJ4" s="228">
        <v>-1.75</v>
      </c>
      <c r="AK4" s="229">
        <v>2.8E-3</v>
      </c>
      <c r="AL4" s="228">
        <v>3.65</v>
      </c>
      <c r="AM4" s="228">
        <v>4.75</v>
      </c>
      <c r="AN4" s="228">
        <v>-1.1000000000000001</v>
      </c>
      <c r="AO4" s="229">
        <v>1.0699999999999999E-2</v>
      </c>
      <c r="AP4" s="228">
        <v>341.65</v>
      </c>
      <c r="AQ4" s="228">
        <v>343.84</v>
      </c>
      <c r="AR4" s="228">
        <v>0</v>
      </c>
      <c r="AS4" s="228">
        <v>181</v>
      </c>
      <c r="AT4" s="228">
        <v>221</v>
      </c>
      <c r="AU4" s="228">
        <v>-39</v>
      </c>
      <c r="AV4" s="229">
        <v>-0.1782</v>
      </c>
      <c r="AW4" s="228">
        <v>168</v>
      </c>
      <c r="AX4" s="228">
        <v>205</v>
      </c>
      <c r="AY4" s="228">
        <v>-37</v>
      </c>
      <c r="AZ4" s="229">
        <v>-0.18079999999999999</v>
      </c>
      <c r="BA4" s="228">
        <v>12</v>
      </c>
      <c r="BB4" s="228">
        <v>14</v>
      </c>
      <c r="BC4" s="228">
        <v>-1</v>
      </c>
      <c r="BD4" s="229">
        <v>-9.3799999999999994E-2</v>
      </c>
      <c r="BE4" s="228">
        <v>1</v>
      </c>
      <c r="BF4" s="228">
        <v>2</v>
      </c>
      <c r="BG4" s="228">
        <v>-1</v>
      </c>
      <c r="BH4" s="229">
        <v>-0.47370000000000001</v>
      </c>
      <c r="BI4" s="228">
        <v>786</v>
      </c>
      <c r="BJ4" s="230">
        <v>1830</v>
      </c>
      <c r="BK4" s="230">
        <v>-1043</v>
      </c>
      <c r="BL4" s="229">
        <v>-0.57030000000000003</v>
      </c>
      <c r="BM4" s="228">
        <v>357</v>
      </c>
      <c r="BN4" s="228">
        <v>433</v>
      </c>
      <c r="BO4" s="228">
        <v>-76</v>
      </c>
      <c r="BP4" s="229">
        <v>-0.17499999999999999</v>
      </c>
      <c r="BQ4" s="230">
        <v>1325</v>
      </c>
      <c r="BR4" s="230">
        <v>2483</v>
      </c>
      <c r="BS4" s="230">
        <v>-1159</v>
      </c>
      <c r="BT4" s="229">
        <v>-0.46650000000000003</v>
      </c>
      <c r="BU4" s="230">
        <v>4181075</v>
      </c>
      <c r="BV4" s="230">
        <v>2816760</v>
      </c>
      <c r="BW4" s="230">
        <v>1364315</v>
      </c>
      <c r="BX4" s="229">
        <v>0.4844</v>
      </c>
      <c r="BY4" s="230">
        <v>1439</v>
      </c>
      <c r="BZ4" s="230">
        <v>1485</v>
      </c>
      <c r="CA4" s="228">
        <v>-46</v>
      </c>
      <c r="CB4" s="229">
        <v>-3.09E-2</v>
      </c>
      <c r="CC4" s="230">
        <v>1402</v>
      </c>
      <c r="CD4" s="230">
        <v>1451</v>
      </c>
      <c r="CE4" s="228">
        <v>-49</v>
      </c>
      <c r="CF4" s="229">
        <v>-3.4000000000000002E-2</v>
      </c>
      <c r="CG4" s="228">
        <v>33</v>
      </c>
      <c r="CH4" s="228">
        <v>29</v>
      </c>
      <c r="CI4" s="228">
        <v>3</v>
      </c>
      <c r="CJ4" s="229">
        <v>0.1183</v>
      </c>
      <c r="CK4" s="228">
        <v>4</v>
      </c>
      <c r="CL4" s="228">
        <v>4</v>
      </c>
      <c r="CM4" s="228">
        <v>0</v>
      </c>
      <c r="CN4" s="229">
        <v>0</v>
      </c>
      <c r="CO4" s="228">
        <v>485</v>
      </c>
      <c r="CP4" s="228">
        <v>560</v>
      </c>
      <c r="CQ4" s="228">
        <v>-75</v>
      </c>
      <c r="CR4" s="229">
        <v>-0.13389999999999999</v>
      </c>
      <c r="CS4" s="228">
        <v>327</v>
      </c>
      <c r="CT4" s="228">
        <v>344</v>
      </c>
      <c r="CU4" s="228">
        <v>-18</v>
      </c>
      <c r="CV4" s="229">
        <v>-5.1299999999999998E-2</v>
      </c>
      <c r="CW4" s="230">
        <v>2251</v>
      </c>
      <c r="CX4" s="230">
        <v>2390</v>
      </c>
      <c r="CY4" s="228">
        <v>-139</v>
      </c>
      <c r="CZ4" s="229">
        <v>-5.8000000000000003E-2</v>
      </c>
      <c r="DA4" s="228">
        <v>42.57</v>
      </c>
      <c r="DB4" s="228">
        <v>40.07</v>
      </c>
      <c r="DC4" s="228">
        <v>2.5</v>
      </c>
      <c r="DD4" s="228">
        <v>2.5</v>
      </c>
      <c r="DE4" s="228">
        <v>41.39</v>
      </c>
      <c r="DF4" s="228">
        <v>41.5</v>
      </c>
      <c r="DG4" s="228">
        <v>1.18</v>
      </c>
      <c r="DH4" s="228">
        <v>-0.11</v>
      </c>
      <c r="DI4" s="228">
        <v>41.91</v>
      </c>
      <c r="DJ4" s="228">
        <v>39.83</v>
      </c>
      <c r="DK4" s="228">
        <v>2.08</v>
      </c>
      <c r="DL4" s="228">
        <v>2.08</v>
      </c>
      <c r="DM4" s="228">
        <v>44.03</v>
      </c>
      <c r="DN4" s="228">
        <v>41.09</v>
      </c>
      <c r="DO4" s="228">
        <v>2.94</v>
      </c>
      <c r="DP4" s="228">
        <v>2.94</v>
      </c>
      <c r="DQ4" s="228">
        <v>0.67</v>
      </c>
      <c r="DR4" s="228">
        <v>0.61</v>
      </c>
      <c r="DS4" s="228">
        <v>0.06</v>
      </c>
      <c r="DT4" s="229">
        <v>9.8400000000000001E-2</v>
      </c>
      <c r="DU4" s="228">
        <v>355</v>
      </c>
      <c r="DV4" s="228">
        <v>320</v>
      </c>
      <c r="DW4" s="228">
        <v>0.45</v>
      </c>
      <c r="DX4" s="228">
        <v>0.24</v>
      </c>
      <c r="DY4" s="228">
        <v>0.21</v>
      </c>
      <c r="DZ4" s="229">
        <v>0.875</v>
      </c>
      <c r="EA4" s="229">
        <v>2.5700000000000001E-2</v>
      </c>
      <c r="EB4" s="230">
        <v>982700</v>
      </c>
      <c r="EC4" s="229">
        <v>4.4999999999999997E-3</v>
      </c>
      <c r="ED4" s="229">
        <v>2.5700000000000001E-2</v>
      </c>
      <c r="EE4" s="228">
        <v>2.19</v>
      </c>
      <c r="EF4" s="229">
        <v>6.4000000000000003E-3</v>
      </c>
      <c r="EG4" s="230">
        <v>2127410</v>
      </c>
      <c r="EH4" s="230">
        <v>1159984</v>
      </c>
      <c r="EI4" s="229">
        <v>0.83399999999999996</v>
      </c>
      <c r="EJ4" s="229">
        <v>0.50880000000000003</v>
      </c>
      <c r="EK4" s="228">
        <v>826.79</v>
      </c>
      <c r="EL4" s="228">
        <v>347.56</v>
      </c>
      <c r="EM4" s="228">
        <v>181.83</v>
      </c>
      <c r="EN4" s="228">
        <v>23.68</v>
      </c>
      <c r="EO4" s="231">
        <v>1356.18</v>
      </c>
      <c r="EP4" s="231">
        <v>2555.19</v>
      </c>
      <c r="EQ4" s="231">
        <v>-1199</v>
      </c>
      <c r="ER4" s="229">
        <v>-0.46920000000000001</v>
      </c>
      <c r="ES4" s="228">
        <v>491.68</v>
      </c>
      <c r="ET4" s="228">
        <v>301.97000000000003</v>
      </c>
      <c r="EU4" s="231">
        <v>1439.12</v>
      </c>
      <c r="EV4" s="231">
        <v>123369777</v>
      </c>
      <c r="EW4" s="231">
        <v>2232.7800000000002</v>
      </c>
      <c r="EX4" s="231">
        <v>2371.4899999999998</v>
      </c>
      <c r="EY4" s="228">
        <v>-138.71</v>
      </c>
      <c r="EZ4" s="229">
        <v>-5.8500000000000003E-2</v>
      </c>
      <c r="FA4" s="229">
        <v>0.53510000000000002</v>
      </c>
      <c r="FB4" s="227" t="s">
        <v>693</v>
      </c>
      <c r="FC4">
        <f t="shared" si="0"/>
        <v>37</v>
      </c>
    </row>
    <row r="5" spans="1:159" ht="17.25" thickBot="1" x14ac:dyDescent="0.3">
      <c r="A5" s="226">
        <v>46132</v>
      </c>
      <c r="B5" s="227" t="s">
        <v>161</v>
      </c>
      <c r="C5" s="227" t="s">
        <v>578</v>
      </c>
      <c r="D5" s="228">
        <v>675</v>
      </c>
      <c r="E5" s="228">
        <v>8</v>
      </c>
      <c r="F5" s="231">
        <v>1258.3</v>
      </c>
      <c r="G5" s="231">
        <v>1261.7</v>
      </c>
      <c r="H5" s="228">
        <v>-3.4</v>
      </c>
      <c r="I5" s="229">
        <v>-2.7000000000000001E-3</v>
      </c>
      <c r="J5" s="231">
        <v>1259.4000000000001</v>
      </c>
      <c r="K5" s="231">
        <v>1259.8</v>
      </c>
      <c r="L5" s="228">
        <v>-0.4</v>
      </c>
      <c r="M5" s="229">
        <v>-2.9999999999999997E-4</v>
      </c>
      <c r="N5" s="231">
        <v>1258.3</v>
      </c>
      <c r="O5" s="231">
        <v>1261.7</v>
      </c>
      <c r="P5" s="228">
        <v>-3.4</v>
      </c>
      <c r="Q5" s="229">
        <v>-2.7000000000000001E-3</v>
      </c>
      <c r="R5" s="231">
        <v>1263.5</v>
      </c>
      <c r="S5" s="231">
        <v>1267.7</v>
      </c>
      <c r="T5" s="228">
        <v>-4.2</v>
      </c>
      <c r="U5" s="229">
        <v>-3.3E-3</v>
      </c>
      <c r="V5" s="231">
        <v>1272.4000000000001</v>
      </c>
      <c r="W5" s="231">
        <v>1272.6500000000001</v>
      </c>
      <c r="X5" s="228">
        <v>-0.25</v>
      </c>
      <c r="Y5" s="229">
        <v>-2.0000000000000001E-4</v>
      </c>
      <c r="Z5" s="228">
        <v>-1.1000000000000001</v>
      </c>
      <c r="AA5" s="228">
        <v>1.9</v>
      </c>
      <c r="AB5" s="228">
        <v>-3</v>
      </c>
      <c r="AC5" s="229">
        <v>-8.9999999999999998E-4</v>
      </c>
      <c r="AD5" s="228">
        <v>-1.1000000000000001</v>
      </c>
      <c r="AE5" s="228">
        <v>1.9</v>
      </c>
      <c r="AF5" s="228">
        <v>-3</v>
      </c>
      <c r="AG5" s="229">
        <v>-8.9999999999999998E-4</v>
      </c>
      <c r="AH5" s="228">
        <v>4.0999999999999996</v>
      </c>
      <c r="AI5" s="228">
        <v>7.9</v>
      </c>
      <c r="AJ5" s="228">
        <v>-3.8</v>
      </c>
      <c r="AK5" s="229">
        <v>3.3E-3</v>
      </c>
      <c r="AL5" s="228">
        <v>13</v>
      </c>
      <c r="AM5" s="228">
        <v>12.85</v>
      </c>
      <c r="AN5" s="228">
        <v>0.15</v>
      </c>
      <c r="AO5" s="229">
        <v>1.03E-2</v>
      </c>
      <c r="AP5" s="231">
        <v>1265.07</v>
      </c>
      <c r="AQ5" s="231">
        <v>1274.1199999999999</v>
      </c>
      <c r="AR5" s="228">
        <v>0</v>
      </c>
      <c r="AS5" s="228">
        <v>361</v>
      </c>
      <c r="AT5" s="228">
        <v>832</v>
      </c>
      <c r="AU5" s="228">
        <v>-471</v>
      </c>
      <c r="AV5" s="229">
        <v>-0.56589999999999996</v>
      </c>
      <c r="AW5" s="228">
        <v>335</v>
      </c>
      <c r="AX5" s="228">
        <v>793</v>
      </c>
      <c r="AY5" s="228">
        <v>-458</v>
      </c>
      <c r="AZ5" s="229">
        <v>-0.57799999999999996</v>
      </c>
      <c r="BA5" s="228">
        <v>25</v>
      </c>
      <c r="BB5" s="228">
        <v>37</v>
      </c>
      <c r="BC5" s="228">
        <v>-12</v>
      </c>
      <c r="BD5" s="229">
        <v>-0.33100000000000002</v>
      </c>
      <c r="BE5" s="228">
        <v>2</v>
      </c>
      <c r="BF5" s="228">
        <v>2</v>
      </c>
      <c r="BG5" s="228">
        <v>0</v>
      </c>
      <c r="BH5" s="229">
        <v>-0.17860000000000001</v>
      </c>
      <c r="BI5" s="230">
        <v>1180</v>
      </c>
      <c r="BJ5" s="230">
        <v>1600</v>
      </c>
      <c r="BK5" s="228">
        <v>-420</v>
      </c>
      <c r="BL5" s="229">
        <v>-0.26240000000000002</v>
      </c>
      <c r="BM5" s="228">
        <v>453</v>
      </c>
      <c r="BN5" s="228">
        <v>880</v>
      </c>
      <c r="BO5" s="228">
        <v>-428</v>
      </c>
      <c r="BP5" s="229">
        <v>-0.4859</v>
      </c>
      <c r="BQ5" s="230">
        <v>1994</v>
      </c>
      <c r="BR5" s="230">
        <v>3313</v>
      </c>
      <c r="BS5" s="230">
        <v>-1319</v>
      </c>
      <c r="BT5" s="229">
        <v>-0.39800000000000002</v>
      </c>
      <c r="BU5" s="230">
        <v>2442352</v>
      </c>
      <c r="BV5" s="230">
        <v>5133355</v>
      </c>
      <c r="BW5" s="230">
        <v>-2691003</v>
      </c>
      <c r="BX5" s="229">
        <v>-0.5242</v>
      </c>
      <c r="BY5" s="230">
        <v>2825</v>
      </c>
      <c r="BZ5" s="230">
        <v>2922</v>
      </c>
      <c r="CA5" s="228">
        <v>-97</v>
      </c>
      <c r="CB5" s="229">
        <v>-3.32E-2</v>
      </c>
      <c r="CC5" s="230">
        <v>2412</v>
      </c>
      <c r="CD5" s="230">
        <v>2513</v>
      </c>
      <c r="CE5" s="228">
        <v>-101</v>
      </c>
      <c r="CF5" s="229">
        <v>-0.04</v>
      </c>
      <c r="CG5" s="228">
        <v>409</v>
      </c>
      <c r="CH5" s="228">
        <v>405</v>
      </c>
      <c r="CI5" s="228">
        <v>4</v>
      </c>
      <c r="CJ5" s="229">
        <v>8.8000000000000005E-3</v>
      </c>
      <c r="CK5" s="228">
        <v>4</v>
      </c>
      <c r="CL5" s="228">
        <v>4</v>
      </c>
      <c r="CM5" s="228">
        <v>0</v>
      </c>
      <c r="CN5" s="229">
        <v>2.1700000000000001E-2</v>
      </c>
      <c r="CO5" s="228">
        <v>538</v>
      </c>
      <c r="CP5" s="228">
        <v>503</v>
      </c>
      <c r="CQ5" s="228">
        <v>35</v>
      </c>
      <c r="CR5" s="229">
        <v>7.0099999999999996E-2</v>
      </c>
      <c r="CS5" s="228">
        <v>343</v>
      </c>
      <c r="CT5" s="228">
        <v>345</v>
      </c>
      <c r="CU5" s="228">
        <v>-2</v>
      </c>
      <c r="CV5" s="229">
        <v>-5.1999999999999998E-3</v>
      </c>
      <c r="CW5" s="230">
        <v>3707</v>
      </c>
      <c r="CX5" s="230">
        <v>3771</v>
      </c>
      <c r="CY5" s="228">
        <v>-63</v>
      </c>
      <c r="CZ5" s="229">
        <v>-1.6799999999999999E-2</v>
      </c>
      <c r="DA5" s="228">
        <v>55.23</v>
      </c>
      <c r="DB5" s="228">
        <v>49.08</v>
      </c>
      <c r="DC5" s="228">
        <v>6.15</v>
      </c>
      <c r="DD5" s="228">
        <v>6.15</v>
      </c>
      <c r="DE5" s="228">
        <v>55.67</v>
      </c>
      <c r="DF5" s="228">
        <v>55.81</v>
      </c>
      <c r="DG5" s="228">
        <v>-0.44</v>
      </c>
      <c r="DH5" s="228">
        <v>-0.14000000000000001</v>
      </c>
      <c r="DI5" s="228">
        <v>55.51</v>
      </c>
      <c r="DJ5" s="228">
        <v>47.23</v>
      </c>
      <c r="DK5" s="228">
        <v>8.2799999999999994</v>
      </c>
      <c r="DL5" s="228">
        <v>8.2799999999999994</v>
      </c>
      <c r="DM5" s="228">
        <v>54.49</v>
      </c>
      <c r="DN5" s="228">
        <v>52.43</v>
      </c>
      <c r="DO5" s="228">
        <v>2.06</v>
      </c>
      <c r="DP5" s="228">
        <v>2.06</v>
      </c>
      <c r="DQ5" s="228">
        <v>0.64</v>
      </c>
      <c r="DR5" s="228">
        <v>0.69</v>
      </c>
      <c r="DS5" s="228">
        <v>-0.05</v>
      </c>
      <c r="DT5" s="229">
        <v>-7.2499999999999995E-2</v>
      </c>
      <c r="DU5" s="231">
        <v>1200</v>
      </c>
      <c r="DV5" s="231">
        <v>1200</v>
      </c>
      <c r="DW5" s="228">
        <v>0.38</v>
      </c>
      <c r="DX5" s="228">
        <v>0.55000000000000004</v>
      </c>
      <c r="DY5" s="228">
        <v>-0.17</v>
      </c>
      <c r="DZ5" s="229">
        <v>-0.30909999999999999</v>
      </c>
      <c r="EA5" s="229">
        <v>0.1462</v>
      </c>
      <c r="EB5" s="230">
        <v>3253500</v>
      </c>
      <c r="EC5" s="229">
        <v>4.1000000000000003E-3</v>
      </c>
      <c r="ED5" s="229">
        <v>0.1462</v>
      </c>
      <c r="EE5" s="228">
        <v>9.0500000000000007</v>
      </c>
      <c r="EF5" s="229">
        <v>7.1999999999999998E-3</v>
      </c>
      <c r="EG5" s="230">
        <v>845670</v>
      </c>
      <c r="EH5" s="230">
        <v>2719746</v>
      </c>
      <c r="EI5" s="229">
        <v>-0.68910000000000005</v>
      </c>
      <c r="EJ5" s="229">
        <v>0.3463</v>
      </c>
      <c r="EK5" s="231">
        <v>1264.22</v>
      </c>
      <c r="EL5" s="228">
        <v>441.86</v>
      </c>
      <c r="EM5" s="228">
        <v>363.29</v>
      </c>
      <c r="EN5" s="228">
        <v>61.28</v>
      </c>
      <c r="EO5" s="231">
        <v>2069.36</v>
      </c>
      <c r="EP5" s="231">
        <v>3326.75</v>
      </c>
      <c r="EQ5" s="231">
        <v>-1257.3900000000001</v>
      </c>
      <c r="ER5" s="229">
        <v>-0.378</v>
      </c>
      <c r="ES5" s="228">
        <v>500.71</v>
      </c>
      <c r="ET5" s="228">
        <v>295.89999999999998</v>
      </c>
      <c r="EU5" s="231">
        <v>2827.19</v>
      </c>
      <c r="EV5" s="231">
        <v>35196587</v>
      </c>
      <c r="EW5" s="231">
        <v>3623.8</v>
      </c>
      <c r="EX5" s="231">
        <v>3688.88</v>
      </c>
      <c r="EY5" s="228">
        <v>-65.08</v>
      </c>
      <c r="EZ5" s="229">
        <v>-1.7600000000000001E-2</v>
      </c>
      <c r="FA5" s="229">
        <v>0.83699999999999997</v>
      </c>
      <c r="FB5" s="227" t="s">
        <v>567</v>
      </c>
      <c r="FC5">
        <f t="shared" si="0"/>
        <v>413</v>
      </c>
    </row>
    <row r="6" spans="1:159" ht="17.25" thickBot="1" x14ac:dyDescent="0.3">
      <c r="A6" s="226">
        <v>46132</v>
      </c>
      <c r="B6" s="227" t="s">
        <v>215</v>
      </c>
      <c r="C6" s="227" t="s">
        <v>159</v>
      </c>
      <c r="D6" s="228">
        <v>309</v>
      </c>
      <c r="E6" s="228">
        <v>8</v>
      </c>
      <c r="F6" s="231">
        <v>2230.5</v>
      </c>
      <c r="G6" s="231">
        <v>2224.9</v>
      </c>
      <c r="H6" s="228">
        <v>5.6</v>
      </c>
      <c r="I6" s="229">
        <v>2.5000000000000001E-3</v>
      </c>
      <c r="J6" s="231">
        <v>2229.6</v>
      </c>
      <c r="K6" s="231">
        <v>2218.3000000000002</v>
      </c>
      <c r="L6" s="228">
        <v>11.3</v>
      </c>
      <c r="M6" s="229">
        <v>5.1000000000000004E-3</v>
      </c>
      <c r="N6" s="231">
        <v>2230.5</v>
      </c>
      <c r="O6" s="231">
        <v>2224.9</v>
      </c>
      <c r="P6" s="228">
        <v>5.6</v>
      </c>
      <c r="Q6" s="229">
        <v>2.5000000000000001E-3</v>
      </c>
      <c r="R6" s="231">
        <v>2243.6</v>
      </c>
      <c r="S6" s="231">
        <v>2237.6999999999998</v>
      </c>
      <c r="T6" s="228">
        <v>5.9</v>
      </c>
      <c r="U6" s="229">
        <v>2.5999999999999999E-3</v>
      </c>
      <c r="V6" s="231">
        <v>2257.3000000000002</v>
      </c>
      <c r="W6" s="231">
        <v>2249.9</v>
      </c>
      <c r="X6" s="228">
        <v>7.4</v>
      </c>
      <c r="Y6" s="229">
        <v>3.3E-3</v>
      </c>
      <c r="Z6" s="228">
        <v>0.9</v>
      </c>
      <c r="AA6" s="228">
        <v>6.6</v>
      </c>
      <c r="AB6" s="228">
        <v>-5.7</v>
      </c>
      <c r="AC6" s="229">
        <v>4.0000000000000002E-4</v>
      </c>
      <c r="AD6" s="228">
        <v>0.9</v>
      </c>
      <c r="AE6" s="228">
        <v>6.6</v>
      </c>
      <c r="AF6" s="228">
        <v>-5.7</v>
      </c>
      <c r="AG6" s="229">
        <v>4.0000000000000002E-4</v>
      </c>
      <c r="AH6" s="228">
        <v>14</v>
      </c>
      <c r="AI6" s="228">
        <v>19.399999999999999</v>
      </c>
      <c r="AJ6" s="228">
        <v>-5.4</v>
      </c>
      <c r="AK6" s="229">
        <v>6.3E-3</v>
      </c>
      <c r="AL6" s="228">
        <v>27.7</v>
      </c>
      <c r="AM6" s="228">
        <v>31.6</v>
      </c>
      <c r="AN6" s="228">
        <v>-3.9</v>
      </c>
      <c r="AO6" s="229">
        <v>1.24E-2</v>
      </c>
      <c r="AP6" s="231">
        <v>2248.11</v>
      </c>
      <c r="AQ6" s="231">
        <v>2256.9</v>
      </c>
      <c r="AR6" s="228">
        <v>0</v>
      </c>
      <c r="AS6" s="228">
        <v>764</v>
      </c>
      <c r="AT6" s="228">
        <v>766</v>
      </c>
      <c r="AU6" s="228">
        <v>-2</v>
      </c>
      <c r="AV6" s="229">
        <v>-2E-3</v>
      </c>
      <c r="AW6" s="228">
        <v>588</v>
      </c>
      <c r="AX6" s="228">
        <v>627</v>
      </c>
      <c r="AY6" s="228">
        <v>-38</v>
      </c>
      <c r="AZ6" s="229">
        <v>-6.13E-2</v>
      </c>
      <c r="BA6" s="228">
        <v>166</v>
      </c>
      <c r="BB6" s="228">
        <v>129</v>
      </c>
      <c r="BC6" s="228">
        <v>37</v>
      </c>
      <c r="BD6" s="229">
        <v>0.28560000000000002</v>
      </c>
      <c r="BE6" s="228">
        <v>10</v>
      </c>
      <c r="BF6" s="228">
        <v>10</v>
      </c>
      <c r="BG6" s="228">
        <v>0</v>
      </c>
      <c r="BH6" s="229">
        <v>0</v>
      </c>
      <c r="BI6" s="230">
        <v>3200</v>
      </c>
      <c r="BJ6" s="230">
        <v>3162</v>
      </c>
      <c r="BK6" s="228">
        <v>38</v>
      </c>
      <c r="BL6" s="229">
        <v>1.2200000000000001E-2</v>
      </c>
      <c r="BM6" s="230">
        <v>1656</v>
      </c>
      <c r="BN6" s="230">
        <v>1520</v>
      </c>
      <c r="BO6" s="228">
        <v>136</v>
      </c>
      <c r="BP6" s="229">
        <v>8.9499999999999996E-2</v>
      </c>
      <c r="BQ6" s="230">
        <v>5621</v>
      </c>
      <c r="BR6" s="230">
        <v>5448</v>
      </c>
      <c r="BS6" s="228">
        <v>173</v>
      </c>
      <c r="BT6" s="229">
        <v>3.1800000000000002E-2</v>
      </c>
      <c r="BU6" s="230">
        <v>1970473</v>
      </c>
      <c r="BV6" s="230">
        <v>2625958</v>
      </c>
      <c r="BW6" s="230">
        <v>-655485</v>
      </c>
      <c r="BX6" s="229">
        <v>-0.24959999999999999</v>
      </c>
      <c r="BY6" s="230">
        <v>3852</v>
      </c>
      <c r="BZ6" s="230">
        <v>3861</v>
      </c>
      <c r="CA6" s="228">
        <v>-9</v>
      </c>
      <c r="CB6" s="229">
        <v>-2.3999999999999998E-3</v>
      </c>
      <c r="CC6" s="230">
        <v>3426</v>
      </c>
      <c r="CD6" s="230">
        <v>3496</v>
      </c>
      <c r="CE6" s="228">
        <v>-70</v>
      </c>
      <c r="CF6" s="229">
        <v>-2.01E-2</v>
      </c>
      <c r="CG6" s="228">
        <v>404</v>
      </c>
      <c r="CH6" s="228">
        <v>344</v>
      </c>
      <c r="CI6" s="228">
        <v>60</v>
      </c>
      <c r="CJ6" s="229">
        <v>0.1744</v>
      </c>
      <c r="CK6" s="228">
        <v>22</v>
      </c>
      <c r="CL6" s="228">
        <v>21</v>
      </c>
      <c r="CM6" s="228">
        <v>1</v>
      </c>
      <c r="CN6" s="229">
        <v>4.5499999999999999E-2</v>
      </c>
      <c r="CO6" s="230">
        <v>1616</v>
      </c>
      <c r="CP6" s="230">
        <v>1622</v>
      </c>
      <c r="CQ6" s="228">
        <v>-6</v>
      </c>
      <c r="CR6" s="229">
        <v>-3.5000000000000001E-3</v>
      </c>
      <c r="CS6" s="230">
        <v>1618</v>
      </c>
      <c r="CT6" s="230">
        <v>1518</v>
      </c>
      <c r="CU6" s="228">
        <v>100</v>
      </c>
      <c r="CV6" s="229">
        <v>6.5600000000000006E-2</v>
      </c>
      <c r="CW6" s="230">
        <v>7087</v>
      </c>
      <c r="CX6" s="230">
        <v>7002</v>
      </c>
      <c r="CY6" s="228">
        <v>85</v>
      </c>
      <c r="CZ6" s="229">
        <v>1.21E-2</v>
      </c>
      <c r="DA6" s="228">
        <v>42.31</v>
      </c>
      <c r="DB6" s="228">
        <v>40.03</v>
      </c>
      <c r="DC6" s="228">
        <v>2.2799999999999998</v>
      </c>
      <c r="DD6" s="228">
        <v>2.2799999999999998</v>
      </c>
      <c r="DE6" s="228">
        <v>49.51</v>
      </c>
      <c r="DF6" s="228">
        <v>49.63</v>
      </c>
      <c r="DG6" s="228">
        <v>-7.2</v>
      </c>
      <c r="DH6" s="228">
        <v>-0.12</v>
      </c>
      <c r="DI6" s="228">
        <v>41.18</v>
      </c>
      <c r="DJ6" s="228">
        <v>38.51</v>
      </c>
      <c r="DK6" s="228">
        <v>2.67</v>
      </c>
      <c r="DL6" s="228">
        <v>2.67</v>
      </c>
      <c r="DM6" s="228">
        <v>44.49</v>
      </c>
      <c r="DN6" s="228">
        <v>43.19</v>
      </c>
      <c r="DO6" s="228">
        <v>1.3</v>
      </c>
      <c r="DP6" s="228">
        <v>1.3</v>
      </c>
      <c r="DQ6" s="228">
        <v>1</v>
      </c>
      <c r="DR6" s="228">
        <v>0.94</v>
      </c>
      <c r="DS6" s="228">
        <v>0.06</v>
      </c>
      <c r="DT6" s="229">
        <v>6.3799999999999996E-2</v>
      </c>
      <c r="DU6" s="231">
        <v>2200</v>
      </c>
      <c r="DV6" s="231">
        <v>2200</v>
      </c>
      <c r="DW6" s="228">
        <v>0.52</v>
      </c>
      <c r="DX6" s="228">
        <v>0.48</v>
      </c>
      <c r="DY6" s="228">
        <v>0.04</v>
      </c>
      <c r="DZ6" s="229">
        <v>8.3299999999999999E-2</v>
      </c>
      <c r="EA6" s="229">
        <v>0.11070000000000001</v>
      </c>
      <c r="EB6" s="230">
        <v>1638627</v>
      </c>
      <c r="EC6" s="229">
        <v>5.8999999999999999E-3</v>
      </c>
      <c r="ED6" s="229">
        <v>0.11070000000000001</v>
      </c>
      <c r="EE6" s="228">
        <v>8.7899999999999991</v>
      </c>
      <c r="EF6" s="229">
        <v>3.8999999999999998E-3</v>
      </c>
      <c r="EG6" s="230">
        <v>614224</v>
      </c>
      <c r="EH6" s="230">
        <v>651709</v>
      </c>
      <c r="EI6" s="229">
        <v>-5.7500000000000002E-2</v>
      </c>
      <c r="EJ6" s="229">
        <v>0.31169999999999998</v>
      </c>
      <c r="EK6" s="231">
        <v>3367.5</v>
      </c>
      <c r="EL6" s="231">
        <v>1623.58</v>
      </c>
      <c r="EM6" s="228">
        <v>771.15</v>
      </c>
      <c r="EN6" s="228">
        <v>108.4</v>
      </c>
      <c r="EO6" s="231">
        <v>5762.22</v>
      </c>
      <c r="EP6" s="231">
        <v>5506.59</v>
      </c>
      <c r="EQ6" s="228">
        <v>255.64</v>
      </c>
      <c r="ER6" s="229">
        <v>4.6399999999999997E-2</v>
      </c>
      <c r="ES6" s="231">
        <v>1552.46</v>
      </c>
      <c r="ET6" s="231">
        <v>1473.27</v>
      </c>
      <c r="EU6" s="231">
        <v>3854.72</v>
      </c>
      <c r="EV6" s="231">
        <v>33645895</v>
      </c>
      <c r="EW6" s="231">
        <v>6880.44</v>
      </c>
      <c r="EX6" s="231">
        <v>6775.37</v>
      </c>
      <c r="EY6" s="228">
        <v>105.07</v>
      </c>
      <c r="EZ6" s="229">
        <v>1.55E-2</v>
      </c>
      <c r="FA6" s="229">
        <v>0.94430000000000003</v>
      </c>
      <c r="FB6" s="227" t="s">
        <v>693</v>
      </c>
      <c r="FC6">
        <f t="shared" si="0"/>
        <v>426</v>
      </c>
    </row>
    <row r="7" spans="1:159" ht="17.25" thickBot="1" x14ac:dyDescent="0.3">
      <c r="A7" s="226">
        <v>46132</v>
      </c>
      <c r="B7" s="227" t="s">
        <v>161</v>
      </c>
      <c r="C7" s="227" t="s">
        <v>605</v>
      </c>
      <c r="D7" s="228">
        <v>600</v>
      </c>
      <c r="E7" s="228">
        <v>8</v>
      </c>
      <c r="F7" s="231">
        <v>1154.5</v>
      </c>
      <c r="G7" s="231">
        <v>1129.1500000000001</v>
      </c>
      <c r="H7" s="228">
        <v>25.35</v>
      </c>
      <c r="I7" s="229">
        <v>2.2499999999999999E-2</v>
      </c>
      <c r="J7" s="231">
        <v>1152.7</v>
      </c>
      <c r="K7" s="231">
        <v>1127.3</v>
      </c>
      <c r="L7" s="228">
        <v>25.4</v>
      </c>
      <c r="M7" s="229">
        <v>2.2499999999999999E-2</v>
      </c>
      <c r="N7" s="231">
        <v>1154.5</v>
      </c>
      <c r="O7" s="231">
        <v>1129.1500000000001</v>
      </c>
      <c r="P7" s="228">
        <v>25.35</v>
      </c>
      <c r="Q7" s="229">
        <v>2.2499999999999999E-2</v>
      </c>
      <c r="R7" s="231">
        <v>1159.5</v>
      </c>
      <c r="S7" s="231">
        <v>1135.45</v>
      </c>
      <c r="T7" s="228">
        <v>24.05</v>
      </c>
      <c r="U7" s="229">
        <v>2.12E-2</v>
      </c>
      <c r="V7" s="231">
        <v>1165.7</v>
      </c>
      <c r="W7" s="231">
        <v>1140</v>
      </c>
      <c r="X7" s="228">
        <v>25.7</v>
      </c>
      <c r="Y7" s="229">
        <v>2.2499999999999999E-2</v>
      </c>
      <c r="Z7" s="228">
        <v>1.8</v>
      </c>
      <c r="AA7" s="228">
        <v>1.85</v>
      </c>
      <c r="AB7" s="228">
        <v>-0.05</v>
      </c>
      <c r="AC7" s="229">
        <v>1.6000000000000001E-3</v>
      </c>
      <c r="AD7" s="228">
        <v>1.8</v>
      </c>
      <c r="AE7" s="228">
        <v>1.85</v>
      </c>
      <c r="AF7" s="228">
        <v>-0.05</v>
      </c>
      <c r="AG7" s="229">
        <v>1.6000000000000001E-3</v>
      </c>
      <c r="AH7" s="228">
        <v>6.8</v>
      </c>
      <c r="AI7" s="228">
        <v>8.15</v>
      </c>
      <c r="AJ7" s="228">
        <v>-1.35</v>
      </c>
      <c r="AK7" s="229">
        <v>5.8999999999999999E-3</v>
      </c>
      <c r="AL7" s="228">
        <v>13</v>
      </c>
      <c r="AM7" s="228">
        <v>12.7</v>
      </c>
      <c r="AN7" s="228">
        <v>0.3</v>
      </c>
      <c r="AO7" s="229">
        <v>1.1299999999999999E-2</v>
      </c>
      <c r="AP7" s="231">
        <v>1160.1400000000001</v>
      </c>
      <c r="AQ7" s="231">
        <v>1167.1099999999999</v>
      </c>
      <c r="AR7" s="228">
        <v>0</v>
      </c>
      <c r="AS7" s="228">
        <v>694</v>
      </c>
      <c r="AT7" s="228">
        <v>433</v>
      </c>
      <c r="AU7" s="228">
        <v>261</v>
      </c>
      <c r="AV7" s="229">
        <v>0.60399999999999998</v>
      </c>
      <c r="AW7" s="228">
        <v>592</v>
      </c>
      <c r="AX7" s="228">
        <v>372</v>
      </c>
      <c r="AY7" s="228">
        <v>220</v>
      </c>
      <c r="AZ7" s="229">
        <v>0.59</v>
      </c>
      <c r="BA7" s="228">
        <v>96</v>
      </c>
      <c r="BB7" s="228">
        <v>55</v>
      </c>
      <c r="BC7" s="228">
        <v>41</v>
      </c>
      <c r="BD7" s="229">
        <v>0.74280000000000002</v>
      </c>
      <c r="BE7" s="228">
        <v>6</v>
      </c>
      <c r="BF7" s="228">
        <v>5</v>
      </c>
      <c r="BG7" s="228">
        <v>1</v>
      </c>
      <c r="BH7" s="229">
        <v>0.1429</v>
      </c>
      <c r="BI7" s="230">
        <v>3565</v>
      </c>
      <c r="BJ7" s="230">
        <v>1573</v>
      </c>
      <c r="BK7" s="230">
        <v>1992</v>
      </c>
      <c r="BL7" s="229">
        <v>1.2665999999999999</v>
      </c>
      <c r="BM7" s="230">
        <v>1522</v>
      </c>
      <c r="BN7" s="228">
        <v>784</v>
      </c>
      <c r="BO7" s="228">
        <v>739</v>
      </c>
      <c r="BP7" s="229">
        <v>0.9425</v>
      </c>
      <c r="BQ7" s="230">
        <v>5782</v>
      </c>
      <c r="BR7" s="230">
        <v>2789</v>
      </c>
      <c r="BS7" s="230">
        <v>2992</v>
      </c>
      <c r="BT7" s="229">
        <v>1.0727</v>
      </c>
      <c r="BU7" s="230">
        <v>8125509</v>
      </c>
      <c r="BV7" s="230">
        <v>6250982</v>
      </c>
      <c r="BW7" s="230">
        <v>1874527</v>
      </c>
      <c r="BX7" s="229">
        <v>0.2999</v>
      </c>
      <c r="BY7" s="230">
        <v>2480</v>
      </c>
      <c r="BZ7" s="230">
        <v>2446</v>
      </c>
      <c r="CA7" s="228">
        <v>34</v>
      </c>
      <c r="CB7" s="229">
        <v>1.38E-2</v>
      </c>
      <c r="CC7" s="230">
        <v>2374</v>
      </c>
      <c r="CD7" s="230">
        <v>2360</v>
      </c>
      <c r="CE7" s="228">
        <v>14</v>
      </c>
      <c r="CF7" s="229">
        <v>6.1000000000000004E-3</v>
      </c>
      <c r="CG7" s="228">
        <v>95</v>
      </c>
      <c r="CH7" s="228">
        <v>77</v>
      </c>
      <c r="CI7" s="228">
        <v>18</v>
      </c>
      <c r="CJ7" s="229">
        <v>0.2336</v>
      </c>
      <c r="CK7" s="228">
        <v>11</v>
      </c>
      <c r="CL7" s="228">
        <v>10</v>
      </c>
      <c r="CM7" s="228">
        <v>1</v>
      </c>
      <c r="CN7" s="229">
        <v>0.1429</v>
      </c>
      <c r="CO7" s="230">
        <v>1066</v>
      </c>
      <c r="CP7" s="228">
        <v>937</v>
      </c>
      <c r="CQ7" s="228">
        <v>129</v>
      </c>
      <c r="CR7" s="229">
        <v>0.1381</v>
      </c>
      <c r="CS7" s="228">
        <v>810</v>
      </c>
      <c r="CT7" s="228">
        <v>789</v>
      </c>
      <c r="CU7" s="228">
        <v>21</v>
      </c>
      <c r="CV7" s="229">
        <v>2.64E-2</v>
      </c>
      <c r="CW7" s="230">
        <v>4357</v>
      </c>
      <c r="CX7" s="230">
        <v>4173</v>
      </c>
      <c r="CY7" s="228">
        <v>184</v>
      </c>
      <c r="CZ7" s="229">
        <v>4.41E-2</v>
      </c>
      <c r="DA7" s="228">
        <v>53.56</v>
      </c>
      <c r="DB7" s="228">
        <v>48.08</v>
      </c>
      <c r="DC7" s="228">
        <v>5.48</v>
      </c>
      <c r="DD7" s="228">
        <v>5.48</v>
      </c>
      <c r="DE7" s="228">
        <v>59.22</v>
      </c>
      <c r="DF7" s="228">
        <v>59.29</v>
      </c>
      <c r="DG7" s="228">
        <v>-5.66</v>
      </c>
      <c r="DH7" s="228">
        <v>-7.0000000000000007E-2</v>
      </c>
      <c r="DI7" s="228">
        <v>52.6</v>
      </c>
      <c r="DJ7" s="228">
        <v>46.58</v>
      </c>
      <c r="DK7" s="228">
        <v>6.02</v>
      </c>
      <c r="DL7" s="228">
        <v>6.02</v>
      </c>
      <c r="DM7" s="228">
        <v>55.81</v>
      </c>
      <c r="DN7" s="228">
        <v>51.09</v>
      </c>
      <c r="DO7" s="228">
        <v>4.72</v>
      </c>
      <c r="DP7" s="228">
        <v>4.72</v>
      </c>
      <c r="DQ7" s="228">
        <v>0.76</v>
      </c>
      <c r="DR7" s="228">
        <v>0.84</v>
      </c>
      <c r="DS7" s="228">
        <v>-0.08</v>
      </c>
      <c r="DT7" s="229">
        <v>-9.5200000000000007E-2</v>
      </c>
      <c r="DU7" s="231">
        <v>1200</v>
      </c>
      <c r="DV7" s="231">
        <v>1000</v>
      </c>
      <c r="DW7" s="228">
        <v>0.43</v>
      </c>
      <c r="DX7" s="228">
        <v>0.5</v>
      </c>
      <c r="DY7" s="228">
        <v>-7.0000000000000007E-2</v>
      </c>
      <c r="DZ7" s="229">
        <v>-0.14000000000000001</v>
      </c>
      <c r="EA7" s="229">
        <v>4.2799999999999998E-2</v>
      </c>
      <c r="EB7" s="230">
        <v>751800</v>
      </c>
      <c r="EC7" s="229">
        <v>4.3E-3</v>
      </c>
      <c r="ED7" s="229">
        <v>4.2799999999999998E-2</v>
      </c>
      <c r="EE7" s="228">
        <v>6.97</v>
      </c>
      <c r="EF7" s="229">
        <v>6.0000000000000001E-3</v>
      </c>
      <c r="EG7" s="230">
        <v>1957240</v>
      </c>
      <c r="EH7" s="230">
        <v>1893136</v>
      </c>
      <c r="EI7" s="229">
        <v>3.39E-2</v>
      </c>
      <c r="EJ7" s="229">
        <v>0.2409</v>
      </c>
      <c r="EK7" s="231">
        <v>3748.69</v>
      </c>
      <c r="EL7" s="231">
        <v>1486.19</v>
      </c>
      <c r="EM7" s="228">
        <v>698.48</v>
      </c>
      <c r="EN7" s="228">
        <v>57.76</v>
      </c>
      <c r="EO7" s="231">
        <v>5933.36</v>
      </c>
      <c r="EP7" s="231">
        <v>2769.26</v>
      </c>
      <c r="EQ7" s="231">
        <v>3164.1</v>
      </c>
      <c r="ER7" s="229">
        <v>1.1426000000000001</v>
      </c>
      <c r="ES7" s="228">
        <v>994.6</v>
      </c>
      <c r="ET7" s="228">
        <v>708.14</v>
      </c>
      <c r="EU7" s="231">
        <v>2480.73</v>
      </c>
      <c r="EV7" s="231">
        <v>64724093</v>
      </c>
      <c r="EW7" s="231">
        <v>4183.47</v>
      </c>
      <c r="EX7" s="231">
        <v>3924.51</v>
      </c>
      <c r="EY7" s="228">
        <v>258.95999999999998</v>
      </c>
      <c r="EZ7" s="229">
        <v>6.6000000000000003E-2</v>
      </c>
      <c r="FA7" s="229">
        <v>0.58299999999999996</v>
      </c>
      <c r="FB7" s="227" t="s">
        <v>555</v>
      </c>
      <c r="FC7">
        <f t="shared" si="0"/>
        <v>106</v>
      </c>
    </row>
    <row r="8" spans="1:159" ht="17.25" thickBot="1" x14ac:dyDescent="0.3">
      <c r="A8" s="226">
        <v>46132</v>
      </c>
      <c r="B8" s="227" t="s">
        <v>215</v>
      </c>
      <c r="C8" s="227" t="s">
        <v>160</v>
      </c>
      <c r="D8" s="228">
        <v>475</v>
      </c>
      <c r="E8" s="228">
        <v>8</v>
      </c>
      <c r="F8" s="231">
        <v>1581.1</v>
      </c>
      <c r="G8" s="231">
        <v>1573.2</v>
      </c>
      <c r="H8" s="228">
        <v>7.9</v>
      </c>
      <c r="I8" s="229">
        <v>5.0000000000000001E-3</v>
      </c>
      <c r="J8" s="231">
        <v>1578.4</v>
      </c>
      <c r="K8" s="231">
        <v>1573.4</v>
      </c>
      <c r="L8" s="228">
        <v>5</v>
      </c>
      <c r="M8" s="229">
        <v>3.2000000000000002E-3</v>
      </c>
      <c r="N8" s="231">
        <v>1581.1</v>
      </c>
      <c r="O8" s="231">
        <v>1573.2</v>
      </c>
      <c r="P8" s="228">
        <v>7.9</v>
      </c>
      <c r="Q8" s="229">
        <v>5.0000000000000001E-3</v>
      </c>
      <c r="R8" s="231">
        <v>1589</v>
      </c>
      <c r="S8" s="231">
        <v>1582.3</v>
      </c>
      <c r="T8" s="228">
        <v>6.7</v>
      </c>
      <c r="U8" s="229">
        <v>4.1999999999999997E-3</v>
      </c>
      <c r="V8" s="231">
        <v>1591.2</v>
      </c>
      <c r="W8" s="231">
        <v>1585</v>
      </c>
      <c r="X8" s="228">
        <v>6.2</v>
      </c>
      <c r="Y8" s="229">
        <v>3.8999999999999998E-3</v>
      </c>
      <c r="Z8" s="228">
        <v>2.7</v>
      </c>
      <c r="AA8" s="228">
        <v>-0.2</v>
      </c>
      <c r="AB8" s="228">
        <v>2.9</v>
      </c>
      <c r="AC8" s="229">
        <v>1.6999999999999999E-3</v>
      </c>
      <c r="AD8" s="228">
        <v>2.7</v>
      </c>
      <c r="AE8" s="228">
        <v>-0.2</v>
      </c>
      <c r="AF8" s="228">
        <v>2.9</v>
      </c>
      <c r="AG8" s="229">
        <v>1.6999999999999999E-3</v>
      </c>
      <c r="AH8" s="228">
        <v>10.6</v>
      </c>
      <c r="AI8" s="228">
        <v>8.9</v>
      </c>
      <c r="AJ8" s="228">
        <v>1.7</v>
      </c>
      <c r="AK8" s="229">
        <v>6.7000000000000002E-3</v>
      </c>
      <c r="AL8" s="228">
        <v>12.8</v>
      </c>
      <c r="AM8" s="228">
        <v>11.6</v>
      </c>
      <c r="AN8" s="228">
        <v>1.2</v>
      </c>
      <c r="AO8" s="229">
        <v>8.0999999999999996E-3</v>
      </c>
      <c r="AP8" s="231">
        <v>1586.8</v>
      </c>
      <c r="AQ8" s="231">
        <v>1594.85</v>
      </c>
      <c r="AR8" s="228">
        <v>0</v>
      </c>
      <c r="AS8" s="228">
        <v>562</v>
      </c>
      <c r="AT8" s="228">
        <v>631</v>
      </c>
      <c r="AU8" s="228">
        <v>-69</v>
      </c>
      <c r="AV8" s="229">
        <v>-0.1087</v>
      </c>
      <c r="AW8" s="228">
        <v>460</v>
      </c>
      <c r="AX8" s="228">
        <v>566</v>
      </c>
      <c r="AY8" s="228">
        <v>-107</v>
      </c>
      <c r="AZ8" s="229">
        <v>-0.18820000000000001</v>
      </c>
      <c r="BA8" s="228">
        <v>92</v>
      </c>
      <c r="BB8" s="228">
        <v>56</v>
      </c>
      <c r="BC8" s="228">
        <v>36</v>
      </c>
      <c r="BD8" s="229">
        <v>0.64859999999999995</v>
      </c>
      <c r="BE8" s="228">
        <v>11</v>
      </c>
      <c r="BF8" s="228">
        <v>9</v>
      </c>
      <c r="BG8" s="228">
        <v>2</v>
      </c>
      <c r="BH8" s="229">
        <v>0.22220000000000001</v>
      </c>
      <c r="BI8" s="230">
        <v>2747</v>
      </c>
      <c r="BJ8" s="230">
        <v>3992</v>
      </c>
      <c r="BK8" s="230">
        <v>-1245</v>
      </c>
      <c r="BL8" s="229">
        <v>-0.31190000000000001</v>
      </c>
      <c r="BM8" s="230">
        <v>1591</v>
      </c>
      <c r="BN8" s="230">
        <v>1920</v>
      </c>
      <c r="BO8" s="228">
        <v>-329</v>
      </c>
      <c r="BP8" s="229">
        <v>-0.17150000000000001</v>
      </c>
      <c r="BQ8" s="230">
        <v>4899</v>
      </c>
      <c r="BR8" s="230">
        <v>6542</v>
      </c>
      <c r="BS8" s="230">
        <v>-1643</v>
      </c>
      <c r="BT8" s="229">
        <v>-0.25109999999999999</v>
      </c>
      <c r="BU8" s="230">
        <v>3162693</v>
      </c>
      <c r="BV8" s="230">
        <v>6270922</v>
      </c>
      <c r="BW8" s="230">
        <v>-3108229</v>
      </c>
      <c r="BX8" s="229">
        <v>-0.49569999999999997</v>
      </c>
      <c r="BY8" s="230">
        <v>3114</v>
      </c>
      <c r="BZ8" s="230">
        <v>3138</v>
      </c>
      <c r="CA8" s="228">
        <v>-23</v>
      </c>
      <c r="CB8" s="229">
        <v>-7.4999999999999997E-3</v>
      </c>
      <c r="CC8" s="230">
        <v>2626</v>
      </c>
      <c r="CD8" s="230">
        <v>2677</v>
      </c>
      <c r="CE8" s="228">
        <v>-51</v>
      </c>
      <c r="CF8" s="229">
        <v>-1.9099999999999999E-2</v>
      </c>
      <c r="CG8" s="228">
        <v>465</v>
      </c>
      <c r="CH8" s="228">
        <v>440</v>
      </c>
      <c r="CI8" s="228">
        <v>25</v>
      </c>
      <c r="CJ8" s="229">
        <v>5.67E-2</v>
      </c>
      <c r="CK8" s="228">
        <v>23</v>
      </c>
      <c r="CL8" s="228">
        <v>20</v>
      </c>
      <c r="CM8" s="228">
        <v>3</v>
      </c>
      <c r="CN8" s="229">
        <v>0.14069999999999999</v>
      </c>
      <c r="CO8" s="230">
        <v>1466</v>
      </c>
      <c r="CP8" s="230">
        <v>1488</v>
      </c>
      <c r="CQ8" s="228">
        <v>-22</v>
      </c>
      <c r="CR8" s="229">
        <v>-1.4500000000000001E-2</v>
      </c>
      <c r="CS8" s="230">
        <v>1347</v>
      </c>
      <c r="CT8" s="230">
        <v>1251</v>
      </c>
      <c r="CU8" s="228">
        <v>97</v>
      </c>
      <c r="CV8" s="229">
        <v>7.7299999999999994E-2</v>
      </c>
      <c r="CW8" s="230">
        <v>5928</v>
      </c>
      <c r="CX8" s="230">
        <v>5876</v>
      </c>
      <c r="CY8" s="228">
        <v>52</v>
      </c>
      <c r="CZ8" s="229">
        <v>8.8000000000000005E-3</v>
      </c>
      <c r="DA8" s="228">
        <v>35.619999999999997</v>
      </c>
      <c r="DB8" s="228">
        <v>33.14</v>
      </c>
      <c r="DC8" s="228">
        <v>2.48</v>
      </c>
      <c r="DD8" s="228">
        <v>2.48</v>
      </c>
      <c r="DE8" s="228">
        <v>40.22</v>
      </c>
      <c r="DF8" s="228">
        <v>40.31</v>
      </c>
      <c r="DG8" s="228">
        <v>-4.5999999999999996</v>
      </c>
      <c r="DH8" s="228">
        <v>-0.09</v>
      </c>
      <c r="DI8" s="228">
        <v>34.18</v>
      </c>
      <c r="DJ8" s="228">
        <v>31.94</v>
      </c>
      <c r="DK8" s="228">
        <v>2.2400000000000002</v>
      </c>
      <c r="DL8" s="228">
        <v>2.2400000000000002</v>
      </c>
      <c r="DM8" s="228">
        <v>38.130000000000003</v>
      </c>
      <c r="DN8" s="228">
        <v>35.630000000000003</v>
      </c>
      <c r="DO8" s="228">
        <v>2.5</v>
      </c>
      <c r="DP8" s="228">
        <v>2.5</v>
      </c>
      <c r="DQ8" s="228">
        <v>0.92</v>
      </c>
      <c r="DR8" s="228">
        <v>0.84</v>
      </c>
      <c r="DS8" s="228">
        <v>0.08</v>
      </c>
      <c r="DT8" s="229">
        <v>9.5200000000000007E-2</v>
      </c>
      <c r="DU8" s="231">
        <v>1500</v>
      </c>
      <c r="DV8" s="231">
        <v>1500</v>
      </c>
      <c r="DW8" s="228">
        <v>0.57999999999999996</v>
      </c>
      <c r="DX8" s="228">
        <v>0.48</v>
      </c>
      <c r="DY8" s="228">
        <v>0.1</v>
      </c>
      <c r="DZ8" s="229">
        <v>0.20830000000000001</v>
      </c>
      <c r="EA8" s="229">
        <v>0.15679999999999999</v>
      </c>
      <c r="EB8" s="230">
        <v>2911750</v>
      </c>
      <c r="EC8" s="229">
        <v>5.0000000000000001E-3</v>
      </c>
      <c r="ED8" s="229">
        <v>0.15679999999999999</v>
      </c>
      <c r="EE8" s="228">
        <v>8.0500000000000007</v>
      </c>
      <c r="EF8" s="229">
        <v>5.1000000000000004E-3</v>
      </c>
      <c r="EG8" s="230">
        <v>1408831</v>
      </c>
      <c r="EH8" s="230">
        <v>3966999</v>
      </c>
      <c r="EI8" s="229">
        <v>-0.64490000000000003</v>
      </c>
      <c r="EJ8" s="229">
        <v>0.44550000000000001</v>
      </c>
      <c r="EK8" s="231">
        <v>2864.45</v>
      </c>
      <c r="EL8" s="231">
        <v>1547.87</v>
      </c>
      <c r="EM8" s="228">
        <v>564.54</v>
      </c>
      <c r="EN8" s="228">
        <v>85.17</v>
      </c>
      <c r="EO8" s="231">
        <v>4976.8599999999997</v>
      </c>
      <c r="EP8" s="231">
        <v>6595.08</v>
      </c>
      <c r="EQ8" s="231">
        <v>-1618.22</v>
      </c>
      <c r="ER8" s="229">
        <v>-0.24540000000000001</v>
      </c>
      <c r="ES8" s="231">
        <v>1428.43</v>
      </c>
      <c r="ET8" s="231">
        <v>1230.79</v>
      </c>
      <c r="EU8" s="231">
        <v>3116.59</v>
      </c>
      <c r="EV8" s="231">
        <v>88142691</v>
      </c>
      <c r="EW8" s="231">
        <v>5775.81</v>
      </c>
      <c r="EX8" s="231">
        <v>5697.04</v>
      </c>
      <c r="EY8" s="228">
        <v>78.77</v>
      </c>
      <c r="EZ8" s="229">
        <v>1.38E-2</v>
      </c>
      <c r="FA8" s="229">
        <v>0.42530000000000001</v>
      </c>
      <c r="FB8" s="227" t="s">
        <v>693</v>
      </c>
      <c r="FC8">
        <f t="shared" si="0"/>
        <v>488</v>
      </c>
    </row>
    <row r="9" spans="1:159" ht="17.25" thickBot="1" x14ac:dyDescent="0.3">
      <c r="A9" s="226">
        <v>46132</v>
      </c>
      <c r="B9" s="227" t="s">
        <v>161</v>
      </c>
      <c r="C9" s="227" t="s">
        <v>695</v>
      </c>
      <c r="D9" s="228">
        <v>3550</v>
      </c>
      <c r="E9" s="228">
        <v>8</v>
      </c>
      <c r="F9" s="228">
        <v>200.66</v>
      </c>
      <c r="G9" s="228">
        <v>199.23</v>
      </c>
      <c r="H9" s="228">
        <v>1.43</v>
      </c>
      <c r="I9" s="229">
        <v>7.1999999999999998E-3</v>
      </c>
      <c r="J9" s="228">
        <v>200.83</v>
      </c>
      <c r="K9" s="228">
        <v>198.5</v>
      </c>
      <c r="L9" s="228">
        <v>2.33</v>
      </c>
      <c r="M9" s="229">
        <v>1.17E-2</v>
      </c>
      <c r="N9" s="228">
        <v>200.66</v>
      </c>
      <c r="O9" s="228">
        <v>199.23</v>
      </c>
      <c r="P9" s="228">
        <v>1.43</v>
      </c>
      <c r="Q9" s="229">
        <v>7.1999999999999998E-3</v>
      </c>
      <c r="R9" s="228">
        <v>202.11</v>
      </c>
      <c r="S9" s="228">
        <v>199.81</v>
      </c>
      <c r="T9" s="228">
        <v>2.2999999999999998</v>
      </c>
      <c r="U9" s="229">
        <v>1.15E-2</v>
      </c>
      <c r="V9" s="228">
        <v>203.02</v>
      </c>
      <c r="W9" s="228">
        <v>200.52</v>
      </c>
      <c r="X9" s="228">
        <v>2.5</v>
      </c>
      <c r="Y9" s="229">
        <v>1.2500000000000001E-2</v>
      </c>
      <c r="Z9" s="228">
        <v>-0.17</v>
      </c>
      <c r="AA9" s="228">
        <v>0.73</v>
      </c>
      <c r="AB9" s="228">
        <v>-0.9</v>
      </c>
      <c r="AC9" s="229">
        <v>-8.0000000000000004E-4</v>
      </c>
      <c r="AD9" s="228">
        <v>-0.17</v>
      </c>
      <c r="AE9" s="228">
        <v>0.73</v>
      </c>
      <c r="AF9" s="228">
        <v>-0.9</v>
      </c>
      <c r="AG9" s="229">
        <v>-8.0000000000000004E-4</v>
      </c>
      <c r="AH9" s="228">
        <v>1.28</v>
      </c>
      <c r="AI9" s="228">
        <v>1.31</v>
      </c>
      <c r="AJ9" s="228">
        <v>-0.03</v>
      </c>
      <c r="AK9" s="229">
        <v>6.4000000000000003E-3</v>
      </c>
      <c r="AL9" s="228">
        <v>2.19</v>
      </c>
      <c r="AM9" s="228">
        <v>2.02</v>
      </c>
      <c r="AN9" s="228">
        <v>0.17</v>
      </c>
      <c r="AO9" s="229">
        <v>1.09E-2</v>
      </c>
      <c r="AP9" s="228">
        <v>203.29</v>
      </c>
      <c r="AQ9" s="228">
        <v>204.39</v>
      </c>
      <c r="AR9" s="228">
        <v>0</v>
      </c>
      <c r="AS9" s="228">
        <v>894</v>
      </c>
      <c r="AT9" s="230">
        <v>1263</v>
      </c>
      <c r="AU9" s="228">
        <v>-369</v>
      </c>
      <c r="AV9" s="229">
        <v>-0.29220000000000002</v>
      </c>
      <c r="AW9" s="228">
        <v>668</v>
      </c>
      <c r="AX9" s="230">
        <v>1133</v>
      </c>
      <c r="AY9" s="228">
        <v>-465</v>
      </c>
      <c r="AZ9" s="229">
        <v>-0.4103</v>
      </c>
      <c r="BA9" s="228">
        <v>212</v>
      </c>
      <c r="BB9" s="228">
        <v>119</v>
      </c>
      <c r="BC9" s="228">
        <v>94</v>
      </c>
      <c r="BD9" s="229">
        <v>0.79100000000000004</v>
      </c>
      <c r="BE9" s="228">
        <v>13</v>
      </c>
      <c r="BF9" s="228">
        <v>11</v>
      </c>
      <c r="BG9" s="228">
        <v>2</v>
      </c>
      <c r="BH9" s="229">
        <v>0.1847</v>
      </c>
      <c r="BI9" s="230">
        <v>2951</v>
      </c>
      <c r="BJ9" s="230">
        <v>2606</v>
      </c>
      <c r="BK9" s="228">
        <v>345</v>
      </c>
      <c r="BL9" s="229">
        <v>0.13239999999999999</v>
      </c>
      <c r="BM9" s="228">
        <v>992</v>
      </c>
      <c r="BN9" s="228">
        <v>962</v>
      </c>
      <c r="BO9" s="228">
        <v>31</v>
      </c>
      <c r="BP9" s="229">
        <v>3.2099999999999997E-2</v>
      </c>
      <c r="BQ9" s="230">
        <v>4837</v>
      </c>
      <c r="BR9" s="230">
        <v>4830</v>
      </c>
      <c r="BS9" s="228">
        <v>7</v>
      </c>
      <c r="BT9" s="229">
        <v>1.4E-3</v>
      </c>
      <c r="BU9" s="230">
        <v>85678820</v>
      </c>
      <c r="BV9" s="230">
        <v>98947986</v>
      </c>
      <c r="BW9" s="230">
        <v>-13269166</v>
      </c>
      <c r="BX9" s="229">
        <v>-0.1341</v>
      </c>
      <c r="BY9" s="230">
        <v>1762</v>
      </c>
      <c r="BZ9" s="230">
        <v>1672</v>
      </c>
      <c r="CA9" s="228">
        <v>90</v>
      </c>
      <c r="CB9" s="229">
        <v>5.3800000000000001E-2</v>
      </c>
      <c r="CC9" s="230">
        <v>1551</v>
      </c>
      <c r="CD9" s="230">
        <v>1549</v>
      </c>
      <c r="CE9" s="228">
        <v>2</v>
      </c>
      <c r="CF9" s="229">
        <v>1.5E-3</v>
      </c>
      <c r="CG9" s="228">
        <v>197</v>
      </c>
      <c r="CH9" s="228">
        <v>114</v>
      </c>
      <c r="CI9" s="228">
        <v>84</v>
      </c>
      <c r="CJ9" s="229">
        <v>0.73780000000000001</v>
      </c>
      <c r="CK9" s="228">
        <v>14</v>
      </c>
      <c r="CL9" s="228">
        <v>10</v>
      </c>
      <c r="CM9" s="228">
        <v>4</v>
      </c>
      <c r="CN9" s="229">
        <v>0.39710000000000001</v>
      </c>
      <c r="CO9" s="228">
        <v>715</v>
      </c>
      <c r="CP9" s="228">
        <v>593</v>
      </c>
      <c r="CQ9" s="228">
        <v>122</v>
      </c>
      <c r="CR9" s="229">
        <v>0.2056</v>
      </c>
      <c r="CS9" s="228">
        <v>494</v>
      </c>
      <c r="CT9" s="228">
        <v>440</v>
      </c>
      <c r="CU9" s="228">
        <v>54</v>
      </c>
      <c r="CV9" s="229">
        <v>0.1231</v>
      </c>
      <c r="CW9" s="230">
        <v>2971</v>
      </c>
      <c r="CX9" s="230">
        <v>2705</v>
      </c>
      <c r="CY9" s="228">
        <v>266</v>
      </c>
      <c r="CZ9" s="229">
        <v>9.8299999999999998E-2</v>
      </c>
      <c r="DA9" s="228">
        <v>66.92</v>
      </c>
      <c r="DB9" s="228">
        <v>53.27</v>
      </c>
      <c r="DC9" s="228">
        <v>13.65</v>
      </c>
      <c r="DD9" s="228">
        <v>13.65</v>
      </c>
      <c r="DE9" s="228">
        <v>52.56</v>
      </c>
      <c r="DF9" s="228">
        <v>52.67</v>
      </c>
      <c r="DG9" s="228">
        <v>14.36</v>
      </c>
      <c r="DH9" s="228">
        <v>-0.11</v>
      </c>
      <c r="DI9" s="228">
        <v>67.69</v>
      </c>
      <c r="DJ9" s="228">
        <v>52.55</v>
      </c>
      <c r="DK9" s="228">
        <v>15.14</v>
      </c>
      <c r="DL9" s="228">
        <v>15.14</v>
      </c>
      <c r="DM9" s="228">
        <v>64.63</v>
      </c>
      <c r="DN9" s="228">
        <v>55.23</v>
      </c>
      <c r="DO9" s="228">
        <v>9.4</v>
      </c>
      <c r="DP9" s="228">
        <v>9.4</v>
      </c>
      <c r="DQ9" s="228">
        <v>0.69</v>
      </c>
      <c r="DR9" s="228">
        <v>0.74</v>
      </c>
      <c r="DS9" s="228">
        <v>-0.05</v>
      </c>
      <c r="DT9" s="229">
        <v>-6.7599999999999993E-2</v>
      </c>
      <c r="DU9" s="228">
        <v>210</v>
      </c>
      <c r="DV9" s="228">
        <v>185</v>
      </c>
      <c r="DW9" s="228">
        <v>0.34</v>
      </c>
      <c r="DX9" s="228">
        <v>0.37</v>
      </c>
      <c r="DY9" s="228">
        <v>-0.03</v>
      </c>
      <c r="DZ9" s="229">
        <v>-8.1100000000000005E-2</v>
      </c>
      <c r="EA9" s="229">
        <v>0.1197</v>
      </c>
      <c r="EB9" s="230">
        <v>6141500</v>
      </c>
      <c r="EC9" s="229">
        <v>7.1999999999999998E-3</v>
      </c>
      <c r="ED9" s="229">
        <v>0.1197</v>
      </c>
      <c r="EE9" s="228">
        <v>1.1000000000000001</v>
      </c>
      <c r="EF9" s="229">
        <v>5.4000000000000003E-3</v>
      </c>
      <c r="EG9" s="230">
        <v>17448535</v>
      </c>
      <c r="EH9" s="230">
        <v>26866341</v>
      </c>
      <c r="EI9" s="229">
        <v>-0.35049999999999998</v>
      </c>
      <c r="EJ9" s="229">
        <v>0.20369999999999999</v>
      </c>
      <c r="EK9" s="231">
        <v>3162.95</v>
      </c>
      <c r="EL9" s="228">
        <v>971.19</v>
      </c>
      <c r="EM9" s="228">
        <v>906.99</v>
      </c>
      <c r="EN9" s="228">
        <v>128.19</v>
      </c>
      <c r="EO9" s="231">
        <v>5041.13</v>
      </c>
      <c r="EP9" s="231">
        <v>4827.01</v>
      </c>
      <c r="EQ9" s="228">
        <v>214.12</v>
      </c>
      <c r="ER9" s="229">
        <v>4.4400000000000002E-2</v>
      </c>
      <c r="ES9" s="228">
        <v>698.02</v>
      </c>
      <c r="ET9" s="228">
        <v>443.59</v>
      </c>
      <c r="EU9" s="231">
        <v>1763.49</v>
      </c>
      <c r="EV9" s="231">
        <v>482906787</v>
      </c>
      <c r="EW9" s="231">
        <v>2905.11</v>
      </c>
      <c r="EX9" s="231">
        <v>2610.2399999999998</v>
      </c>
      <c r="EY9" s="228">
        <v>294.87</v>
      </c>
      <c r="EZ9" s="229">
        <v>0.113</v>
      </c>
      <c r="FA9" s="229">
        <v>0.30659999999999998</v>
      </c>
      <c r="FB9" s="227" t="s">
        <v>555</v>
      </c>
      <c r="FC9">
        <f t="shared" si="0"/>
        <v>211</v>
      </c>
    </row>
    <row r="10" spans="1:159" ht="17.25" thickBot="1" x14ac:dyDescent="0.3">
      <c r="A10" s="226">
        <v>46132</v>
      </c>
      <c r="B10" s="227" t="s">
        <v>170</v>
      </c>
      <c r="C10" s="227" t="s">
        <v>497</v>
      </c>
      <c r="D10" s="228">
        <v>125</v>
      </c>
      <c r="E10" s="228">
        <v>8</v>
      </c>
      <c r="F10" s="231">
        <v>5638</v>
      </c>
      <c r="G10" s="231">
        <v>5579</v>
      </c>
      <c r="H10" s="228">
        <v>59</v>
      </c>
      <c r="I10" s="229">
        <v>1.06E-2</v>
      </c>
      <c r="J10" s="231">
        <v>5642</v>
      </c>
      <c r="K10" s="231">
        <v>5582</v>
      </c>
      <c r="L10" s="228">
        <v>60</v>
      </c>
      <c r="M10" s="229">
        <v>1.0699999999999999E-2</v>
      </c>
      <c r="N10" s="231">
        <v>5638</v>
      </c>
      <c r="O10" s="231">
        <v>5579</v>
      </c>
      <c r="P10" s="228">
        <v>59</v>
      </c>
      <c r="Q10" s="229">
        <v>1.06E-2</v>
      </c>
      <c r="R10" s="231">
        <v>5669</v>
      </c>
      <c r="S10" s="231">
        <v>5608.5</v>
      </c>
      <c r="T10" s="228">
        <v>60.5</v>
      </c>
      <c r="U10" s="229">
        <v>1.0800000000000001E-2</v>
      </c>
      <c r="V10" s="231">
        <v>5482</v>
      </c>
      <c r="W10" s="231">
        <v>5482</v>
      </c>
      <c r="X10" s="228">
        <v>0</v>
      </c>
      <c r="Y10" s="229">
        <v>0</v>
      </c>
      <c r="Z10" s="228">
        <v>-4</v>
      </c>
      <c r="AA10" s="228">
        <v>-3</v>
      </c>
      <c r="AB10" s="228">
        <v>-1</v>
      </c>
      <c r="AC10" s="229">
        <v>-6.9999999999999999E-4</v>
      </c>
      <c r="AD10" s="228">
        <v>-4</v>
      </c>
      <c r="AE10" s="228">
        <v>-3</v>
      </c>
      <c r="AF10" s="228">
        <v>-1</v>
      </c>
      <c r="AG10" s="229">
        <v>-6.9999999999999999E-4</v>
      </c>
      <c r="AH10" s="228">
        <v>27</v>
      </c>
      <c r="AI10" s="228">
        <v>26.5</v>
      </c>
      <c r="AJ10" s="228">
        <v>0.5</v>
      </c>
      <c r="AK10" s="229">
        <v>4.7999999999999996E-3</v>
      </c>
      <c r="AL10" s="228">
        <v>-160</v>
      </c>
      <c r="AM10" s="228">
        <v>-100</v>
      </c>
      <c r="AN10" s="228">
        <v>-60</v>
      </c>
      <c r="AO10" s="229">
        <v>-2.8400000000000002E-2</v>
      </c>
      <c r="AP10" s="231">
        <v>5648.32</v>
      </c>
      <c r="AQ10" s="231">
        <v>5675.59</v>
      </c>
      <c r="AR10" s="228">
        <v>0</v>
      </c>
      <c r="AS10" s="228">
        <v>107</v>
      </c>
      <c r="AT10" s="228">
        <v>59</v>
      </c>
      <c r="AU10" s="228">
        <v>48</v>
      </c>
      <c r="AV10" s="229">
        <v>0.82669999999999999</v>
      </c>
      <c r="AW10" s="228">
        <v>99</v>
      </c>
      <c r="AX10" s="228">
        <v>55</v>
      </c>
      <c r="AY10" s="228">
        <v>43</v>
      </c>
      <c r="AZ10" s="229">
        <v>0.78339999999999999</v>
      </c>
      <c r="BA10" s="228">
        <v>8</v>
      </c>
      <c r="BB10" s="228">
        <v>3</v>
      </c>
      <c r="BC10" s="228">
        <v>5</v>
      </c>
      <c r="BD10" s="229">
        <v>1.5651999999999999</v>
      </c>
      <c r="BE10" s="228">
        <v>0</v>
      </c>
      <c r="BF10" s="228">
        <v>0</v>
      </c>
      <c r="BG10" s="228">
        <v>0</v>
      </c>
      <c r="BH10" s="229">
        <v>0</v>
      </c>
      <c r="BI10" s="228">
        <v>606</v>
      </c>
      <c r="BJ10" s="228">
        <v>159</v>
      </c>
      <c r="BK10" s="228">
        <v>447</v>
      </c>
      <c r="BL10" s="229">
        <v>2.8109000000000002</v>
      </c>
      <c r="BM10" s="228">
        <v>148</v>
      </c>
      <c r="BN10" s="228">
        <v>52</v>
      </c>
      <c r="BO10" s="228">
        <v>96</v>
      </c>
      <c r="BP10" s="229">
        <v>1.8331</v>
      </c>
      <c r="BQ10" s="228">
        <v>862</v>
      </c>
      <c r="BR10" s="228">
        <v>270</v>
      </c>
      <c r="BS10" s="228">
        <v>592</v>
      </c>
      <c r="BT10" s="229">
        <v>2.1909999999999998</v>
      </c>
      <c r="BU10" s="230">
        <v>66390</v>
      </c>
      <c r="BV10" s="230">
        <v>126859</v>
      </c>
      <c r="BW10" s="230">
        <v>-60469</v>
      </c>
      <c r="BX10" s="229">
        <v>-0.47670000000000001</v>
      </c>
      <c r="BY10" s="228">
        <v>672</v>
      </c>
      <c r="BZ10" s="228">
        <v>662</v>
      </c>
      <c r="CA10" s="228">
        <v>10</v>
      </c>
      <c r="CB10" s="229">
        <v>1.44E-2</v>
      </c>
      <c r="CC10" s="228">
        <v>663</v>
      </c>
      <c r="CD10" s="228">
        <v>656</v>
      </c>
      <c r="CE10" s="228">
        <v>7</v>
      </c>
      <c r="CF10" s="229">
        <v>1.09E-2</v>
      </c>
      <c r="CG10" s="228">
        <v>9</v>
      </c>
      <c r="CH10" s="228">
        <v>6</v>
      </c>
      <c r="CI10" s="228">
        <v>2</v>
      </c>
      <c r="CJ10" s="229">
        <v>0.37780000000000002</v>
      </c>
      <c r="CK10" s="228">
        <v>0</v>
      </c>
      <c r="CL10" s="228">
        <v>0</v>
      </c>
      <c r="CM10" s="228">
        <v>0</v>
      </c>
      <c r="CN10" s="229">
        <v>0</v>
      </c>
      <c r="CO10" s="228">
        <v>218</v>
      </c>
      <c r="CP10" s="228">
        <v>158</v>
      </c>
      <c r="CQ10" s="228">
        <v>60</v>
      </c>
      <c r="CR10" s="229">
        <v>0.38300000000000001</v>
      </c>
      <c r="CS10" s="228">
        <v>115</v>
      </c>
      <c r="CT10" s="228">
        <v>86</v>
      </c>
      <c r="CU10" s="228">
        <v>29</v>
      </c>
      <c r="CV10" s="229">
        <v>0.33800000000000002</v>
      </c>
      <c r="CW10" s="230">
        <v>1005</v>
      </c>
      <c r="CX10" s="228">
        <v>906</v>
      </c>
      <c r="CY10" s="228">
        <v>99</v>
      </c>
      <c r="CZ10" s="229">
        <v>0.10920000000000001</v>
      </c>
      <c r="DA10" s="228">
        <v>30.35</v>
      </c>
      <c r="DB10" s="228">
        <v>25.99</v>
      </c>
      <c r="DC10" s="228">
        <v>4.3600000000000003</v>
      </c>
      <c r="DD10" s="228">
        <v>4.3600000000000003</v>
      </c>
      <c r="DE10" s="228">
        <v>28.5</v>
      </c>
      <c r="DF10" s="228">
        <v>28.53</v>
      </c>
      <c r="DG10" s="228">
        <v>1.85</v>
      </c>
      <c r="DH10" s="228">
        <v>-0.03</v>
      </c>
      <c r="DI10" s="228">
        <v>30.2</v>
      </c>
      <c r="DJ10" s="228">
        <v>25.6</v>
      </c>
      <c r="DK10" s="228">
        <v>4.5999999999999996</v>
      </c>
      <c r="DL10" s="228">
        <v>4.5999999999999996</v>
      </c>
      <c r="DM10" s="228">
        <v>30.97</v>
      </c>
      <c r="DN10" s="228">
        <v>27.19</v>
      </c>
      <c r="DO10" s="228">
        <v>3.78</v>
      </c>
      <c r="DP10" s="228">
        <v>3.78</v>
      </c>
      <c r="DQ10" s="228">
        <v>0.53</v>
      </c>
      <c r="DR10" s="228">
        <v>0.54</v>
      </c>
      <c r="DS10" s="228">
        <v>-0.01</v>
      </c>
      <c r="DT10" s="229">
        <v>-1.8499999999999999E-2</v>
      </c>
      <c r="DU10" s="231">
        <v>5600</v>
      </c>
      <c r="DV10" s="231">
        <v>5200</v>
      </c>
      <c r="DW10" s="228">
        <v>0.24</v>
      </c>
      <c r="DX10" s="228">
        <v>0.33</v>
      </c>
      <c r="DY10" s="228">
        <v>-0.09</v>
      </c>
      <c r="DZ10" s="229">
        <v>-0.2727</v>
      </c>
      <c r="EA10" s="229">
        <v>1.3100000000000001E-2</v>
      </c>
      <c r="EB10" s="230">
        <v>11375</v>
      </c>
      <c r="EC10" s="229">
        <v>5.4999999999999997E-3</v>
      </c>
      <c r="ED10" s="229">
        <v>1.3100000000000001E-2</v>
      </c>
      <c r="EE10" s="228">
        <v>27.27</v>
      </c>
      <c r="EF10" s="229">
        <v>4.7999999999999996E-3</v>
      </c>
      <c r="EG10" s="230">
        <v>26322</v>
      </c>
      <c r="EH10" s="230">
        <v>85180</v>
      </c>
      <c r="EI10" s="229">
        <v>-0.69099999999999995</v>
      </c>
      <c r="EJ10" s="229">
        <v>0.39650000000000002</v>
      </c>
      <c r="EK10" s="228">
        <v>624</v>
      </c>
      <c r="EL10" s="228">
        <v>146.82</v>
      </c>
      <c r="EM10" s="228">
        <v>107.22</v>
      </c>
      <c r="EN10" s="228">
        <v>11.51</v>
      </c>
      <c r="EO10" s="228">
        <v>878.04</v>
      </c>
      <c r="EP10" s="228">
        <v>271.23</v>
      </c>
      <c r="EQ10" s="228">
        <v>606.80999999999995</v>
      </c>
      <c r="ER10" s="229">
        <v>2.2372000000000001</v>
      </c>
      <c r="ES10" s="228">
        <v>219.5</v>
      </c>
      <c r="ET10" s="228">
        <v>108.71</v>
      </c>
      <c r="EU10" s="228">
        <v>671.88</v>
      </c>
      <c r="EV10" s="231">
        <v>5873365</v>
      </c>
      <c r="EW10" s="231">
        <v>1000.08</v>
      </c>
      <c r="EX10" s="228">
        <v>893.58</v>
      </c>
      <c r="EY10" s="228">
        <v>106.5</v>
      </c>
      <c r="EZ10" s="229">
        <v>0.1192</v>
      </c>
      <c r="FA10" s="229">
        <v>0.3034</v>
      </c>
      <c r="FB10" s="227" t="s">
        <v>555</v>
      </c>
      <c r="FC10">
        <f t="shared" si="0"/>
        <v>9</v>
      </c>
    </row>
    <row r="11" spans="1:159" ht="17.25" thickBot="1" x14ac:dyDescent="0.3">
      <c r="A11" s="226">
        <v>46132</v>
      </c>
      <c r="B11" s="227" t="s">
        <v>184</v>
      </c>
      <c r="C11" s="227" t="s">
        <v>679</v>
      </c>
      <c r="D11" s="228">
        <v>100</v>
      </c>
      <c r="E11" s="228">
        <v>8</v>
      </c>
      <c r="F11" s="231">
        <v>7944</v>
      </c>
      <c r="G11" s="231">
        <v>7941.5</v>
      </c>
      <c r="H11" s="228">
        <v>2.5</v>
      </c>
      <c r="I11" s="229">
        <v>2.9999999999999997E-4</v>
      </c>
      <c r="J11" s="231">
        <v>7980.5</v>
      </c>
      <c r="K11" s="231">
        <v>7958.5</v>
      </c>
      <c r="L11" s="228">
        <v>22</v>
      </c>
      <c r="M11" s="229">
        <v>2.8E-3</v>
      </c>
      <c r="N11" s="231">
        <v>7944</v>
      </c>
      <c r="O11" s="231">
        <v>7941.5</v>
      </c>
      <c r="P11" s="228">
        <v>2.5</v>
      </c>
      <c r="Q11" s="229">
        <v>2.9999999999999997E-4</v>
      </c>
      <c r="R11" s="231">
        <v>7859.5</v>
      </c>
      <c r="S11" s="231">
        <v>7863</v>
      </c>
      <c r="T11" s="228">
        <v>-3.5</v>
      </c>
      <c r="U11" s="229">
        <v>-4.0000000000000002E-4</v>
      </c>
      <c r="V11" s="231">
        <v>7849</v>
      </c>
      <c r="W11" s="231">
        <v>7835</v>
      </c>
      <c r="X11" s="228">
        <v>14</v>
      </c>
      <c r="Y11" s="229">
        <v>1.8E-3</v>
      </c>
      <c r="Z11" s="228">
        <v>-36.5</v>
      </c>
      <c r="AA11" s="228">
        <v>-17</v>
      </c>
      <c r="AB11" s="228">
        <v>-19.5</v>
      </c>
      <c r="AC11" s="229">
        <v>-4.5999999999999999E-3</v>
      </c>
      <c r="AD11" s="228">
        <v>-36.5</v>
      </c>
      <c r="AE11" s="228">
        <v>-17</v>
      </c>
      <c r="AF11" s="228">
        <v>-19.5</v>
      </c>
      <c r="AG11" s="229">
        <v>-4.5999999999999999E-3</v>
      </c>
      <c r="AH11" s="228">
        <v>-121</v>
      </c>
      <c r="AI11" s="228">
        <v>-95.5</v>
      </c>
      <c r="AJ11" s="228">
        <v>-25.5</v>
      </c>
      <c r="AK11" s="229">
        <v>-1.52E-2</v>
      </c>
      <c r="AL11" s="228">
        <v>-131.5</v>
      </c>
      <c r="AM11" s="228">
        <v>-123.5</v>
      </c>
      <c r="AN11" s="228">
        <v>-8</v>
      </c>
      <c r="AO11" s="229">
        <v>-1.6500000000000001E-2</v>
      </c>
      <c r="AP11" s="231">
        <v>7944.95</v>
      </c>
      <c r="AQ11" s="231">
        <v>7871.38</v>
      </c>
      <c r="AR11" s="228">
        <v>0</v>
      </c>
      <c r="AS11" s="228">
        <v>275</v>
      </c>
      <c r="AT11" s="228">
        <v>347</v>
      </c>
      <c r="AU11" s="228">
        <v>-71</v>
      </c>
      <c r="AV11" s="229">
        <v>-0.20580000000000001</v>
      </c>
      <c r="AW11" s="228">
        <v>237</v>
      </c>
      <c r="AX11" s="228">
        <v>318</v>
      </c>
      <c r="AY11" s="228">
        <v>-81</v>
      </c>
      <c r="AZ11" s="229">
        <v>-0.25369999999999998</v>
      </c>
      <c r="BA11" s="228">
        <v>36</v>
      </c>
      <c r="BB11" s="228">
        <v>24</v>
      </c>
      <c r="BC11" s="228">
        <v>11</v>
      </c>
      <c r="BD11" s="229">
        <v>0.46579999999999999</v>
      </c>
      <c r="BE11" s="228">
        <v>2</v>
      </c>
      <c r="BF11" s="228">
        <v>4</v>
      </c>
      <c r="BG11" s="228">
        <v>-2</v>
      </c>
      <c r="BH11" s="229">
        <v>-0.47170000000000001</v>
      </c>
      <c r="BI11" s="230">
        <v>1354</v>
      </c>
      <c r="BJ11" s="230">
        <v>1893</v>
      </c>
      <c r="BK11" s="228">
        <v>-539</v>
      </c>
      <c r="BL11" s="229">
        <v>-0.28460000000000002</v>
      </c>
      <c r="BM11" s="230">
        <v>1019</v>
      </c>
      <c r="BN11" s="230">
        <v>1040</v>
      </c>
      <c r="BO11" s="228">
        <v>-20</v>
      </c>
      <c r="BP11" s="229">
        <v>-1.95E-2</v>
      </c>
      <c r="BQ11" s="230">
        <v>2649</v>
      </c>
      <c r="BR11" s="230">
        <v>3279</v>
      </c>
      <c r="BS11" s="228">
        <v>-630</v>
      </c>
      <c r="BT11" s="229">
        <v>-0.19220000000000001</v>
      </c>
      <c r="BU11" s="230">
        <v>372413</v>
      </c>
      <c r="BV11" s="230">
        <v>407726</v>
      </c>
      <c r="BW11" s="230">
        <v>-35313</v>
      </c>
      <c r="BX11" s="229">
        <v>-8.6599999999999996E-2</v>
      </c>
      <c r="BY11" s="230">
        <v>1008</v>
      </c>
      <c r="BZ11" s="230">
        <v>1014</v>
      </c>
      <c r="CA11" s="228">
        <v>-6</v>
      </c>
      <c r="CB11" s="229">
        <v>-5.5999999999999999E-3</v>
      </c>
      <c r="CC11" s="228">
        <v>939</v>
      </c>
      <c r="CD11" s="228">
        <v>951</v>
      </c>
      <c r="CE11" s="228">
        <v>-12</v>
      </c>
      <c r="CF11" s="229">
        <v>-1.26E-2</v>
      </c>
      <c r="CG11" s="228">
        <v>62</v>
      </c>
      <c r="CH11" s="228">
        <v>56</v>
      </c>
      <c r="CI11" s="228">
        <v>6</v>
      </c>
      <c r="CJ11" s="229">
        <v>0.1087</v>
      </c>
      <c r="CK11" s="228">
        <v>7</v>
      </c>
      <c r="CL11" s="228">
        <v>7</v>
      </c>
      <c r="CM11" s="228">
        <v>0</v>
      </c>
      <c r="CN11" s="229">
        <v>4.7100000000000003E-2</v>
      </c>
      <c r="CO11" s="228">
        <v>858</v>
      </c>
      <c r="CP11" s="228">
        <v>799</v>
      </c>
      <c r="CQ11" s="228">
        <v>60</v>
      </c>
      <c r="CR11" s="229">
        <v>7.4800000000000005E-2</v>
      </c>
      <c r="CS11" s="228">
        <v>580</v>
      </c>
      <c r="CT11" s="228">
        <v>622</v>
      </c>
      <c r="CU11" s="228">
        <v>-41</v>
      </c>
      <c r="CV11" s="229">
        <v>-6.6699999999999995E-2</v>
      </c>
      <c r="CW11" s="230">
        <v>2447</v>
      </c>
      <c r="CX11" s="230">
        <v>2434</v>
      </c>
      <c r="CY11" s="228">
        <v>13</v>
      </c>
      <c r="CZ11" s="229">
        <v>5.1999999999999998E-3</v>
      </c>
      <c r="DA11" s="228">
        <v>48.08</v>
      </c>
      <c r="DB11" s="228">
        <v>44.29</v>
      </c>
      <c r="DC11" s="228">
        <v>3.79</v>
      </c>
      <c r="DD11" s="228">
        <v>3.79</v>
      </c>
      <c r="DE11" s="228">
        <v>54.19</v>
      </c>
      <c r="DF11" s="228">
        <v>54.33</v>
      </c>
      <c r="DG11" s="228">
        <v>-6.11</v>
      </c>
      <c r="DH11" s="228">
        <v>-0.14000000000000001</v>
      </c>
      <c r="DI11" s="228">
        <v>47.39</v>
      </c>
      <c r="DJ11" s="228">
        <v>43.48</v>
      </c>
      <c r="DK11" s="228">
        <v>3.91</v>
      </c>
      <c r="DL11" s="228">
        <v>3.91</v>
      </c>
      <c r="DM11" s="228">
        <v>48.99</v>
      </c>
      <c r="DN11" s="228">
        <v>45.75</v>
      </c>
      <c r="DO11" s="228">
        <v>3.24</v>
      </c>
      <c r="DP11" s="228">
        <v>3.24</v>
      </c>
      <c r="DQ11" s="228">
        <v>0.68</v>
      </c>
      <c r="DR11" s="228">
        <v>0.78</v>
      </c>
      <c r="DS11" s="228">
        <v>-0.1</v>
      </c>
      <c r="DT11" s="229">
        <v>-0.12820000000000001</v>
      </c>
      <c r="DU11" s="231">
        <v>8000</v>
      </c>
      <c r="DV11" s="231">
        <v>7000</v>
      </c>
      <c r="DW11" s="228">
        <v>0.75</v>
      </c>
      <c r="DX11" s="228">
        <v>0.55000000000000004</v>
      </c>
      <c r="DY11" s="228">
        <v>0.2</v>
      </c>
      <c r="DZ11" s="229">
        <v>0.36359999999999998</v>
      </c>
      <c r="EA11" s="229">
        <v>6.8099999999999994E-2</v>
      </c>
      <c r="EB11" s="230">
        <v>78400</v>
      </c>
      <c r="EC11" s="229">
        <v>-1.06E-2</v>
      </c>
      <c r="ED11" s="229">
        <v>6.8099999999999994E-2</v>
      </c>
      <c r="EE11" s="228">
        <v>-73.569999999999993</v>
      </c>
      <c r="EF11" s="229">
        <v>-9.2999999999999992E-3</v>
      </c>
      <c r="EG11" s="230">
        <v>125428</v>
      </c>
      <c r="EH11" s="230">
        <v>137757</v>
      </c>
      <c r="EI11" s="229">
        <v>-8.9499999999999996E-2</v>
      </c>
      <c r="EJ11" s="229">
        <v>0.33679999999999999</v>
      </c>
      <c r="EK11" s="231">
        <v>1420.84</v>
      </c>
      <c r="EL11" s="228">
        <v>964.52</v>
      </c>
      <c r="EM11" s="228">
        <v>275.01</v>
      </c>
      <c r="EN11" s="228">
        <v>55</v>
      </c>
      <c r="EO11" s="231">
        <v>2660.37</v>
      </c>
      <c r="EP11" s="231">
        <v>3277.3</v>
      </c>
      <c r="EQ11" s="228">
        <v>-616.94000000000005</v>
      </c>
      <c r="ER11" s="229">
        <v>-0.18820000000000001</v>
      </c>
      <c r="ES11" s="228">
        <v>842.78</v>
      </c>
      <c r="ET11" s="228">
        <v>514.89</v>
      </c>
      <c r="EU11" s="231">
        <v>1007.27</v>
      </c>
      <c r="EV11" s="231">
        <v>3260820</v>
      </c>
      <c r="EW11" s="231">
        <v>2364.94</v>
      </c>
      <c r="EX11" s="231">
        <v>2339.77</v>
      </c>
      <c r="EY11" s="228">
        <v>25.17</v>
      </c>
      <c r="EZ11" s="229">
        <v>1.0800000000000001E-2</v>
      </c>
      <c r="FA11" s="229">
        <v>0.94450000000000001</v>
      </c>
      <c r="FB11" s="227" t="s">
        <v>693</v>
      </c>
      <c r="FC11">
        <f t="shared" si="0"/>
        <v>69</v>
      </c>
    </row>
    <row r="12" spans="1:159" ht="17.25" thickBot="1" x14ac:dyDescent="0.3">
      <c r="A12" s="226">
        <v>46132</v>
      </c>
      <c r="B12" s="227" t="s">
        <v>157</v>
      </c>
      <c r="C12" s="227" t="s">
        <v>164</v>
      </c>
      <c r="D12" s="228">
        <v>1050</v>
      </c>
      <c r="E12" s="228">
        <v>8</v>
      </c>
      <c r="F12" s="228">
        <v>454.95</v>
      </c>
      <c r="G12" s="228">
        <v>458.8</v>
      </c>
      <c r="H12" s="228">
        <v>-3.85</v>
      </c>
      <c r="I12" s="229">
        <v>-8.3999999999999995E-3</v>
      </c>
      <c r="J12" s="228">
        <v>454.9</v>
      </c>
      <c r="K12" s="228">
        <v>459</v>
      </c>
      <c r="L12" s="228">
        <v>-4.0999999999999996</v>
      </c>
      <c r="M12" s="229">
        <v>-8.8999999999999999E-3</v>
      </c>
      <c r="N12" s="228">
        <v>454.95</v>
      </c>
      <c r="O12" s="228">
        <v>458.8</v>
      </c>
      <c r="P12" s="228">
        <v>-3.85</v>
      </c>
      <c r="Q12" s="229">
        <v>-8.3999999999999995E-3</v>
      </c>
      <c r="R12" s="228">
        <v>457.35</v>
      </c>
      <c r="S12" s="228">
        <v>461.65</v>
      </c>
      <c r="T12" s="228">
        <v>-4.3</v>
      </c>
      <c r="U12" s="229">
        <v>-9.2999999999999992E-3</v>
      </c>
      <c r="V12" s="228">
        <v>458.9</v>
      </c>
      <c r="W12" s="228">
        <v>463.1</v>
      </c>
      <c r="X12" s="228">
        <v>-4.2</v>
      </c>
      <c r="Y12" s="229">
        <v>-9.1000000000000004E-3</v>
      </c>
      <c r="Z12" s="228">
        <v>0.05</v>
      </c>
      <c r="AA12" s="228">
        <v>-0.2</v>
      </c>
      <c r="AB12" s="228">
        <v>0.25</v>
      </c>
      <c r="AC12" s="229">
        <v>1E-4</v>
      </c>
      <c r="AD12" s="228">
        <v>0.05</v>
      </c>
      <c r="AE12" s="228">
        <v>-0.2</v>
      </c>
      <c r="AF12" s="228">
        <v>0.25</v>
      </c>
      <c r="AG12" s="229">
        <v>1E-4</v>
      </c>
      <c r="AH12" s="228">
        <v>2.4500000000000002</v>
      </c>
      <c r="AI12" s="228">
        <v>2.65</v>
      </c>
      <c r="AJ12" s="228">
        <v>-0.2</v>
      </c>
      <c r="AK12" s="229">
        <v>5.4000000000000003E-3</v>
      </c>
      <c r="AL12" s="228">
        <v>4</v>
      </c>
      <c r="AM12" s="228">
        <v>4.0999999999999996</v>
      </c>
      <c r="AN12" s="228">
        <v>-0.1</v>
      </c>
      <c r="AO12" s="229">
        <v>8.8000000000000005E-3</v>
      </c>
      <c r="AP12" s="228">
        <v>458.45</v>
      </c>
      <c r="AQ12" s="228">
        <v>462.43</v>
      </c>
      <c r="AR12" s="228">
        <v>0</v>
      </c>
      <c r="AS12" s="228">
        <v>336</v>
      </c>
      <c r="AT12" s="228">
        <v>185</v>
      </c>
      <c r="AU12" s="228">
        <v>151</v>
      </c>
      <c r="AV12" s="229">
        <v>0.81469999999999998</v>
      </c>
      <c r="AW12" s="228">
        <v>243</v>
      </c>
      <c r="AX12" s="228">
        <v>164</v>
      </c>
      <c r="AY12" s="228">
        <v>79</v>
      </c>
      <c r="AZ12" s="229">
        <v>0.48080000000000001</v>
      </c>
      <c r="BA12" s="228">
        <v>91</v>
      </c>
      <c r="BB12" s="228">
        <v>20</v>
      </c>
      <c r="BC12" s="228">
        <v>71</v>
      </c>
      <c r="BD12" s="229">
        <v>3.5966</v>
      </c>
      <c r="BE12" s="228">
        <v>2</v>
      </c>
      <c r="BF12" s="228">
        <v>1</v>
      </c>
      <c r="BG12" s="228">
        <v>1</v>
      </c>
      <c r="BH12" s="229">
        <v>0.70369999999999999</v>
      </c>
      <c r="BI12" s="228">
        <v>458</v>
      </c>
      <c r="BJ12" s="228">
        <v>301</v>
      </c>
      <c r="BK12" s="228">
        <v>156</v>
      </c>
      <c r="BL12" s="229">
        <v>0.51859999999999995</v>
      </c>
      <c r="BM12" s="228">
        <v>159</v>
      </c>
      <c r="BN12" s="228">
        <v>168</v>
      </c>
      <c r="BO12" s="228">
        <v>-9</v>
      </c>
      <c r="BP12" s="229">
        <v>-5.4199999999999998E-2</v>
      </c>
      <c r="BQ12" s="228">
        <v>953</v>
      </c>
      <c r="BR12" s="228">
        <v>655</v>
      </c>
      <c r="BS12" s="228">
        <v>298</v>
      </c>
      <c r="BT12" s="229">
        <v>0.45519999999999999</v>
      </c>
      <c r="BU12" s="230">
        <v>1805903</v>
      </c>
      <c r="BV12" s="230">
        <v>2035940</v>
      </c>
      <c r="BW12" s="230">
        <v>-230037</v>
      </c>
      <c r="BX12" s="229">
        <v>-0.113</v>
      </c>
      <c r="BY12" s="230">
        <v>2707</v>
      </c>
      <c r="BZ12" s="230">
        <v>2714</v>
      </c>
      <c r="CA12" s="228">
        <v>-7</v>
      </c>
      <c r="CB12" s="229">
        <v>-2.5000000000000001E-3</v>
      </c>
      <c r="CC12" s="230">
        <v>2251</v>
      </c>
      <c r="CD12" s="230">
        <v>2332</v>
      </c>
      <c r="CE12" s="228">
        <v>-81</v>
      </c>
      <c r="CF12" s="229">
        <v>-3.49E-2</v>
      </c>
      <c r="CG12" s="228">
        <v>449</v>
      </c>
      <c r="CH12" s="228">
        <v>376</v>
      </c>
      <c r="CI12" s="228">
        <v>73</v>
      </c>
      <c r="CJ12" s="229">
        <v>0.19489999999999999</v>
      </c>
      <c r="CK12" s="228">
        <v>8</v>
      </c>
      <c r="CL12" s="228">
        <v>6</v>
      </c>
      <c r="CM12" s="228">
        <v>1</v>
      </c>
      <c r="CN12" s="229">
        <v>0.2248</v>
      </c>
      <c r="CO12" s="228">
        <v>480</v>
      </c>
      <c r="CP12" s="228">
        <v>483</v>
      </c>
      <c r="CQ12" s="228">
        <v>-3</v>
      </c>
      <c r="CR12" s="229">
        <v>-5.4999999999999997E-3</v>
      </c>
      <c r="CS12" s="228">
        <v>451</v>
      </c>
      <c r="CT12" s="228">
        <v>455</v>
      </c>
      <c r="CU12" s="228">
        <v>-4</v>
      </c>
      <c r="CV12" s="229">
        <v>-8.6999999999999994E-3</v>
      </c>
      <c r="CW12" s="230">
        <v>3639</v>
      </c>
      <c r="CX12" s="230">
        <v>3652</v>
      </c>
      <c r="CY12" s="228">
        <v>-14</v>
      </c>
      <c r="CZ12" s="229">
        <v>-3.7000000000000002E-3</v>
      </c>
      <c r="DA12" s="228">
        <v>39.33</v>
      </c>
      <c r="DB12" s="228">
        <v>35.770000000000003</v>
      </c>
      <c r="DC12" s="228">
        <v>3.56</v>
      </c>
      <c r="DD12" s="228">
        <v>3.56</v>
      </c>
      <c r="DE12" s="228">
        <v>36.71</v>
      </c>
      <c r="DF12" s="228">
        <v>36.78</v>
      </c>
      <c r="DG12" s="228">
        <v>2.62</v>
      </c>
      <c r="DH12" s="228">
        <v>-7.0000000000000007E-2</v>
      </c>
      <c r="DI12" s="228">
        <v>39.15</v>
      </c>
      <c r="DJ12" s="228">
        <v>34.51</v>
      </c>
      <c r="DK12" s="228">
        <v>4.6399999999999997</v>
      </c>
      <c r="DL12" s="228">
        <v>4.6399999999999997</v>
      </c>
      <c r="DM12" s="228">
        <v>39.85</v>
      </c>
      <c r="DN12" s="228">
        <v>38.01</v>
      </c>
      <c r="DO12" s="228">
        <v>1.84</v>
      </c>
      <c r="DP12" s="228">
        <v>1.84</v>
      </c>
      <c r="DQ12" s="228">
        <v>0.94</v>
      </c>
      <c r="DR12" s="228">
        <v>0.94</v>
      </c>
      <c r="DS12" s="228">
        <v>0</v>
      </c>
      <c r="DT12" s="229">
        <v>0</v>
      </c>
      <c r="DU12" s="228">
        <v>500</v>
      </c>
      <c r="DV12" s="228">
        <v>500</v>
      </c>
      <c r="DW12" s="228">
        <v>0.35</v>
      </c>
      <c r="DX12" s="228">
        <v>0.56000000000000005</v>
      </c>
      <c r="DY12" s="228">
        <v>-0.21</v>
      </c>
      <c r="DZ12" s="229">
        <v>-0.375</v>
      </c>
      <c r="EA12" s="229">
        <v>0.1686</v>
      </c>
      <c r="EB12" s="230">
        <v>8390550</v>
      </c>
      <c r="EC12" s="229">
        <v>5.3E-3</v>
      </c>
      <c r="ED12" s="229">
        <v>0.1686</v>
      </c>
      <c r="EE12" s="228">
        <v>3.98</v>
      </c>
      <c r="EF12" s="229">
        <v>8.6999999999999994E-3</v>
      </c>
      <c r="EG12" s="230">
        <v>694800</v>
      </c>
      <c r="EH12" s="230">
        <v>1015021</v>
      </c>
      <c r="EI12" s="229">
        <v>-0.3155</v>
      </c>
      <c r="EJ12" s="229">
        <v>0.38469999999999999</v>
      </c>
      <c r="EK12" s="228">
        <v>482.45</v>
      </c>
      <c r="EL12" s="228">
        <v>159.77000000000001</v>
      </c>
      <c r="EM12" s="228">
        <v>339.85</v>
      </c>
      <c r="EN12" s="228">
        <v>47.08</v>
      </c>
      <c r="EO12" s="228">
        <v>982.07</v>
      </c>
      <c r="EP12" s="228">
        <v>669.83</v>
      </c>
      <c r="EQ12" s="228">
        <v>312.24</v>
      </c>
      <c r="ER12" s="229">
        <v>0.46610000000000001</v>
      </c>
      <c r="ES12" s="228">
        <v>482.22</v>
      </c>
      <c r="ET12" s="228">
        <v>457.07</v>
      </c>
      <c r="EU12" s="231">
        <v>2709.5</v>
      </c>
      <c r="EV12" s="231">
        <v>97233107</v>
      </c>
      <c r="EW12" s="231">
        <v>3648.78</v>
      </c>
      <c r="EX12" s="231">
        <v>3683.74</v>
      </c>
      <c r="EY12" s="228">
        <v>-34.96</v>
      </c>
      <c r="EZ12" s="229">
        <v>-9.4999999999999998E-3</v>
      </c>
      <c r="FA12" s="229">
        <v>0.8226</v>
      </c>
      <c r="FB12" s="227" t="s">
        <v>567</v>
      </c>
      <c r="FC12">
        <f t="shared" si="0"/>
        <v>456</v>
      </c>
    </row>
    <row r="13" spans="1:159" ht="17.25" thickBot="1" x14ac:dyDescent="0.3">
      <c r="A13" s="226">
        <v>46132</v>
      </c>
      <c r="B13" s="227" t="s">
        <v>175</v>
      </c>
      <c r="C13" s="227" t="s">
        <v>608</v>
      </c>
      <c r="D13" s="228">
        <v>2500</v>
      </c>
      <c r="E13" s="228">
        <v>8</v>
      </c>
      <c r="F13" s="228">
        <v>319.7</v>
      </c>
      <c r="G13" s="228">
        <v>322.60000000000002</v>
      </c>
      <c r="H13" s="228">
        <v>-2.9</v>
      </c>
      <c r="I13" s="229">
        <v>-8.9999999999999993E-3</v>
      </c>
      <c r="J13" s="228">
        <v>319.16000000000003</v>
      </c>
      <c r="K13" s="228">
        <v>322.47000000000003</v>
      </c>
      <c r="L13" s="228">
        <v>-3.31</v>
      </c>
      <c r="M13" s="229">
        <v>-1.03E-2</v>
      </c>
      <c r="N13" s="228">
        <v>319.7</v>
      </c>
      <c r="O13" s="228">
        <v>322.60000000000002</v>
      </c>
      <c r="P13" s="228">
        <v>-2.9</v>
      </c>
      <c r="Q13" s="229">
        <v>-8.9999999999999993E-3</v>
      </c>
      <c r="R13" s="228">
        <v>315.57</v>
      </c>
      <c r="S13" s="228">
        <v>317.45999999999998</v>
      </c>
      <c r="T13" s="228">
        <v>-1.89</v>
      </c>
      <c r="U13" s="229">
        <v>-6.0000000000000001E-3</v>
      </c>
      <c r="V13" s="228">
        <v>313.16000000000003</v>
      </c>
      <c r="W13" s="228">
        <v>314.64999999999998</v>
      </c>
      <c r="X13" s="228">
        <v>-1.49</v>
      </c>
      <c r="Y13" s="229">
        <v>-4.7000000000000002E-3</v>
      </c>
      <c r="Z13" s="228">
        <v>0.54</v>
      </c>
      <c r="AA13" s="228">
        <v>0.13</v>
      </c>
      <c r="AB13" s="228">
        <v>0.41</v>
      </c>
      <c r="AC13" s="229">
        <v>1.6999999999999999E-3</v>
      </c>
      <c r="AD13" s="228">
        <v>0.54</v>
      </c>
      <c r="AE13" s="228">
        <v>0.13</v>
      </c>
      <c r="AF13" s="228">
        <v>0.41</v>
      </c>
      <c r="AG13" s="229">
        <v>1.6999999999999999E-3</v>
      </c>
      <c r="AH13" s="228">
        <v>-3.59</v>
      </c>
      <c r="AI13" s="228">
        <v>-5.01</v>
      </c>
      <c r="AJ13" s="228">
        <v>1.42</v>
      </c>
      <c r="AK13" s="229">
        <v>-1.12E-2</v>
      </c>
      <c r="AL13" s="228">
        <v>-6</v>
      </c>
      <c r="AM13" s="228">
        <v>-7.82</v>
      </c>
      <c r="AN13" s="228">
        <v>1.82</v>
      </c>
      <c r="AO13" s="229">
        <v>-1.8800000000000001E-2</v>
      </c>
      <c r="AP13" s="228">
        <v>319.94</v>
      </c>
      <c r="AQ13" s="228">
        <v>315.51</v>
      </c>
      <c r="AR13" s="228">
        <v>0</v>
      </c>
      <c r="AS13" s="228">
        <v>697</v>
      </c>
      <c r="AT13" s="230">
        <v>1889</v>
      </c>
      <c r="AU13" s="230">
        <v>-1192</v>
      </c>
      <c r="AV13" s="229">
        <v>-0.63090000000000002</v>
      </c>
      <c r="AW13" s="228">
        <v>599</v>
      </c>
      <c r="AX13" s="230">
        <v>1597</v>
      </c>
      <c r="AY13" s="228">
        <v>-998</v>
      </c>
      <c r="AZ13" s="229">
        <v>-0.62490000000000001</v>
      </c>
      <c r="BA13" s="228">
        <v>89</v>
      </c>
      <c r="BB13" s="228">
        <v>265</v>
      </c>
      <c r="BC13" s="228">
        <v>-176</v>
      </c>
      <c r="BD13" s="229">
        <v>-0.66459999999999997</v>
      </c>
      <c r="BE13" s="228">
        <v>9</v>
      </c>
      <c r="BF13" s="228">
        <v>26</v>
      </c>
      <c r="BG13" s="228">
        <v>-17</v>
      </c>
      <c r="BH13" s="229">
        <v>-0.65549999999999997</v>
      </c>
      <c r="BI13" s="230">
        <v>3374</v>
      </c>
      <c r="BJ13" s="230">
        <v>13560</v>
      </c>
      <c r="BK13" s="230">
        <v>-10187</v>
      </c>
      <c r="BL13" s="229">
        <v>-0.75119999999999998</v>
      </c>
      <c r="BM13" s="230">
        <v>2472</v>
      </c>
      <c r="BN13" s="230">
        <v>6566</v>
      </c>
      <c r="BO13" s="230">
        <v>-4094</v>
      </c>
      <c r="BP13" s="229">
        <v>-0.62360000000000004</v>
      </c>
      <c r="BQ13" s="230">
        <v>6542</v>
      </c>
      <c r="BR13" s="230">
        <v>22015</v>
      </c>
      <c r="BS13" s="230">
        <v>-15473</v>
      </c>
      <c r="BT13" s="229">
        <v>-0.70279999999999998</v>
      </c>
      <c r="BU13" s="230">
        <v>24593129</v>
      </c>
      <c r="BV13" s="230">
        <v>83526215</v>
      </c>
      <c r="BW13" s="230">
        <v>-58933086</v>
      </c>
      <c r="BX13" s="229">
        <v>-0.7056</v>
      </c>
      <c r="BY13" s="228">
        <v>946</v>
      </c>
      <c r="BZ13" s="230">
        <v>1017</v>
      </c>
      <c r="CA13" s="228">
        <v>-71</v>
      </c>
      <c r="CB13" s="229">
        <v>-6.9800000000000001E-2</v>
      </c>
      <c r="CC13" s="228">
        <v>768</v>
      </c>
      <c r="CD13" s="228">
        <v>843</v>
      </c>
      <c r="CE13" s="228">
        <v>-75</v>
      </c>
      <c r="CF13" s="229">
        <v>-8.8900000000000007E-2</v>
      </c>
      <c r="CG13" s="228">
        <v>162</v>
      </c>
      <c r="CH13" s="228">
        <v>160</v>
      </c>
      <c r="CI13" s="228">
        <v>2</v>
      </c>
      <c r="CJ13" s="229">
        <v>1.2999999999999999E-2</v>
      </c>
      <c r="CK13" s="228">
        <v>16</v>
      </c>
      <c r="CL13" s="228">
        <v>14</v>
      </c>
      <c r="CM13" s="228">
        <v>2</v>
      </c>
      <c r="CN13" s="229">
        <v>0.13869999999999999</v>
      </c>
      <c r="CO13" s="230">
        <v>1156</v>
      </c>
      <c r="CP13" s="230">
        <v>1037</v>
      </c>
      <c r="CQ13" s="228">
        <v>120</v>
      </c>
      <c r="CR13" s="229">
        <v>0.1153</v>
      </c>
      <c r="CS13" s="230">
        <v>1133</v>
      </c>
      <c r="CT13" s="230">
        <v>1271</v>
      </c>
      <c r="CU13" s="228">
        <v>-138</v>
      </c>
      <c r="CV13" s="229">
        <v>-0.10879999999999999</v>
      </c>
      <c r="CW13" s="230">
        <v>3235</v>
      </c>
      <c r="CX13" s="230">
        <v>3325</v>
      </c>
      <c r="CY13" s="228">
        <v>-90</v>
      </c>
      <c r="CZ13" s="229">
        <v>-2.7E-2</v>
      </c>
      <c r="DA13" s="228">
        <v>48.05</v>
      </c>
      <c r="DB13" s="228">
        <v>47.43</v>
      </c>
      <c r="DC13" s="228">
        <v>0.62</v>
      </c>
      <c r="DD13" s="228">
        <v>0.62</v>
      </c>
      <c r="DE13" s="228">
        <v>57.37</v>
      </c>
      <c r="DF13" s="228">
        <v>57.5</v>
      </c>
      <c r="DG13" s="228">
        <v>-9.32</v>
      </c>
      <c r="DH13" s="228">
        <v>-0.13</v>
      </c>
      <c r="DI13" s="228">
        <v>47.11</v>
      </c>
      <c r="DJ13" s="228">
        <v>45.23</v>
      </c>
      <c r="DK13" s="228">
        <v>1.88</v>
      </c>
      <c r="DL13" s="228">
        <v>1.88</v>
      </c>
      <c r="DM13" s="228">
        <v>49.33</v>
      </c>
      <c r="DN13" s="228">
        <v>51.98</v>
      </c>
      <c r="DO13" s="228">
        <v>-2.65</v>
      </c>
      <c r="DP13" s="228">
        <v>-2.65</v>
      </c>
      <c r="DQ13" s="228">
        <v>0.98</v>
      </c>
      <c r="DR13" s="228">
        <v>1.23</v>
      </c>
      <c r="DS13" s="228">
        <v>-0.25</v>
      </c>
      <c r="DT13" s="229">
        <v>-0.20330000000000001</v>
      </c>
      <c r="DU13" s="228">
        <v>320</v>
      </c>
      <c r="DV13" s="228">
        <v>300</v>
      </c>
      <c r="DW13" s="228">
        <v>0.73</v>
      </c>
      <c r="DX13" s="228">
        <v>0.48</v>
      </c>
      <c r="DY13" s="228">
        <v>0.25</v>
      </c>
      <c r="DZ13" s="229">
        <v>0.52080000000000004</v>
      </c>
      <c r="EA13" s="229">
        <v>0.18809999999999999</v>
      </c>
      <c r="EB13" s="230">
        <v>5442500</v>
      </c>
      <c r="EC13" s="229">
        <v>-1.29E-2</v>
      </c>
      <c r="ED13" s="229">
        <v>0.18809999999999999</v>
      </c>
      <c r="EE13" s="228">
        <v>-4.43</v>
      </c>
      <c r="EF13" s="229">
        <v>-1.38E-2</v>
      </c>
      <c r="EG13" s="230">
        <v>6230918</v>
      </c>
      <c r="EH13" s="230">
        <v>14991728</v>
      </c>
      <c r="EI13" s="229">
        <v>-0.58440000000000003</v>
      </c>
      <c r="EJ13" s="229">
        <v>0.25340000000000001</v>
      </c>
      <c r="EK13" s="231">
        <v>3545.14</v>
      </c>
      <c r="EL13" s="231">
        <v>2406.7199999999998</v>
      </c>
      <c r="EM13" s="228">
        <v>696.28</v>
      </c>
      <c r="EN13" s="228">
        <v>111.93</v>
      </c>
      <c r="EO13" s="231">
        <v>6648.13</v>
      </c>
      <c r="EP13" s="231">
        <v>21787.22</v>
      </c>
      <c r="EQ13" s="231">
        <v>-15139.08</v>
      </c>
      <c r="ER13" s="229">
        <v>-0.69489999999999996</v>
      </c>
      <c r="ES13" s="231">
        <v>1131.83</v>
      </c>
      <c r="ET13" s="231">
        <v>1012.47</v>
      </c>
      <c r="EU13" s="228">
        <v>943.89</v>
      </c>
      <c r="EV13" s="231">
        <v>96940911</v>
      </c>
      <c r="EW13" s="231">
        <v>3088.19</v>
      </c>
      <c r="EX13" s="231">
        <v>3162.3</v>
      </c>
      <c r="EY13" s="228">
        <v>-74.11</v>
      </c>
      <c r="EZ13" s="229">
        <v>-2.3400000000000001E-2</v>
      </c>
      <c r="FA13" s="229">
        <v>1.0439000000000001</v>
      </c>
      <c r="FB13" s="227" t="s">
        <v>567</v>
      </c>
      <c r="FC13">
        <f t="shared" si="0"/>
        <v>178</v>
      </c>
    </row>
    <row r="14" spans="1:159" ht="17.25" thickBot="1" x14ac:dyDescent="0.3">
      <c r="A14" s="226">
        <v>46132</v>
      </c>
      <c r="B14" s="227" t="s">
        <v>227</v>
      </c>
      <c r="C14" s="227" t="s">
        <v>597</v>
      </c>
      <c r="D14" s="228">
        <v>350</v>
      </c>
      <c r="E14" s="228">
        <v>8</v>
      </c>
      <c r="F14" s="231">
        <v>2140.5</v>
      </c>
      <c r="G14" s="231">
        <v>2105.9</v>
      </c>
      <c r="H14" s="228">
        <v>34.6</v>
      </c>
      <c r="I14" s="229">
        <v>1.6400000000000001E-2</v>
      </c>
      <c r="J14" s="231">
        <v>2143.9</v>
      </c>
      <c r="K14" s="231">
        <v>2105.6999999999998</v>
      </c>
      <c r="L14" s="228">
        <v>38.200000000000003</v>
      </c>
      <c r="M14" s="229">
        <v>1.8100000000000002E-2</v>
      </c>
      <c r="N14" s="231">
        <v>2140.5</v>
      </c>
      <c r="O14" s="231">
        <v>2105.9</v>
      </c>
      <c r="P14" s="228">
        <v>34.6</v>
      </c>
      <c r="Q14" s="229">
        <v>1.6400000000000001E-2</v>
      </c>
      <c r="R14" s="231">
        <v>2150.4</v>
      </c>
      <c r="S14" s="231">
        <v>2115.6</v>
      </c>
      <c r="T14" s="228">
        <v>34.799999999999997</v>
      </c>
      <c r="U14" s="229">
        <v>1.6400000000000001E-2</v>
      </c>
      <c r="V14" s="231">
        <v>2165.3000000000002</v>
      </c>
      <c r="W14" s="231">
        <v>2126.5</v>
      </c>
      <c r="X14" s="228">
        <v>38.799999999999997</v>
      </c>
      <c r="Y14" s="229">
        <v>1.8200000000000001E-2</v>
      </c>
      <c r="Z14" s="228">
        <v>-3.4</v>
      </c>
      <c r="AA14" s="228">
        <v>0.2</v>
      </c>
      <c r="AB14" s="228">
        <v>-3.6</v>
      </c>
      <c r="AC14" s="229">
        <v>-1.6000000000000001E-3</v>
      </c>
      <c r="AD14" s="228">
        <v>-3.4</v>
      </c>
      <c r="AE14" s="228">
        <v>0.2</v>
      </c>
      <c r="AF14" s="228">
        <v>-3.6</v>
      </c>
      <c r="AG14" s="229">
        <v>-1.6000000000000001E-3</v>
      </c>
      <c r="AH14" s="228">
        <v>6.5</v>
      </c>
      <c r="AI14" s="228">
        <v>9.9</v>
      </c>
      <c r="AJ14" s="228">
        <v>-3.4</v>
      </c>
      <c r="AK14" s="229">
        <v>3.0000000000000001E-3</v>
      </c>
      <c r="AL14" s="228">
        <v>21.4</v>
      </c>
      <c r="AM14" s="228">
        <v>20.8</v>
      </c>
      <c r="AN14" s="228">
        <v>0.6</v>
      </c>
      <c r="AO14" s="229">
        <v>0.01</v>
      </c>
      <c r="AP14" s="231">
        <v>2128.4299999999998</v>
      </c>
      <c r="AQ14" s="231">
        <v>2137.54</v>
      </c>
      <c r="AR14" s="228">
        <v>0</v>
      </c>
      <c r="AS14" s="228">
        <v>219</v>
      </c>
      <c r="AT14" s="228">
        <v>161</v>
      </c>
      <c r="AU14" s="228">
        <v>58</v>
      </c>
      <c r="AV14" s="229">
        <v>0.36</v>
      </c>
      <c r="AW14" s="228">
        <v>202</v>
      </c>
      <c r="AX14" s="228">
        <v>150</v>
      </c>
      <c r="AY14" s="228">
        <v>52</v>
      </c>
      <c r="AZ14" s="229">
        <v>0.34310000000000002</v>
      </c>
      <c r="BA14" s="228">
        <v>16</v>
      </c>
      <c r="BB14" s="228">
        <v>10</v>
      </c>
      <c r="BC14" s="228">
        <v>7</v>
      </c>
      <c r="BD14" s="229">
        <v>0.68220000000000003</v>
      </c>
      <c r="BE14" s="228">
        <v>1</v>
      </c>
      <c r="BF14" s="228">
        <v>1</v>
      </c>
      <c r="BG14" s="228">
        <v>0</v>
      </c>
      <c r="BH14" s="229">
        <v>-0.125</v>
      </c>
      <c r="BI14" s="228">
        <v>540</v>
      </c>
      <c r="BJ14" s="228">
        <v>831</v>
      </c>
      <c r="BK14" s="228">
        <v>-290</v>
      </c>
      <c r="BL14" s="229">
        <v>-0.34949999999999998</v>
      </c>
      <c r="BM14" s="228">
        <v>219</v>
      </c>
      <c r="BN14" s="228">
        <v>231</v>
      </c>
      <c r="BO14" s="228">
        <v>-13</v>
      </c>
      <c r="BP14" s="229">
        <v>-5.4399999999999997E-2</v>
      </c>
      <c r="BQ14" s="228">
        <v>978</v>
      </c>
      <c r="BR14" s="230">
        <v>1223</v>
      </c>
      <c r="BS14" s="228">
        <v>-245</v>
      </c>
      <c r="BT14" s="229">
        <v>-0.20030000000000001</v>
      </c>
      <c r="BU14" s="230">
        <v>1076581</v>
      </c>
      <c r="BV14" s="230">
        <v>757328</v>
      </c>
      <c r="BW14" s="230">
        <v>319253</v>
      </c>
      <c r="BX14" s="229">
        <v>0.42159999999999997</v>
      </c>
      <c r="BY14" s="230">
        <v>1018</v>
      </c>
      <c r="BZ14" s="230">
        <v>1089</v>
      </c>
      <c r="CA14" s="228">
        <v>-71</v>
      </c>
      <c r="CB14" s="229">
        <v>-6.5100000000000005E-2</v>
      </c>
      <c r="CC14" s="228">
        <v>893</v>
      </c>
      <c r="CD14" s="228">
        <v>967</v>
      </c>
      <c r="CE14" s="228">
        <v>-74</v>
      </c>
      <c r="CF14" s="229">
        <v>-7.6200000000000004E-2</v>
      </c>
      <c r="CG14" s="228">
        <v>20</v>
      </c>
      <c r="CH14" s="228">
        <v>17</v>
      </c>
      <c r="CI14" s="228">
        <v>3</v>
      </c>
      <c r="CJ14" s="229">
        <v>0.1681</v>
      </c>
      <c r="CK14" s="228">
        <v>105</v>
      </c>
      <c r="CL14" s="228">
        <v>105</v>
      </c>
      <c r="CM14" s="228">
        <v>0</v>
      </c>
      <c r="CN14" s="229">
        <v>-1.4E-3</v>
      </c>
      <c r="CO14" s="228">
        <v>274</v>
      </c>
      <c r="CP14" s="228">
        <v>276</v>
      </c>
      <c r="CQ14" s="228">
        <v>-2</v>
      </c>
      <c r="CR14" s="229">
        <v>-6.0000000000000001E-3</v>
      </c>
      <c r="CS14" s="228">
        <v>196</v>
      </c>
      <c r="CT14" s="228">
        <v>186</v>
      </c>
      <c r="CU14" s="228">
        <v>10</v>
      </c>
      <c r="CV14" s="229">
        <v>5.3999999999999999E-2</v>
      </c>
      <c r="CW14" s="230">
        <v>1488</v>
      </c>
      <c r="CX14" s="230">
        <v>1551</v>
      </c>
      <c r="CY14" s="228">
        <v>-62</v>
      </c>
      <c r="CZ14" s="229">
        <v>-4.0300000000000002E-2</v>
      </c>
      <c r="DA14" s="228">
        <v>35.479999999999997</v>
      </c>
      <c r="DB14" s="228">
        <v>32.42</v>
      </c>
      <c r="DC14" s="228">
        <v>3.06</v>
      </c>
      <c r="DD14" s="228">
        <v>3.06</v>
      </c>
      <c r="DE14" s="228">
        <v>36.04</v>
      </c>
      <c r="DF14" s="228">
        <v>36.049999999999997</v>
      </c>
      <c r="DG14" s="228">
        <v>-0.56000000000000005</v>
      </c>
      <c r="DH14" s="228">
        <v>-0.01</v>
      </c>
      <c r="DI14" s="228">
        <v>34.64</v>
      </c>
      <c r="DJ14" s="228">
        <v>31.58</v>
      </c>
      <c r="DK14" s="228">
        <v>3.06</v>
      </c>
      <c r="DL14" s="228">
        <v>3.06</v>
      </c>
      <c r="DM14" s="228">
        <v>37.54</v>
      </c>
      <c r="DN14" s="228">
        <v>35.46</v>
      </c>
      <c r="DO14" s="228">
        <v>2.08</v>
      </c>
      <c r="DP14" s="228">
        <v>2.08</v>
      </c>
      <c r="DQ14" s="228">
        <v>0.71</v>
      </c>
      <c r="DR14" s="228">
        <v>0.67</v>
      </c>
      <c r="DS14" s="228">
        <v>0.04</v>
      </c>
      <c r="DT14" s="229">
        <v>5.9700000000000003E-2</v>
      </c>
      <c r="DU14" s="231">
        <v>2180</v>
      </c>
      <c r="DV14" s="231">
        <v>2000</v>
      </c>
      <c r="DW14" s="228">
        <v>0.4</v>
      </c>
      <c r="DX14" s="228">
        <v>0.28000000000000003</v>
      </c>
      <c r="DY14" s="228">
        <v>0.12</v>
      </c>
      <c r="DZ14" s="229">
        <v>0.42859999999999998</v>
      </c>
      <c r="EA14" s="229">
        <v>0.1229</v>
      </c>
      <c r="EB14" s="230">
        <v>571550</v>
      </c>
      <c r="EC14" s="229">
        <v>4.5999999999999999E-3</v>
      </c>
      <c r="ED14" s="229">
        <v>0.1229</v>
      </c>
      <c r="EE14" s="228">
        <v>9.11</v>
      </c>
      <c r="EF14" s="229">
        <v>4.3E-3</v>
      </c>
      <c r="EG14" s="230">
        <v>599548</v>
      </c>
      <c r="EH14" s="230">
        <v>390685</v>
      </c>
      <c r="EI14" s="229">
        <v>0.53459999999999996</v>
      </c>
      <c r="EJ14" s="229">
        <v>0.55689999999999995</v>
      </c>
      <c r="EK14" s="228">
        <v>556.05999999999995</v>
      </c>
      <c r="EL14" s="228">
        <v>210.86</v>
      </c>
      <c r="EM14" s="228">
        <v>217.9</v>
      </c>
      <c r="EN14" s="228">
        <v>30.21</v>
      </c>
      <c r="EO14" s="228">
        <v>984.82</v>
      </c>
      <c r="EP14" s="231">
        <v>1215.8699999999999</v>
      </c>
      <c r="EQ14" s="228">
        <v>-231.05</v>
      </c>
      <c r="ER14" s="229">
        <v>-0.19</v>
      </c>
      <c r="ES14" s="228">
        <v>272.60000000000002</v>
      </c>
      <c r="ET14" s="228">
        <v>179.01</v>
      </c>
      <c r="EU14" s="231">
        <v>1019.36</v>
      </c>
      <c r="EV14" s="231">
        <v>29871221</v>
      </c>
      <c r="EW14" s="231">
        <v>1470.97</v>
      </c>
      <c r="EX14" s="231">
        <v>1514.12</v>
      </c>
      <c r="EY14" s="228">
        <v>-43.15</v>
      </c>
      <c r="EZ14" s="229">
        <v>-2.8500000000000001E-2</v>
      </c>
      <c r="FA14" s="229">
        <v>0.23269999999999999</v>
      </c>
      <c r="FB14" s="227" t="s">
        <v>693</v>
      </c>
      <c r="FC14">
        <f t="shared" si="0"/>
        <v>125</v>
      </c>
    </row>
    <row r="15" spans="1:159" ht="17.25" thickBot="1" x14ac:dyDescent="0.3">
      <c r="A15" s="226">
        <v>46132</v>
      </c>
      <c r="B15" s="227" t="s">
        <v>170</v>
      </c>
      <c r="C15" s="227" t="s">
        <v>165</v>
      </c>
      <c r="D15" s="228">
        <v>125</v>
      </c>
      <c r="E15" s="228">
        <v>8</v>
      </c>
      <c r="F15" s="231">
        <v>7650</v>
      </c>
      <c r="G15" s="231">
        <v>7698</v>
      </c>
      <c r="H15" s="228">
        <v>-48</v>
      </c>
      <c r="I15" s="229">
        <v>-6.1999999999999998E-3</v>
      </c>
      <c r="J15" s="231">
        <v>7657</v>
      </c>
      <c r="K15" s="231">
        <v>7699</v>
      </c>
      <c r="L15" s="228">
        <v>-42</v>
      </c>
      <c r="M15" s="229">
        <v>-5.4999999999999997E-3</v>
      </c>
      <c r="N15" s="231">
        <v>7650</v>
      </c>
      <c r="O15" s="231">
        <v>7698</v>
      </c>
      <c r="P15" s="228">
        <v>-48</v>
      </c>
      <c r="Q15" s="229">
        <v>-6.1999999999999998E-3</v>
      </c>
      <c r="R15" s="231">
        <v>7692.5</v>
      </c>
      <c r="S15" s="231">
        <v>7738.5</v>
      </c>
      <c r="T15" s="228">
        <v>-46</v>
      </c>
      <c r="U15" s="229">
        <v>-5.8999999999999999E-3</v>
      </c>
      <c r="V15" s="231">
        <v>7746.5</v>
      </c>
      <c r="W15" s="231">
        <v>7787</v>
      </c>
      <c r="X15" s="228">
        <v>-40.5</v>
      </c>
      <c r="Y15" s="229">
        <v>-5.1999999999999998E-3</v>
      </c>
      <c r="Z15" s="228">
        <v>-7</v>
      </c>
      <c r="AA15" s="228">
        <v>-1</v>
      </c>
      <c r="AB15" s="228">
        <v>-6</v>
      </c>
      <c r="AC15" s="229">
        <v>-8.9999999999999998E-4</v>
      </c>
      <c r="AD15" s="228">
        <v>-7</v>
      </c>
      <c r="AE15" s="228">
        <v>-1</v>
      </c>
      <c r="AF15" s="228">
        <v>-6</v>
      </c>
      <c r="AG15" s="229">
        <v>-8.9999999999999998E-4</v>
      </c>
      <c r="AH15" s="228">
        <v>35.5</v>
      </c>
      <c r="AI15" s="228">
        <v>39.5</v>
      </c>
      <c r="AJ15" s="228">
        <v>-4</v>
      </c>
      <c r="AK15" s="229">
        <v>4.5999999999999999E-3</v>
      </c>
      <c r="AL15" s="228">
        <v>89.5</v>
      </c>
      <c r="AM15" s="228">
        <v>88</v>
      </c>
      <c r="AN15" s="228">
        <v>1.5</v>
      </c>
      <c r="AO15" s="229">
        <v>1.17E-2</v>
      </c>
      <c r="AP15" s="231">
        <v>7662.7</v>
      </c>
      <c r="AQ15" s="231">
        <v>7708.96</v>
      </c>
      <c r="AR15" s="228">
        <v>0</v>
      </c>
      <c r="AS15" s="228">
        <v>187</v>
      </c>
      <c r="AT15" s="228">
        <v>241</v>
      </c>
      <c r="AU15" s="228">
        <v>-54</v>
      </c>
      <c r="AV15" s="229">
        <v>-0.22289999999999999</v>
      </c>
      <c r="AW15" s="228">
        <v>144</v>
      </c>
      <c r="AX15" s="228">
        <v>201</v>
      </c>
      <c r="AY15" s="228">
        <v>-56</v>
      </c>
      <c r="AZ15" s="229">
        <v>-0.28010000000000002</v>
      </c>
      <c r="BA15" s="228">
        <v>41</v>
      </c>
      <c r="BB15" s="228">
        <v>38</v>
      </c>
      <c r="BC15" s="228">
        <v>3</v>
      </c>
      <c r="BD15" s="229">
        <v>7.6100000000000001E-2</v>
      </c>
      <c r="BE15" s="228">
        <v>2</v>
      </c>
      <c r="BF15" s="228">
        <v>2</v>
      </c>
      <c r="BG15" s="228">
        <v>0</v>
      </c>
      <c r="BH15" s="229">
        <v>-0.125</v>
      </c>
      <c r="BI15" s="230">
        <v>1205</v>
      </c>
      <c r="BJ15" s="230">
        <v>2188</v>
      </c>
      <c r="BK15" s="228">
        <v>-983</v>
      </c>
      <c r="BL15" s="229">
        <v>-0.44929999999999998</v>
      </c>
      <c r="BM15" s="228">
        <v>647</v>
      </c>
      <c r="BN15" s="228">
        <v>814</v>
      </c>
      <c r="BO15" s="228">
        <v>-167</v>
      </c>
      <c r="BP15" s="229">
        <v>-0.2054</v>
      </c>
      <c r="BQ15" s="230">
        <v>2039</v>
      </c>
      <c r="BR15" s="230">
        <v>3243</v>
      </c>
      <c r="BS15" s="230">
        <v>-1204</v>
      </c>
      <c r="BT15" s="229">
        <v>-0.37119999999999997</v>
      </c>
      <c r="BU15" s="230">
        <v>351110</v>
      </c>
      <c r="BV15" s="230">
        <v>354844</v>
      </c>
      <c r="BW15" s="230">
        <v>-3734</v>
      </c>
      <c r="BX15" s="229">
        <v>-1.0500000000000001E-2</v>
      </c>
      <c r="BY15" s="230">
        <v>1827</v>
      </c>
      <c r="BZ15" s="230">
        <v>1833</v>
      </c>
      <c r="CA15" s="228">
        <v>-7</v>
      </c>
      <c r="CB15" s="229">
        <v>-3.5000000000000001E-3</v>
      </c>
      <c r="CC15" s="230">
        <v>1725</v>
      </c>
      <c r="CD15" s="230">
        <v>1745</v>
      </c>
      <c r="CE15" s="228">
        <v>-20</v>
      </c>
      <c r="CF15" s="229">
        <v>-1.17E-2</v>
      </c>
      <c r="CG15" s="228">
        <v>90</v>
      </c>
      <c r="CH15" s="228">
        <v>78</v>
      </c>
      <c r="CI15" s="228">
        <v>13</v>
      </c>
      <c r="CJ15" s="229">
        <v>0.16089999999999999</v>
      </c>
      <c r="CK15" s="228">
        <v>12</v>
      </c>
      <c r="CL15" s="228">
        <v>10</v>
      </c>
      <c r="CM15" s="228">
        <v>1</v>
      </c>
      <c r="CN15" s="229">
        <v>0.14149999999999999</v>
      </c>
      <c r="CO15" s="228">
        <v>677</v>
      </c>
      <c r="CP15" s="228">
        <v>668</v>
      </c>
      <c r="CQ15" s="228">
        <v>9</v>
      </c>
      <c r="CR15" s="229">
        <v>1.3899999999999999E-2</v>
      </c>
      <c r="CS15" s="228">
        <v>592</v>
      </c>
      <c r="CT15" s="228">
        <v>610</v>
      </c>
      <c r="CU15" s="228">
        <v>-18</v>
      </c>
      <c r="CV15" s="229">
        <v>-2.8899999999999999E-2</v>
      </c>
      <c r="CW15" s="230">
        <v>3095</v>
      </c>
      <c r="CX15" s="230">
        <v>3110</v>
      </c>
      <c r="CY15" s="228">
        <v>-15</v>
      </c>
      <c r="CZ15" s="229">
        <v>-4.7999999999999996E-3</v>
      </c>
      <c r="DA15" s="228">
        <v>25.67</v>
      </c>
      <c r="DB15" s="228">
        <v>22.92</v>
      </c>
      <c r="DC15" s="228">
        <v>2.75</v>
      </c>
      <c r="DD15" s="228">
        <v>2.75</v>
      </c>
      <c r="DE15" s="228">
        <v>25.18</v>
      </c>
      <c r="DF15" s="228">
        <v>25.23</v>
      </c>
      <c r="DG15" s="228">
        <v>0.49</v>
      </c>
      <c r="DH15" s="228">
        <v>-0.05</v>
      </c>
      <c r="DI15" s="228">
        <v>24.93</v>
      </c>
      <c r="DJ15" s="228">
        <v>22.34</v>
      </c>
      <c r="DK15" s="228">
        <v>2.59</v>
      </c>
      <c r="DL15" s="228">
        <v>2.59</v>
      </c>
      <c r="DM15" s="228">
        <v>27.03</v>
      </c>
      <c r="DN15" s="228">
        <v>24.48</v>
      </c>
      <c r="DO15" s="228">
        <v>2.5499999999999998</v>
      </c>
      <c r="DP15" s="228">
        <v>2.5499999999999998</v>
      </c>
      <c r="DQ15" s="228">
        <v>0.87</v>
      </c>
      <c r="DR15" s="228">
        <v>0.91</v>
      </c>
      <c r="DS15" s="228">
        <v>-0.04</v>
      </c>
      <c r="DT15" s="229">
        <v>-4.3999999999999997E-2</v>
      </c>
      <c r="DU15" s="231">
        <v>7700</v>
      </c>
      <c r="DV15" s="231">
        <v>6700</v>
      </c>
      <c r="DW15" s="228">
        <v>0.54</v>
      </c>
      <c r="DX15" s="228">
        <v>0.37</v>
      </c>
      <c r="DY15" s="228">
        <v>0.17</v>
      </c>
      <c r="DZ15" s="229">
        <v>0.45950000000000002</v>
      </c>
      <c r="EA15" s="229">
        <v>5.5800000000000002E-2</v>
      </c>
      <c r="EB15" s="230">
        <v>115000</v>
      </c>
      <c r="EC15" s="229">
        <v>5.5999999999999999E-3</v>
      </c>
      <c r="ED15" s="229">
        <v>5.5800000000000002E-2</v>
      </c>
      <c r="EE15" s="228">
        <v>46.26</v>
      </c>
      <c r="EF15" s="229">
        <v>6.0000000000000001E-3</v>
      </c>
      <c r="EG15" s="230">
        <v>191006</v>
      </c>
      <c r="EH15" s="230">
        <v>214210</v>
      </c>
      <c r="EI15" s="229">
        <v>-0.10829999999999999</v>
      </c>
      <c r="EJ15" s="229">
        <v>0.54400000000000004</v>
      </c>
      <c r="EK15" s="231">
        <v>1238.46</v>
      </c>
      <c r="EL15" s="228">
        <v>636.04</v>
      </c>
      <c r="EM15" s="228">
        <v>187.62</v>
      </c>
      <c r="EN15" s="228">
        <v>27.71</v>
      </c>
      <c r="EO15" s="231">
        <v>2062.13</v>
      </c>
      <c r="EP15" s="231">
        <v>3287.67</v>
      </c>
      <c r="EQ15" s="231">
        <v>-1225.54</v>
      </c>
      <c r="ER15" s="229">
        <v>-0.37280000000000002</v>
      </c>
      <c r="ES15" s="228">
        <v>686.25</v>
      </c>
      <c r="ET15" s="228">
        <v>552.07000000000005</v>
      </c>
      <c r="EU15" s="231">
        <v>1827.37</v>
      </c>
      <c r="EV15" s="231">
        <v>15524629</v>
      </c>
      <c r="EW15" s="231">
        <v>3065.69</v>
      </c>
      <c r="EX15" s="231">
        <v>3091.31</v>
      </c>
      <c r="EY15" s="228">
        <v>-25.62</v>
      </c>
      <c r="EZ15" s="229">
        <v>-8.3000000000000001E-3</v>
      </c>
      <c r="FA15" s="229">
        <v>0.2606</v>
      </c>
      <c r="FB15" s="227" t="s">
        <v>567</v>
      </c>
      <c r="FC15">
        <f t="shared" si="0"/>
        <v>102</v>
      </c>
    </row>
    <row r="16" spans="1:159" ht="17.25" thickBot="1" x14ac:dyDescent="0.3">
      <c r="A16" s="226">
        <v>46132</v>
      </c>
      <c r="B16" s="227" t="s">
        <v>162</v>
      </c>
      <c r="C16" s="227" t="s">
        <v>167</v>
      </c>
      <c r="D16" s="228">
        <v>5000</v>
      </c>
      <c r="E16" s="228">
        <v>8</v>
      </c>
      <c r="F16" s="228">
        <v>176.18</v>
      </c>
      <c r="G16" s="228">
        <v>174.97</v>
      </c>
      <c r="H16" s="228">
        <v>1.21</v>
      </c>
      <c r="I16" s="229">
        <v>6.8999999999999999E-3</v>
      </c>
      <c r="J16" s="228">
        <v>175.96</v>
      </c>
      <c r="K16" s="228">
        <v>174.78</v>
      </c>
      <c r="L16" s="228">
        <v>1.18</v>
      </c>
      <c r="M16" s="229">
        <v>6.7999999999999996E-3</v>
      </c>
      <c r="N16" s="228">
        <v>176.18</v>
      </c>
      <c r="O16" s="228">
        <v>174.97</v>
      </c>
      <c r="P16" s="228">
        <v>1.21</v>
      </c>
      <c r="Q16" s="229">
        <v>6.8999999999999999E-3</v>
      </c>
      <c r="R16" s="228">
        <v>174.43</v>
      </c>
      <c r="S16" s="228">
        <v>173.24</v>
      </c>
      <c r="T16" s="228">
        <v>1.19</v>
      </c>
      <c r="U16" s="229">
        <v>6.8999999999999999E-3</v>
      </c>
      <c r="V16" s="228">
        <v>173.68</v>
      </c>
      <c r="W16" s="228">
        <v>172.42</v>
      </c>
      <c r="X16" s="228">
        <v>1.26</v>
      </c>
      <c r="Y16" s="229">
        <v>7.3000000000000001E-3</v>
      </c>
      <c r="Z16" s="228">
        <v>0.22</v>
      </c>
      <c r="AA16" s="228">
        <v>0.19</v>
      </c>
      <c r="AB16" s="228">
        <v>0.03</v>
      </c>
      <c r="AC16" s="229">
        <v>1.2999999999999999E-3</v>
      </c>
      <c r="AD16" s="228">
        <v>0.22</v>
      </c>
      <c r="AE16" s="228">
        <v>0.19</v>
      </c>
      <c r="AF16" s="228">
        <v>0.03</v>
      </c>
      <c r="AG16" s="229">
        <v>1.2999999999999999E-3</v>
      </c>
      <c r="AH16" s="228">
        <v>-1.53</v>
      </c>
      <c r="AI16" s="228">
        <v>-1.54</v>
      </c>
      <c r="AJ16" s="228">
        <v>0.01</v>
      </c>
      <c r="AK16" s="229">
        <v>-8.6999999999999994E-3</v>
      </c>
      <c r="AL16" s="228">
        <v>-2.2799999999999998</v>
      </c>
      <c r="AM16" s="228">
        <v>-2.36</v>
      </c>
      <c r="AN16" s="228">
        <v>0.08</v>
      </c>
      <c r="AO16" s="229">
        <v>-1.2999999999999999E-2</v>
      </c>
      <c r="AP16" s="228">
        <v>175.82</v>
      </c>
      <c r="AQ16" s="228">
        <v>174.03</v>
      </c>
      <c r="AR16" s="228">
        <v>0</v>
      </c>
      <c r="AS16" s="228">
        <v>371</v>
      </c>
      <c r="AT16" s="228">
        <v>580</v>
      </c>
      <c r="AU16" s="228">
        <v>-209</v>
      </c>
      <c r="AV16" s="229">
        <v>-0.36</v>
      </c>
      <c r="AW16" s="228">
        <v>281</v>
      </c>
      <c r="AX16" s="228">
        <v>441</v>
      </c>
      <c r="AY16" s="228">
        <v>-160</v>
      </c>
      <c r="AZ16" s="229">
        <v>-0.36320000000000002</v>
      </c>
      <c r="BA16" s="228">
        <v>78</v>
      </c>
      <c r="BB16" s="228">
        <v>124</v>
      </c>
      <c r="BC16" s="228">
        <v>-46</v>
      </c>
      <c r="BD16" s="229">
        <v>-0.37159999999999999</v>
      </c>
      <c r="BE16" s="228">
        <v>13</v>
      </c>
      <c r="BF16" s="228">
        <v>15</v>
      </c>
      <c r="BG16" s="228">
        <v>-3</v>
      </c>
      <c r="BH16" s="229">
        <v>-0.1724</v>
      </c>
      <c r="BI16" s="230">
        <v>1709</v>
      </c>
      <c r="BJ16" s="230">
        <v>1339</v>
      </c>
      <c r="BK16" s="228">
        <v>370</v>
      </c>
      <c r="BL16" s="229">
        <v>0.2762</v>
      </c>
      <c r="BM16" s="228">
        <v>786</v>
      </c>
      <c r="BN16" s="228">
        <v>764</v>
      </c>
      <c r="BO16" s="228">
        <v>21</v>
      </c>
      <c r="BP16" s="229">
        <v>2.8000000000000001E-2</v>
      </c>
      <c r="BQ16" s="230">
        <v>2866</v>
      </c>
      <c r="BR16" s="230">
        <v>2683</v>
      </c>
      <c r="BS16" s="228">
        <v>182</v>
      </c>
      <c r="BT16" s="229">
        <v>6.8000000000000005E-2</v>
      </c>
      <c r="BU16" s="230">
        <v>12464217</v>
      </c>
      <c r="BV16" s="230">
        <v>22380777</v>
      </c>
      <c r="BW16" s="230">
        <v>-9916560</v>
      </c>
      <c r="BX16" s="229">
        <v>-0.44309999999999999</v>
      </c>
      <c r="BY16" s="230">
        <v>2390</v>
      </c>
      <c r="BZ16" s="230">
        <v>2431</v>
      </c>
      <c r="CA16" s="228">
        <v>-41</v>
      </c>
      <c r="CB16" s="229">
        <v>-1.67E-2</v>
      </c>
      <c r="CC16" s="230">
        <v>2132</v>
      </c>
      <c r="CD16" s="230">
        <v>2187</v>
      </c>
      <c r="CE16" s="228">
        <v>-55</v>
      </c>
      <c r="CF16" s="229">
        <v>-2.52E-2</v>
      </c>
      <c r="CG16" s="228">
        <v>216</v>
      </c>
      <c r="CH16" s="228">
        <v>200</v>
      </c>
      <c r="CI16" s="228">
        <v>16</v>
      </c>
      <c r="CJ16" s="229">
        <v>7.8200000000000006E-2</v>
      </c>
      <c r="CK16" s="228">
        <v>42</v>
      </c>
      <c r="CL16" s="228">
        <v>43</v>
      </c>
      <c r="CM16" s="228">
        <v>-1</v>
      </c>
      <c r="CN16" s="229">
        <v>-2.86E-2</v>
      </c>
      <c r="CO16" s="230">
        <v>1692</v>
      </c>
      <c r="CP16" s="230">
        <v>1628</v>
      </c>
      <c r="CQ16" s="228">
        <v>64</v>
      </c>
      <c r="CR16" s="229">
        <v>3.95E-2</v>
      </c>
      <c r="CS16" s="230">
        <v>1211</v>
      </c>
      <c r="CT16" s="230">
        <v>1200</v>
      </c>
      <c r="CU16" s="228">
        <v>12</v>
      </c>
      <c r="CV16" s="229">
        <v>9.5999999999999992E-3</v>
      </c>
      <c r="CW16" s="230">
        <v>5294</v>
      </c>
      <c r="CX16" s="230">
        <v>5258</v>
      </c>
      <c r="CY16" s="228">
        <v>35</v>
      </c>
      <c r="CZ16" s="229">
        <v>6.7000000000000002E-3</v>
      </c>
      <c r="DA16" s="228">
        <v>44.63</v>
      </c>
      <c r="DB16" s="228">
        <v>40.729999999999997</v>
      </c>
      <c r="DC16" s="228">
        <v>3.9</v>
      </c>
      <c r="DD16" s="228">
        <v>3.9</v>
      </c>
      <c r="DE16" s="228">
        <v>42.5</v>
      </c>
      <c r="DF16" s="228">
        <v>42.6</v>
      </c>
      <c r="DG16" s="228">
        <v>2.13</v>
      </c>
      <c r="DH16" s="228">
        <v>-0.1</v>
      </c>
      <c r="DI16" s="228">
        <v>43.31</v>
      </c>
      <c r="DJ16" s="228">
        <v>38.97</v>
      </c>
      <c r="DK16" s="228">
        <v>4.34</v>
      </c>
      <c r="DL16" s="228">
        <v>4.34</v>
      </c>
      <c r="DM16" s="228">
        <v>47.51</v>
      </c>
      <c r="DN16" s="228">
        <v>43.8</v>
      </c>
      <c r="DO16" s="228">
        <v>3.71</v>
      </c>
      <c r="DP16" s="228">
        <v>3.71</v>
      </c>
      <c r="DQ16" s="228">
        <v>0.72</v>
      </c>
      <c r="DR16" s="228">
        <v>0.74</v>
      </c>
      <c r="DS16" s="228">
        <v>-0.02</v>
      </c>
      <c r="DT16" s="229">
        <v>-2.7E-2</v>
      </c>
      <c r="DU16" s="228">
        <v>180</v>
      </c>
      <c r="DV16" s="228">
        <v>160</v>
      </c>
      <c r="DW16" s="228">
        <v>0.46</v>
      </c>
      <c r="DX16" s="228">
        <v>0.56999999999999995</v>
      </c>
      <c r="DY16" s="228">
        <v>-0.11</v>
      </c>
      <c r="DZ16" s="229">
        <v>-0.193</v>
      </c>
      <c r="EA16" s="229">
        <v>0.108</v>
      </c>
      <c r="EB16" s="230">
        <v>13830000</v>
      </c>
      <c r="EC16" s="229">
        <v>-9.9000000000000008E-3</v>
      </c>
      <c r="ED16" s="229">
        <v>0.108</v>
      </c>
      <c r="EE16" s="228">
        <v>-1.79</v>
      </c>
      <c r="EF16" s="229">
        <v>-1.0200000000000001E-2</v>
      </c>
      <c r="EG16" s="230">
        <v>5074881</v>
      </c>
      <c r="EH16" s="230">
        <v>10715878</v>
      </c>
      <c r="EI16" s="229">
        <v>-0.52639999999999998</v>
      </c>
      <c r="EJ16" s="229">
        <v>0.40720000000000001</v>
      </c>
      <c r="EK16" s="231">
        <v>1818.19</v>
      </c>
      <c r="EL16" s="228">
        <v>742.8</v>
      </c>
      <c r="EM16" s="228">
        <v>369.67</v>
      </c>
      <c r="EN16" s="228">
        <v>62.27</v>
      </c>
      <c r="EO16" s="231">
        <v>2930.67</v>
      </c>
      <c r="EP16" s="231">
        <v>2714.04</v>
      </c>
      <c r="EQ16" s="228">
        <v>216.63</v>
      </c>
      <c r="ER16" s="229">
        <v>7.9799999999999996E-2</v>
      </c>
      <c r="ES16" s="231">
        <v>1743.95</v>
      </c>
      <c r="ET16" s="231">
        <v>1146.98</v>
      </c>
      <c r="EU16" s="231">
        <v>2387.4899999999998</v>
      </c>
      <c r="EV16" s="231">
        <v>423779104</v>
      </c>
      <c r="EW16" s="231">
        <v>5278.42</v>
      </c>
      <c r="EX16" s="231">
        <v>5219.07</v>
      </c>
      <c r="EY16" s="228">
        <v>59.35</v>
      </c>
      <c r="EZ16" s="229">
        <v>1.14E-2</v>
      </c>
      <c r="FA16" s="229">
        <v>0.70899999999999996</v>
      </c>
      <c r="FB16" s="227" t="s">
        <v>693</v>
      </c>
      <c r="FC16">
        <f t="shared" si="0"/>
        <v>258</v>
      </c>
    </row>
    <row r="17" spans="1:159" ht="17.25" thickBot="1" x14ac:dyDescent="0.3">
      <c r="A17" s="226">
        <v>46132</v>
      </c>
      <c r="B17" s="227" t="s">
        <v>168</v>
      </c>
      <c r="C17" s="227" t="s">
        <v>169</v>
      </c>
      <c r="D17" s="228">
        <v>250</v>
      </c>
      <c r="E17" s="228">
        <v>8</v>
      </c>
      <c r="F17" s="231">
        <v>2514.6</v>
      </c>
      <c r="G17" s="231">
        <v>2464.3000000000002</v>
      </c>
      <c r="H17" s="228">
        <v>50.3</v>
      </c>
      <c r="I17" s="229">
        <v>2.0400000000000001E-2</v>
      </c>
      <c r="J17" s="231">
        <v>2516.8000000000002</v>
      </c>
      <c r="K17" s="231">
        <v>2464</v>
      </c>
      <c r="L17" s="228">
        <v>52.8</v>
      </c>
      <c r="M17" s="229">
        <v>2.1399999999999999E-2</v>
      </c>
      <c r="N17" s="231">
        <v>2514.6</v>
      </c>
      <c r="O17" s="231">
        <v>2464.3000000000002</v>
      </c>
      <c r="P17" s="228">
        <v>50.3</v>
      </c>
      <c r="Q17" s="229">
        <v>2.0400000000000001E-2</v>
      </c>
      <c r="R17" s="231">
        <v>2529.8000000000002</v>
      </c>
      <c r="S17" s="231">
        <v>2478.9</v>
      </c>
      <c r="T17" s="228">
        <v>50.9</v>
      </c>
      <c r="U17" s="229">
        <v>2.0500000000000001E-2</v>
      </c>
      <c r="V17" s="231">
        <v>2517.9</v>
      </c>
      <c r="W17" s="231">
        <v>2464.1999999999998</v>
      </c>
      <c r="X17" s="228">
        <v>53.7</v>
      </c>
      <c r="Y17" s="229">
        <v>2.18E-2</v>
      </c>
      <c r="Z17" s="228">
        <v>-2.2000000000000002</v>
      </c>
      <c r="AA17" s="228">
        <v>0.3</v>
      </c>
      <c r="AB17" s="228">
        <v>-2.5</v>
      </c>
      <c r="AC17" s="229">
        <v>-8.9999999999999998E-4</v>
      </c>
      <c r="AD17" s="228">
        <v>-2.2000000000000002</v>
      </c>
      <c r="AE17" s="228">
        <v>0.3</v>
      </c>
      <c r="AF17" s="228">
        <v>-2.5</v>
      </c>
      <c r="AG17" s="229">
        <v>-8.9999999999999998E-4</v>
      </c>
      <c r="AH17" s="228">
        <v>13</v>
      </c>
      <c r="AI17" s="228">
        <v>14.9</v>
      </c>
      <c r="AJ17" s="228">
        <v>-1.9</v>
      </c>
      <c r="AK17" s="229">
        <v>5.1999999999999998E-3</v>
      </c>
      <c r="AL17" s="228">
        <v>1.1000000000000001</v>
      </c>
      <c r="AM17" s="228">
        <v>0.2</v>
      </c>
      <c r="AN17" s="228">
        <v>0.9</v>
      </c>
      <c r="AO17" s="229">
        <v>4.0000000000000002E-4</v>
      </c>
      <c r="AP17" s="231">
        <v>2500.17</v>
      </c>
      <c r="AQ17" s="231">
        <v>2515.54</v>
      </c>
      <c r="AR17" s="228">
        <v>0</v>
      </c>
      <c r="AS17" s="228">
        <v>502</v>
      </c>
      <c r="AT17" s="228">
        <v>816</v>
      </c>
      <c r="AU17" s="228">
        <v>-314</v>
      </c>
      <c r="AV17" s="229">
        <v>-0.38469999999999999</v>
      </c>
      <c r="AW17" s="228">
        <v>410</v>
      </c>
      <c r="AX17" s="228">
        <v>598</v>
      </c>
      <c r="AY17" s="228">
        <v>-189</v>
      </c>
      <c r="AZ17" s="229">
        <v>-0.31540000000000001</v>
      </c>
      <c r="BA17" s="228">
        <v>81</v>
      </c>
      <c r="BB17" s="228">
        <v>53</v>
      </c>
      <c r="BC17" s="228">
        <v>28</v>
      </c>
      <c r="BD17" s="229">
        <v>0.53200000000000003</v>
      </c>
      <c r="BE17" s="228">
        <v>11</v>
      </c>
      <c r="BF17" s="228">
        <v>164</v>
      </c>
      <c r="BG17" s="228">
        <v>-153</v>
      </c>
      <c r="BH17" s="229">
        <v>-0.93340000000000001</v>
      </c>
      <c r="BI17" s="230">
        <v>2327</v>
      </c>
      <c r="BJ17" s="230">
        <v>2317</v>
      </c>
      <c r="BK17" s="228">
        <v>10</v>
      </c>
      <c r="BL17" s="229">
        <v>4.1999999999999997E-3</v>
      </c>
      <c r="BM17" s="230">
        <v>1846</v>
      </c>
      <c r="BN17" s="230">
        <v>1622</v>
      </c>
      <c r="BO17" s="228">
        <v>223</v>
      </c>
      <c r="BP17" s="229">
        <v>0.13769999999999999</v>
      </c>
      <c r="BQ17" s="230">
        <v>4674</v>
      </c>
      <c r="BR17" s="230">
        <v>4755</v>
      </c>
      <c r="BS17" s="228">
        <v>-81</v>
      </c>
      <c r="BT17" s="229">
        <v>-1.7000000000000001E-2</v>
      </c>
      <c r="BU17" s="230">
        <v>1240595</v>
      </c>
      <c r="BV17" s="230">
        <v>1345408</v>
      </c>
      <c r="BW17" s="230">
        <v>-104813</v>
      </c>
      <c r="BX17" s="229">
        <v>-7.7899999999999997E-2</v>
      </c>
      <c r="BY17" s="230">
        <v>3656</v>
      </c>
      <c r="BZ17" s="230">
        <v>3665</v>
      </c>
      <c r="CA17" s="228">
        <v>-9</v>
      </c>
      <c r="CB17" s="229">
        <v>-2.5999999999999999E-3</v>
      </c>
      <c r="CC17" s="230">
        <v>3095</v>
      </c>
      <c r="CD17" s="230">
        <v>3151</v>
      </c>
      <c r="CE17" s="228">
        <v>-56</v>
      </c>
      <c r="CF17" s="229">
        <v>-1.77E-2</v>
      </c>
      <c r="CG17" s="228">
        <v>371</v>
      </c>
      <c r="CH17" s="228">
        <v>329</v>
      </c>
      <c r="CI17" s="228">
        <v>42</v>
      </c>
      <c r="CJ17" s="229">
        <v>0.12690000000000001</v>
      </c>
      <c r="CK17" s="228">
        <v>190</v>
      </c>
      <c r="CL17" s="228">
        <v>186</v>
      </c>
      <c r="CM17" s="228">
        <v>5</v>
      </c>
      <c r="CN17" s="229">
        <v>2.47E-2</v>
      </c>
      <c r="CO17" s="230">
        <v>1211</v>
      </c>
      <c r="CP17" s="230">
        <v>1122</v>
      </c>
      <c r="CQ17" s="228">
        <v>89</v>
      </c>
      <c r="CR17" s="229">
        <v>7.9699999999999993E-2</v>
      </c>
      <c r="CS17" s="230">
        <v>1486</v>
      </c>
      <c r="CT17" s="230">
        <v>1295</v>
      </c>
      <c r="CU17" s="228">
        <v>191</v>
      </c>
      <c r="CV17" s="229">
        <v>0.14760000000000001</v>
      </c>
      <c r="CW17" s="230">
        <v>6353</v>
      </c>
      <c r="CX17" s="230">
        <v>6081</v>
      </c>
      <c r="CY17" s="228">
        <v>271</v>
      </c>
      <c r="CZ17" s="229">
        <v>4.4600000000000001E-2</v>
      </c>
      <c r="DA17" s="228">
        <v>30.75</v>
      </c>
      <c r="DB17" s="228">
        <v>28.94</v>
      </c>
      <c r="DC17" s="228">
        <v>1.81</v>
      </c>
      <c r="DD17" s="228">
        <v>1.81</v>
      </c>
      <c r="DE17" s="228">
        <v>29.26</v>
      </c>
      <c r="DF17" s="228">
        <v>29.21</v>
      </c>
      <c r="DG17" s="228">
        <v>1.49</v>
      </c>
      <c r="DH17" s="228">
        <v>0.05</v>
      </c>
      <c r="DI17" s="228">
        <v>28.66</v>
      </c>
      <c r="DJ17" s="228">
        <v>27.12</v>
      </c>
      <c r="DK17" s="228">
        <v>1.54</v>
      </c>
      <c r="DL17" s="228">
        <v>1.54</v>
      </c>
      <c r="DM17" s="228">
        <v>33.380000000000003</v>
      </c>
      <c r="DN17" s="228">
        <v>31.55</v>
      </c>
      <c r="DO17" s="228">
        <v>1.83</v>
      </c>
      <c r="DP17" s="228">
        <v>1.83</v>
      </c>
      <c r="DQ17" s="228">
        <v>1.23</v>
      </c>
      <c r="DR17" s="228">
        <v>1.1499999999999999</v>
      </c>
      <c r="DS17" s="228">
        <v>0.08</v>
      </c>
      <c r="DT17" s="229">
        <v>6.9599999999999995E-2</v>
      </c>
      <c r="DU17" s="231">
        <v>2500</v>
      </c>
      <c r="DV17" s="231">
        <v>2400</v>
      </c>
      <c r="DW17" s="228">
        <v>0.79</v>
      </c>
      <c r="DX17" s="228">
        <v>0.7</v>
      </c>
      <c r="DY17" s="228">
        <v>0.09</v>
      </c>
      <c r="DZ17" s="229">
        <v>0.12859999999999999</v>
      </c>
      <c r="EA17" s="229">
        <v>0.15340000000000001</v>
      </c>
      <c r="EB17" s="230">
        <v>2045750</v>
      </c>
      <c r="EC17" s="229">
        <v>6.0000000000000001E-3</v>
      </c>
      <c r="ED17" s="229">
        <v>0.15340000000000001</v>
      </c>
      <c r="EE17" s="228">
        <v>15.37</v>
      </c>
      <c r="EF17" s="229">
        <v>6.1000000000000004E-3</v>
      </c>
      <c r="EG17" s="230">
        <v>680355</v>
      </c>
      <c r="EH17" s="230">
        <v>742881</v>
      </c>
      <c r="EI17" s="229">
        <v>-8.4199999999999997E-2</v>
      </c>
      <c r="EJ17" s="229">
        <v>0.5484</v>
      </c>
      <c r="EK17" s="231">
        <v>2382.4299999999998</v>
      </c>
      <c r="EL17" s="231">
        <v>1774.83</v>
      </c>
      <c r="EM17" s="228">
        <v>499.54</v>
      </c>
      <c r="EN17" s="228">
        <v>86.15</v>
      </c>
      <c r="EO17" s="231">
        <v>4656.8</v>
      </c>
      <c r="EP17" s="231">
        <v>4687.6000000000004</v>
      </c>
      <c r="EQ17" s="228">
        <v>-30.8</v>
      </c>
      <c r="ER17" s="229">
        <v>-6.6E-3</v>
      </c>
      <c r="ES17" s="231">
        <v>1181.5999999999999</v>
      </c>
      <c r="ET17" s="231">
        <v>1324.69</v>
      </c>
      <c r="EU17" s="231">
        <v>3658.03</v>
      </c>
      <c r="EV17" s="231">
        <v>62818628</v>
      </c>
      <c r="EW17" s="231">
        <v>6164.31</v>
      </c>
      <c r="EX17" s="231">
        <v>5813.89</v>
      </c>
      <c r="EY17" s="228">
        <v>350.42</v>
      </c>
      <c r="EZ17" s="229">
        <v>6.0299999999999999E-2</v>
      </c>
      <c r="FA17" s="229">
        <v>0.40210000000000001</v>
      </c>
      <c r="FB17" s="227" t="s">
        <v>693</v>
      </c>
      <c r="FC17">
        <f t="shared" si="0"/>
        <v>561</v>
      </c>
    </row>
    <row r="18" spans="1:159" ht="17.25" thickBot="1" x14ac:dyDescent="0.3">
      <c r="A18" s="226">
        <v>46132</v>
      </c>
      <c r="B18" s="227" t="s">
        <v>184</v>
      </c>
      <c r="C18" s="227" t="s">
        <v>503</v>
      </c>
      <c r="D18" s="228">
        <v>425</v>
      </c>
      <c r="E18" s="228">
        <v>8</v>
      </c>
      <c r="F18" s="231">
        <v>1542.6</v>
      </c>
      <c r="G18" s="231">
        <v>1544.7</v>
      </c>
      <c r="H18" s="228">
        <v>-2.1</v>
      </c>
      <c r="I18" s="229">
        <v>-1.4E-3</v>
      </c>
      <c r="J18" s="231">
        <v>1591.4</v>
      </c>
      <c r="K18" s="231">
        <v>1605</v>
      </c>
      <c r="L18" s="228">
        <v>-13.6</v>
      </c>
      <c r="M18" s="229">
        <v>-8.5000000000000006E-3</v>
      </c>
      <c r="N18" s="231">
        <v>1542.6</v>
      </c>
      <c r="O18" s="231">
        <v>1544.7</v>
      </c>
      <c r="P18" s="228">
        <v>-2.1</v>
      </c>
      <c r="Q18" s="229">
        <v>-1.4E-3</v>
      </c>
      <c r="R18" s="231">
        <v>1492.5</v>
      </c>
      <c r="S18" s="231">
        <v>1494.8</v>
      </c>
      <c r="T18" s="228">
        <v>-2.2999999999999998</v>
      </c>
      <c r="U18" s="229">
        <v>-1.5E-3</v>
      </c>
      <c r="V18" s="231">
        <v>1470.9</v>
      </c>
      <c r="W18" s="231">
        <v>1465.2</v>
      </c>
      <c r="X18" s="228">
        <v>5.7</v>
      </c>
      <c r="Y18" s="229">
        <v>3.8999999999999998E-3</v>
      </c>
      <c r="Z18" s="228">
        <v>-48.8</v>
      </c>
      <c r="AA18" s="228">
        <v>-60.3</v>
      </c>
      <c r="AB18" s="228">
        <v>11.5</v>
      </c>
      <c r="AC18" s="229">
        <v>-3.0700000000000002E-2</v>
      </c>
      <c r="AD18" s="228">
        <v>-48.8</v>
      </c>
      <c r="AE18" s="228">
        <v>-60.3</v>
      </c>
      <c r="AF18" s="228">
        <v>11.5</v>
      </c>
      <c r="AG18" s="229">
        <v>-3.0700000000000002E-2</v>
      </c>
      <c r="AH18" s="228">
        <v>-98.9</v>
      </c>
      <c r="AI18" s="228">
        <v>-110.2</v>
      </c>
      <c r="AJ18" s="228">
        <v>11.3</v>
      </c>
      <c r="AK18" s="229">
        <v>-6.2100000000000002E-2</v>
      </c>
      <c r="AL18" s="228">
        <v>-120.5</v>
      </c>
      <c r="AM18" s="228">
        <v>-139.80000000000001</v>
      </c>
      <c r="AN18" s="228">
        <v>19.3</v>
      </c>
      <c r="AO18" s="229">
        <v>-7.5700000000000003E-2</v>
      </c>
      <c r="AP18" s="231">
        <v>1552.16</v>
      </c>
      <c r="AQ18" s="231">
        <v>1504.47</v>
      </c>
      <c r="AR18" s="228">
        <v>0</v>
      </c>
      <c r="AS18" s="228">
        <v>355</v>
      </c>
      <c r="AT18" s="228">
        <v>566</v>
      </c>
      <c r="AU18" s="228">
        <v>-211</v>
      </c>
      <c r="AV18" s="229">
        <v>-0.3725</v>
      </c>
      <c r="AW18" s="228">
        <v>224</v>
      </c>
      <c r="AX18" s="228">
        <v>394</v>
      </c>
      <c r="AY18" s="228">
        <v>-170</v>
      </c>
      <c r="AZ18" s="229">
        <v>-0.43149999999999999</v>
      </c>
      <c r="BA18" s="228">
        <v>126</v>
      </c>
      <c r="BB18" s="228">
        <v>162</v>
      </c>
      <c r="BC18" s="228">
        <v>-36</v>
      </c>
      <c r="BD18" s="229">
        <v>-0.2238</v>
      </c>
      <c r="BE18" s="228">
        <v>5</v>
      </c>
      <c r="BF18" s="228">
        <v>9</v>
      </c>
      <c r="BG18" s="228">
        <v>-4</v>
      </c>
      <c r="BH18" s="229">
        <v>-0.45829999999999999</v>
      </c>
      <c r="BI18" s="228">
        <v>780</v>
      </c>
      <c r="BJ18" s="230">
        <v>1469</v>
      </c>
      <c r="BK18" s="228">
        <v>-689</v>
      </c>
      <c r="BL18" s="229">
        <v>-0.46929999999999999</v>
      </c>
      <c r="BM18" s="228">
        <v>299</v>
      </c>
      <c r="BN18" s="228">
        <v>716</v>
      </c>
      <c r="BO18" s="228">
        <v>-417</v>
      </c>
      <c r="BP18" s="229">
        <v>-0.58289999999999997</v>
      </c>
      <c r="BQ18" s="230">
        <v>1433</v>
      </c>
      <c r="BR18" s="230">
        <v>2751</v>
      </c>
      <c r="BS18" s="230">
        <v>-1318</v>
      </c>
      <c r="BT18" s="229">
        <v>-0.47899999999999998</v>
      </c>
      <c r="BU18" s="230">
        <v>820393</v>
      </c>
      <c r="BV18" s="230">
        <v>1717129</v>
      </c>
      <c r="BW18" s="230">
        <v>-896736</v>
      </c>
      <c r="BX18" s="229">
        <v>-0.5222</v>
      </c>
      <c r="BY18" s="230">
        <v>2228</v>
      </c>
      <c r="BZ18" s="230">
        <v>2180</v>
      </c>
      <c r="CA18" s="228">
        <v>48</v>
      </c>
      <c r="CB18" s="229">
        <v>2.1899999999999999E-2</v>
      </c>
      <c r="CC18" s="230">
        <v>1636</v>
      </c>
      <c r="CD18" s="230">
        <v>1644</v>
      </c>
      <c r="CE18" s="228">
        <v>-7</v>
      </c>
      <c r="CF18" s="229">
        <v>-4.4000000000000003E-3</v>
      </c>
      <c r="CG18" s="228">
        <v>570</v>
      </c>
      <c r="CH18" s="228">
        <v>516</v>
      </c>
      <c r="CI18" s="228">
        <v>55</v>
      </c>
      <c r="CJ18" s="229">
        <v>0.1061</v>
      </c>
      <c r="CK18" s="228">
        <v>22</v>
      </c>
      <c r="CL18" s="228">
        <v>21</v>
      </c>
      <c r="CM18" s="228">
        <v>0</v>
      </c>
      <c r="CN18" s="229">
        <v>1.23E-2</v>
      </c>
      <c r="CO18" s="228">
        <v>628</v>
      </c>
      <c r="CP18" s="228">
        <v>653</v>
      </c>
      <c r="CQ18" s="228">
        <v>-25</v>
      </c>
      <c r="CR18" s="229">
        <v>-3.8399999999999997E-2</v>
      </c>
      <c r="CS18" s="228">
        <v>385</v>
      </c>
      <c r="CT18" s="228">
        <v>384</v>
      </c>
      <c r="CU18" s="228">
        <v>1</v>
      </c>
      <c r="CV18" s="229">
        <v>2.7000000000000001E-3</v>
      </c>
      <c r="CW18" s="230">
        <v>3240</v>
      </c>
      <c r="CX18" s="230">
        <v>3217</v>
      </c>
      <c r="CY18" s="228">
        <v>24</v>
      </c>
      <c r="CZ18" s="229">
        <v>7.4000000000000003E-3</v>
      </c>
      <c r="DA18" s="228">
        <v>40.08</v>
      </c>
      <c r="DB18" s="228">
        <v>35.71</v>
      </c>
      <c r="DC18" s="228">
        <v>4.37</v>
      </c>
      <c r="DD18" s="228">
        <v>4.37</v>
      </c>
      <c r="DE18" s="228">
        <v>35.93</v>
      </c>
      <c r="DF18" s="228">
        <v>36</v>
      </c>
      <c r="DG18" s="228">
        <v>4.1500000000000004</v>
      </c>
      <c r="DH18" s="228">
        <v>-7.0000000000000007E-2</v>
      </c>
      <c r="DI18" s="228">
        <v>40.28</v>
      </c>
      <c r="DJ18" s="228">
        <v>36.159999999999997</v>
      </c>
      <c r="DK18" s="228">
        <v>4.12</v>
      </c>
      <c r="DL18" s="228">
        <v>4.12</v>
      </c>
      <c r="DM18" s="228">
        <v>39.56</v>
      </c>
      <c r="DN18" s="228">
        <v>34.770000000000003</v>
      </c>
      <c r="DO18" s="228">
        <v>4.79</v>
      </c>
      <c r="DP18" s="228">
        <v>4.79</v>
      </c>
      <c r="DQ18" s="228">
        <v>0.61</v>
      </c>
      <c r="DR18" s="228">
        <v>0.59</v>
      </c>
      <c r="DS18" s="228">
        <v>0.02</v>
      </c>
      <c r="DT18" s="229">
        <v>3.39E-2</v>
      </c>
      <c r="DU18" s="231">
        <v>1640</v>
      </c>
      <c r="DV18" s="231">
        <v>1500</v>
      </c>
      <c r="DW18" s="228">
        <v>0.38</v>
      </c>
      <c r="DX18" s="228">
        <v>0.49</v>
      </c>
      <c r="DY18" s="228">
        <v>-0.11</v>
      </c>
      <c r="DZ18" s="229">
        <v>-0.22450000000000001</v>
      </c>
      <c r="EA18" s="229">
        <v>0.2656</v>
      </c>
      <c r="EB18" s="230">
        <v>3479900</v>
      </c>
      <c r="EC18" s="229">
        <v>-3.2500000000000001E-2</v>
      </c>
      <c r="ED18" s="229">
        <v>0.2656</v>
      </c>
      <c r="EE18" s="228">
        <v>-47.69</v>
      </c>
      <c r="EF18" s="229">
        <v>-3.0700000000000002E-2</v>
      </c>
      <c r="EG18" s="230">
        <v>327988</v>
      </c>
      <c r="EH18" s="230">
        <v>905321</v>
      </c>
      <c r="EI18" s="229">
        <v>-0.63770000000000004</v>
      </c>
      <c r="EJ18" s="229">
        <v>0.39979999999999999</v>
      </c>
      <c r="EK18" s="228">
        <v>828.43</v>
      </c>
      <c r="EL18" s="228">
        <v>296.55</v>
      </c>
      <c r="EM18" s="228">
        <v>353.14</v>
      </c>
      <c r="EN18" s="228">
        <v>95.8</v>
      </c>
      <c r="EO18" s="231">
        <v>1478.12</v>
      </c>
      <c r="EP18" s="231">
        <v>2836.94</v>
      </c>
      <c r="EQ18" s="231">
        <v>-1358.82</v>
      </c>
      <c r="ER18" s="229">
        <v>-0.47899999999999998</v>
      </c>
      <c r="ES18" s="228">
        <v>667.29</v>
      </c>
      <c r="ET18" s="228">
        <v>377.43</v>
      </c>
      <c r="EU18" s="231">
        <v>2208.5500000000002</v>
      </c>
      <c r="EV18" s="231">
        <v>17577908</v>
      </c>
      <c r="EW18" s="231">
        <v>3253.28</v>
      </c>
      <c r="EX18" s="231">
        <v>3234.38</v>
      </c>
      <c r="EY18" s="228">
        <v>18.899999999999999</v>
      </c>
      <c r="EZ18" s="229">
        <v>5.7999999999999996E-3</v>
      </c>
      <c r="FA18" s="229">
        <v>1.1950000000000001</v>
      </c>
      <c r="FB18" s="227" t="s">
        <v>566</v>
      </c>
      <c r="FC18">
        <f t="shared" si="0"/>
        <v>592</v>
      </c>
    </row>
    <row r="19" spans="1:159" ht="17.25" thickBot="1" x14ac:dyDescent="0.3">
      <c r="A19" s="226">
        <v>46132</v>
      </c>
      <c r="B19" s="227" t="s">
        <v>172</v>
      </c>
      <c r="C19" s="227" t="s">
        <v>495</v>
      </c>
      <c r="D19" s="228">
        <v>1000</v>
      </c>
      <c r="E19" s="228">
        <v>8</v>
      </c>
      <c r="F19" s="228">
        <v>998.65</v>
      </c>
      <c r="G19" s="228">
        <v>993.2</v>
      </c>
      <c r="H19" s="228">
        <v>5.45</v>
      </c>
      <c r="I19" s="229">
        <v>5.4999999999999997E-3</v>
      </c>
      <c r="J19" s="228">
        <v>997.65</v>
      </c>
      <c r="K19" s="228">
        <v>990.6</v>
      </c>
      <c r="L19" s="228">
        <v>7.05</v>
      </c>
      <c r="M19" s="229">
        <v>7.1000000000000004E-3</v>
      </c>
      <c r="N19" s="228">
        <v>998.65</v>
      </c>
      <c r="O19" s="228">
        <v>993.2</v>
      </c>
      <c r="P19" s="228">
        <v>5.45</v>
      </c>
      <c r="Q19" s="229">
        <v>5.4999999999999997E-3</v>
      </c>
      <c r="R19" s="231">
        <v>1004.75</v>
      </c>
      <c r="S19" s="228">
        <v>998.95</v>
      </c>
      <c r="T19" s="228">
        <v>5.8</v>
      </c>
      <c r="U19" s="229">
        <v>5.7999999999999996E-3</v>
      </c>
      <c r="V19" s="231">
        <v>1008.75</v>
      </c>
      <c r="W19" s="231">
        <v>1006.2</v>
      </c>
      <c r="X19" s="228">
        <v>2.5499999999999998</v>
      </c>
      <c r="Y19" s="229">
        <v>2.5000000000000001E-3</v>
      </c>
      <c r="Z19" s="228">
        <v>1</v>
      </c>
      <c r="AA19" s="228">
        <v>2.6</v>
      </c>
      <c r="AB19" s="228">
        <v>-1.6</v>
      </c>
      <c r="AC19" s="229">
        <v>1E-3</v>
      </c>
      <c r="AD19" s="228">
        <v>1</v>
      </c>
      <c r="AE19" s="228">
        <v>2.6</v>
      </c>
      <c r="AF19" s="228">
        <v>-1.6</v>
      </c>
      <c r="AG19" s="229">
        <v>1E-3</v>
      </c>
      <c r="AH19" s="228">
        <v>7.1</v>
      </c>
      <c r="AI19" s="228">
        <v>8.35</v>
      </c>
      <c r="AJ19" s="228">
        <v>-1.25</v>
      </c>
      <c r="AK19" s="229">
        <v>7.1000000000000004E-3</v>
      </c>
      <c r="AL19" s="228">
        <v>11.1</v>
      </c>
      <c r="AM19" s="228">
        <v>15.6</v>
      </c>
      <c r="AN19" s="228">
        <v>-4.5</v>
      </c>
      <c r="AO19" s="229">
        <v>1.11E-2</v>
      </c>
      <c r="AP19" s="231">
        <v>1005.27</v>
      </c>
      <c r="AQ19" s="231">
        <v>1011.15</v>
      </c>
      <c r="AR19" s="228">
        <v>0</v>
      </c>
      <c r="AS19" s="228">
        <v>425</v>
      </c>
      <c r="AT19" s="228">
        <v>302</v>
      </c>
      <c r="AU19" s="228">
        <v>123</v>
      </c>
      <c r="AV19" s="229">
        <v>0.40649999999999997</v>
      </c>
      <c r="AW19" s="228">
        <v>352</v>
      </c>
      <c r="AX19" s="228">
        <v>245</v>
      </c>
      <c r="AY19" s="228">
        <v>107</v>
      </c>
      <c r="AZ19" s="229">
        <v>0.43719999999999998</v>
      </c>
      <c r="BA19" s="228">
        <v>67</v>
      </c>
      <c r="BB19" s="228">
        <v>53</v>
      </c>
      <c r="BC19" s="228">
        <v>14</v>
      </c>
      <c r="BD19" s="229">
        <v>0.26129999999999998</v>
      </c>
      <c r="BE19" s="228">
        <v>5</v>
      </c>
      <c r="BF19" s="228">
        <v>4</v>
      </c>
      <c r="BG19" s="228">
        <v>2</v>
      </c>
      <c r="BH19" s="229">
        <v>0.45950000000000002</v>
      </c>
      <c r="BI19" s="230">
        <v>1048</v>
      </c>
      <c r="BJ19" s="228">
        <v>495</v>
      </c>
      <c r="BK19" s="228">
        <v>553</v>
      </c>
      <c r="BL19" s="229">
        <v>1.1171</v>
      </c>
      <c r="BM19" s="228">
        <v>595</v>
      </c>
      <c r="BN19" s="228">
        <v>370</v>
      </c>
      <c r="BO19" s="228">
        <v>225</v>
      </c>
      <c r="BP19" s="229">
        <v>0.60929999999999995</v>
      </c>
      <c r="BQ19" s="230">
        <v>2068</v>
      </c>
      <c r="BR19" s="230">
        <v>1167</v>
      </c>
      <c r="BS19" s="228">
        <v>901</v>
      </c>
      <c r="BT19" s="229">
        <v>0.7722</v>
      </c>
      <c r="BU19" s="230">
        <v>1683234</v>
      </c>
      <c r="BV19" s="230">
        <v>1203396</v>
      </c>
      <c r="BW19" s="230">
        <v>479838</v>
      </c>
      <c r="BX19" s="229">
        <v>0.3987</v>
      </c>
      <c r="BY19" s="230">
        <v>2469</v>
      </c>
      <c r="BZ19" s="230">
        <v>2469</v>
      </c>
      <c r="CA19" s="228">
        <v>0</v>
      </c>
      <c r="CB19" s="229">
        <v>-2.0000000000000001E-4</v>
      </c>
      <c r="CC19" s="230">
        <v>2295</v>
      </c>
      <c r="CD19" s="230">
        <v>2322</v>
      </c>
      <c r="CE19" s="228">
        <v>-26</v>
      </c>
      <c r="CF19" s="229">
        <v>-1.1299999999999999E-2</v>
      </c>
      <c r="CG19" s="228">
        <v>157</v>
      </c>
      <c r="CH19" s="228">
        <v>133</v>
      </c>
      <c r="CI19" s="228">
        <v>24</v>
      </c>
      <c r="CJ19" s="229">
        <v>0.1779</v>
      </c>
      <c r="CK19" s="228">
        <v>17</v>
      </c>
      <c r="CL19" s="228">
        <v>15</v>
      </c>
      <c r="CM19" s="228">
        <v>2</v>
      </c>
      <c r="CN19" s="229">
        <v>0.14380000000000001</v>
      </c>
      <c r="CO19" s="228">
        <v>718</v>
      </c>
      <c r="CP19" s="228">
        <v>679</v>
      </c>
      <c r="CQ19" s="228">
        <v>39</v>
      </c>
      <c r="CR19" s="229">
        <v>5.79E-2</v>
      </c>
      <c r="CS19" s="228">
        <v>575</v>
      </c>
      <c r="CT19" s="228">
        <v>542</v>
      </c>
      <c r="CU19" s="228">
        <v>32</v>
      </c>
      <c r="CV19" s="229">
        <v>5.9900000000000002E-2</v>
      </c>
      <c r="CW19" s="230">
        <v>3762</v>
      </c>
      <c r="CX19" s="230">
        <v>3690</v>
      </c>
      <c r="CY19" s="228">
        <v>71</v>
      </c>
      <c r="CZ19" s="229">
        <v>1.9300000000000001E-2</v>
      </c>
      <c r="DA19" s="228">
        <v>40.770000000000003</v>
      </c>
      <c r="DB19" s="228">
        <v>37.64</v>
      </c>
      <c r="DC19" s="228">
        <v>3.13</v>
      </c>
      <c r="DD19" s="228">
        <v>3.13</v>
      </c>
      <c r="DE19" s="228">
        <v>38.22</v>
      </c>
      <c r="DF19" s="228">
        <v>38.299999999999997</v>
      </c>
      <c r="DG19" s="228">
        <v>2.5499999999999998</v>
      </c>
      <c r="DH19" s="228">
        <v>-0.08</v>
      </c>
      <c r="DI19" s="228">
        <v>40.049999999999997</v>
      </c>
      <c r="DJ19" s="228">
        <v>35.79</v>
      </c>
      <c r="DK19" s="228">
        <v>4.26</v>
      </c>
      <c r="DL19" s="228">
        <v>4.26</v>
      </c>
      <c r="DM19" s="228">
        <v>42.04</v>
      </c>
      <c r="DN19" s="228">
        <v>40.11</v>
      </c>
      <c r="DO19" s="228">
        <v>1.93</v>
      </c>
      <c r="DP19" s="228">
        <v>1.93</v>
      </c>
      <c r="DQ19" s="228">
        <v>0.8</v>
      </c>
      <c r="DR19" s="228">
        <v>0.8</v>
      </c>
      <c r="DS19" s="228">
        <v>0</v>
      </c>
      <c r="DT19" s="229">
        <v>0</v>
      </c>
      <c r="DU19" s="231">
        <v>1000</v>
      </c>
      <c r="DV19" s="228">
        <v>900</v>
      </c>
      <c r="DW19" s="228">
        <v>0.56999999999999995</v>
      </c>
      <c r="DX19" s="228">
        <v>0.75</v>
      </c>
      <c r="DY19" s="228">
        <v>-0.18</v>
      </c>
      <c r="DZ19" s="229">
        <v>-0.24</v>
      </c>
      <c r="EA19" s="229">
        <v>7.0199999999999999E-2</v>
      </c>
      <c r="EB19" s="230">
        <v>1478000</v>
      </c>
      <c r="EC19" s="229">
        <v>6.1000000000000004E-3</v>
      </c>
      <c r="ED19" s="229">
        <v>7.0199999999999999E-2</v>
      </c>
      <c r="EE19" s="228">
        <v>5.88</v>
      </c>
      <c r="EF19" s="229">
        <v>5.7999999999999996E-3</v>
      </c>
      <c r="EG19" s="230">
        <v>690549</v>
      </c>
      <c r="EH19" s="230">
        <v>596849</v>
      </c>
      <c r="EI19" s="229">
        <v>0.157</v>
      </c>
      <c r="EJ19" s="229">
        <v>0.4103</v>
      </c>
      <c r="EK19" s="231">
        <v>1088.92</v>
      </c>
      <c r="EL19" s="228">
        <v>585.78</v>
      </c>
      <c r="EM19" s="228">
        <v>427.89</v>
      </c>
      <c r="EN19" s="228">
        <v>33.5</v>
      </c>
      <c r="EO19" s="231">
        <v>2102.58</v>
      </c>
      <c r="EP19" s="231">
        <v>1164.3499999999999</v>
      </c>
      <c r="EQ19" s="228">
        <v>938.23</v>
      </c>
      <c r="ER19" s="229">
        <v>0.80579999999999996</v>
      </c>
      <c r="ES19" s="228">
        <v>700.24</v>
      </c>
      <c r="ET19" s="228">
        <v>527.12</v>
      </c>
      <c r="EU19" s="231">
        <v>2469.79</v>
      </c>
      <c r="EV19" s="231">
        <v>86532345</v>
      </c>
      <c r="EW19" s="231">
        <v>3697.14</v>
      </c>
      <c r="EX19" s="231">
        <v>3606.9</v>
      </c>
      <c r="EY19" s="228">
        <v>90.24</v>
      </c>
      <c r="EZ19" s="229">
        <v>2.5000000000000001E-2</v>
      </c>
      <c r="FA19" s="229">
        <v>0.43530000000000002</v>
      </c>
      <c r="FB19" s="227" t="s">
        <v>693</v>
      </c>
      <c r="FC19">
        <f t="shared" si="0"/>
        <v>174</v>
      </c>
    </row>
    <row r="20" spans="1:159" ht="17.25" thickBot="1" x14ac:dyDescent="0.3">
      <c r="A20" s="226">
        <v>46132</v>
      </c>
      <c r="B20" s="227" t="s">
        <v>170</v>
      </c>
      <c r="C20" s="227" t="s">
        <v>171</v>
      </c>
      <c r="D20" s="228">
        <v>550</v>
      </c>
      <c r="E20" s="228">
        <v>8</v>
      </c>
      <c r="F20" s="231">
        <v>1369.6</v>
      </c>
      <c r="G20" s="231">
        <v>1388.6</v>
      </c>
      <c r="H20" s="228">
        <v>-19</v>
      </c>
      <c r="I20" s="229">
        <v>-1.37E-2</v>
      </c>
      <c r="J20" s="231">
        <v>1367.8</v>
      </c>
      <c r="K20" s="231">
        <v>1386</v>
      </c>
      <c r="L20" s="228">
        <v>-18.2</v>
      </c>
      <c r="M20" s="229">
        <v>-1.3100000000000001E-2</v>
      </c>
      <c r="N20" s="231">
        <v>1369.6</v>
      </c>
      <c r="O20" s="231">
        <v>1388.6</v>
      </c>
      <c r="P20" s="228">
        <v>-19</v>
      </c>
      <c r="Q20" s="229">
        <v>-1.37E-2</v>
      </c>
      <c r="R20" s="231">
        <v>1376.8</v>
      </c>
      <c r="S20" s="231">
        <v>1394.7</v>
      </c>
      <c r="T20" s="228">
        <v>-17.899999999999999</v>
      </c>
      <c r="U20" s="229">
        <v>-1.2800000000000001E-2</v>
      </c>
      <c r="V20" s="231">
        <v>1385.5</v>
      </c>
      <c r="W20" s="231">
        <v>1398</v>
      </c>
      <c r="X20" s="228">
        <v>-12.5</v>
      </c>
      <c r="Y20" s="229">
        <v>-8.8999999999999999E-3</v>
      </c>
      <c r="Z20" s="228">
        <v>1.8</v>
      </c>
      <c r="AA20" s="228">
        <v>2.6</v>
      </c>
      <c r="AB20" s="228">
        <v>-0.8</v>
      </c>
      <c r="AC20" s="229">
        <v>1.2999999999999999E-3</v>
      </c>
      <c r="AD20" s="228">
        <v>1.8</v>
      </c>
      <c r="AE20" s="228">
        <v>2.6</v>
      </c>
      <c r="AF20" s="228">
        <v>-0.8</v>
      </c>
      <c r="AG20" s="229">
        <v>1.2999999999999999E-3</v>
      </c>
      <c r="AH20" s="228">
        <v>9</v>
      </c>
      <c r="AI20" s="228">
        <v>8.6999999999999993</v>
      </c>
      <c r="AJ20" s="228">
        <v>0.3</v>
      </c>
      <c r="AK20" s="229">
        <v>6.6E-3</v>
      </c>
      <c r="AL20" s="228">
        <v>17.7</v>
      </c>
      <c r="AM20" s="228">
        <v>12</v>
      </c>
      <c r="AN20" s="228">
        <v>5.7</v>
      </c>
      <c r="AO20" s="229">
        <v>1.29E-2</v>
      </c>
      <c r="AP20" s="231">
        <v>1378.73</v>
      </c>
      <c r="AQ20" s="231">
        <v>1386.88</v>
      </c>
      <c r="AR20" s="228">
        <v>0</v>
      </c>
      <c r="AS20" s="230">
        <v>1347</v>
      </c>
      <c r="AT20" s="228">
        <v>205</v>
      </c>
      <c r="AU20" s="230">
        <v>1141</v>
      </c>
      <c r="AV20" s="229">
        <v>5.5556000000000001</v>
      </c>
      <c r="AW20" s="228">
        <v>723</v>
      </c>
      <c r="AX20" s="228">
        <v>191</v>
      </c>
      <c r="AY20" s="228">
        <v>532</v>
      </c>
      <c r="AZ20" s="229">
        <v>2.7877000000000001</v>
      </c>
      <c r="BA20" s="228">
        <v>623</v>
      </c>
      <c r="BB20" s="228">
        <v>14</v>
      </c>
      <c r="BC20" s="228">
        <v>609</v>
      </c>
      <c r="BD20" s="229">
        <v>43.446199999999997</v>
      </c>
      <c r="BE20" s="228">
        <v>1</v>
      </c>
      <c r="BF20" s="228">
        <v>1</v>
      </c>
      <c r="BG20" s="228">
        <v>0</v>
      </c>
      <c r="BH20" s="229">
        <v>0.71430000000000005</v>
      </c>
      <c r="BI20" s="228">
        <v>443</v>
      </c>
      <c r="BJ20" s="228">
        <v>507</v>
      </c>
      <c r="BK20" s="228">
        <v>-64</v>
      </c>
      <c r="BL20" s="229">
        <v>-0.12659999999999999</v>
      </c>
      <c r="BM20" s="228">
        <v>281</v>
      </c>
      <c r="BN20" s="228">
        <v>337</v>
      </c>
      <c r="BO20" s="228">
        <v>-56</v>
      </c>
      <c r="BP20" s="229">
        <v>-0.16689999999999999</v>
      </c>
      <c r="BQ20" s="230">
        <v>2070</v>
      </c>
      <c r="BR20" s="230">
        <v>1049</v>
      </c>
      <c r="BS20" s="230">
        <v>1021</v>
      </c>
      <c r="BT20" s="229">
        <v>0.97270000000000001</v>
      </c>
      <c r="BU20" s="230">
        <v>723321</v>
      </c>
      <c r="BV20" s="230">
        <v>1636625</v>
      </c>
      <c r="BW20" s="230">
        <v>-913304</v>
      </c>
      <c r="BX20" s="229">
        <v>-0.55800000000000005</v>
      </c>
      <c r="BY20" s="230">
        <v>2915</v>
      </c>
      <c r="BZ20" s="230">
        <v>2877</v>
      </c>
      <c r="CA20" s="228">
        <v>38</v>
      </c>
      <c r="CB20" s="229">
        <v>1.2999999999999999E-2</v>
      </c>
      <c r="CC20" s="230">
        <v>2224</v>
      </c>
      <c r="CD20" s="230">
        <v>2786</v>
      </c>
      <c r="CE20" s="228">
        <v>-562</v>
      </c>
      <c r="CF20" s="229">
        <v>-0.20180000000000001</v>
      </c>
      <c r="CG20" s="228">
        <v>688</v>
      </c>
      <c r="CH20" s="228">
        <v>89</v>
      </c>
      <c r="CI20" s="228">
        <v>599</v>
      </c>
      <c r="CJ20" s="229">
        <v>6.7252999999999998</v>
      </c>
      <c r="CK20" s="228">
        <v>3</v>
      </c>
      <c r="CL20" s="228">
        <v>2</v>
      </c>
      <c r="CM20" s="228">
        <v>0</v>
      </c>
      <c r="CN20" s="229">
        <v>0.125</v>
      </c>
      <c r="CO20" s="228">
        <v>581</v>
      </c>
      <c r="CP20" s="228">
        <v>528</v>
      </c>
      <c r="CQ20" s="228">
        <v>54</v>
      </c>
      <c r="CR20" s="229">
        <v>0.10150000000000001</v>
      </c>
      <c r="CS20" s="228">
        <v>369</v>
      </c>
      <c r="CT20" s="228">
        <v>370</v>
      </c>
      <c r="CU20" s="228">
        <v>-1</v>
      </c>
      <c r="CV20" s="229">
        <v>-1.8E-3</v>
      </c>
      <c r="CW20" s="230">
        <v>3866</v>
      </c>
      <c r="CX20" s="230">
        <v>3775</v>
      </c>
      <c r="CY20" s="228">
        <v>90</v>
      </c>
      <c r="CZ20" s="229">
        <v>2.3900000000000001E-2</v>
      </c>
      <c r="DA20" s="228">
        <v>31.01</v>
      </c>
      <c r="DB20" s="228">
        <v>27.85</v>
      </c>
      <c r="DC20" s="228">
        <v>3.16</v>
      </c>
      <c r="DD20" s="228">
        <v>3.16</v>
      </c>
      <c r="DE20" s="228">
        <v>33.299999999999997</v>
      </c>
      <c r="DF20" s="228">
        <v>33.33</v>
      </c>
      <c r="DG20" s="228">
        <v>-2.29</v>
      </c>
      <c r="DH20" s="228">
        <v>-0.03</v>
      </c>
      <c r="DI20" s="228">
        <v>30.22</v>
      </c>
      <c r="DJ20" s="228">
        <v>26.82</v>
      </c>
      <c r="DK20" s="228">
        <v>3.4</v>
      </c>
      <c r="DL20" s="228">
        <v>3.4</v>
      </c>
      <c r="DM20" s="228">
        <v>32.24</v>
      </c>
      <c r="DN20" s="228">
        <v>29.39</v>
      </c>
      <c r="DO20" s="228">
        <v>2.85</v>
      </c>
      <c r="DP20" s="228">
        <v>2.85</v>
      </c>
      <c r="DQ20" s="228">
        <v>0.64</v>
      </c>
      <c r="DR20" s="228">
        <v>0.7</v>
      </c>
      <c r="DS20" s="228">
        <v>-0.06</v>
      </c>
      <c r="DT20" s="229">
        <v>-8.5699999999999998E-2</v>
      </c>
      <c r="DU20" s="231">
        <v>1500</v>
      </c>
      <c r="DV20" s="231">
        <v>1300</v>
      </c>
      <c r="DW20" s="228">
        <v>0.63</v>
      </c>
      <c r="DX20" s="228">
        <v>0.67</v>
      </c>
      <c r="DY20" s="228">
        <v>-0.04</v>
      </c>
      <c r="DZ20" s="229">
        <v>-5.9700000000000003E-2</v>
      </c>
      <c r="EA20" s="229">
        <v>0.23710000000000001</v>
      </c>
      <c r="EB20" s="230">
        <v>668250</v>
      </c>
      <c r="EC20" s="229">
        <v>5.3E-3</v>
      </c>
      <c r="ED20" s="229">
        <v>0.23710000000000001</v>
      </c>
      <c r="EE20" s="228">
        <v>8.15</v>
      </c>
      <c r="EF20" s="229">
        <v>5.8999999999999999E-3</v>
      </c>
      <c r="EG20" s="230">
        <v>311424</v>
      </c>
      <c r="EH20" s="230">
        <v>835575</v>
      </c>
      <c r="EI20" s="229">
        <v>-0.62729999999999997</v>
      </c>
      <c r="EJ20" s="229">
        <v>0.43049999999999999</v>
      </c>
      <c r="EK20" s="228">
        <v>462.56</v>
      </c>
      <c r="EL20" s="228">
        <v>278.27999999999997</v>
      </c>
      <c r="EM20" s="231">
        <v>1359.33</v>
      </c>
      <c r="EN20" s="228">
        <v>32.06</v>
      </c>
      <c r="EO20" s="231">
        <v>2100.16</v>
      </c>
      <c r="EP20" s="231">
        <v>1071.8</v>
      </c>
      <c r="EQ20" s="231">
        <v>1028.3599999999999</v>
      </c>
      <c r="ER20" s="229">
        <v>0.95950000000000002</v>
      </c>
      <c r="ES20" s="228">
        <v>584.91</v>
      </c>
      <c r="ET20" s="228">
        <v>347.98</v>
      </c>
      <c r="EU20" s="231">
        <v>2918.62</v>
      </c>
      <c r="EV20" s="231">
        <v>41977935</v>
      </c>
      <c r="EW20" s="231">
        <v>3851.5</v>
      </c>
      <c r="EX20" s="231">
        <v>3793.63</v>
      </c>
      <c r="EY20" s="228">
        <v>57.87</v>
      </c>
      <c r="EZ20" s="229">
        <v>1.5299999999999999E-2</v>
      </c>
      <c r="FA20" s="229">
        <v>0.67230000000000001</v>
      </c>
      <c r="FB20" s="227" t="s">
        <v>566</v>
      </c>
      <c r="FC20">
        <f t="shared" si="0"/>
        <v>691</v>
      </c>
    </row>
    <row r="21" spans="1:159" ht="17.25" thickBot="1" x14ac:dyDescent="0.3">
      <c r="A21" s="226">
        <v>46132</v>
      </c>
      <c r="B21" s="227" t="s">
        <v>172</v>
      </c>
      <c r="C21" s="227" t="s">
        <v>173</v>
      </c>
      <c r="D21" s="228">
        <v>625</v>
      </c>
      <c r="E21" s="228">
        <v>8</v>
      </c>
      <c r="F21" s="231">
        <v>1356.2</v>
      </c>
      <c r="G21" s="231">
        <v>1363.3</v>
      </c>
      <c r="H21" s="228">
        <v>-7.1</v>
      </c>
      <c r="I21" s="229">
        <v>-5.1999999999999998E-3</v>
      </c>
      <c r="J21" s="231">
        <v>1354.7</v>
      </c>
      <c r="K21" s="231">
        <v>1359.1</v>
      </c>
      <c r="L21" s="228">
        <v>-4.4000000000000004</v>
      </c>
      <c r="M21" s="229">
        <v>-3.2000000000000002E-3</v>
      </c>
      <c r="N21" s="231">
        <v>1356.2</v>
      </c>
      <c r="O21" s="231">
        <v>1363.3</v>
      </c>
      <c r="P21" s="228">
        <v>-7.1</v>
      </c>
      <c r="Q21" s="229">
        <v>-5.1999999999999998E-3</v>
      </c>
      <c r="R21" s="231">
        <v>1363.3</v>
      </c>
      <c r="S21" s="231">
        <v>1370</v>
      </c>
      <c r="T21" s="228">
        <v>-6.7</v>
      </c>
      <c r="U21" s="229">
        <v>-4.8999999999999998E-3</v>
      </c>
      <c r="V21" s="231">
        <v>1373.1</v>
      </c>
      <c r="W21" s="231">
        <v>1379.9</v>
      </c>
      <c r="X21" s="228">
        <v>-6.8</v>
      </c>
      <c r="Y21" s="229">
        <v>-4.8999999999999998E-3</v>
      </c>
      <c r="Z21" s="228">
        <v>1.5</v>
      </c>
      <c r="AA21" s="228">
        <v>4.2</v>
      </c>
      <c r="AB21" s="228">
        <v>-2.7</v>
      </c>
      <c r="AC21" s="229">
        <v>1.1000000000000001E-3</v>
      </c>
      <c r="AD21" s="228">
        <v>1.5</v>
      </c>
      <c r="AE21" s="228">
        <v>4.2</v>
      </c>
      <c r="AF21" s="228">
        <v>-2.7</v>
      </c>
      <c r="AG21" s="229">
        <v>1.1000000000000001E-3</v>
      </c>
      <c r="AH21" s="228">
        <v>8.6</v>
      </c>
      <c r="AI21" s="228">
        <v>10.9</v>
      </c>
      <c r="AJ21" s="228">
        <v>-2.2999999999999998</v>
      </c>
      <c r="AK21" s="229">
        <v>6.3E-3</v>
      </c>
      <c r="AL21" s="228">
        <v>18.399999999999999</v>
      </c>
      <c r="AM21" s="228">
        <v>20.8</v>
      </c>
      <c r="AN21" s="228">
        <v>-2.4</v>
      </c>
      <c r="AO21" s="229">
        <v>1.3599999999999999E-2</v>
      </c>
      <c r="AP21" s="231">
        <v>1363.14</v>
      </c>
      <c r="AQ21" s="231">
        <v>1369.55</v>
      </c>
      <c r="AR21" s="228">
        <v>0</v>
      </c>
      <c r="AS21" s="230">
        <v>1013</v>
      </c>
      <c r="AT21" s="228">
        <v>959</v>
      </c>
      <c r="AU21" s="228">
        <v>54</v>
      </c>
      <c r="AV21" s="229">
        <v>5.6599999999999998E-2</v>
      </c>
      <c r="AW21" s="228">
        <v>837</v>
      </c>
      <c r="AX21" s="228">
        <v>787</v>
      </c>
      <c r="AY21" s="228">
        <v>50</v>
      </c>
      <c r="AZ21" s="229">
        <v>6.3899999999999998E-2</v>
      </c>
      <c r="BA21" s="228">
        <v>160</v>
      </c>
      <c r="BB21" s="228">
        <v>170</v>
      </c>
      <c r="BC21" s="228">
        <v>-9</v>
      </c>
      <c r="BD21" s="229">
        <v>-5.5899999999999998E-2</v>
      </c>
      <c r="BE21" s="228">
        <v>16</v>
      </c>
      <c r="BF21" s="228">
        <v>2</v>
      </c>
      <c r="BG21" s="228">
        <v>13</v>
      </c>
      <c r="BH21" s="229">
        <v>6.625</v>
      </c>
      <c r="BI21" s="230">
        <v>2573</v>
      </c>
      <c r="BJ21" s="230">
        <v>2176</v>
      </c>
      <c r="BK21" s="228">
        <v>396</v>
      </c>
      <c r="BL21" s="229">
        <v>0.18210000000000001</v>
      </c>
      <c r="BM21" s="230">
        <v>1763</v>
      </c>
      <c r="BN21" s="230">
        <v>1509</v>
      </c>
      <c r="BO21" s="228">
        <v>254</v>
      </c>
      <c r="BP21" s="229">
        <v>0.1686</v>
      </c>
      <c r="BQ21" s="230">
        <v>5349</v>
      </c>
      <c r="BR21" s="230">
        <v>4644</v>
      </c>
      <c r="BS21" s="228">
        <v>705</v>
      </c>
      <c r="BT21" s="229">
        <v>0.15179999999999999</v>
      </c>
      <c r="BU21" s="230">
        <v>5601419</v>
      </c>
      <c r="BV21" s="230">
        <v>4182251</v>
      </c>
      <c r="BW21" s="230">
        <v>1419168</v>
      </c>
      <c r="BX21" s="229">
        <v>0.33929999999999999</v>
      </c>
      <c r="BY21" s="230">
        <v>8743</v>
      </c>
      <c r="BZ21" s="230">
        <v>8757</v>
      </c>
      <c r="CA21" s="228">
        <v>-14</v>
      </c>
      <c r="CB21" s="229">
        <v>-1.6000000000000001E-3</v>
      </c>
      <c r="CC21" s="230">
        <v>6267</v>
      </c>
      <c r="CD21" s="230">
        <v>6376</v>
      </c>
      <c r="CE21" s="228">
        <v>-109</v>
      </c>
      <c r="CF21" s="229">
        <v>-1.7000000000000001E-2</v>
      </c>
      <c r="CG21" s="230">
        <v>2241</v>
      </c>
      <c r="CH21" s="230">
        <v>2156</v>
      </c>
      <c r="CI21" s="228">
        <v>85</v>
      </c>
      <c r="CJ21" s="229">
        <v>3.95E-2</v>
      </c>
      <c r="CK21" s="228">
        <v>235</v>
      </c>
      <c r="CL21" s="228">
        <v>225</v>
      </c>
      <c r="CM21" s="228">
        <v>10</v>
      </c>
      <c r="CN21" s="229">
        <v>4.3299999999999998E-2</v>
      </c>
      <c r="CO21" s="230">
        <v>2302</v>
      </c>
      <c r="CP21" s="230">
        <v>2264</v>
      </c>
      <c r="CQ21" s="228">
        <v>38</v>
      </c>
      <c r="CR21" s="229">
        <v>1.6799999999999999E-2</v>
      </c>
      <c r="CS21" s="230">
        <v>1857</v>
      </c>
      <c r="CT21" s="230">
        <v>1896</v>
      </c>
      <c r="CU21" s="228">
        <v>-39</v>
      </c>
      <c r="CV21" s="229">
        <v>-2.0500000000000001E-2</v>
      </c>
      <c r="CW21" s="230">
        <v>12902</v>
      </c>
      <c r="CX21" s="230">
        <v>12916</v>
      </c>
      <c r="CY21" s="228">
        <v>-14</v>
      </c>
      <c r="CZ21" s="229">
        <v>-1.1000000000000001E-3</v>
      </c>
      <c r="DA21" s="228">
        <v>37.909999999999997</v>
      </c>
      <c r="DB21" s="228">
        <v>32.81</v>
      </c>
      <c r="DC21" s="228">
        <v>5.0999999999999996</v>
      </c>
      <c r="DD21" s="228">
        <v>5.0999999999999996</v>
      </c>
      <c r="DE21" s="228">
        <v>29.99</v>
      </c>
      <c r="DF21" s="228">
        <v>30.06</v>
      </c>
      <c r="DG21" s="228">
        <v>7.92</v>
      </c>
      <c r="DH21" s="228">
        <v>-7.0000000000000007E-2</v>
      </c>
      <c r="DI21" s="228">
        <v>36.770000000000003</v>
      </c>
      <c r="DJ21" s="228">
        <v>31.47</v>
      </c>
      <c r="DK21" s="228">
        <v>5.3</v>
      </c>
      <c r="DL21" s="228">
        <v>5.3</v>
      </c>
      <c r="DM21" s="228">
        <v>39.56</v>
      </c>
      <c r="DN21" s="228">
        <v>34.729999999999997</v>
      </c>
      <c r="DO21" s="228">
        <v>4.83</v>
      </c>
      <c r="DP21" s="228">
        <v>4.83</v>
      </c>
      <c r="DQ21" s="228">
        <v>0.81</v>
      </c>
      <c r="DR21" s="228">
        <v>0.84</v>
      </c>
      <c r="DS21" s="228">
        <v>-0.03</v>
      </c>
      <c r="DT21" s="229">
        <v>-3.5700000000000003E-2</v>
      </c>
      <c r="DU21" s="231">
        <v>1400</v>
      </c>
      <c r="DV21" s="231">
        <v>1300</v>
      </c>
      <c r="DW21" s="228">
        <v>0.69</v>
      </c>
      <c r="DX21" s="228">
        <v>0.69</v>
      </c>
      <c r="DY21" s="228">
        <v>0</v>
      </c>
      <c r="DZ21" s="229">
        <v>0</v>
      </c>
      <c r="EA21" s="229">
        <v>0.28320000000000001</v>
      </c>
      <c r="EB21" s="230">
        <v>17556250</v>
      </c>
      <c r="EC21" s="229">
        <v>5.1999999999999998E-3</v>
      </c>
      <c r="ED21" s="229">
        <v>0.28320000000000001</v>
      </c>
      <c r="EE21" s="228">
        <v>6.41</v>
      </c>
      <c r="EF21" s="229">
        <v>4.7000000000000002E-3</v>
      </c>
      <c r="EG21" s="230">
        <v>3323759</v>
      </c>
      <c r="EH21" s="230">
        <v>2477087</v>
      </c>
      <c r="EI21" s="229">
        <v>0.34179999999999999</v>
      </c>
      <c r="EJ21" s="229">
        <v>0.59340000000000004</v>
      </c>
      <c r="EK21" s="231">
        <v>2674.42</v>
      </c>
      <c r="EL21" s="231">
        <v>1730.18</v>
      </c>
      <c r="EM21" s="231">
        <v>1019.19</v>
      </c>
      <c r="EN21" s="228">
        <v>134.46</v>
      </c>
      <c r="EO21" s="231">
        <v>5423.79</v>
      </c>
      <c r="EP21" s="231">
        <v>4702.3900000000003</v>
      </c>
      <c r="EQ21" s="228">
        <v>721.41</v>
      </c>
      <c r="ER21" s="229">
        <v>0.15340000000000001</v>
      </c>
      <c r="ES21" s="231">
        <v>2274.8200000000002</v>
      </c>
      <c r="ET21" s="231">
        <v>1710.93</v>
      </c>
      <c r="EU21" s="231">
        <v>8757.74</v>
      </c>
      <c r="EV21" s="231">
        <v>331596880</v>
      </c>
      <c r="EW21" s="231">
        <v>12743.49</v>
      </c>
      <c r="EX21" s="231">
        <v>12790.79</v>
      </c>
      <c r="EY21" s="228">
        <v>-47.3</v>
      </c>
      <c r="EZ21" s="229">
        <v>-3.7000000000000002E-3</v>
      </c>
      <c r="FA21" s="229">
        <v>0.28689999999999999</v>
      </c>
      <c r="FB21" s="227" t="s">
        <v>567</v>
      </c>
      <c r="FC21">
        <f t="shared" si="0"/>
        <v>2476</v>
      </c>
    </row>
    <row r="22" spans="1:159" ht="17.25" thickBot="1" x14ac:dyDescent="0.3">
      <c r="A22" s="226">
        <v>46132</v>
      </c>
      <c r="B22" s="227" t="s">
        <v>162</v>
      </c>
      <c r="C22" s="227" t="s">
        <v>174</v>
      </c>
      <c r="D22" s="228">
        <v>75</v>
      </c>
      <c r="E22" s="228">
        <v>8</v>
      </c>
      <c r="F22" s="231">
        <v>9811</v>
      </c>
      <c r="G22" s="231">
        <v>9761.5</v>
      </c>
      <c r="H22" s="228">
        <v>49.5</v>
      </c>
      <c r="I22" s="229">
        <v>5.1000000000000004E-3</v>
      </c>
      <c r="J22" s="231">
        <v>9803</v>
      </c>
      <c r="K22" s="231">
        <v>9773.5</v>
      </c>
      <c r="L22" s="228">
        <v>29.5</v>
      </c>
      <c r="M22" s="229">
        <v>3.0000000000000001E-3</v>
      </c>
      <c r="N22" s="231">
        <v>9811</v>
      </c>
      <c r="O22" s="231">
        <v>9761.5</v>
      </c>
      <c r="P22" s="228">
        <v>49.5</v>
      </c>
      <c r="Q22" s="229">
        <v>5.1000000000000004E-3</v>
      </c>
      <c r="R22" s="231">
        <v>9829.5</v>
      </c>
      <c r="S22" s="231">
        <v>9752</v>
      </c>
      <c r="T22" s="228">
        <v>77.5</v>
      </c>
      <c r="U22" s="229">
        <v>7.9000000000000008E-3</v>
      </c>
      <c r="V22" s="231">
        <v>9810</v>
      </c>
      <c r="W22" s="231">
        <v>9733.5</v>
      </c>
      <c r="X22" s="228">
        <v>76.5</v>
      </c>
      <c r="Y22" s="229">
        <v>7.9000000000000008E-3</v>
      </c>
      <c r="Z22" s="228">
        <v>8</v>
      </c>
      <c r="AA22" s="228">
        <v>-12</v>
      </c>
      <c r="AB22" s="228">
        <v>20</v>
      </c>
      <c r="AC22" s="229">
        <v>8.0000000000000004E-4</v>
      </c>
      <c r="AD22" s="228">
        <v>8</v>
      </c>
      <c r="AE22" s="228">
        <v>-12</v>
      </c>
      <c r="AF22" s="228">
        <v>20</v>
      </c>
      <c r="AG22" s="229">
        <v>8.0000000000000004E-4</v>
      </c>
      <c r="AH22" s="228">
        <v>26.5</v>
      </c>
      <c r="AI22" s="228">
        <v>-21.5</v>
      </c>
      <c r="AJ22" s="228">
        <v>48</v>
      </c>
      <c r="AK22" s="229">
        <v>2.7000000000000001E-3</v>
      </c>
      <c r="AL22" s="228">
        <v>7</v>
      </c>
      <c r="AM22" s="228">
        <v>-40</v>
      </c>
      <c r="AN22" s="228">
        <v>47</v>
      </c>
      <c r="AO22" s="229">
        <v>6.9999999999999999E-4</v>
      </c>
      <c r="AP22" s="231">
        <v>9819.3799999999992</v>
      </c>
      <c r="AQ22" s="231">
        <v>9829.83</v>
      </c>
      <c r="AR22" s="228">
        <v>0</v>
      </c>
      <c r="AS22" s="228">
        <v>285</v>
      </c>
      <c r="AT22" s="228">
        <v>308</v>
      </c>
      <c r="AU22" s="228">
        <v>-23</v>
      </c>
      <c r="AV22" s="229">
        <v>-7.5499999999999998E-2</v>
      </c>
      <c r="AW22" s="228">
        <v>236</v>
      </c>
      <c r="AX22" s="228">
        <v>277</v>
      </c>
      <c r="AY22" s="228">
        <v>-40</v>
      </c>
      <c r="AZ22" s="229">
        <v>-0.14580000000000001</v>
      </c>
      <c r="BA22" s="228">
        <v>46</v>
      </c>
      <c r="BB22" s="228">
        <v>30</v>
      </c>
      <c r="BC22" s="228">
        <v>16</v>
      </c>
      <c r="BD22" s="229">
        <v>0.55359999999999998</v>
      </c>
      <c r="BE22" s="228">
        <v>3</v>
      </c>
      <c r="BF22" s="228">
        <v>2</v>
      </c>
      <c r="BG22" s="228">
        <v>1</v>
      </c>
      <c r="BH22" s="229">
        <v>0.37040000000000001</v>
      </c>
      <c r="BI22" s="230">
        <v>1739</v>
      </c>
      <c r="BJ22" s="230">
        <v>1239</v>
      </c>
      <c r="BK22" s="228">
        <v>501</v>
      </c>
      <c r="BL22" s="229">
        <v>0.40439999999999998</v>
      </c>
      <c r="BM22" s="228">
        <v>888</v>
      </c>
      <c r="BN22" s="228">
        <v>834</v>
      </c>
      <c r="BO22" s="228">
        <v>54</v>
      </c>
      <c r="BP22" s="229">
        <v>6.5100000000000005E-2</v>
      </c>
      <c r="BQ22" s="230">
        <v>2912</v>
      </c>
      <c r="BR22" s="230">
        <v>2380</v>
      </c>
      <c r="BS22" s="228">
        <v>532</v>
      </c>
      <c r="BT22" s="229">
        <v>0.22339999999999999</v>
      </c>
      <c r="BU22" s="230">
        <v>355520</v>
      </c>
      <c r="BV22" s="230">
        <v>274564</v>
      </c>
      <c r="BW22" s="230">
        <v>80956</v>
      </c>
      <c r="BX22" s="229">
        <v>0.2949</v>
      </c>
      <c r="BY22" s="230">
        <v>2981</v>
      </c>
      <c r="BZ22" s="230">
        <v>3007</v>
      </c>
      <c r="CA22" s="228">
        <v>-26</v>
      </c>
      <c r="CB22" s="229">
        <v>-8.6999999999999994E-3</v>
      </c>
      <c r="CC22" s="230">
        <v>2682</v>
      </c>
      <c r="CD22" s="230">
        <v>2725</v>
      </c>
      <c r="CE22" s="228">
        <v>-43</v>
      </c>
      <c r="CF22" s="229">
        <v>-1.5900000000000001E-2</v>
      </c>
      <c r="CG22" s="228">
        <v>283</v>
      </c>
      <c r="CH22" s="228">
        <v>266</v>
      </c>
      <c r="CI22" s="228">
        <v>17</v>
      </c>
      <c r="CJ22" s="229">
        <v>6.3100000000000003E-2</v>
      </c>
      <c r="CK22" s="228">
        <v>17</v>
      </c>
      <c r="CL22" s="228">
        <v>16</v>
      </c>
      <c r="CM22" s="228">
        <v>0</v>
      </c>
      <c r="CN22" s="229">
        <v>2.7099999999999999E-2</v>
      </c>
      <c r="CO22" s="230">
        <v>1212</v>
      </c>
      <c r="CP22" s="230">
        <v>1258</v>
      </c>
      <c r="CQ22" s="228">
        <v>-46</v>
      </c>
      <c r="CR22" s="229">
        <v>-3.6600000000000001E-2</v>
      </c>
      <c r="CS22" s="230">
        <v>1100</v>
      </c>
      <c r="CT22" s="230">
        <v>1117</v>
      </c>
      <c r="CU22" s="228">
        <v>-17</v>
      </c>
      <c r="CV22" s="229">
        <v>-1.5299999999999999E-2</v>
      </c>
      <c r="CW22" s="230">
        <v>5294</v>
      </c>
      <c r="CX22" s="230">
        <v>5383</v>
      </c>
      <c r="CY22" s="228">
        <v>-89</v>
      </c>
      <c r="CZ22" s="229">
        <v>-1.66E-2</v>
      </c>
      <c r="DA22" s="228">
        <v>29.78</v>
      </c>
      <c r="DB22" s="228">
        <v>28.23</v>
      </c>
      <c r="DC22" s="228">
        <v>1.55</v>
      </c>
      <c r="DD22" s="228">
        <v>1.55</v>
      </c>
      <c r="DE22" s="228">
        <v>29.61</v>
      </c>
      <c r="DF22" s="228">
        <v>29.68</v>
      </c>
      <c r="DG22" s="228">
        <v>0.17</v>
      </c>
      <c r="DH22" s="228">
        <v>-7.0000000000000007E-2</v>
      </c>
      <c r="DI22" s="228">
        <v>29.1</v>
      </c>
      <c r="DJ22" s="228">
        <v>27.06</v>
      </c>
      <c r="DK22" s="228">
        <v>2.04</v>
      </c>
      <c r="DL22" s="228">
        <v>2.04</v>
      </c>
      <c r="DM22" s="228">
        <v>31.11</v>
      </c>
      <c r="DN22" s="228">
        <v>29.97</v>
      </c>
      <c r="DO22" s="228">
        <v>1.1399999999999999</v>
      </c>
      <c r="DP22" s="228">
        <v>1.1399999999999999</v>
      </c>
      <c r="DQ22" s="228">
        <v>0.91</v>
      </c>
      <c r="DR22" s="228">
        <v>0.89</v>
      </c>
      <c r="DS22" s="228">
        <v>0.02</v>
      </c>
      <c r="DT22" s="229">
        <v>2.2499999999999999E-2</v>
      </c>
      <c r="DU22" s="231">
        <v>9900</v>
      </c>
      <c r="DV22" s="231">
        <v>8000</v>
      </c>
      <c r="DW22" s="228">
        <v>0.51</v>
      </c>
      <c r="DX22" s="228">
        <v>0.67</v>
      </c>
      <c r="DY22" s="228">
        <v>-0.16</v>
      </c>
      <c r="DZ22" s="229">
        <v>-0.23880000000000001</v>
      </c>
      <c r="EA22" s="229">
        <v>0.1004</v>
      </c>
      <c r="EB22" s="230">
        <v>287475</v>
      </c>
      <c r="EC22" s="229">
        <v>1.9E-3</v>
      </c>
      <c r="ED22" s="229">
        <v>0.1004</v>
      </c>
      <c r="EE22" s="228">
        <v>10.45</v>
      </c>
      <c r="EF22" s="229">
        <v>1.1000000000000001E-3</v>
      </c>
      <c r="EG22" s="230">
        <v>219751</v>
      </c>
      <c r="EH22" s="230">
        <v>143768</v>
      </c>
      <c r="EI22" s="229">
        <v>0.52849999999999997</v>
      </c>
      <c r="EJ22" s="229">
        <v>0.61809999999999998</v>
      </c>
      <c r="EK22" s="231">
        <v>1798.54</v>
      </c>
      <c r="EL22" s="228">
        <v>853.62</v>
      </c>
      <c r="EM22" s="228">
        <v>285.12</v>
      </c>
      <c r="EN22" s="228">
        <v>69.42</v>
      </c>
      <c r="EO22" s="231">
        <v>2937.28</v>
      </c>
      <c r="EP22" s="231">
        <v>2407.39</v>
      </c>
      <c r="EQ22" s="228">
        <v>529.89</v>
      </c>
      <c r="ER22" s="229">
        <v>0.22009999999999999</v>
      </c>
      <c r="ES22" s="231">
        <v>1218.24</v>
      </c>
      <c r="ET22" s="231">
        <v>1014.88</v>
      </c>
      <c r="EU22" s="231">
        <v>2981.73</v>
      </c>
      <c r="EV22" s="231">
        <v>12553818</v>
      </c>
      <c r="EW22" s="231">
        <v>5214.84</v>
      </c>
      <c r="EX22" s="231">
        <v>5284.72</v>
      </c>
      <c r="EY22" s="228">
        <v>-69.88</v>
      </c>
      <c r="EZ22" s="229">
        <v>-1.32E-2</v>
      </c>
      <c r="FA22" s="229">
        <v>0.42980000000000002</v>
      </c>
      <c r="FB22" s="227" t="s">
        <v>693</v>
      </c>
      <c r="FC22">
        <f t="shared" si="0"/>
        <v>299</v>
      </c>
    </row>
    <row r="23" spans="1:159" ht="17.25" thickBot="1" x14ac:dyDescent="0.3">
      <c r="A23" s="226">
        <v>46132</v>
      </c>
      <c r="B23" s="227" t="s">
        <v>175</v>
      </c>
      <c r="C23" s="227" t="s">
        <v>176</v>
      </c>
      <c r="D23" s="228">
        <v>250</v>
      </c>
      <c r="E23" s="228">
        <v>8</v>
      </c>
      <c r="F23" s="231">
        <v>1828.1</v>
      </c>
      <c r="G23" s="231">
        <v>1839.4</v>
      </c>
      <c r="H23" s="228">
        <v>-11.3</v>
      </c>
      <c r="I23" s="229">
        <v>-6.1000000000000004E-3</v>
      </c>
      <c r="J23" s="231">
        <v>1830.6</v>
      </c>
      <c r="K23" s="231">
        <v>1838.9</v>
      </c>
      <c r="L23" s="228">
        <v>-8.3000000000000007</v>
      </c>
      <c r="M23" s="229">
        <v>-4.4999999999999997E-3</v>
      </c>
      <c r="N23" s="231">
        <v>1828.1</v>
      </c>
      <c r="O23" s="231">
        <v>1839.4</v>
      </c>
      <c r="P23" s="228">
        <v>-11.3</v>
      </c>
      <c r="Q23" s="229">
        <v>-6.1000000000000004E-3</v>
      </c>
      <c r="R23" s="231">
        <v>1839.2</v>
      </c>
      <c r="S23" s="231">
        <v>1849.7</v>
      </c>
      <c r="T23" s="228">
        <v>-10.5</v>
      </c>
      <c r="U23" s="229">
        <v>-5.7000000000000002E-3</v>
      </c>
      <c r="V23" s="231">
        <v>1848.3</v>
      </c>
      <c r="W23" s="231">
        <v>1861.2</v>
      </c>
      <c r="X23" s="228">
        <v>-12.9</v>
      </c>
      <c r="Y23" s="229">
        <v>-6.8999999999999999E-3</v>
      </c>
      <c r="Z23" s="228">
        <v>-2.5</v>
      </c>
      <c r="AA23" s="228">
        <v>0.5</v>
      </c>
      <c r="AB23" s="228">
        <v>-3</v>
      </c>
      <c r="AC23" s="229">
        <v>-1.4E-3</v>
      </c>
      <c r="AD23" s="228">
        <v>-2.5</v>
      </c>
      <c r="AE23" s="228">
        <v>0.5</v>
      </c>
      <c r="AF23" s="228">
        <v>-3</v>
      </c>
      <c r="AG23" s="229">
        <v>-1.4E-3</v>
      </c>
      <c r="AH23" s="228">
        <v>8.6</v>
      </c>
      <c r="AI23" s="228">
        <v>10.8</v>
      </c>
      <c r="AJ23" s="228">
        <v>-2.2000000000000002</v>
      </c>
      <c r="AK23" s="229">
        <v>4.7000000000000002E-3</v>
      </c>
      <c r="AL23" s="228">
        <v>17.7</v>
      </c>
      <c r="AM23" s="228">
        <v>22.3</v>
      </c>
      <c r="AN23" s="228">
        <v>-4.5999999999999996</v>
      </c>
      <c r="AO23" s="229">
        <v>9.7000000000000003E-3</v>
      </c>
      <c r="AP23" s="231">
        <v>1833.26</v>
      </c>
      <c r="AQ23" s="231">
        <v>1846</v>
      </c>
      <c r="AR23" s="228">
        <v>0</v>
      </c>
      <c r="AS23" s="228">
        <v>222</v>
      </c>
      <c r="AT23" s="228">
        <v>82</v>
      </c>
      <c r="AU23" s="228">
        <v>140</v>
      </c>
      <c r="AV23" s="229">
        <v>1.7078</v>
      </c>
      <c r="AW23" s="228">
        <v>154</v>
      </c>
      <c r="AX23" s="228">
        <v>71</v>
      </c>
      <c r="AY23" s="228">
        <v>83</v>
      </c>
      <c r="AZ23" s="229">
        <v>1.1795</v>
      </c>
      <c r="BA23" s="228">
        <v>20</v>
      </c>
      <c r="BB23" s="228">
        <v>11</v>
      </c>
      <c r="BC23" s="228">
        <v>10</v>
      </c>
      <c r="BD23" s="229">
        <v>0.90129999999999999</v>
      </c>
      <c r="BE23" s="228">
        <v>48</v>
      </c>
      <c r="BF23" s="228">
        <v>1</v>
      </c>
      <c r="BG23" s="228">
        <v>47</v>
      </c>
      <c r="BH23" s="229">
        <v>60.7059</v>
      </c>
      <c r="BI23" s="228">
        <v>425</v>
      </c>
      <c r="BJ23" s="228">
        <v>355</v>
      </c>
      <c r="BK23" s="228">
        <v>70</v>
      </c>
      <c r="BL23" s="229">
        <v>0.19639999999999999</v>
      </c>
      <c r="BM23" s="228">
        <v>279</v>
      </c>
      <c r="BN23" s="228">
        <v>234</v>
      </c>
      <c r="BO23" s="228">
        <v>45</v>
      </c>
      <c r="BP23" s="229">
        <v>0.19270000000000001</v>
      </c>
      <c r="BQ23" s="228">
        <v>926</v>
      </c>
      <c r="BR23" s="228">
        <v>671</v>
      </c>
      <c r="BS23" s="228">
        <v>255</v>
      </c>
      <c r="BT23" s="229">
        <v>0.37969999999999998</v>
      </c>
      <c r="BU23" s="230">
        <v>923681</v>
      </c>
      <c r="BV23" s="230">
        <v>512844</v>
      </c>
      <c r="BW23" s="230">
        <v>410837</v>
      </c>
      <c r="BX23" s="229">
        <v>0.80110000000000003</v>
      </c>
      <c r="BY23" s="230">
        <v>2014</v>
      </c>
      <c r="BZ23" s="230">
        <v>2048</v>
      </c>
      <c r="CA23" s="228">
        <v>-33</v>
      </c>
      <c r="CB23" s="229">
        <v>-1.6400000000000001E-2</v>
      </c>
      <c r="CC23" s="230">
        <v>1639</v>
      </c>
      <c r="CD23" s="230">
        <v>1729</v>
      </c>
      <c r="CE23" s="228">
        <v>-89</v>
      </c>
      <c r="CF23" s="229">
        <v>-5.1700000000000003E-2</v>
      </c>
      <c r="CG23" s="228">
        <v>317</v>
      </c>
      <c r="CH23" s="228">
        <v>307</v>
      </c>
      <c r="CI23" s="228">
        <v>10</v>
      </c>
      <c r="CJ23" s="229">
        <v>3.3000000000000002E-2</v>
      </c>
      <c r="CK23" s="228">
        <v>58</v>
      </c>
      <c r="CL23" s="228">
        <v>12</v>
      </c>
      <c r="CM23" s="228">
        <v>46</v>
      </c>
      <c r="CN23" s="229">
        <v>3.8243999999999998</v>
      </c>
      <c r="CO23" s="228">
        <v>645</v>
      </c>
      <c r="CP23" s="228">
        <v>640</v>
      </c>
      <c r="CQ23" s="228">
        <v>5</v>
      </c>
      <c r="CR23" s="229">
        <v>8.0999999999999996E-3</v>
      </c>
      <c r="CS23" s="228">
        <v>653</v>
      </c>
      <c r="CT23" s="228">
        <v>654</v>
      </c>
      <c r="CU23" s="228">
        <v>-1</v>
      </c>
      <c r="CV23" s="229">
        <v>-2.0999999999999999E-3</v>
      </c>
      <c r="CW23" s="230">
        <v>3312</v>
      </c>
      <c r="CX23" s="230">
        <v>3342</v>
      </c>
      <c r="CY23" s="228">
        <v>-30</v>
      </c>
      <c r="CZ23" s="229">
        <v>-8.8999999999999999E-3</v>
      </c>
      <c r="DA23" s="228">
        <v>30.67</v>
      </c>
      <c r="DB23" s="228">
        <v>27.51</v>
      </c>
      <c r="DC23" s="228">
        <v>3.16</v>
      </c>
      <c r="DD23" s="228">
        <v>3.16</v>
      </c>
      <c r="DE23" s="228">
        <v>30.55</v>
      </c>
      <c r="DF23" s="228">
        <v>30.62</v>
      </c>
      <c r="DG23" s="228">
        <v>0.12</v>
      </c>
      <c r="DH23" s="228">
        <v>-7.0000000000000007E-2</v>
      </c>
      <c r="DI23" s="228">
        <v>30.09</v>
      </c>
      <c r="DJ23" s="228">
        <v>26.39</v>
      </c>
      <c r="DK23" s="228">
        <v>3.7</v>
      </c>
      <c r="DL23" s="228">
        <v>3.7</v>
      </c>
      <c r="DM23" s="228">
        <v>31.57</v>
      </c>
      <c r="DN23" s="228">
        <v>29.21</v>
      </c>
      <c r="DO23" s="228">
        <v>2.36</v>
      </c>
      <c r="DP23" s="228">
        <v>2.36</v>
      </c>
      <c r="DQ23" s="228">
        <v>1.01</v>
      </c>
      <c r="DR23" s="228">
        <v>1.02</v>
      </c>
      <c r="DS23" s="228">
        <v>-0.01</v>
      </c>
      <c r="DT23" s="229">
        <v>-9.7999999999999997E-3</v>
      </c>
      <c r="DU23" s="231">
        <v>1760</v>
      </c>
      <c r="DV23" s="231">
        <v>1620</v>
      </c>
      <c r="DW23" s="228">
        <v>0.66</v>
      </c>
      <c r="DX23" s="228">
        <v>0.66</v>
      </c>
      <c r="DY23" s="228">
        <v>0</v>
      </c>
      <c r="DZ23" s="229">
        <v>0</v>
      </c>
      <c r="EA23" s="229">
        <v>0.18629999999999999</v>
      </c>
      <c r="EB23" s="230">
        <v>1746750</v>
      </c>
      <c r="EC23" s="229">
        <v>6.1000000000000004E-3</v>
      </c>
      <c r="ED23" s="229">
        <v>0.18629999999999999</v>
      </c>
      <c r="EE23" s="228">
        <v>12.74</v>
      </c>
      <c r="EF23" s="229">
        <v>6.8999999999999999E-3</v>
      </c>
      <c r="EG23" s="230">
        <v>516179</v>
      </c>
      <c r="EH23" s="230">
        <v>266505</v>
      </c>
      <c r="EI23" s="229">
        <v>0.93679999999999997</v>
      </c>
      <c r="EJ23" s="229">
        <v>0.55879999999999996</v>
      </c>
      <c r="EK23" s="228">
        <v>440.39</v>
      </c>
      <c r="EL23" s="228">
        <v>277.74</v>
      </c>
      <c r="EM23" s="228">
        <v>223.05</v>
      </c>
      <c r="EN23" s="228">
        <v>36.14</v>
      </c>
      <c r="EO23" s="228">
        <v>941.19</v>
      </c>
      <c r="EP23" s="228">
        <v>681.96</v>
      </c>
      <c r="EQ23" s="228">
        <v>259.22000000000003</v>
      </c>
      <c r="ER23" s="229">
        <v>0.38009999999999999</v>
      </c>
      <c r="ES23" s="228">
        <v>642.04999999999995</v>
      </c>
      <c r="ET23" s="228">
        <v>609.19000000000005</v>
      </c>
      <c r="EU23" s="231">
        <v>2016.95</v>
      </c>
      <c r="EV23" s="231">
        <v>65784745</v>
      </c>
      <c r="EW23" s="231">
        <v>3268.2</v>
      </c>
      <c r="EX23" s="231">
        <v>3308.26</v>
      </c>
      <c r="EY23" s="228">
        <v>-40.06</v>
      </c>
      <c r="EZ23" s="229">
        <v>-1.21E-2</v>
      </c>
      <c r="FA23" s="229">
        <v>0.27539999999999998</v>
      </c>
      <c r="FB23" s="227" t="s">
        <v>567</v>
      </c>
      <c r="FC23">
        <f t="shared" si="0"/>
        <v>375</v>
      </c>
    </row>
    <row r="24" spans="1:159" ht="17.25" thickBot="1" x14ac:dyDescent="0.3">
      <c r="A24" s="226">
        <v>46132</v>
      </c>
      <c r="B24" s="227" t="s">
        <v>175</v>
      </c>
      <c r="C24" s="227" t="s">
        <v>689</v>
      </c>
      <c r="D24" s="228">
        <v>50</v>
      </c>
      <c r="E24" s="228">
        <v>8</v>
      </c>
      <c r="F24" s="231">
        <v>10373</v>
      </c>
      <c r="G24" s="231">
        <v>10358</v>
      </c>
      <c r="H24" s="228">
        <v>15</v>
      </c>
      <c r="I24" s="229">
        <v>1.4E-3</v>
      </c>
      <c r="J24" s="231">
        <v>10388</v>
      </c>
      <c r="K24" s="231">
        <v>10355.5</v>
      </c>
      <c r="L24" s="228">
        <v>32.5</v>
      </c>
      <c r="M24" s="229">
        <v>3.0999999999999999E-3</v>
      </c>
      <c r="N24" s="231">
        <v>10373</v>
      </c>
      <c r="O24" s="231">
        <v>10358</v>
      </c>
      <c r="P24" s="228">
        <v>15</v>
      </c>
      <c r="Q24" s="229">
        <v>1.4E-3</v>
      </c>
      <c r="R24" s="231">
        <v>10423.5</v>
      </c>
      <c r="S24" s="231">
        <v>10397.5</v>
      </c>
      <c r="T24" s="228">
        <v>26</v>
      </c>
      <c r="U24" s="229">
        <v>2.5000000000000001E-3</v>
      </c>
      <c r="V24" s="231">
        <v>10441</v>
      </c>
      <c r="W24" s="231">
        <v>10417</v>
      </c>
      <c r="X24" s="228">
        <v>24</v>
      </c>
      <c r="Y24" s="229">
        <v>2.3E-3</v>
      </c>
      <c r="Z24" s="228">
        <v>-15</v>
      </c>
      <c r="AA24" s="228">
        <v>2.5</v>
      </c>
      <c r="AB24" s="228">
        <v>-17.5</v>
      </c>
      <c r="AC24" s="229">
        <v>-1.4E-3</v>
      </c>
      <c r="AD24" s="228">
        <v>-15</v>
      </c>
      <c r="AE24" s="228">
        <v>2.5</v>
      </c>
      <c r="AF24" s="228">
        <v>-17.5</v>
      </c>
      <c r="AG24" s="229">
        <v>-1.4E-3</v>
      </c>
      <c r="AH24" s="228">
        <v>35.5</v>
      </c>
      <c r="AI24" s="228">
        <v>42</v>
      </c>
      <c r="AJ24" s="228">
        <v>-6.5</v>
      </c>
      <c r="AK24" s="229">
        <v>3.3999999999999998E-3</v>
      </c>
      <c r="AL24" s="228">
        <v>53</v>
      </c>
      <c r="AM24" s="228">
        <v>61.5</v>
      </c>
      <c r="AN24" s="228">
        <v>-8.5</v>
      </c>
      <c r="AO24" s="229">
        <v>5.1000000000000004E-3</v>
      </c>
      <c r="AP24" s="231">
        <v>10410.33</v>
      </c>
      <c r="AQ24" s="231">
        <v>10442.98</v>
      </c>
      <c r="AR24" s="228">
        <v>0</v>
      </c>
      <c r="AS24" s="228">
        <v>30</v>
      </c>
      <c r="AT24" s="228">
        <v>29</v>
      </c>
      <c r="AU24" s="228">
        <v>1</v>
      </c>
      <c r="AV24" s="229">
        <v>4.7100000000000003E-2</v>
      </c>
      <c r="AW24" s="228">
        <v>25</v>
      </c>
      <c r="AX24" s="228">
        <v>23</v>
      </c>
      <c r="AY24" s="228">
        <v>2</v>
      </c>
      <c r="AZ24" s="229">
        <v>0.10340000000000001</v>
      </c>
      <c r="BA24" s="228">
        <v>5</v>
      </c>
      <c r="BB24" s="228">
        <v>6</v>
      </c>
      <c r="BC24" s="228">
        <v>-1</v>
      </c>
      <c r="BD24" s="229">
        <v>-0.18260000000000001</v>
      </c>
      <c r="BE24" s="228">
        <v>0</v>
      </c>
      <c r="BF24" s="228">
        <v>0</v>
      </c>
      <c r="BG24" s="228">
        <v>0</v>
      </c>
      <c r="BH24" s="229">
        <v>1</v>
      </c>
      <c r="BI24" s="228">
        <v>198</v>
      </c>
      <c r="BJ24" s="228">
        <v>93</v>
      </c>
      <c r="BK24" s="228">
        <v>105</v>
      </c>
      <c r="BL24" s="229">
        <v>1.1226</v>
      </c>
      <c r="BM24" s="228">
        <v>328</v>
      </c>
      <c r="BN24" s="228">
        <v>140</v>
      </c>
      <c r="BO24" s="228">
        <v>188</v>
      </c>
      <c r="BP24" s="229">
        <v>1.3478000000000001</v>
      </c>
      <c r="BQ24" s="228">
        <v>556</v>
      </c>
      <c r="BR24" s="228">
        <v>262</v>
      </c>
      <c r="BS24" s="228">
        <v>295</v>
      </c>
      <c r="BT24" s="229">
        <v>1.1252</v>
      </c>
      <c r="BU24" s="230">
        <v>40806</v>
      </c>
      <c r="BV24" s="230">
        <v>49448</v>
      </c>
      <c r="BW24" s="230">
        <v>-8642</v>
      </c>
      <c r="BX24" s="229">
        <v>-0.17480000000000001</v>
      </c>
      <c r="BY24" s="228">
        <v>305</v>
      </c>
      <c r="BZ24" s="228">
        <v>305</v>
      </c>
      <c r="CA24" s="228">
        <v>0</v>
      </c>
      <c r="CB24" s="229">
        <v>8.9999999999999998E-4</v>
      </c>
      <c r="CC24" s="228">
        <v>269</v>
      </c>
      <c r="CD24" s="228">
        <v>270</v>
      </c>
      <c r="CE24" s="228">
        <v>-1</v>
      </c>
      <c r="CF24" s="229">
        <v>-2.3E-3</v>
      </c>
      <c r="CG24" s="228">
        <v>34</v>
      </c>
      <c r="CH24" s="228">
        <v>34</v>
      </c>
      <c r="CI24" s="228">
        <v>1</v>
      </c>
      <c r="CJ24" s="229">
        <v>2.3099999999999999E-2</v>
      </c>
      <c r="CK24" s="228">
        <v>1</v>
      </c>
      <c r="CL24" s="228">
        <v>1</v>
      </c>
      <c r="CM24" s="228">
        <v>0</v>
      </c>
      <c r="CN24" s="229">
        <v>9.0899999999999995E-2</v>
      </c>
      <c r="CO24" s="228">
        <v>78</v>
      </c>
      <c r="CP24" s="228">
        <v>88</v>
      </c>
      <c r="CQ24" s="228">
        <v>-10</v>
      </c>
      <c r="CR24" s="229">
        <v>-0.11609999999999999</v>
      </c>
      <c r="CS24" s="228">
        <v>59</v>
      </c>
      <c r="CT24" s="228">
        <v>49</v>
      </c>
      <c r="CU24" s="228">
        <v>10</v>
      </c>
      <c r="CV24" s="229">
        <v>0.20680000000000001</v>
      </c>
      <c r="CW24" s="228">
        <v>442</v>
      </c>
      <c r="CX24" s="228">
        <v>442</v>
      </c>
      <c r="CY24" s="228">
        <v>0</v>
      </c>
      <c r="CZ24" s="229">
        <v>1E-4</v>
      </c>
      <c r="DA24" s="228">
        <v>57.37</v>
      </c>
      <c r="DB24" s="228">
        <v>46.44</v>
      </c>
      <c r="DC24" s="228">
        <v>10.93</v>
      </c>
      <c r="DD24" s="228">
        <v>10.93</v>
      </c>
      <c r="DE24" s="228">
        <v>38.93</v>
      </c>
      <c r="DF24" s="228">
        <v>39.020000000000003</v>
      </c>
      <c r="DG24" s="228">
        <v>18.440000000000001</v>
      </c>
      <c r="DH24" s="228">
        <v>-0.09</v>
      </c>
      <c r="DI24" s="228">
        <v>40.67</v>
      </c>
      <c r="DJ24" s="228">
        <v>34.340000000000003</v>
      </c>
      <c r="DK24" s="228">
        <v>6.33</v>
      </c>
      <c r="DL24" s="228">
        <v>6.33</v>
      </c>
      <c r="DM24" s="228">
        <v>67.459999999999994</v>
      </c>
      <c r="DN24" s="228">
        <v>54.54</v>
      </c>
      <c r="DO24" s="228">
        <v>12.92</v>
      </c>
      <c r="DP24" s="228">
        <v>12.92</v>
      </c>
      <c r="DQ24" s="228">
        <v>0.75</v>
      </c>
      <c r="DR24" s="228">
        <v>0.55000000000000004</v>
      </c>
      <c r="DS24" s="228">
        <v>0.2</v>
      </c>
      <c r="DT24" s="229">
        <v>0.36359999999999998</v>
      </c>
      <c r="DU24" s="231">
        <v>10500</v>
      </c>
      <c r="DV24" s="231">
        <v>8500</v>
      </c>
      <c r="DW24" s="228">
        <v>1.65</v>
      </c>
      <c r="DX24" s="228">
        <v>1.5</v>
      </c>
      <c r="DY24" s="228">
        <v>0.15</v>
      </c>
      <c r="DZ24" s="229">
        <v>0.1</v>
      </c>
      <c r="EA24" s="229">
        <v>0.1168</v>
      </c>
      <c r="EB24" s="230">
        <v>33500</v>
      </c>
      <c r="EC24" s="229">
        <v>4.8999999999999998E-3</v>
      </c>
      <c r="ED24" s="229">
        <v>0.1168</v>
      </c>
      <c r="EE24" s="228">
        <v>32.65</v>
      </c>
      <c r="EF24" s="229">
        <v>3.0999999999999999E-3</v>
      </c>
      <c r="EG24" s="230">
        <v>20880</v>
      </c>
      <c r="EH24" s="230">
        <v>27182</v>
      </c>
      <c r="EI24" s="229">
        <v>-0.23180000000000001</v>
      </c>
      <c r="EJ24" s="229">
        <v>0.51170000000000004</v>
      </c>
      <c r="EK24" s="228">
        <v>215.91</v>
      </c>
      <c r="EL24" s="228">
        <v>270.35000000000002</v>
      </c>
      <c r="EM24" s="228">
        <v>30.1</v>
      </c>
      <c r="EN24" s="228">
        <v>8.8000000000000007</v>
      </c>
      <c r="EO24" s="228">
        <v>516.35</v>
      </c>
      <c r="EP24" s="228">
        <v>244.06</v>
      </c>
      <c r="EQ24" s="228">
        <v>272.29000000000002</v>
      </c>
      <c r="ER24" s="229">
        <v>1.1156999999999999</v>
      </c>
      <c r="ES24" s="228">
        <v>77.27</v>
      </c>
      <c r="ET24" s="228">
        <v>51.91</v>
      </c>
      <c r="EU24" s="228">
        <v>305.19</v>
      </c>
      <c r="EV24" s="231">
        <v>5401993</v>
      </c>
      <c r="EW24" s="228">
        <v>434.37</v>
      </c>
      <c r="EX24" s="228">
        <v>436.24</v>
      </c>
      <c r="EY24" s="228">
        <v>-1.87</v>
      </c>
      <c r="EZ24" s="229">
        <v>-4.3E-3</v>
      </c>
      <c r="FA24" s="229">
        <v>7.8899999999999998E-2</v>
      </c>
      <c r="FB24" s="227" t="s">
        <v>555</v>
      </c>
      <c r="FC24">
        <f t="shared" si="0"/>
        <v>36</v>
      </c>
    </row>
    <row r="25" spans="1:159" ht="17.25" thickBot="1" x14ac:dyDescent="0.3">
      <c r="A25" s="226">
        <v>46132</v>
      </c>
      <c r="B25" s="227" t="s">
        <v>175</v>
      </c>
      <c r="C25" s="227" t="s">
        <v>177</v>
      </c>
      <c r="D25" s="228">
        <v>750</v>
      </c>
      <c r="E25" s="228">
        <v>8</v>
      </c>
      <c r="F25" s="228">
        <v>916.95</v>
      </c>
      <c r="G25" s="228">
        <v>910.95</v>
      </c>
      <c r="H25" s="228">
        <v>6</v>
      </c>
      <c r="I25" s="229">
        <v>6.6E-3</v>
      </c>
      <c r="J25" s="228">
        <v>917.75</v>
      </c>
      <c r="K25" s="228">
        <v>908.25</v>
      </c>
      <c r="L25" s="228">
        <v>9.5</v>
      </c>
      <c r="M25" s="229">
        <v>1.0500000000000001E-2</v>
      </c>
      <c r="N25" s="228">
        <v>916.95</v>
      </c>
      <c r="O25" s="228">
        <v>910.95</v>
      </c>
      <c r="P25" s="228">
        <v>6</v>
      </c>
      <c r="Q25" s="229">
        <v>6.6E-3</v>
      </c>
      <c r="R25" s="228">
        <v>921.1</v>
      </c>
      <c r="S25" s="228">
        <v>915.3</v>
      </c>
      <c r="T25" s="228">
        <v>5.8</v>
      </c>
      <c r="U25" s="229">
        <v>6.3E-3</v>
      </c>
      <c r="V25" s="228">
        <v>923.7</v>
      </c>
      <c r="W25" s="228">
        <v>917.2</v>
      </c>
      <c r="X25" s="228">
        <v>6.5</v>
      </c>
      <c r="Y25" s="229">
        <v>7.1000000000000004E-3</v>
      </c>
      <c r="Z25" s="228">
        <v>-0.8</v>
      </c>
      <c r="AA25" s="228">
        <v>2.7</v>
      </c>
      <c r="AB25" s="228">
        <v>-3.5</v>
      </c>
      <c r="AC25" s="229">
        <v>-8.9999999999999998E-4</v>
      </c>
      <c r="AD25" s="228">
        <v>-0.8</v>
      </c>
      <c r="AE25" s="228">
        <v>2.7</v>
      </c>
      <c r="AF25" s="228">
        <v>-3.5</v>
      </c>
      <c r="AG25" s="229">
        <v>-8.9999999999999998E-4</v>
      </c>
      <c r="AH25" s="228">
        <v>3.35</v>
      </c>
      <c r="AI25" s="228">
        <v>7.05</v>
      </c>
      <c r="AJ25" s="228">
        <v>-3.7</v>
      </c>
      <c r="AK25" s="229">
        <v>3.7000000000000002E-3</v>
      </c>
      <c r="AL25" s="228">
        <v>5.95</v>
      </c>
      <c r="AM25" s="228">
        <v>8.9499999999999993</v>
      </c>
      <c r="AN25" s="228">
        <v>-3</v>
      </c>
      <c r="AO25" s="229">
        <v>6.4999999999999997E-3</v>
      </c>
      <c r="AP25" s="228">
        <v>914.87</v>
      </c>
      <c r="AQ25" s="228">
        <v>919.31</v>
      </c>
      <c r="AR25" s="228">
        <v>0</v>
      </c>
      <c r="AS25" s="228">
        <v>560</v>
      </c>
      <c r="AT25" s="228">
        <v>443</v>
      </c>
      <c r="AU25" s="228">
        <v>118</v>
      </c>
      <c r="AV25" s="229">
        <v>0.2661</v>
      </c>
      <c r="AW25" s="228">
        <v>472</v>
      </c>
      <c r="AX25" s="228">
        <v>364</v>
      </c>
      <c r="AY25" s="228">
        <v>108</v>
      </c>
      <c r="AZ25" s="229">
        <v>0.29580000000000001</v>
      </c>
      <c r="BA25" s="228">
        <v>78</v>
      </c>
      <c r="BB25" s="228">
        <v>67</v>
      </c>
      <c r="BC25" s="228">
        <v>12</v>
      </c>
      <c r="BD25" s="229">
        <v>0.17560000000000001</v>
      </c>
      <c r="BE25" s="228">
        <v>10</v>
      </c>
      <c r="BF25" s="228">
        <v>12</v>
      </c>
      <c r="BG25" s="228">
        <v>-2</v>
      </c>
      <c r="BH25" s="229">
        <v>-0.13950000000000001</v>
      </c>
      <c r="BI25" s="230">
        <v>1893</v>
      </c>
      <c r="BJ25" s="230">
        <v>1276</v>
      </c>
      <c r="BK25" s="228">
        <v>617</v>
      </c>
      <c r="BL25" s="229">
        <v>0.48349999999999999</v>
      </c>
      <c r="BM25" s="230">
        <v>1057</v>
      </c>
      <c r="BN25" s="228">
        <v>798</v>
      </c>
      <c r="BO25" s="228">
        <v>259</v>
      </c>
      <c r="BP25" s="229">
        <v>0.3241</v>
      </c>
      <c r="BQ25" s="230">
        <v>3510</v>
      </c>
      <c r="BR25" s="230">
        <v>2517</v>
      </c>
      <c r="BS25" s="228">
        <v>994</v>
      </c>
      <c r="BT25" s="229">
        <v>0.3947</v>
      </c>
      <c r="BU25" s="230">
        <v>6630447</v>
      </c>
      <c r="BV25" s="230">
        <v>6274068</v>
      </c>
      <c r="BW25" s="230">
        <v>356379</v>
      </c>
      <c r="BX25" s="229">
        <v>5.6800000000000003E-2</v>
      </c>
      <c r="BY25" s="230">
        <v>6437</v>
      </c>
      <c r="BZ25" s="230">
        <v>6508</v>
      </c>
      <c r="CA25" s="228">
        <v>-71</v>
      </c>
      <c r="CB25" s="229">
        <v>-1.09E-2</v>
      </c>
      <c r="CC25" s="230">
        <v>5905</v>
      </c>
      <c r="CD25" s="230">
        <v>6002</v>
      </c>
      <c r="CE25" s="228">
        <v>-96</v>
      </c>
      <c r="CF25" s="229">
        <v>-1.61E-2</v>
      </c>
      <c r="CG25" s="228">
        <v>485</v>
      </c>
      <c r="CH25" s="228">
        <v>462</v>
      </c>
      <c r="CI25" s="228">
        <v>24</v>
      </c>
      <c r="CJ25" s="229">
        <v>5.0900000000000001E-2</v>
      </c>
      <c r="CK25" s="228">
        <v>46</v>
      </c>
      <c r="CL25" s="228">
        <v>44</v>
      </c>
      <c r="CM25" s="228">
        <v>2</v>
      </c>
      <c r="CN25" s="229">
        <v>4.3499999999999997E-2</v>
      </c>
      <c r="CO25" s="230">
        <v>1951</v>
      </c>
      <c r="CP25" s="230">
        <v>2012</v>
      </c>
      <c r="CQ25" s="228">
        <v>-61</v>
      </c>
      <c r="CR25" s="229">
        <v>-3.0200000000000001E-2</v>
      </c>
      <c r="CS25" s="230">
        <v>1566</v>
      </c>
      <c r="CT25" s="230">
        <v>1567</v>
      </c>
      <c r="CU25" s="228">
        <v>-1</v>
      </c>
      <c r="CV25" s="229">
        <v>-5.0000000000000001E-4</v>
      </c>
      <c r="CW25" s="230">
        <v>9954</v>
      </c>
      <c r="CX25" s="230">
        <v>10086</v>
      </c>
      <c r="CY25" s="228">
        <v>-133</v>
      </c>
      <c r="CZ25" s="229">
        <v>-1.3100000000000001E-2</v>
      </c>
      <c r="DA25" s="228">
        <v>35.74</v>
      </c>
      <c r="DB25" s="228">
        <v>33.26</v>
      </c>
      <c r="DC25" s="228">
        <v>2.48</v>
      </c>
      <c r="DD25" s="228">
        <v>2.48</v>
      </c>
      <c r="DE25" s="228">
        <v>35.94</v>
      </c>
      <c r="DF25" s="228">
        <v>36</v>
      </c>
      <c r="DG25" s="228">
        <v>-0.2</v>
      </c>
      <c r="DH25" s="228">
        <v>-0.06</v>
      </c>
      <c r="DI25" s="228">
        <v>34.020000000000003</v>
      </c>
      <c r="DJ25" s="228">
        <v>31.46</v>
      </c>
      <c r="DK25" s="228">
        <v>2.56</v>
      </c>
      <c r="DL25" s="228">
        <v>2.56</v>
      </c>
      <c r="DM25" s="228">
        <v>38.82</v>
      </c>
      <c r="DN25" s="228">
        <v>36.15</v>
      </c>
      <c r="DO25" s="228">
        <v>2.67</v>
      </c>
      <c r="DP25" s="228">
        <v>2.67</v>
      </c>
      <c r="DQ25" s="228">
        <v>0.8</v>
      </c>
      <c r="DR25" s="228">
        <v>0.78</v>
      </c>
      <c r="DS25" s="228">
        <v>0.02</v>
      </c>
      <c r="DT25" s="229">
        <v>2.5600000000000001E-2</v>
      </c>
      <c r="DU25" s="228">
        <v>920</v>
      </c>
      <c r="DV25" s="228">
        <v>800</v>
      </c>
      <c r="DW25" s="228">
        <v>0.56000000000000005</v>
      </c>
      <c r="DX25" s="228">
        <v>0.63</v>
      </c>
      <c r="DY25" s="228">
        <v>-7.0000000000000007E-2</v>
      </c>
      <c r="DZ25" s="229">
        <v>-0.1111</v>
      </c>
      <c r="EA25" s="229">
        <v>8.2500000000000004E-2</v>
      </c>
      <c r="EB25" s="230">
        <v>5517000</v>
      </c>
      <c r="EC25" s="229">
        <v>4.4999999999999997E-3</v>
      </c>
      <c r="ED25" s="229">
        <v>8.2500000000000004E-2</v>
      </c>
      <c r="EE25" s="228">
        <v>4.4400000000000004</v>
      </c>
      <c r="EF25" s="229">
        <v>4.8999999999999998E-3</v>
      </c>
      <c r="EG25" s="230">
        <v>3597310</v>
      </c>
      <c r="EH25" s="230">
        <v>3926064</v>
      </c>
      <c r="EI25" s="229">
        <v>-8.3699999999999997E-2</v>
      </c>
      <c r="EJ25" s="229">
        <v>0.54249999999999998</v>
      </c>
      <c r="EK25" s="231">
        <v>1958.51</v>
      </c>
      <c r="EL25" s="231">
        <v>1034.67</v>
      </c>
      <c r="EM25" s="228">
        <v>559.66</v>
      </c>
      <c r="EN25" s="228">
        <v>96.74</v>
      </c>
      <c r="EO25" s="231">
        <v>3552.84</v>
      </c>
      <c r="EP25" s="231">
        <v>2526.41</v>
      </c>
      <c r="EQ25" s="231">
        <v>1026.43</v>
      </c>
      <c r="ER25" s="229">
        <v>0.40629999999999999</v>
      </c>
      <c r="ES25" s="231">
        <v>1944.99</v>
      </c>
      <c r="ET25" s="231">
        <v>1471.08</v>
      </c>
      <c r="EU25" s="231">
        <v>6439.32</v>
      </c>
      <c r="EV25" s="231">
        <v>387962395</v>
      </c>
      <c r="EW25" s="231">
        <v>9855.39</v>
      </c>
      <c r="EX25" s="231">
        <v>9942.1200000000008</v>
      </c>
      <c r="EY25" s="228">
        <v>-86.73</v>
      </c>
      <c r="EZ25" s="229">
        <v>-8.6999999999999994E-3</v>
      </c>
      <c r="FA25" s="229">
        <v>0.27979999999999999</v>
      </c>
      <c r="FB25" s="227" t="s">
        <v>693</v>
      </c>
      <c r="FC25">
        <f t="shared" si="0"/>
        <v>532</v>
      </c>
    </row>
    <row r="26" spans="1:159" ht="17.25" thickBot="1" x14ac:dyDescent="0.3">
      <c r="A26" s="226">
        <v>46132</v>
      </c>
      <c r="B26" s="227" t="s">
        <v>172</v>
      </c>
      <c r="C26" s="227" t="s">
        <v>179</v>
      </c>
      <c r="D26" s="228">
        <v>3600</v>
      </c>
      <c r="E26" s="228">
        <v>8</v>
      </c>
      <c r="F26" s="228">
        <v>175.22</v>
      </c>
      <c r="G26" s="228">
        <v>175.02</v>
      </c>
      <c r="H26" s="228">
        <v>0.2</v>
      </c>
      <c r="I26" s="229">
        <v>1.1000000000000001E-3</v>
      </c>
      <c r="J26" s="228">
        <v>175.43</v>
      </c>
      <c r="K26" s="228">
        <v>174.47</v>
      </c>
      <c r="L26" s="228">
        <v>0.96</v>
      </c>
      <c r="M26" s="229">
        <v>5.4999999999999997E-3</v>
      </c>
      <c r="N26" s="228">
        <v>175.22</v>
      </c>
      <c r="O26" s="228">
        <v>175.02</v>
      </c>
      <c r="P26" s="228">
        <v>0.2</v>
      </c>
      <c r="Q26" s="229">
        <v>1.1000000000000001E-3</v>
      </c>
      <c r="R26" s="228">
        <v>176.25</v>
      </c>
      <c r="S26" s="228">
        <v>176.04</v>
      </c>
      <c r="T26" s="228">
        <v>0.21</v>
      </c>
      <c r="U26" s="229">
        <v>1.1999999999999999E-3</v>
      </c>
      <c r="V26" s="228">
        <v>177.05</v>
      </c>
      <c r="W26" s="228">
        <v>176.44</v>
      </c>
      <c r="X26" s="228">
        <v>0.61</v>
      </c>
      <c r="Y26" s="229">
        <v>3.5000000000000001E-3</v>
      </c>
      <c r="Z26" s="228">
        <v>-0.21</v>
      </c>
      <c r="AA26" s="228">
        <v>0.55000000000000004</v>
      </c>
      <c r="AB26" s="228">
        <v>-0.76</v>
      </c>
      <c r="AC26" s="229">
        <v>-1.1999999999999999E-3</v>
      </c>
      <c r="AD26" s="228">
        <v>-0.21</v>
      </c>
      <c r="AE26" s="228">
        <v>0.55000000000000004</v>
      </c>
      <c r="AF26" s="228">
        <v>-0.76</v>
      </c>
      <c r="AG26" s="229">
        <v>-1.1999999999999999E-3</v>
      </c>
      <c r="AH26" s="228">
        <v>0.82</v>
      </c>
      <c r="AI26" s="228">
        <v>1.57</v>
      </c>
      <c r="AJ26" s="228">
        <v>-0.75</v>
      </c>
      <c r="AK26" s="229">
        <v>4.7000000000000002E-3</v>
      </c>
      <c r="AL26" s="228">
        <v>1.62</v>
      </c>
      <c r="AM26" s="228">
        <v>1.97</v>
      </c>
      <c r="AN26" s="228">
        <v>-0.35</v>
      </c>
      <c r="AO26" s="229">
        <v>9.1999999999999998E-3</v>
      </c>
      <c r="AP26" s="228">
        <v>175.42</v>
      </c>
      <c r="AQ26" s="228">
        <v>176.21</v>
      </c>
      <c r="AR26" s="228">
        <v>0</v>
      </c>
      <c r="AS26" s="228">
        <v>315</v>
      </c>
      <c r="AT26" s="228">
        <v>452</v>
      </c>
      <c r="AU26" s="228">
        <v>-137</v>
      </c>
      <c r="AV26" s="229">
        <v>-0.30330000000000001</v>
      </c>
      <c r="AW26" s="228">
        <v>259</v>
      </c>
      <c r="AX26" s="228">
        <v>256</v>
      </c>
      <c r="AY26" s="228">
        <v>2</v>
      </c>
      <c r="AZ26" s="229">
        <v>9.1000000000000004E-3</v>
      </c>
      <c r="BA26" s="228">
        <v>55</v>
      </c>
      <c r="BB26" s="228">
        <v>195</v>
      </c>
      <c r="BC26" s="228">
        <v>-141</v>
      </c>
      <c r="BD26" s="229">
        <v>-0.72060000000000002</v>
      </c>
      <c r="BE26" s="228">
        <v>2</v>
      </c>
      <c r="BF26" s="228">
        <v>1</v>
      </c>
      <c r="BG26" s="228">
        <v>1</v>
      </c>
      <c r="BH26" s="229">
        <v>2.2222</v>
      </c>
      <c r="BI26" s="228">
        <v>320</v>
      </c>
      <c r="BJ26" s="228">
        <v>163</v>
      </c>
      <c r="BK26" s="228">
        <v>157</v>
      </c>
      <c r="BL26" s="229">
        <v>0.95909999999999995</v>
      </c>
      <c r="BM26" s="228">
        <v>193</v>
      </c>
      <c r="BN26" s="228">
        <v>120</v>
      </c>
      <c r="BO26" s="228">
        <v>73</v>
      </c>
      <c r="BP26" s="229">
        <v>0.60560000000000003</v>
      </c>
      <c r="BQ26" s="228">
        <v>828</v>
      </c>
      <c r="BR26" s="228">
        <v>736</v>
      </c>
      <c r="BS26" s="228">
        <v>92</v>
      </c>
      <c r="BT26" s="229">
        <v>0.12570000000000001</v>
      </c>
      <c r="BU26" s="230">
        <v>7756352</v>
      </c>
      <c r="BV26" s="230">
        <v>4592075</v>
      </c>
      <c r="BW26" s="230">
        <v>3164277</v>
      </c>
      <c r="BX26" s="229">
        <v>0.68910000000000005</v>
      </c>
      <c r="BY26" s="230">
        <v>1539</v>
      </c>
      <c r="BZ26" s="230">
        <v>1560</v>
      </c>
      <c r="CA26" s="228">
        <v>-21</v>
      </c>
      <c r="CB26" s="229">
        <v>-1.35E-2</v>
      </c>
      <c r="CC26" s="230">
        <v>1228</v>
      </c>
      <c r="CD26" s="230">
        <v>1288</v>
      </c>
      <c r="CE26" s="228">
        <v>-60</v>
      </c>
      <c r="CF26" s="229">
        <v>-4.65E-2</v>
      </c>
      <c r="CG26" s="228">
        <v>306</v>
      </c>
      <c r="CH26" s="228">
        <v>267</v>
      </c>
      <c r="CI26" s="228">
        <v>38</v>
      </c>
      <c r="CJ26" s="229">
        <v>0.14380000000000001</v>
      </c>
      <c r="CK26" s="228">
        <v>6</v>
      </c>
      <c r="CL26" s="228">
        <v>5</v>
      </c>
      <c r="CM26" s="228">
        <v>0</v>
      </c>
      <c r="CN26" s="229">
        <v>7.1400000000000005E-2</v>
      </c>
      <c r="CO26" s="228">
        <v>475</v>
      </c>
      <c r="CP26" s="228">
        <v>460</v>
      </c>
      <c r="CQ26" s="228">
        <v>15</v>
      </c>
      <c r="CR26" s="229">
        <v>3.2099999999999997E-2</v>
      </c>
      <c r="CS26" s="228">
        <v>336</v>
      </c>
      <c r="CT26" s="228">
        <v>354</v>
      </c>
      <c r="CU26" s="228">
        <v>-18</v>
      </c>
      <c r="CV26" s="229">
        <v>-4.99E-2</v>
      </c>
      <c r="CW26" s="230">
        <v>2350</v>
      </c>
      <c r="CX26" s="230">
        <v>2374</v>
      </c>
      <c r="CY26" s="228">
        <v>-24</v>
      </c>
      <c r="CZ26" s="229">
        <v>-1.01E-2</v>
      </c>
      <c r="DA26" s="228">
        <v>47.67</v>
      </c>
      <c r="DB26" s="228">
        <v>44.03</v>
      </c>
      <c r="DC26" s="228">
        <v>3.64</v>
      </c>
      <c r="DD26" s="228">
        <v>3.64</v>
      </c>
      <c r="DE26" s="228">
        <v>45.91</v>
      </c>
      <c r="DF26" s="228">
        <v>46.02</v>
      </c>
      <c r="DG26" s="228">
        <v>1.76</v>
      </c>
      <c r="DH26" s="228">
        <v>-0.11</v>
      </c>
      <c r="DI26" s="228">
        <v>46.37</v>
      </c>
      <c r="DJ26" s="228">
        <v>42.86</v>
      </c>
      <c r="DK26" s="228">
        <v>3.51</v>
      </c>
      <c r="DL26" s="228">
        <v>3.51</v>
      </c>
      <c r="DM26" s="228">
        <v>49.82</v>
      </c>
      <c r="DN26" s="228">
        <v>45.62</v>
      </c>
      <c r="DO26" s="228">
        <v>4.2</v>
      </c>
      <c r="DP26" s="228">
        <v>4.2</v>
      </c>
      <c r="DQ26" s="228">
        <v>0.71</v>
      </c>
      <c r="DR26" s="228">
        <v>0.77</v>
      </c>
      <c r="DS26" s="228">
        <v>-0.06</v>
      </c>
      <c r="DT26" s="229">
        <v>-7.7899999999999997E-2</v>
      </c>
      <c r="DU26" s="228">
        <v>150</v>
      </c>
      <c r="DV26" s="228">
        <v>170</v>
      </c>
      <c r="DW26" s="228">
        <v>0.6</v>
      </c>
      <c r="DX26" s="228">
        <v>0.74</v>
      </c>
      <c r="DY26" s="228">
        <v>-0.14000000000000001</v>
      </c>
      <c r="DZ26" s="229">
        <v>-0.18920000000000001</v>
      </c>
      <c r="EA26" s="229">
        <v>0.20219999999999999</v>
      </c>
      <c r="EB26" s="230">
        <v>15548400</v>
      </c>
      <c r="EC26" s="229">
        <v>5.8999999999999999E-3</v>
      </c>
      <c r="ED26" s="229">
        <v>0.20219999999999999</v>
      </c>
      <c r="EE26" s="228">
        <v>0.79</v>
      </c>
      <c r="EF26" s="229">
        <v>4.4999999999999997E-3</v>
      </c>
      <c r="EG26" s="230">
        <v>3395788</v>
      </c>
      <c r="EH26" s="230">
        <v>1541251</v>
      </c>
      <c r="EI26" s="229">
        <v>1.2033</v>
      </c>
      <c r="EJ26" s="229">
        <v>0.43780000000000002</v>
      </c>
      <c r="EK26" s="228">
        <v>334.56</v>
      </c>
      <c r="EL26" s="228">
        <v>187.62</v>
      </c>
      <c r="EM26" s="228">
        <v>315.64</v>
      </c>
      <c r="EN26" s="228">
        <v>50.5</v>
      </c>
      <c r="EO26" s="228">
        <v>837.82</v>
      </c>
      <c r="EP26" s="228">
        <v>741.72</v>
      </c>
      <c r="EQ26" s="228">
        <v>96.09</v>
      </c>
      <c r="ER26" s="229">
        <v>0.12959999999999999</v>
      </c>
      <c r="ES26" s="228">
        <v>463.51</v>
      </c>
      <c r="ET26" s="228">
        <v>306.23</v>
      </c>
      <c r="EU26" s="231">
        <v>1541.11</v>
      </c>
      <c r="EV26" s="231">
        <v>145616308</v>
      </c>
      <c r="EW26" s="231">
        <v>2310.85</v>
      </c>
      <c r="EX26" s="231">
        <v>2329.6999999999998</v>
      </c>
      <c r="EY26" s="228">
        <v>-18.850000000000001</v>
      </c>
      <c r="EZ26" s="229">
        <v>-8.0999999999999996E-3</v>
      </c>
      <c r="FA26" s="229">
        <v>0.92120000000000002</v>
      </c>
      <c r="FB26" s="227" t="s">
        <v>693</v>
      </c>
      <c r="FC26">
        <f t="shared" si="0"/>
        <v>311</v>
      </c>
    </row>
    <row r="27" spans="1:159" ht="17.25" thickBot="1" x14ac:dyDescent="0.3">
      <c r="A27" s="226">
        <v>46132</v>
      </c>
      <c r="B27" s="227" t="s">
        <v>172</v>
      </c>
      <c r="C27" s="227" t="s">
        <v>180</v>
      </c>
      <c r="D27" s="228">
        <v>2925</v>
      </c>
      <c r="E27" s="228">
        <v>8</v>
      </c>
      <c r="F27" s="228">
        <v>281</v>
      </c>
      <c r="G27" s="228">
        <v>281.16000000000003</v>
      </c>
      <c r="H27" s="228">
        <v>-0.16</v>
      </c>
      <c r="I27" s="229">
        <v>-5.9999999999999995E-4</v>
      </c>
      <c r="J27" s="228">
        <v>281.01</v>
      </c>
      <c r="K27" s="228">
        <v>280.44</v>
      </c>
      <c r="L27" s="228">
        <v>0.56999999999999995</v>
      </c>
      <c r="M27" s="229">
        <v>2E-3</v>
      </c>
      <c r="N27" s="228">
        <v>281</v>
      </c>
      <c r="O27" s="228">
        <v>281.16000000000003</v>
      </c>
      <c r="P27" s="228">
        <v>-0.16</v>
      </c>
      <c r="Q27" s="229">
        <v>-5.9999999999999995E-4</v>
      </c>
      <c r="R27" s="228">
        <v>282.73</v>
      </c>
      <c r="S27" s="228">
        <v>282.67</v>
      </c>
      <c r="T27" s="228">
        <v>0.06</v>
      </c>
      <c r="U27" s="229">
        <v>2.0000000000000001E-4</v>
      </c>
      <c r="V27" s="228">
        <v>284.41000000000003</v>
      </c>
      <c r="W27" s="228">
        <v>284.47000000000003</v>
      </c>
      <c r="X27" s="228">
        <v>-0.06</v>
      </c>
      <c r="Y27" s="229">
        <v>-2.0000000000000001E-4</v>
      </c>
      <c r="Z27" s="228">
        <v>-0.01</v>
      </c>
      <c r="AA27" s="228">
        <v>0.72</v>
      </c>
      <c r="AB27" s="228">
        <v>-0.73</v>
      </c>
      <c r="AC27" s="229">
        <v>0</v>
      </c>
      <c r="AD27" s="228">
        <v>-0.01</v>
      </c>
      <c r="AE27" s="228">
        <v>0.72</v>
      </c>
      <c r="AF27" s="228">
        <v>-0.73</v>
      </c>
      <c r="AG27" s="229">
        <v>0</v>
      </c>
      <c r="AH27" s="228">
        <v>1.72</v>
      </c>
      <c r="AI27" s="228">
        <v>2.23</v>
      </c>
      <c r="AJ27" s="228">
        <v>-0.51</v>
      </c>
      <c r="AK27" s="229">
        <v>6.1000000000000004E-3</v>
      </c>
      <c r="AL27" s="228">
        <v>3.4</v>
      </c>
      <c r="AM27" s="228">
        <v>4.03</v>
      </c>
      <c r="AN27" s="228">
        <v>-0.63</v>
      </c>
      <c r="AO27" s="229">
        <v>1.21E-2</v>
      </c>
      <c r="AP27" s="228">
        <v>282.52</v>
      </c>
      <c r="AQ27" s="228">
        <v>284.48</v>
      </c>
      <c r="AR27" s="228">
        <v>0</v>
      </c>
      <c r="AS27" s="228">
        <v>750</v>
      </c>
      <c r="AT27" s="228">
        <v>759</v>
      </c>
      <c r="AU27" s="228">
        <v>-9</v>
      </c>
      <c r="AV27" s="229">
        <v>-1.1599999999999999E-2</v>
      </c>
      <c r="AW27" s="228">
        <v>608</v>
      </c>
      <c r="AX27" s="228">
        <v>526</v>
      </c>
      <c r="AY27" s="228">
        <v>82</v>
      </c>
      <c r="AZ27" s="229">
        <v>0.15590000000000001</v>
      </c>
      <c r="BA27" s="228">
        <v>137</v>
      </c>
      <c r="BB27" s="228">
        <v>72</v>
      </c>
      <c r="BC27" s="228">
        <v>65</v>
      </c>
      <c r="BD27" s="229">
        <v>0.90720000000000001</v>
      </c>
      <c r="BE27" s="228">
        <v>5</v>
      </c>
      <c r="BF27" s="228">
        <v>161</v>
      </c>
      <c r="BG27" s="228">
        <v>-156</v>
      </c>
      <c r="BH27" s="229">
        <v>-0.96840000000000004</v>
      </c>
      <c r="BI27" s="230">
        <v>1561</v>
      </c>
      <c r="BJ27" s="228">
        <v>943</v>
      </c>
      <c r="BK27" s="228">
        <v>619</v>
      </c>
      <c r="BL27" s="229">
        <v>0.65620000000000001</v>
      </c>
      <c r="BM27" s="228">
        <v>969</v>
      </c>
      <c r="BN27" s="228">
        <v>668</v>
      </c>
      <c r="BO27" s="228">
        <v>301</v>
      </c>
      <c r="BP27" s="229">
        <v>0.45019999999999999</v>
      </c>
      <c r="BQ27" s="230">
        <v>3280</v>
      </c>
      <c r="BR27" s="230">
        <v>2370</v>
      </c>
      <c r="BS27" s="228">
        <v>911</v>
      </c>
      <c r="BT27" s="229">
        <v>0.38429999999999997</v>
      </c>
      <c r="BU27" s="230">
        <v>12559012</v>
      </c>
      <c r="BV27" s="230">
        <v>7246769</v>
      </c>
      <c r="BW27" s="230">
        <v>5312243</v>
      </c>
      <c r="BX27" s="229">
        <v>0.73299999999999998</v>
      </c>
      <c r="BY27" s="230">
        <v>2875</v>
      </c>
      <c r="BZ27" s="230">
        <v>2904</v>
      </c>
      <c r="CA27" s="228">
        <v>-29</v>
      </c>
      <c r="CB27" s="229">
        <v>-9.9000000000000008E-3</v>
      </c>
      <c r="CC27" s="230">
        <v>2415</v>
      </c>
      <c r="CD27" s="230">
        <v>2513</v>
      </c>
      <c r="CE27" s="228">
        <v>-98</v>
      </c>
      <c r="CF27" s="229">
        <v>-3.9E-2</v>
      </c>
      <c r="CG27" s="228">
        <v>286</v>
      </c>
      <c r="CH27" s="228">
        <v>218</v>
      </c>
      <c r="CI27" s="228">
        <v>68</v>
      </c>
      <c r="CJ27" s="229">
        <v>0.31169999999999998</v>
      </c>
      <c r="CK27" s="228">
        <v>174</v>
      </c>
      <c r="CL27" s="228">
        <v>172</v>
      </c>
      <c r="CM27" s="228">
        <v>1</v>
      </c>
      <c r="CN27" s="229">
        <v>8.0999999999999996E-3</v>
      </c>
      <c r="CO27" s="230">
        <v>1239</v>
      </c>
      <c r="CP27" s="230">
        <v>1160</v>
      </c>
      <c r="CQ27" s="228">
        <v>79</v>
      </c>
      <c r="CR27" s="229">
        <v>6.8400000000000002E-2</v>
      </c>
      <c r="CS27" s="230">
        <v>1172</v>
      </c>
      <c r="CT27" s="230">
        <v>1106</v>
      </c>
      <c r="CU27" s="228">
        <v>66</v>
      </c>
      <c r="CV27" s="229">
        <v>5.9700000000000003E-2</v>
      </c>
      <c r="CW27" s="230">
        <v>5287</v>
      </c>
      <c r="CX27" s="230">
        <v>5170</v>
      </c>
      <c r="CY27" s="228">
        <v>117</v>
      </c>
      <c r="CZ27" s="229">
        <v>2.2599999999999999E-2</v>
      </c>
      <c r="DA27" s="228">
        <v>36.590000000000003</v>
      </c>
      <c r="DB27" s="228">
        <v>33.5</v>
      </c>
      <c r="DC27" s="228">
        <v>3.09</v>
      </c>
      <c r="DD27" s="228">
        <v>3.09</v>
      </c>
      <c r="DE27" s="228">
        <v>36.92</v>
      </c>
      <c r="DF27" s="228">
        <v>37.020000000000003</v>
      </c>
      <c r="DG27" s="228">
        <v>-0.33</v>
      </c>
      <c r="DH27" s="228">
        <v>-0.1</v>
      </c>
      <c r="DI27" s="228">
        <v>34.450000000000003</v>
      </c>
      <c r="DJ27" s="228">
        <v>31.6</v>
      </c>
      <c r="DK27" s="228">
        <v>2.85</v>
      </c>
      <c r="DL27" s="228">
        <v>2.85</v>
      </c>
      <c r="DM27" s="228">
        <v>40.03</v>
      </c>
      <c r="DN27" s="228">
        <v>36.18</v>
      </c>
      <c r="DO27" s="228">
        <v>3.85</v>
      </c>
      <c r="DP27" s="228">
        <v>3.85</v>
      </c>
      <c r="DQ27" s="228">
        <v>0.95</v>
      </c>
      <c r="DR27" s="228">
        <v>0.95</v>
      </c>
      <c r="DS27" s="228">
        <v>0</v>
      </c>
      <c r="DT27" s="229">
        <v>0</v>
      </c>
      <c r="DU27" s="228">
        <v>300</v>
      </c>
      <c r="DV27" s="228">
        <v>250</v>
      </c>
      <c r="DW27" s="228">
        <v>0.62</v>
      </c>
      <c r="DX27" s="228">
        <v>0.71</v>
      </c>
      <c r="DY27" s="228">
        <v>-0.09</v>
      </c>
      <c r="DZ27" s="229">
        <v>-0.1268</v>
      </c>
      <c r="EA27" s="229">
        <v>0.1598</v>
      </c>
      <c r="EB27" s="230">
        <v>13887900</v>
      </c>
      <c r="EC27" s="229">
        <v>6.1999999999999998E-3</v>
      </c>
      <c r="ED27" s="229">
        <v>0.1598</v>
      </c>
      <c r="EE27" s="228">
        <v>1.96</v>
      </c>
      <c r="EF27" s="229">
        <v>6.8999999999999999E-3</v>
      </c>
      <c r="EG27" s="230">
        <v>5281794</v>
      </c>
      <c r="EH27" s="230">
        <v>3410331</v>
      </c>
      <c r="EI27" s="229">
        <v>0.54879999999999995</v>
      </c>
      <c r="EJ27" s="229">
        <v>0.42059999999999997</v>
      </c>
      <c r="EK27" s="231">
        <v>1635.5</v>
      </c>
      <c r="EL27" s="228">
        <v>948.82</v>
      </c>
      <c r="EM27" s="228">
        <v>755.15</v>
      </c>
      <c r="EN27" s="228">
        <v>66.5</v>
      </c>
      <c r="EO27" s="231">
        <v>3339.47</v>
      </c>
      <c r="EP27" s="231">
        <v>2379.65</v>
      </c>
      <c r="EQ27" s="228">
        <v>959.82</v>
      </c>
      <c r="ER27" s="229">
        <v>0.40329999999999999</v>
      </c>
      <c r="ES27" s="231">
        <v>1254.6300000000001</v>
      </c>
      <c r="ET27" s="231">
        <v>1123.8499999999999</v>
      </c>
      <c r="EU27" s="231">
        <v>2878.88</v>
      </c>
      <c r="EV27" s="231">
        <v>279476623</v>
      </c>
      <c r="EW27" s="231">
        <v>5257.35</v>
      </c>
      <c r="EX27" s="231">
        <v>5138.7</v>
      </c>
      <c r="EY27" s="228">
        <v>118.65</v>
      </c>
      <c r="EZ27" s="229">
        <v>2.3099999999999999E-2</v>
      </c>
      <c r="FA27" s="229">
        <v>0.67320000000000002</v>
      </c>
      <c r="FB27" s="227" t="s">
        <v>567</v>
      </c>
      <c r="FC27">
        <f t="shared" si="0"/>
        <v>460</v>
      </c>
    </row>
    <row r="28" spans="1:159" ht="17.25" thickBot="1" x14ac:dyDescent="0.3">
      <c r="A28" s="226">
        <v>46132</v>
      </c>
      <c r="B28" s="227" t="s">
        <v>172</v>
      </c>
      <c r="C28" s="227" t="s">
        <v>601</v>
      </c>
      <c r="D28" s="228">
        <v>5200</v>
      </c>
      <c r="E28" s="228">
        <v>8</v>
      </c>
      <c r="F28" s="228">
        <v>148.55000000000001</v>
      </c>
      <c r="G28" s="228">
        <v>148.28</v>
      </c>
      <c r="H28" s="228">
        <v>0.27</v>
      </c>
      <c r="I28" s="229">
        <v>1.8E-3</v>
      </c>
      <c r="J28" s="228">
        <v>148.31</v>
      </c>
      <c r="K28" s="228">
        <v>148.1</v>
      </c>
      <c r="L28" s="228">
        <v>0.21</v>
      </c>
      <c r="M28" s="229">
        <v>1.4E-3</v>
      </c>
      <c r="N28" s="228">
        <v>148.55000000000001</v>
      </c>
      <c r="O28" s="228">
        <v>148.28</v>
      </c>
      <c r="P28" s="228">
        <v>0.27</v>
      </c>
      <c r="Q28" s="229">
        <v>1.8E-3</v>
      </c>
      <c r="R28" s="228">
        <v>149.33000000000001</v>
      </c>
      <c r="S28" s="228">
        <v>149.11000000000001</v>
      </c>
      <c r="T28" s="228">
        <v>0.22</v>
      </c>
      <c r="U28" s="229">
        <v>1.5E-3</v>
      </c>
      <c r="V28" s="228">
        <v>150.30000000000001</v>
      </c>
      <c r="W28" s="228">
        <v>150.01</v>
      </c>
      <c r="X28" s="228">
        <v>0.28999999999999998</v>
      </c>
      <c r="Y28" s="229">
        <v>1.9E-3</v>
      </c>
      <c r="Z28" s="228">
        <v>0.24</v>
      </c>
      <c r="AA28" s="228">
        <v>0.18</v>
      </c>
      <c r="AB28" s="228">
        <v>0.06</v>
      </c>
      <c r="AC28" s="229">
        <v>1.6000000000000001E-3</v>
      </c>
      <c r="AD28" s="228">
        <v>0.24</v>
      </c>
      <c r="AE28" s="228">
        <v>0.18</v>
      </c>
      <c r="AF28" s="228">
        <v>0.06</v>
      </c>
      <c r="AG28" s="229">
        <v>1.6000000000000001E-3</v>
      </c>
      <c r="AH28" s="228">
        <v>1.02</v>
      </c>
      <c r="AI28" s="228">
        <v>1.01</v>
      </c>
      <c r="AJ28" s="228">
        <v>0.01</v>
      </c>
      <c r="AK28" s="229">
        <v>6.8999999999999999E-3</v>
      </c>
      <c r="AL28" s="228">
        <v>1.99</v>
      </c>
      <c r="AM28" s="228">
        <v>1.91</v>
      </c>
      <c r="AN28" s="228">
        <v>0.08</v>
      </c>
      <c r="AO28" s="229">
        <v>1.34E-2</v>
      </c>
      <c r="AP28" s="228">
        <v>149.32</v>
      </c>
      <c r="AQ28" s="228">
        <v>150.18</v>
      </c>
      <c r="AR28" s="228">
        <v>0</v>
      </c>
      <c r="AS28" s="228">
        <v>247</v>
      </c>
      <c r="AT28" s="228">
        <v>208</v>
      </c>
      <c r="AU28" s="228">
        <v>39</v>
      </c>
      <c r="AV28" s="229">
        <v>0.1862</v>
      </c>
      <c r="AW28" s="228">
        <v>189</v>
      </c>
      <c r="AX28" s="228">
        <v>172</v>
      </c>
      <c r="AY28" s="228">
        <v>17</v>
      </c>
      <c r="AZ28" s="229">
        <v>9.74E-2</v>
      </c>
      <c r="BA28" s="228">
        <v>55</v>
      </c>
      <c r="BB28" s="228">
        <v>35</v>
      </c>
      <c r="BC28" s="228">
        <v>20</v>
      </c>
      <c r="BD28" s="229">
        <v>0.5857</v>
      </c>
      <c r="BE28" s="228">
        <v>3</v>
      </c>
      <c r="BF28" s="228">
        <v>1</v>
      </c>
      <c r="BG28" s="228">
        <v>2</v>
      </c>
      <c r="BH28" s="229">
        <v>1.5</v>
      </c>
      <c r="BI28" s="228">
        <v>650</v>
      </c>
      <c r="BJ28" s="228">
        <v>355</v>
      </c>
      <c r="BK28" s="228">
        <v>296</v>
      </c>
      <c r="BL28" s="229">
        <v>0.83399999999999996</v>
      </c>
      <c r="BM28" s="228">
        <v>168</v>
      </c>
      <c r="BN28" s="228">
        <v>169</v>
      </c>
      <c r="BO28" s="228">
        <v>-1</v>
      </c>
      <c r="BP28" s="229">
        <v>-5.0000000000000001E-3</v>
      </c>
      <c r="BQ28" s="230">
        <v>1065</v>
      </c>
      <c r="BR28" s="228">
        <v>731</v>
      </c>
      <c r="BS28" s="228">
        <v>334</v>
      </c>
      <c r="BT28" s="229">
        <v>0.45610000000000001</v>
      </c>
      <c r="BU28" s="230">
        <v>9873311</v>
      </c>
      <c r="BV28" s="230">
        <v>9186397</v>
      </c>
      <c r="BW28" s="230">
        <v>686914</v>
      </c>
      <c r="BX28" s="229">
        <v>7.4800000000000005E-2</v>
      </c>
      <c r="BY28" s="228">
        <v>850</v>
      </c>
      <c r="BZ28" s="228">
        <v>839</v>
      </c>
      <c r="CA28" s="228">
        <v>11</v>
      </c>
      <c r="CB28" s="229">
        <v>1.2800000000000001E-2</v>
      </c>
      <c r="CC28" s="228">
        <v>763</v>
      </c>
      <c r="CD28" s="228">
        <v>773</v>
      </c>
      <c r="CE28" s="228">
        <v>-10</v>
      </c>
      <c r="CF28" s="229">
        <v>-1.2999999999999999E-2</v>
      </c>
      <c r="CG28" s="228">
        <v>78</v>
      </c>
      <c r="CH28" s="228">
        <v>58</v>
      </c>
      <c r="CI28" s="228">
        <v>20</v>
      </c>
      <c r="CJ28" s="229">
        <v>0.3458</v>
      </c>
      <c r="CK28" s="228">
        <v>9</v>
      </c>
      <c r="CL28" s="228">
        <v>8</v>
      </c>
      <c r="CM28" s="228">
        <v>1</v>
      </c>
      <c r="CN28" s="229">
        <v>9.2600000000000002E-2</v>
      </c>
      <c r="CO28" s="228">
        <v>446</v>
      </c>
      <c r="CP28" s="228">
        <v>381</v>
      </c>
      <c r="CQ28" s="228">
        <v>65</v>
      </c>
      <c r="CR28" s="229">
        <v>0.1709</v>
      </c>
      <c r="CS28" s="228">
        <v>336</v>
      </c>
      <c r="CT28" s="228">
        <v>333</v>
      </c>
      <c r="CU28" s="228">
        <v>3</v>
      </c>
      <c r="CV28" s="229">
        <v>9.7999999999999997E-3</v>
      </c>
      <c r="CW28" s="230">
        <v>1631</v>
      </c>
      <c r="CX28" s="230">
        <v>1552</v>
      </c>
      <c r="CY28" s="228">
        <v>79</v>
      </c>
      <c r="CZ28" s="229">
        <v>5.0900000000000001E-2</v>
      </c>
      <c r="DA28" s="228">
        <v>45.59</v>
      </c>
      <c r="DB28" s="228">
        <v>40.79</v>
      </c>
      <c r="DC28" s="228">
        <v>4.8</v>
      </c>
      <c r="DD28" s="228">
        <v>4.8</v>
      </c>
      <c r="DE28" s="228">
        <v>42.95</v>
      </c>
      <c r="DF28" s="228">
        <v>43.06</v>
      </c>
      <c r="DG28" s="228">
        <v>2.64</v>
      </c>
      <c r="DH28" s="228">
        <v>-0.11</v>
      </c>
      <c r="DI28" s="228">
        <v>45.39</v>
      </c>
      <c r="DJ28" s="228">
        <v>40.35</v>
      </c>
      <c r="DK28" s="228">
        <v>5.04</v>
      </c>
      <c r="DL28" s="228">
        <v>5.04</v>
      </c>
      <c r="DM28" s="228">
        <v>46.4</v>
      </c>
      <c r="DN28" s="228">
        <v>41.69</v>
      </c>
      <c r="DO28" s="228">
        <v>4.71</v>
      </c>
      <c r="DP28" s="228">
        <v>4.71</v>
      </c>
      <c r="DQ28" s="228">
        <v>0.75</v>
      </c>
      <c r="DR28" s="228">
        <v>0.87</v>
      </c>
      <c r="DS28" s="228">
        <v>-0.12</v>
      </c>
      <c r="DT28" s="229">
        <v>-0.13789999999999999</v>
      </c>
      <c r="DU28" s="228">
        <v>152</v>
      </c>
      <c r="DV28" s="228">
        <v>140</v>
      </c>
      <c r="DW28" s="228">
        <v>0.26</v>
      </c>
      <c r="DX28" s="228">
        <v>0.48</v>
      </c>
      <c r="DY28" s="228">
        <v>-0.22</v>
      </c>
      <c r="DZ28" s="229">
        <v>-0.45829999999999999</v>
      </c>
      <c r="EA28" s="229">
        <v>0.1024</v>
      </c>
      <c r="EB28" s="230">
        <v>4456400</v>
      </c>
      <c r="EC28" s="229">
        <v>5.3E-3</v>
      </c>
      <c r="ED28" s="229">
        <v>0.1024</v>
      </c>
      <c r="EE28" s="228">
        <v>0.86</v>
      </c>
      <c r="EF28" s="229">
        <v>5.7999999999999996E-3</v>
      </c>
      <c r="EG28" s="230">
        <v>3234896</v>
      </c>
      <c r="EH28" s="230">
        <v>3541384</v>
      </c>
      <c r="EI28" s="229">
        <v>-8.6499999999999994E-2</v>
      </c>
      <c r="EJ28" s="229">
        <v>0.3276</v>
      </c>
      <c r="EK28" s="228">
        <v>682.7</v>
      </c>
      <c r="EL28" s="228">
        <v>165</v>
      </c>
      <c r="EM28" s="228">
        <v>248.2</v>
      </c>
      <c r="EN28" s="228">
        <v>28.1</v>
      </c>
      <c r="EO28" s="231">
        <v>1095.9000000000001</v>
      </c>
      <c r="EP28" s="228">
        <v>744.63</v>
      </c>
      <c r="EQ28" s="228">
        <v>351.27</v>
      </c>
      <c r="ER28" s="229">
        <v>0.47170000000000001</v>
      </c>
      <c r="ES28" s="228">
        <v>458.63</v>
      </c>
      <c r="ET28" s="228">
        <v>323.22000000000003</v>
      </c>
      <c r="EU28" s="228">
        <v>850.3</v>
      </c>
      <c r="EV28" s="231">
        <v>181770921</v>
      </c>
      <c r="EW28" s="231">
        <v>1632.16</v>
      </c>
      <c r="EX28" s="231">
        <v>1547.51</v>
      </c>
      <c r="EY28" s="228">
        <v>84.65</v>
      </c>
      <c r="EZ28" s="229">
        <v>5.4699999999999999E-2</v>
      </c>
      <c r="FA28" s="229">
        <v>0.60419999999999996</v>
      </c>
      <c r="FB28" s="227" t="s">
        <v>555</v>
      </c>
      <c r="FC28">
        <f t="shared" si="0"/>
        <v>87</v>
      </c>
    </row>
    <row r="29" spans="1:159" s="195" customFormat="1" ht="17.25" thickBot="1" x14ac:dyDescent="0.3">
      <c r="A29" s="226">
        <v>46132</v>
      </c>
      <c r="B29" s="227" t="s">
        <v>181</v>
      </c>
      <c r="C29" s="227" t="s">
        <v>182</v>
      </c>
      <c r="D29" s="228">
        <v>30</v>
      </c>
      <c r="E29" s="228">
        <v>8</v>
      </c>
      <c r="F29" s="231">
        <v>56568.800000000003</v>
      </c>
      <c r="G29" s="231">
        <v>56666.8</v>
      </c>
      <c r="H29" s="228">
        <v>-98</v>
      </c>
      <c r="I29" s="229">
        <v>-1.6999999999999999E-3</v>
      </c>
      <c r="J29" s="231">
        <v>56582.35</v>
      </c>
      <c r="K29" s="231">
        <v>56565.7</v>
      </c>
      <c r="L29" s="228">
        <v>16.649999999999999</v>
      </c>
      <c r="M29" s="229">
        <v>2.9999999999999997E-4</v>
      </c>
      <c r="N29" s="231">
        <v>56568.800000000003</v>
      </c>
      <c r="O29" s="231">
        <v>56666.8</v>
      </c>
      <c r="P29" s="228">
        <v>-98</v>
      </c>
      <c r="Q29" s="229">
        <v>-1.6999999999999999E-3</v>
      </c>
      <c r="R29" s="231">
        <v>56887.199999999997</v>
      </c>
      <c r="S29" s="231">
        <v>56928.800000000003</v>
      </c>
      <c r="T29" s="228">
        <v>-41.6</v>
      </c>
      <c r="U29" s="229">
        <v>-6.9999999999999999E-4</v>
      </c>
      <c r="V29" s="231">
        <v>57144.2</v>
      </c>
      <c r="W29" s="231">
        <v>57250</v>
      </c>
      <c r="X29" s="228">
        <v>-105.8</v>
      </c>
      <c r="Y29" s="229">
        <v>-1.8E-3</v>
      </c>
      <c r="Z29" s="228">
        <v>-13.55</v>
      </c>
      <c r="AA29" s="228">
        <v>101.1</v>
      </c>
      <c r="AB29" s="228">
        <v>-114.65</v>
      </c>
      <c r="AC29" s="229">
        <v>-2.0000000000000001E-4</v>
      </c>
      <c r="AD29" s="228">
        <v>-13.55</v>
      </c>
      <c r="AE29" s="228">
        <v>101.1</v>
      </c>
      <c r="AF29" s="228">
        <v>-114.65</v>
      </c>
      <c r="AG29" s="229">
        <v>-2.0000000000000001E-4</v>
      </c>
      <c r="AH29" s="228">
        <v>304.85000000000002</v>
      </c>
      <c r="AI29" s="228">
        <v>363.1</v>
      </c>
      <c r="AJ29" s="228">
        <v>-58.25</v>
      </c>
      <c r="AK29" s="229">
        <v>5.4000000000000003E-3</v>
      </c>
      <c r="AL29" s="228">
        <v>561.85</v>
      </c>
      <c r="AM29" s="228">
        <v>684.3</v>
      </c>
      <c r="AN29" s="228">
        <v>-122.45</v>
      </c>
      <c r="AO29" s="229">
        <v>9.9000000000000008E-3</v>
      </c>
      <c r="AP29" s="231">
        <v>56797.1</v>
      </c>
      <c r="AQ29" s="231">
        <v>57092.38</v>
      </c>
      <c r="AR29" s="228">
        <v>0</v>
      </c>
      <c r="AS29" s="230">
        <v>6693</v>
      </c>
      <c r="AT29" s="230">
        <v>4317</v>
      </c>
      <c r="AU29" s="230">
        <v>2375</v>
      </c>
      <c r="AV29" s="229">
        <v>0.55020000000000002</v>
      </c>
      <c r="AW29" s="230">
        <v>5444</v>
      </c>
      <c r="AX29" s="230">
        <v>3415</v>
      </c>
      <c r="AY29" s="230">
        <v>2029</v>
      </c>
      <c r="AZ29" s="229">
        <v>0.59419999999999995</v>
      </c>
      <c r="BA29" s="228">
        <v>999</v>
      </c>
      <c r="BB29" s="228">
        <v>756</v>
      </c>
      <c r="BC29" s="228">
        <v>244</v>
      </c>
      <c r="BD29" s="229">
        <v>0.32229999999999998</v>
      </c>
      <c r="BE29" s="228">
        <v>249</v>
      </c>
      <c r="BF29" s="228">
        <v>147</v>
      </c>
      <c r="BG29" s="228">
        <v>103</v>
      </c>
      <c r="BH29" s="229">
        <v>0.70020000000000004</v>
      </c>
      <c r="BI29" s="230">
        <v>315143</v>
      </c>
      <c r="BJ29" s="230">
        <v>229916</v>
      </c>
      <c r="BK29" s="230">
        <v>85227</v>
      </c>
      <c r="BL29" s="229">
        <v>0.37069999999999997</v>
      </c>
      <c r="BM29" s="230">
        <v>297273</v>
      </c>
      <c r="BN29" s="230">
        <v>202176</v>
      </c>
      <c r="BO29" s="230">
        <v>95096</v>
      </c>
      <c r="BP29" s="229">
        <v>0.47039999999999998</v>
      </c>
      <c r="BQ29" s="230">
        <v>619109</v>
      </c>
      <c r="BR29" s="230">
        <v>436410</v>
      </c>
      <c r="BS29" s="230">
        <v>182699</v>
      </c>
      <c r="BT29" s="229">
        <v>0.41860000000000003</v>
      </c>
      <c r="BU29" s="228">
        <v>0</v>
      </c>
      <c r="BV29" s="228">
        <v>0</v>
      </c>
      <c r="BW29" s="228">
        <v>0</v>
      </c>
      <c r="BX29" s="229">
        <v>0</v>
      </c>
      <c r="BY29" s="230">
        <v>13773</v>
      </c>
      <c r="BZ29" s="230">
        <v>14722</v>
      </c>
      <c r="CA29" s="228">
        <v>-949</v>
      </c>
      <c r="CB29" s="229">
        <v>-6.4399999999999999E-2</v>
      </c>
      <c r="CC29" s="230">
        <v>10175</v>
      </c>
      <c r="CD29" s="230">
        <v>11201</v>
      </c>
      <c r="CE29" s="230">
        <v>-1025</v>
      </c>
      <c r="CF29" s="229">
        <v>-9.1499999999999998E-2</v>
      </c>
      <c r="CG29" s="230">
        <v>3076</v>
      </c>
      <c r="CH29" s="230">
        <v>2989</v>
      </c>
      <c r="CI29" s="228">
        <v>87</v>
      </c>
      <c r="CJ29" s="229">
        <v>2.9100000000000001E-2</v>
      </c>
      <c r="CK29" s="228">
        <v>522</v>
      </c>
      <c r="CL29" s="228">
        <v>532</v>
      </c>
      <c r="CM29" s="228">
        <v>-10</v>
      </c>
      <c r="CN29" s="229">
        <v>-1.9099999999999999E-2</v>
      </c>
      <c r="CO29" s="230">
        <v>111868</v>
      </c>
      <c r="CP29" s="230">
        <v>112720</v>
      </c>
      <c r="CQ29" s="228">
        <v>-852</v>
      </c>
      <c r="CR29" s="229">
        <v>-7.6E-3</v>
      </c>
      <c r="CS29" s="230">
        <v>111259</v>
      </c>
      <c r="CT29" s="230">
        <v>105135</v>
      </c>
      <c r="CU29" s="230">
        <v>6124</v>
      </c>
      <c r="CV29" s="229">
        <v>5.8200000000000002E-2</v>
      </c>
      <c r="CW29" s="230">
        <v>236900</v>
      </c>
      <c r="CX29" s="230">
        <v>232578</v>
      </c>
      <c r="CY29" s="230">
        <v>4322</v>
      </c>
      <c r="CZ29" s="229">
        <v>1.8599999999999998E-2</v>
      </c>
      <c r="DA29" s="228">
        <v>24.88</v>
      </c>
      <c r="DB29" s="228">
        <v>21.74</v>
      </c>
      <c r="DC29" s="228">
        <v>3.14</v>
      </c>
      <c r="DD29" s="228">
        <v>3.14</v>
      </c>
      <c r="DE29" s="228">
        <v>21.32</v>
      </c>
      <c r="DF29" s="228">
        <v>21.37</v>
      </c>
      <c r="DG29" s="228">
        <v>3.56</v>
      </c>
      <c r="DH29" s="228">
        <v>-0.05</v>
      </c>
      <c r="DI29" s="228">
        <v>23.21</v>
      </c>
      <c r="DJ29" s="228">
        <v>19.78</v>
      </c>
      <c r="DK29" s="228">
        <v>3.43</v>
      </c>
      <c r="DL29" s="228">
        <v>3.43</v>
      </c>
      <c r="DM29" s="228">
        <v>26.65</v>
      </c>
      <c r="DN29" s="228">
        <v>23.97</v>
      </c>
      <c r="DO29" s="228">
        <v>2.68</v>
      </c>
      <c r="DP29" s="228">
        <v>2.68</v>
      </c>
      <c r="DQ29" s="228">
        <v>0.99</v>
      </c>
      <c r="DR29" s="228">
        <v>0.93</v>
      </c>
      <c r="DS29" s="228">
        <v>0.06</v>
      </c>
      <c r="DT29" s="229">
        <v>6.4500000000000002E-2</v>
      </c>
      <c r="DU29" s="231">
        <v>60000</v>
      </c>
      <c r="DV29" s="231">
        <v>60000</v>
      </c>
      <c r="DW29" s="228">
        <v>0.94</v>
      </c>
      <c r="DX29" s="228">
        <v>0.88</v>
      </c>
      <c r="DY29" s="228">
        <v>0.06</v>
      </c>
      <c r="DZ29" s="229">
        <v>6.8199999999999997E-2</v>
      </c>
      <c r="EA29" s="229">
        <v>0.26119999999999999</v>
      </c>
      <c r="EB29" s="230">
        <v>622440</v>
      </c>
      <c r="EC29" s="229">
        <v>5.5999999999999999E-3</v>
      </c>
      <c r="ED29" s="229">
        <v>0.26119999999999999</v>
      </c>
      <c r="EE29" s="228">
        <v>295.27999999999997</v>
      </c>
      <c r="EF29" s="229">
        <v>5.1999999999999998E-3</v>
      </c>
      <c r="EG29" s="228">
        <v>0</v>
      </c>
      <c r="EH29" s="228">
        <v>0</v>
      </c>
      <c r="EI29" s="229">
        <v>0</v>
      </c>
      <c r="EJ29" s="229">
        <v>0</v>
      </c>
      <c r="EK29" s="231">
        <v>327822.48</v>
      </c>
      <c r="EL29" s="231">
        <v>286878.28000000003</v>
      </c>
      <c r="EM29" s="231">
        <v>6727.35</v>
      </c>
      <c r="EN29" s="228">
        <v>0</v>
      </c>
      <c r="EO29" s="231">
        <v>621428.1</v>
      </c>
      <c r="EP29" s="231">
        <v>435846.19</v>
      </c>
      <c r="EQ29" s="231">
        <v>185581.91</v>
      </c>
      <c r="ER29" s="229">
        <v>0.42580000000000001</v>
      </c>
      <c r="ES29" s="231">
        <v>115002.78</v>
      </c>
      <c r="ET29" s="231">
        <v>105792.04</v>
      </c>
      <c r="EU29" s="231">
        <v>13795.82</v>
      </c>
      <c r="EV29" s="228">
        <v>0</v>
      </c>
      <c r="EW29" s="231">
        <v>234590.65</v>
      </c>
      <c r="EX29" s="231">
        <v>230389.39</v>
      </c>
      <c r="EY29" s="231">
        <v>4201.26</v>
      </c>
      <c r="EZ29" s="229">
        <v>1.8200000000000001E-2</v>
      </c>
      <c r="FA29" s="229">
        <v>0</v>
      </c>
      <c r="FB29" s="227" t="s">
        <v>567</v>
      </c>
      <c r="FC29" s="195">
        <f t="shared" si="0"/>
        <v>3598</v>
      </c>
    </row>
    <row r="30" spans="1:159" ht="17.25" thickBot="1" x14ac:dyDescent="0.3">
      <c r="A30" s="226">
        <v>46132</v>
      </c>
      <c r="B30" s="227" t="s">
        <v>184</v>
      </c>
      <c r="C30" s="227" t="s">
        <v>669</v>
      </c>
      <c r="D30" s="228">
        <v>350</v>
      </c>
      <c r="E30" s="228">
        <v>8</v>
      </c>
      <c r="F30" s="231">
        <v>1370.2</v>
      </c>
      <c r="G30" s="231">
        <v>1380.8</v>
      </c>
      <c r="H30" s="228">
        <v>-10.6</v>
      </c>
      <c r="I30" s="229">
        <v>-7.7000000000000002E-3</v>
      </c>
      <c r="J30" s="231">
        <v>1369.8</v>
      </c>
      <c r="K30" s="231">
        <v>1380.7</v>
      </c>
      <c r="L30" s="228">
        <v>-10.9</v>
      </c>
      <c r="M30" s="229">
        <v>-7.9000000000000008E-3</v>
      </c>
      <c r="N30" s="231">
        <v>1370.2</v>
      </c>
      <c r="O30" s="231">
        <v>1380.8</v>
      </c>
      <c r="P30" s="228">
        <v>-10.6</v>
      </c>
      <c r="Q30" s="229">
        <v>-7.7000000000000002E-3</v>
      </c>
      <c r="R30" s="231">
        <v>1357</v>
      </c>
      <c r="S30" s="231">
        <v>1367.8</v>
      </c>
      <c r="T30" s="228">
        <v>-10.8</v>
      </c>
      <c r="U30" s="229">
        <v>-7.9000000000000008E-3</v>
      </c>
      <c r="V30" s="231">
        <v>1350.8</v>
      </c>
      <c r="W30" s="231">
        <v>1359.9</v>
      </c>
      <c r="X30" s="228">
        <v>-9.1</v>
      </c>
      <c r="Y30" s="229">
        <v>-6.7000000000000002E-3</v>
      </c>
      <c r="Z30" s="228">
        <v>0.4</v>
      </c>
      <c r="AA30" s="228">
        <v>0.1</v>
      </c>
      <c r="AB30" s="228">
        <v>0.3</v>
      </c>
      <c r="AC30" s="229">
        <v>2.9999999999999997E-4</v>
      </c>
      <c r="AD30" s="228">
        <v>0.4</v>
      </c>
      <c r="AE30" s="228">
        <v>0.1</v>
      </c>
      <c r="AF30" s="228">
        <v>0.3</v>
      </c>
      <c r="AG30" s="229">
        <v>2.9999999999999997E-4</v>
      </c>
      <c r="AH30" s="228">
        <v>-12.8</v>
      </c>
      <c r="AI30" s="228">
        <v>-12.9</v>
      </c>
      <c r="AJ30" s="228">
        <v>0.1</v>
      </c>
      <c r="AK30" s="229">
        <v>-9.2999999999999992E-3</v>
      </c>
      <c r="AL30" s="228">
        <v>-19</v>
      </c>
      <c r="AM30" s="228">
        <v>-20.8</v>
      </c>
      <c r="AN30" s="228">
        <v>1.8</v>
      </c>
      <c r="AO30" s="229">
        <v>-1.3899999999999999E-2</v>
      </c>
      <c r="AP30" s="231">
        <v>1373.69</v>
      </c>
      <c r="AQ30" s="231">
        <v>1362.24</v>
      </c>
      <c r="AR30" s="228">
        <v>0</v>
      </c>
      <c r="AS30" s="228">
        <v>142</v>
      </c>
      <c r="AT30" s="228">
        <v>162</v>
      </c>
      <c r="AU30" s="228">
        <v>-20</v>
      </c>
      <c r="AV30" s="229">
        <v>-0.1249</v>
      </c>
      <c r="AW30" s="228">
        <v>99</v>
      </c>
      <c r="AX30" s="228">
        <v>129</v>
      </c>
      <c r="AY30" s="228">
        <v>-30</v>
      </c>
      <c r="AZ30" s="229">
        <v>-0.2344</v>
      </c>
      <c r="BA30" s="228">
        <v>41</v>
      </c>
      <c r="BB30" s="228">
        <v>31</v>
      </c>
      <c r="BC30" s="228">
        <v>11</v>
      </c>
      <c r="BD30" s="229">
        <v>0.35010000000000002</v>
      </c>
      <c r="BE30" s="228">
        <v>2</v>
      </c>
      <c r="BF30" s="228">
        <v>3</v>
      </c>
      <c r="BG30" s="228">
        <v>-1</v>
      </c>
      <c r="BH30" s="229">
        <v>-0.254</v>
      </c>
      <c r="BI30" s="228">
        <v>297</v>
      </c>
      <c r="BJ30" s="228">
        <v>822</v>
      </c>
      <c r="BK30" s="228">
        <v>-525</v>
      </c>
      <c r="BL30" s="229">
        <v>-0.63839999999999997</v>
      </c>
      <c r="BM30" s="228">
        <v>216</v>
      </c>
      <c r="BN30" s="228">
        <v>430</v>
      </c>
      <c r="BO30" s="228">
        <v>-214</v>
      </c>
      <c r="BP30" s="229">
        <v>-0.49730000000000002</v>
      </c>
      <c r="BQ30" s="228">
        <v>656</v>
      </c>
      <c r="BR30" s="230">
        <v>1415</v>
      </c>
      <c r="BS30" s="228">
        <v>-759</v>
      </c>
      <c r="BT30" s="229">
        <v>-0.53649999999999998</v>
      </c>
      <c r="BU30" s="230">
        <v>1022738</v>
      </c>
      <c r="BV30" s="230">
        <v>1273066</v>
      </c>
      <c r="BW30" s="230">
        <v>-250328</v>
      </c>
      <c r="BX30" s="229">
        <v>-0.1966</v>
      </c>
      <c r="BY30" s="228">
        <v>542</v>
      </c>
      <c r="BZ30" s="228">
        <v>541</v>
      </c>
      <c r="CA30" s="228">
        <v>2</v>
      </c>
      <c r="CB30" s="229">
        <v>3.5999999999999999E-3</v>
      </c>
      <c r="CC30" s="228">
        <v>419</v>
      </c>
      <c r="CD30" s="228">
        <v>427</v>
      </c>
      <c r="CE30" s="228">
        <v>-8</v>
      </c>
      <c r="CF30" s="229">
        <v>-1.7999999999999999E-2</v>
      </c>
      <c r="CG30" s="228">
        <v>114</v>
      </c>
      <c r="CH30" s="228">
        <v>105</v>
      </c>
      <c r="CI30" s="228">
        <v>9</v>
      </c>
      <c r="CJ30" s="229">
        <v>8.4900000000000003E-2</v>
      </c>
      <c r="CK30" s="228">
        <v>10</v>
      </c>
      <c r="CL30" s="228">
        <v>9</v>
      </c>
      <c r="CM30" s="228">
        <v>1</v>
      </c>
      <c r="CN30" s="229">
        <v>8.1500000000000003E-2</v>
      </c>
      <c r="CO30" s="228">
        <v>446</v>
      </c>
      <c r="CP30" s="228">
        <v>454</v>
      </c>
      <c r="CQ30" s="228">
        <v>-8</v>
      </c>
      <c r="CR30" s="229">
        <v>-1.8700000000000001E-2</v>
      </c>
      <c r="CS30" s="228">
        <v>375</v>
      </c>
      <c r="CT30" s="228">
        <v>365</v>
      </c>
      <c r="CU30" s="228">
        <v>10</v>
      </c>
      <c r="CV30" s="229">
        <v>2.8000000000000001E-2</v>
      </c>
      <c r="CW30" s="230">
        <v>1364</v>
      </c>
      <c r="CX30" s="230">
        <v>1360</v>
      </c>
      <c r="CY30" s="228">
        <v>4</v>
      </c>
      <c r="CZ30" s="229">
        <v>2.7000000000000001E-3</v>
      </c>
      <c r="DA30" s="228">
        <v>42.99</v>
      </c>
      <c r="DB30" s="228">
        <v>39.479999999999997</v>
      </c>
      <c r="DC30" s="228">
        <v>3.51</v>
      </c>
      <c r="DD30" s="228">
        <v>3.51</v>
      </c>
      <c r="DE30" s="228">
        <v>53.4</v>
      </c>
      <c r="DF30" s="228">
        <v>53.52</v>
      </c>
      <c r="DG30" s="228">
        <v>-10.41</v>
      </c>
      <c r="DH30" s="228">
        <v>-0.12</v>
      </c>
      <c r="DI30" s="228">
        <v>39.57</v>
      </c>
      <c r="DJ30" s="228">
        <v>37.53</v>
      </c>
      <c r="DK30" s="228">
        <v>2.04</v>
      </c>
      <c r="DL30" s="228">
        <v>2.04</v>
      </c>
      <c r="DM30" s="228">
        <v>47.71</v>
      </c>
      <c r="DN30" s="228">
        <v>43.21</v>
      </c>
      <c r="DO30" s="228">
        <v>4.5</v>
      </c>
      <c r="DP30" s="228">
        <v>4.5</v>
      </c>
      <c r="DQ30" s="228">
        <v>0.84</v>
      </c>
      <c r="DR30" s="228">
        <v>0.8</v>
      </c>
      <c r="DS30" s="228">
        <v>0.04</v>
      </c>
      <c r="DT30" s="229">
        <v>0.05</v>
      </c>
      <c r="DU30" s="231">
        <v>1400</v>
      </c>
      <c r="DV30" s="231">
        <v>1360</v>
      </c>
      <c r="DW30" s="228">
        <v>0.73</v>
      </c>
      <c r="DX30" s="228">
        <v>0.52</v>
      </c>
      <c r="DY30" s="228">
        <v>0.21</v>
      </c>
      <c r="DZ30" s="229">
        <v>0.40379999999999999</v>
      </c>
      <c r="EA30" s="229">
        <v>0.22770000000000001</v>
      </c>
      <c r="EB30" s="230">
        <v>831250</v>
      </c>
      <c r="EC30" s="229">
        <v>-9.5999999999999992E-3</v>
      </c>
      <c r="ED30" s="229">
        <v>0.22770000000000001</v>
      </c>
      <c r="EE30" s="228">
        <v>-11.45</v>
      </c>
      <c r="EF30" s="229">
        <v>-8.3000000000000001E-3</v>
      </c>
      <c r="EG30" s="230">
        <v>326547</v>
      </c>
      <c r="EH30" s="230">
        <v>403858</v>
      </c>
      <c r="EI30" s="229">
        <v>-0.19139999999999999</v>
      </c>
      <c r="EJ30" s="229">
        <v>0.31929999999999997</v>
      </c>
      <c r="EK30" s="228">
        <v>313.44</v>
      </c>
      <c r="EL30" s="228">
        <v>202.3</v>
      </c>
      <c r="EM30" s="228">
        <v>142.18</v>
      </c>
      <c r="EN30" s="228">
        <v>35.35</v>
      </c>
      <c r="EO30" s="228">
        <v>657.91</v>
      </c>
      <c r="EP30" s="231">
        <v>1445.7</v>
      </c>
      <c r="EQ30" s="228">
        <v>-787.79</v>
      </c>
      <c r="ER30" s="229">
        <v>-0.54490000000000005</v>
      </c>
      <c r="ES30" s="228">
        <v>443.2</v>
      </c>
      <c r="ET30" s="228">
        <v>339.35</v>
      </c>
      <c r="EU30" s="228">
        <v>541.26</v>
      </c>
      <c r="EV30" s="231">
        <v>13786716</v>
      </c>
      <c r="EW30" s="231">
        <v>1323.82</v>
      </c>
      <c r="EX30" s="231">
        <v>1324.34</v>
      </c>
      <c r="EY30" s="228">
        <v>-0.52</v>
      </c>
      <c r="EZ30" s="229">
        <v>-4.0000000000000002E-4</v>
      </c>
      <c r="FA30" s="229">
        <v>0.7218</v>
      </c>
      <c r="FB30" s="227" t="s">
        <v>566</v>
      </c>
      <c r="FC30">
        <f t="shared" si="0"/>
        <v>123</v>
      </c>
    </row>
    <row r="31" spans="1:159" ht="17.25" thickBot="1" x14ac:dyDescent="0.3">
      <c r="A31" s="226">
        <v>46132</v>
      </c>
      <c r="B31" s="227" t="s">
        <v>184</v>
      </c>
      <c r="C31" s="227" t="s">
        <v>185</v>
      </c>
      <c r="D31" s="228">
        <v>1425</v>
      </c>
      <c r="E31" s="228">
        <v>8</v>
      </c>
      <c r="F31" s="228">
        <v>457.8</v>
      </c>
      <c r="G31" s="228">
        <v>462.9</v>
      </c>
      <c r="H31" s="228">
        <v>-5.0999999999999996</v>
      </c>
      <c r="I31" s="229">
        <v>-1.0999999999999999E-2</v>
      </c>
      <c r="J31" s="228">
        <v>457.55</v>
      </c>
      <c r="K31" s="228">
        <v>462.75</v>
      </c>
      <c r="L31" s="228">
        <v>-5.2</v>
      </c>
      <c r="M31" s="229">
        <v>-1.12E-2</v>
      </c>
      <c r="N31" s="228">
        <v>457.8</v>
      </c>
      <c r="O31" s="228">
        <v>462.9</v>
      </c>
      <c r="P31" s="228">
        <v>-5.0999999999999996</v>
      </c>
      <c r="Q31" s="229">
        <v>-1.0999999999999999E-2</v>
      </c>
      <c r="R31" s="228">
        <v>460.45</v>
      </c>
      <c r="S31" s="228">
        <v>465.55</v>
      </c>
      <c r="T31" s="228">
        <v>-5.0999999999999996</v>
      </c>
      <c r="U31" s="229">
        <v>-1.0999999999999999E-2</v>
      </c>
      <c r="V31" s="228">
        <v>463.6</v>
      </c>
      <c r="W31" s="228">
        <v>468.4</v>
      </c>
      <c r="X31" s="228">
        <v>-4.8</v>
      </c>
      <c r="Y31" s="229">
        <v>-1.0200000000000001E-2</v>
      </c>
      <c r="Z31" s="228">
        <v>0.25</v>
      </c>
      <c r="AA31" s="228">
        <v>0.15</v>
      </c>
      <c r="AB31" s="228">
        <v>0.1</v>
      </c>
      <c r="AC31" s="229">
        <v>5.0000000000000001E-4</v>
      </c>
      <c r="AD31" s="228">
        <v>0.25</v>
      </c>
      <c r="AE31" s="228">
        <v>0.15</v>
      </c>
      <c r="AF31" s="228">
        <v>0.1</v>
      </c>
      <c r="AG31" s="229">
        <v>5.0000000000000001E-4</v>
      </c>
      <c r="AH31" s="228">
        <v>2.9</v>
      </c>
      <c r="AI31" s="228">
        <v>2.8</v>
      </c>
      <c r="AJ31" s="228">
        <v>0.1</v>
      </c>
      <c r="AK31" s="229">
        <v>6.3E-3</v>
      </c>
      <c r="AL31" s="228">
        <v>6.05</v>
      </c>
      <c r="AM31" s="228">
        <v>5.65</v>
      </c>
      <c r="AN31" s="228">
        <v>0.4</v>
      </c>
      <c r="AO31" s="229">
        <v>1.32E-2</v>
      </c>
      <c r="AP31" s="228">
        <v>460.97</v>
      </c>
      <c r="AQ31" s="228">
        <v>463.66</v>
      </c>
      <c r="AR31" s="228">
        <v>0</v>
      </c>
      <c r="AS31" s="228">
        <v>594</v>
      </c>
      <c r="AT31" s="228">
        <v>571</v>
      </c>
      <c r="AU31" s="228">
        <v>23</v>
      </c>
      <c r="AV31" s="229">
        <v>4.0599999999999997E-2</v>
      </c>
      <c r="AW31" s="228">
        <v>377</v>
      </c>
      <c r="AX31" s="228">
        <v>463</v>
      </c>
      <c r="AY31" s="228">
        <v>-86</v>
      </c>
      <c r="AZ31" s="229">
        <v>-0.186</v>
      </c>
      <c r="BA31" s="228">
        <v>133</v>
      </c>
      <c r="BB31" s="228">
        <v>92</v>
      </c>
      <c r="BC31" s="228">
        <v>41</v>
      </c>
      <c r="BD31" s="229">
        <v>0.44800000000000001</v>
      </c>
      <c r="BE31" s="228">
        <v>84</v>
      </c>
      <c r="BF31" s="228">
        <v>16</v>
      </c>
      <c r="BG31" s="228">
        <v>68</v>
      </c>
      <c r="BH31" s="229">
        <v>4.2489999999999997</v>
      </c>
      <c r="BI31" s="230">
        <v>2113</v>
      </c>
      <c r="BJ31" s="230">
        <v>3558</v>
      </c>
      <c r="BK31" s="230">
        <v>-1445</v>
      </c>
      <c r="BL31" s="229">
        <v>-0.40610000000000002</v>
      </c>
      <c r="BM31" s="230">
        <v>1239</v>
      </c>
      <c r="BN31" s="230">
        <v>1768</v>
      </c>
      <c r="BO31" s="228">
        <v>-529</v>
      </c>
      <c r="BP31" s="229">
        <v>-0.29899999999999999</v>
      </c>
      <c r="BQ31" s="230">
        <v>3947</v>
      </c>
      <c r="BR31" s="230">
        <v>5897</v>
      </c>
      <c r="BS31" s="230">
        <v>-1950</v>
      </c>
      <c r="BT31" s="229">
        <v>-0.33069999999999999</v>
      </c>
      <c r="BU31" s="230">
        <v>10341964</v>
      </c>
      <c r="BV31" s="230">
        <v>14792143</v>
      </c>
      <c r="BW31" s="230">
        <v>-4450179</v>
      </c>
      <c r="BX31" s="229">
        <v>-0.30080000000000001</v>
      </c>
      <c r="BY31" s="230">
        <v>4850</v>
      </c>
      <c r="BZ31" s="230">
        <v>4841</v>
      </c>
      <c r="CA31" s="228">
        <v>10</v>
      </c>
      <c r="CB31" s="229">
        <v>2E-3</v>
      </c>
      <c r="CC31" s="230">
        <v>4030</v>
      </c>
      <c r="CD31" s="230">
        <v>4157</v>
      </c>
      <c r="CE31" s="228">
        <v>-127</v>
      </c>
      <c r="CF31" s="229">
        <v>-3.0599999999999999E-2</v>
      </c>
      <c r="CG31" s="228">
        <v>563</v>
      </c>
      <c r="CH31" s="228">
        <v>497</v>
      </c>
      <c r="CI31" s="228">
        <v>66</v>
      </c>
      <c r="CJ31" s="229">
        <v>0.1333</v>
      </c>
      <c r="CK31" s="228">
        <v>257</v>
      </c>
      <c r="CL31" s="228">
        <v>186</v>
      </c>
      <c r="CM31" s="228">
        <v>71</v>
      </c>
      <c r="CN31" s="229">
        <v>0.37959999999999999</v>
      </c>
      <c r="CO31" s="230">
        <v>1944</v>
      </c>
      <c r="CP31" s="230">
        <v>1919</v>
      </c>
      <c r="CQ31" s="228">
        <v>25</v>
      </c>
      <c r="CR31" s="229">
        <v>1.2800000000000001E-2</v>
      </c>
      <c r="CS31" s="230">
        <v>1429</v>
      </c>
      <c r="CT31" s="230">
        <v>1443</v>
      </c>
      <c r="CU31" s="228">
        <v>-15</v>
      </c>
      <c r="CV31" s="229">
        <v>-1.0200000000000001E-2</v>
      </c>
      <c r="CW31" s="230">
        <v>8223</v>
      </c>
      <c r="CX31" s="230">
        <v>8203</v>
      </c>
      <c r="CY31" s="228">
        <v>20</v>
      </c>
      <c r="CZ31" s="229">
        <v>2.3999999999999998E-3</v>
      </c>
      <c r="DA31" s="228">
        <v>34.29</v>
      </c>
      <c r="DB31" s="228">
        <v>31.06</v>
      </c>
      <c r="DC31" s="228">
        <v>3.23</v>
      </c>
      <c r="DD31" s="228">
        <v>3.23</v>
      </c>
      <c r="DE31" s="228">
        <v>37.21</v>
      </c>
      <c r="DF31" s="228">
        <v>37.28</v>
      </c>
      <c r="DG31" s="228">
        <v>-2.92</v>
      </c>
      <c r="DH31" s="228">
        <v>-7.0000000000000007E-2</v>
      </c>
      <c r="DI31" s="228">
        <v>33.56</v>
      </c>
      <c r="DJ31" s="228">
        <v>29.9</v>
      </c>
      <c r="DK31" s="228">
        <v>3.66</v>
      </c>
      <c r="DL31" s="228">
        <v>3.66</v>
      </c>
      <c r="DM31" s="228">
        <v>35.53</v>
      </c>
      <c r="DN31" s="228">
        <v>33.409999999999997</v>
      </c>
      <c r="DO31" s="228">
        <v>2.12</v>
      </c>
      <c r="DP31" s="228">
        <v>2.12</v>
      </c>
      <c r="DQ31" s="228">
        <v>0.73</v>
      </c>
      <c r="DR31" s="228">
        <v>0.75</v>
      </c>
      <c r="DS31" s="228">
        <v>-0.02</v>
      </c>
      <c r="DT31" s="229">
        <v>-2.6700000000000002E-2</v>
      </c>
      <c r="DU31" s="228">
        <v>500</v>
      </c>
      <c r="DV31" s="228">
        <v>450</v>
      </c>
      <c r="DW31" s="228">
        <v>0.59</v>
      </c>
      <c r="DX31" s="228">
        <v>0.5</v>
      </c>
      <c r="DY31" s="228">
        <v>0.09</v>
      </c>
      <c r="DZ31" s="229">
        <v>0.18</v>
      </c>
      <c r="EA31" s="229">
        <v>0.1691</v>
      </c>
      <c r="EB31" s="230">
        <v>14926875</v>
      </c>
      <c r="EC31" s="229">
        <v>5.7999999999999996E-3</v>
      </c>
      <c r="ED31" s="229">
        <v>0.1691</v>
      </c>
      <c r="EE31" s="228">
        <v>2.69</v>
      </c>
      <c r="EF31" s="229">
        <v>5.7999999999999996E-3</v>
      </c>
      <c r="EG31" s="230">
        <v>5499195</v>
      </c>
      <c r="EH31" s="230">
        <v>6636162</v>
      </c>
      <c r="EI31" s="229">
        <v>-0.17130000000000001</v>
      </c>
      <c r="EJ31" s="229">
        <v>0.53169999999999995</v>
      </c>
      <c r="EK31" s="231">
        <v>2229.31</v>
      </c>
      <c r="EL31" s="231">
        <v>1210.1199999999999</v>
      </c>
      <c r="EM31" s="228">
        <v>599.99</v>
      </c>
      <c r="EN31" s="228">
        <v>98.22</v>
      </c>
      <c r="EO31" s="231">
        <v>4039.41</v>
      </c>
      <c r="EP31" s="231">
        <v>6019.79</v>
      </c>
      <c r="EQ31" s="231">
        <v>-1980.38</v>
      </c>
      <c r="ER31" s="229">
        <v>-0.32900000000000001</v>
      </c>
      <c r="ES31" s="231">
        <v>1965.64</v>
      </c>
      <c r="ET31" s="231">
        <v>1327.41</v>
      </c>
      <c r="EU31" s="231">
        <v>4856.92</v>
      </c>
      <c r="EV31" s="231">
        <v>535778534</v>
      </c>
      <c r="EW31" s="231">
        <v>8149.97</v>
      </c>
      <c r="EX31" s="231">
        <v>8173.4</v>
      </c>
      <c r="EY31" s="228">
        <v>-23.43</v>
      </c>
      <c r="EZ31" s="229">
        <v>-2.8999999999999998E-3</v>
      </c>
      <c r="FA31" s="229">
        <v>0.33529999999999999</v>
      </c>
      <c r="FB31" s="227" t="s">
        <v>566</v>
      </c>
      <c r="FC31">
        <f t="shared" si="0"/>
        <v>820</v>
      </c>
    </row>
    <row r="32" spans="1:159" ht="17.25" thickBot="1" x14ac:dyDescent="0.3">
      <c r="A32" s="226">
        <v>46132</v>
      </c>
      <c r="B32" s="227" t="s">
        <v>162</v>
      </c>
      <c r="C32" s="227" t="s">
        <v>187</v>
      </c>
      <c r="D32" s="228">
        <v>500</v>
      </c>
      <c r="E32" s="228">
        <v>8</v>
      </c>
      <c r="F32" s="231">
        <v>1869.6</v>
      </c>
      <c r="G32" s="231">
        <v>1858.1</v>
      </c>
      <c r="H32" s="228">
        <v>11.5</v>
      </c>
      <c r="I32" s="229">
        <v>6.1999999999999998E-3</v>
      </c>
      <c r="J32" s="231">
        <v>1866.2</v>
      </c>
      <c r="K32" s="231">
        <v>1860.5</v>
      </c>
      <c r="L32" s="228">
        <v>5.7</v>
      </c>
      <c r="M32" s="229">
        <v>3.0999999999999999E-3</v>
      </c>
      <c r="N32" s="231">
        <v>1869.6</v>
      </c>
      <c r="O32" s="231">
        <v>1858.1</v>
      </c>
      <c r="P32" s="228">
        <v>11.5</v>
      </c>
      <c r="Q32" s="229">
        <v>6.1999999999999998E-3</v>
      </c>
      <c r="R32" s="231">
        <v>1869.3</v>
      </c>
      <c r="S32" s="231">
        <v>1854.9</v>
      </c>
      <c r="T32" s="228">
        <v>14.4</v>
      </c>
      <c r="U32" s="229">
        <v>7.7999999999999996E-3</v>
      </c>
      <c r="V32" s="231">
        <v>1866.3</v>
      </c>
      <c r="W32" s="231">
        <v>1852.6</v>
      </c>
      <c r="X32" s="228">
        <v>13.7</v>
      </c>
      <c r="Y32" s="229">
        <v>7.4000000000000003E-3</v>
      </c>
      <c r="Z32" s="228">
        <v>3.4</v>
      </c>
      <c r="AA32" s="228">
        <v>-2.4</v>
      </c>
      <c r="AB32" s="228">
        <v>5.8</v>
      </c>
      <c r="AC32" s="229">
        <v>1.8E-3</v>
      </c>
      <c r="AD32" s="228">
        <v>3.4</v>
      </c>
      <c r="AE32" s="228">
        <v>-2.4</v>
      </c>
      <c r="AF32" s="228">
        <v>5.8</v>
      </c>
      <c r="AG32" s="229">
        <v>1.8E-3</v>
      </c>
      <c r="AH32" s="228">
        <v>3.1</v>
      </c>
      <c r="AI32" s="228">
        <v>-5.6</v>
      </c>
      <c r="AJ32" s="228">
        <v>8.6999999999999993</v>
      </c>
      <c r="AK32" s="229">
        <v>1.6999999999999999E-3</v>
      </c>
      <c r="AL32" s="228">
        <v>0.1</v>
      </c>
      <c r="AM32" s="228">
        <v>-7.9</v>
      </c>
      <c r="AN32" s="228">
        <v>8</v>
      </c>
      <c r="AO32" s="229">
        <v>1E-4</v>
      </c>
      <c r="AP32" s="231">
        <v>1866.46</v>
      </c>
      <c r="AQ32" s="231">
        <v>1865.63</v>
      </c>
      <c r="AR32" s="228">
        <v>0</v>
      </c>
      <c r="AS32" s="228">
        <v>277</v>
      </c>
      <c r="AT32" s="228">
        <v>278</v>
      </c>
      <c r="AU32" s="228">
        <v>0</v>
      </c>
      <c r="AV32" s="229">
        <v>-1.2999999999999999E-3</v>
      </c>
      <c r="AW32" s="228">
        <v>232</v>
      </c>
      <c r="AX32" s="228">
        <v>221</v>
      </c>
      <c r="AY32" s="228">
        <v>11</v>
      </c>
      <c r="AZ32" s="229">
        <v>4.9500000000000002E-2</v>
      </c>
      <c r="BA32" s="228">
        <v>42</v>
      </c>
      <c r="BB32" s="228">
        <v>53</v>
      </c>
      <c r="BC32" s="228">
        <v>-10</v>
      </c>
      <c r="BD32" s="229">
        <v>-0.1968</v>
      </c>
      <c r="BE32" s="228">
        <v>3</v>
      </c>
      <c r="BF32" s="228">
        <v>4</v>
      </c>
      <c r="BG32" s="228">
        <v>-1</v>
      </c>
      <c r="BH32" s="229">
        <v>-0.25</v>
      </c>
      <c r="BI32" s="228">
        <v>550</v>
      </c>
      <c r="BJ32" s="228">
        <v>710</v>
      </c>
      <c r="BK32" s="228">
        <v>-160</v>
      </c>
      <c r="BL32" s="229">
        <v>-0.22550000000000001</v>
      </c>
      <c r="BM32" s="228">
        <v>333</v>
      </c>
      <c r="BN32" s="228">
        <v>453</v>
      </c>
      <c r="BO32" s="228">
        <v>-120</v>
      </c>
      <c r="BP32" s="229">
        <v>-0.26579999999999998</v>
      </c>
      <c r="BQ32" s="230">
        <v>1160</v>
      </c>
      <c r="BR32" s="230">
        <v>1441</v>
      </c>
      <c r="BS32" s="228">
        <v>-281</v>
      </c>
      <c r="BT32" s="229">
        <v>-0.19500000000000001</v>
      </c>
      <c r="BU32" s="230">
        <v>762194</v>
      </c>
      <c r="BV32" s="230">
        <v>1059041</v>
      </c>
      <c r="BW32" s="230">
        <v>-296847</v>
      </c>
      <c r="BX32" s="229">
        <v>-0.28029999999999999</v>
      </c>
      <c r="BY32" s="230">
        <v>1517</v>
      </c>
      <c r="BZ32" s="230">
        <v>1512</v>
      </c>
      <c r="CA32" s="228">
        <v>5</v>
      </c>
      <c r="CB32" s="229">
        <v>3.3999999999999998E-3</v>
      </c>
      <c r="CC32" s="230">
        <v>1432</v>
      </c>
      <c r="CD32" s="230">
        <v>1444</v>
      </c>
      <c r="CE32" s="228">
        <v>-12</v>
      </c>
      <c r="CF32" s="229">
        <v>-8.5000000000000006E-3</v>
      </c>
      <c r="CG32" s="228">
        <v>80</v>
      </c>
      <c r="CH32" s="228">
        <v>62</v>
      </c>
      <c r="CI32" s="228">
        <v>17</v>
      </c>
      <c r="CJ32" s="229">
        <v>0.27839999999999998</v>
      </c>
      <c r="CK32" s="228">
        <v>5</v>
      </c>
      <c r="CL32" s="228">
        <v>5</v>
      </c>
      <c r="CM32" s="228">
        <v>0</v>
      </c>
      <c r="CN32" s="229">
        <v>1.89E-2</v>
      </c>
      <c r="CO32" s="228">
        <v>595</v>
      </c>
      <c r="CP32" s="228">
        <v>606</v>
      </c>
      <c r="CQ32" s="228">
        <v>-10</v>
      </c>
      <c r="CR32" s="229">
        <v>-1.67E-2</v>
      </c>
      <c r="CS32" s="228">
        <v>392</v>
      </c>
      <c r="CT32" s="228">
        <v>371</v>
      </c>
      <c r="CU32" s="228">
        <v>21</v>
      </c>
      <c r="CV32" s="229">
        <v>5.62E-2</v>
      </c>
      <c r="CW32" s="230">
        <v>2504</v>
      </c>
      <c r="CX32" s="230">
        <v>2489</v>
      </c>
      <c r="CY32" s="228">
        <v>16</v>
      </c>
      <c r="CZ32" s="229">
        <v>6.4000000000000003E-3</v>
      </c>
      <c r="DA32" s="228">
        <v>37.14</v>
      </c>
      <c r="DB32" s="228">
        <v>33.83</v>
      </c>
      <c r="DC32" s="228">
        <v>3.31</v>
      </c>
      <c r="DD32" s="228">
        <v>3.31</v>
      </c>
      <c r="DE32" s="228">
        <v>39.79</v>
      </c>
      <c r="DF32" s="228">
        <v>39.880000000000003</v>
      </c>
      <c r="DG32" s="228">
        <v>-2.65</v>
      </c>
      <c r="DH32" s="228">
        <v>-0.09</v>
      </c>
      <c r="DI32" s="228">
        <v>35.75</v>
      </c>
      <c r="DJ32" s="228">
        <v>32.47</v>
      </c>
      <c r="DK32" s="228">
        <v>3.28</v>
      </c>
      <c r="DL32" s="228">
        <v>3.28</v>
      </c>
      <c r="DM32" s="228">
        <v>39.42</v>
      </c>
      <c r="DN32" s="228">
        <v>35.96</v>
      </c>
      <c r="DO32" s="228">
        <v>3.46</v>
      </c>
      <c r="DP32" s="228">
        <v>3.46</v>
      </c>
      <c r="DQ32" s="228">
        <v>0.66</v>
      </c>
      <c r="DR32" s="228">
        <v>0.61</v>
      </c>
      <c r="DS32" s="228">
        <v>0.05</v>
      </c>
      <c r="DT32" s="229">
        <v>8.2000000000000003E-2</v>
      </c>
      <c r="DU32" s="231">
        <v>1800</v>
      </c>
      <c r="DV32" s="231">
        <v>1800</v>
      </c>
      <c r="DW32" s="228">
        <v>0.61</v>
      </c>
      <c r="DX32" s="228">
        <v>0.64</v>
      </c>
      <c r="DY32" s="228">
        <v>-0.03</v>
      </c>
      <c r="DZ32" s="229">
        <v>-4.6899999999999997E-2</v>
      </c>
      <c r="EA32" s="229">
        <v>5.6000000000000001E-2</v>
      </c>
      <c r="EB32" s="230">
        <v>360500</v>
      </c>
      <c r="EC32" s="229">
        <v>-2.0000000000000001E-4</v>
      </c>
      <c r="ED32" s="229">
        <v>5.6000000000000001E-2</v>
      </c>
      <c r="EE32" s="228">
        <v>-0.83</v>
      </c>
      <c r="EF32" s="229">
        <v>-4.0000000000000002E-4</v>
      </c>
      <c r="EG32" s="230">
        <v>331245</v>
      </c>
      <c r="EH32" s="230">
        <v>488987</v>
      </c>
      <c r="EI32" s="229">
        <v>-0.3226</v>
      </c>
      <c r="EJ32" s="229">
        <v>0.43459999999999999</v>
      </c>
      <c r="EK32" s="228">
        <v>569.41999999999996</v>
      </c>
      <c r="EL32" s="228">
        <v>322</v>
      </c>
      <c r="EM32" s="228">
        <v>276.67</v>
      </c>
      <c r="EN32" s="228">
        <v>33.68</v>
      </c>
      <c r="EO32" s="231">
        <v>1168.0899999999999</v>
      </c>
      <c r="EP32" s="231">
        <v>1446.29</v>
      </c>
      <c r="EQ32" s="228">
        <v>-278.2</v>
      </c>
      <c r="ER32" s="229">
        <v>-0.19239999999999999</v>
      </c>
      <c r="ES32" s="228">
        <v>589.72</v>
      </c>
      <c r="ET32" s="228">
        <v>359.65</v>
      </c>
      <c r="EU32" s="231">
        <v>1516.88</v>
      </c>
      <c r="EV32" s="231">
        <v>40107751</v>
      </c>
      <c r="EW32" s="231">
        <v>2466.2399999999998</v>
      </c>
      <c r="EX32" s="231">
        <v>2439.92</v>
      </c>
      <c r="EY32" s="228">
        <v>26.32</v>
      </c>
      <c r="EZ32" s="229">
        <v>1.0800000000000001E-2</v>
      </c>
      <c r="FA32" s="229">
        <v>0.33400000000000002</v>
      </c>
      <c r="FB32" s="227" t="s">
        <v>555</v>
      </c>
      <c r="FC32">
        <f t="shared" si="0"/>
        <v>85</v>
      </c>
    </row>
    <row r="33" spans="1:159" ht="17.25" thickBot="1" x14ac:dyDescent="0.3">
      <c r="A33" s="226">
        <v>46132</v>
      </c>
      <c r="B33" s="227" t="s">
        <v>188</v>
      </c>
      <c r="C33" s="227" t="s">
        <v>189</v>
      </c>
      <c r="D33" s="228">
        <v>475</v>
      </c>
      <c r="E33" s="228">
        <v>8</v>
      </c>
      <c r="F33" s="231">
        <v>1845.6</v>
      </c>
      <c r="G33" s="231">
        <v>1849</v>
      </c>
      <c r="H33" s="228">
        <v>-3.4</v>
      </c>
      <c r="I33" s="229">
        <v>-1.8E-3</v>
      </c>
      <c r="J33" s="231">
        <v>1846.1</v>
      </c>
      <c r="K33" s="231">
        <v>1846.9</v>
      </c>
      <c r="L33" s="228">
        <v>-0.8</v>
      </c>
      <c r="M33" s="229">
        <v>-4.0000000000000002E-4</v>
      </c>
      <c r="N33" s="231">
        <v>1845.6</v>
      </c>
      <c r="O33" s="231">
        <v>1849</v>
      </c>
      <c r="P33" s="228">
        <v>-3.4</v>
      </c>
      <c r="Q33" s="229">
        <v>-1.8E-3</v>
      </c>
      <c r="R33" s="231">
        <v>1855.8</v>
      </c>
      <c r="S33" s="231">
        <v>1859.5</v>
      </c>
      <c r="T33" s="228">
        <v>-3.7</v>
      </c>
      <c r="U33" s="229">
        <v>-2E-3</v>
      </c>
      <c r="V33" s="231">
        <v>1868.7</v>
      </c>
      <c r="W33" s="231">
        <v>1870.8</v>
      </c>
      <c r="X33" s="228">
        <v>-2.1</v>
      </c>
      <c r="Y33" s="229">
        <v>-1.1000000000000001E-3</v>
      </c>
      <c r="Z33" s="228">
        <v>-0.5</v>
      </c>
      <c r="AA33" s="228">
        <v>2.1</v>
      </c>
      <c r="AB33" s="228">
        <v>-2.6</v>
      </c>
      <c r="AC33" s="229">
        <v>-2.9999999999999997E-4</v>
      </c>
      <c r="AD33" s="228">
        <v>-0.5</v>
      </c>
      <c r="AE33" s="228">
        <v>2.1</v>
      </c>
      <c r="AF33" s="228">
        <v>-2.6</v>
      </c>
      <c r="AG33" s="229">
        <v>-2.9999999999999997E-4</v>
      </c>
      <c r="AH33" s="228">
        <v>9.6999999999999993</v>
      </c>
      <c r="AI33" s="228">
        <v>12.6</v>
      </c>
      <c r="AJ33" s="228">
        <v>-2.9</v>
      </c>
      <c r="AK33" s="229">
        <v>5.3E-3</v>
      </c>
      <c r="AL33" s="228">
        <v>22.6</v>
      </c>
      <c r="AM33" s="228">
        <v>23.9</v>
      </c>
      <c r="AN33" s="228">
        <v>-1.3</v>
      </c>
      <c r="AO33" s="229">
        <v>1.2200000000000001E-2</v>
      </c>
      <c r="AP33" s="231">
        <v>1854.47</v>
      </c>
      <c r="AQ33" s="231">
        <v>1863.67</v>
      </c>
      <c r="AR33" s="228">
        <v>0</v>
      </c>
      <c r="AS33" s="230">
        <v>1157</v>
      </c>
      <c r="AT33" s="228">
        <v>721</v>
      </c>
      <c r="AU33" s="228">
        <v>436</v>
      </c>
      <c r="AV33" s="229">
        <v>0.60409999999999997</v>
      </c>
      <c r="AW33" s="228">
        <v>791</v>
      </c>
      <c r="AX33" s="228">
        <v>576</v>
      </c>
      <c r="AY33" s="228">
        <v>215</v>
      </c>
      <c r="AZ33" s="229">
        <v>0.37319999999999998</v>
      </c>
      <c r="BA33" s="228">
        <v>158</v>
      </c>
      <c r="BB33" s="228">
        <v>139</v>
      </c>
      <c r="BC33" s="228">
        <v>19</v>
      </c>
      <c r="BD33" s="229">
        <v>0.13450000000000001</v>
      </c>
      <c r="BE33" s="228">
        <v>208</v>
      </c>
      <c r="BF33" s="228">
        <v>6</v>
      </c>
      <c r="BG33" s="228">
        <v>202</v>
      </c>
      <c r="BH33" s="229">
        <v>33.911799999999999</v>
      </c>
      <c r="BI33" s="230">
        <v>3862</v>
      </c>
      <c r="BJ33" s="230">
        <v>2878</v>
      </c>
      <c r="BK33" s="228">
        <v>984</v>
      </c>
      <c r="BL33" s="229">
        <v>0.3417</v>
      </c>
      <c r="BM33" s="230">
        <v>1645</v>
      </c>
      <c r="BN33" s="230">
        <v>1361</v>
      </c>
      <c r="BO33" s="228">
        <v>285</v>
      </c>
      <c r="BP33" s="229">
        <v>0.20910000000000001</v>
      </c>
      <c r="BQ33" s="230">
        <v>6664</v>
      </c>
      <c r="BR33" s="230">
        <v>4960</v>
      </c>
      <c r="BS33" s="230">
        <v>1704</v>
      </c>
      <c r="BT33" s="229">
        <v>0.34350000000000003</v>
      </c>
      <c r="BU33" s="230">
        <v>9387477</v>
      </c>
      <c r="BV33" s="230">
        <v>7465210</v>
      </c>
      <c r="BW33" s="230">
        <v>1922267</v>
      </c>
      <c r="BX33" s="229">
        <v>0.25750000000000001</v>
      </c>
      <c r="BY33" s="230">
        <v>11161</v>
      </c>
      <c r="BZ33" s="230">
        <v>11200</v>
      </c>
      <c r="CA33" s="228">
        <v>-39</v>
      </c>
      <c r="CB33" s="229">
        <v>-3.5000000000000001E-3</v>
      </c>
      <c r="CC33" s="230">
        <v>8020</v>
      </c>
      <c r="CD33" s="230">
        <v>8343</v>
      </c>
      <c r="CE33" s="228">
        <v>-323</v>
      </c>
      <c r="CF33" s="229">
        <v>-3.8699999999999998E-2</v>
      </c>
      <c r="CG33" s="230">
        <v>2003</v>
      </c>
      <c r="CH33" s="230">
        <v>1919</v>
      </c>
      <c r="CI33" s="228">
        <v>84</v>
      </c>
      <c r="CJ33" s="229">
        <v>4.3900000000000002E-2</v>
      </c>
      <c r="CK33" s="230">
        <v>1137</v>
      </c>
      <c r="CL33" s="228">
        <v>938</v>
      </c>
      <c r="CM33" s="228">
        <v>200</v>
      </c>
      <c r="CN33" s="229">
        <v>0.2127</v>
      </c>
      <c r="CO33" s="230">
        <v>2604</v>
      </c>
      <c r="CP33" s="230">
        <v>2529</v>
      </c>
      <c r="CQ33" s="228">
        <v>75</v>
      </c>
      <c r="CR33" s="229">
        <v>2.9700000000000001E-2</v>
      </c>
      <c r="CS33" s="230">
        <v>1558</v>
      </c>
      <c r="CT33" s="230">
        <v>1541</v>
      </c>
      <c r="CU33" s="228">
        <v>17</v>
      </c>
      <c r="CV33" s="229">
        <v>1.11E-2</v>
      </c>
      <c r="CW33" s="230">
        <v>15323</v>
      </c>
      <c r="CX33" s="230">
        <v>15269</v>
      </c>
      <c r="CY33" s="228">
        <v>53</v>
      </c>
      <c r="CZ33" s="229">
        <v>3.5000000000000001E-3</v>
      </c>
      <c r="DA33" s="228">
        <v>23.86</v>
      </c>
      <c r="DB33" s="228">
        <v>22.81</v>
      </c>
      <c r="DC33" s="228">
        <v>1.05</v>
      </c>
      <c r="DD33" s="228">
        <v>1.05</v>
      </c>
      <c r="DE33" s="228">
        <v>24.15</v>
      </c>
      <c r="DF33" s="228">
        <v>24.21</v>
      </c>
      <c r="DG33" s="228">
        <v>-0.28999999999999998</v>
      </c>
      <c r="DH33" s="228">
        <v>-0.06</v>
      </c>
      <c r="DI33" s="228">
        <v>24.04</v>
      </c>
      <c r="DJ33" s="228">
        <v>22.06</v>
      </c>
      <c r="DK33" s="228">
        <v>1.98</v>
      </c>
      <c r="DL33" s="228">
        <v>1.98</v>
      </c>
      <c r="DM33" s="228">
        <v>23.42</v>
      </c>
      <c r="DN33" s="228">
        <v>24.41</v>
      </c>
      <c r="DO33" s="228">
        <v>-0.99</v>
      </c>
      <c r="DP33" s="228">
        <v>-0.99</v>
      </c>
      <c r="DQ33" s="228">
        <v>0.6</v>
      </c>
      <c r="DR33" s="228">
        <v>0.61</v>
      </c>
      <c r="DS33" s="228">
        <v>-0.01</v>
      </c>
      <c r="DT33" s="229">
        <v>-1.6400000000000001E-2</v>
      </c>
      <c r="DU33" s="231">
        <v>1900</v>
      </c>
      <c r="DV33" s="231">
        <v>1800</v>
      </c>
      <c r="DW33" s="228">
        <v>0.43</v>
      </c>
      <c r="DX33" s="228">
        <v>0.47</v>
      </c>
      <c r="DY33" s="228">
        <v>-0.04</v>
      </c>
      <c r="DZ33" s="229">
        <v>-8.5099999999999995E-2</v>
      </c>
      <c r="EA33" s="229">
        <v>0.28139999999999998</v>
      </c>
      <c r="EB33" s="230">
        <v>15479775</v>
      </c>
      <c r="EC33" s="229">
        <v>5.4999999999999997E-3</v>
      </c>
      <c r="ED33" s="229">
        <v>0.28139999999999998</v>
      </c>
      <c r="EE33" s="228">
        <v>9.1999999999999993</v>
      </c>
      <c r="EF33" s="229">
        <v>5.0000000000000001E-3</v>
      </c>
      <c r="EG33" s="230">
        <v>5726616</v>
      </c>
      <c r="EH33" s="230">
        <v>3966487</v>
      </c>
      <c r="EI33" s="229">
        <v>0.44379999999999997</v>
      </c>
      <c r="EJ33" s="229">
        <v>0.61</v>
      </c>
      <c r="EK33" s="231">
        <v>3990.81</v>
      </c>
      <c r="EL33" s="231">
        <v>1631.51</v>
      </c>
      <c r="EM33" s="231">
        <v>1166.45</v>
      </c>
      <c r="EN33" s="228">
        <v>148.57</v>
      </c>
      <c r="EO33" s="231">
        <v>6788.77</v>
      </c>
      <c r="EP33" s="231">
        <v>5025.84</v>
      </c>
      <c r="EQ33" s="231">
        <v>1762.93</v>
      </c>
      <c r="ER33" s="229">
        <v>0.3508</v>
      </c>
      <c r="ES33" s="231">
        <v>2674.91</v>
      </c>
      <c r="ET33" s="231">
        <v>1523.28</v>
      </c>
      <c r="EU33" s="231">
        <v>11186.07</v>
      </c>
      <c r="EV33" s="231">
        <v>342859930</v>
      </c>
      <c r="EW33" s="231">
        <v>15384.26</v>
      </c>
      <c r="EX33" s="231">
        <v>15345.56</v>
      </c>
      <c r="EY33" s="228">
        <v>38.700000000000003</v>
      </c>
      <c r="EZ33" s="229">
        <v>2.5000000000000001E-3</v>
      </c>
      <c r="FA33" s="229">
        <v>0.24210000000000001</v>
      </c>
      <c r="FB33" s="227" t="s">
        <v>567</v>
      </c>
      <c r="FC33">
        <f t="shared" si="0"/>
        <v>3141</v>
      </c>
    </row>
    <row r="34" spans="1:159" ht="17.25" thickBot="1" x14ac:dyDescent="0.3">
      <c r="A34" s="226">
        <v>46132</v>
      </c>
      <c r="B34" s="227" t="s">
        <v>184</v>
      </c>
      <c r="C34" s="227" t="s">
        <v>190</v>
      </c>
      <c r="D34" s="228">
        <v>2625</v>
      </c>
      <c r="E34" s="228">
        <v>8</v>
      </c>
      <c r="F34" s="228">
        <v>325.26</v>
      </c>
      <c r="G34" s="228">
        <v>317.22000000000003</v>
      </c>
      <c r="H34" s="228">
        <v>8.0399999999999991</v>
      </c>
      <c r="I34" s="229">
        <v>2.53E-2</v>
      </c>
      <c r="J34" s="228">
        <v>325.63</v>
      </c>
      <c r="K34" s="228">
        <v>316.79000000000002</v>
      </c>
      <c r="L34" s="228">
        <v>8.84</v>
      </c>
      <c r="M34" s="229">
        <v>2.7900000000000001E-2</v>
      </c>
      <c r="N34" s="228">
        <v>325.26</v>
      </c>
      <c r="O34" s="228">
        <v>317.22000000000003</v>
      </c>
      <c r="P34" s="228">
        <v>8.0399999999999991</v>
      </c>
      <c r="Q34" s="229">
        <v>2.53E-2</v>
      </c>
      <c r="R34" s="228">
        <v>327.11</v>
      </c>
      <c r="S34" s="228">
        <v>318.72000000000003</v>
      </c>
      <c r="T34" s="228">
        <v>8.39</v>
      </c>
      <c r="U34" s="229">
        <v>2.63E-2</v>
      </c>
      <c r="V34" s="228">
        <v>328.96</v>
      </c>
      <c r="W34" s="228">
        <v>320.14999999999998</v>
      </c>
      <c r="X34" s="228">
        <v>8.81</v>
      </c>
      <c r="Y34" s="229">
        <v>2.75E-2</v>
      </c>
      <c r="Z34" s="228">
        <v>-0.37</v>
      </c>
      <c r="AA34" s="228">
        <v>0.43</v>
      </c>
      <c r="AB34" s="228">
        <v>-0.8</v>
      </c>
      <c r="AC34" s="229">
        <v>-1.1000000000000001E-3</v>
      </c>
      <c r="AD34" s="228">
        <v>-0.37</v>
      </c>
      <c r="AE34" s="228">
        <v>0.43</v>
      </c>
      <c r="AF34" s="228">
        <v>-0.8</v>
      </c>
      <c r="AG34" s="229">
        <v>-1.1000000000000001E-3</v>
      </c>
      <c r="AH34" s="228">
        <v>1.48</v>
      </c>
      <c r="AI34" s="228">
        <v>1.93</v>
      </c>
      <c r="AJ34" s="228">
        <v>-0.45</v>
      </c>
      <c r="AK34" s="229">
        <v>4.4999999999999997E-3</v>
      </c>
      <c r="AL34" s="228">
        <v>3.33</v>
      </c>
      <c r="AM34" s="228">
        <v>3.36</v>
      </c>
      <c r="AN34" s="228">
        <v>-0.03</v>
      </c>
      <c r="AO34" s="229">
        <v>1.0200000000000001E-2</v>
      </c>
      <c r="AP34" s="228">
        <v>328.18</v>
      </c>
      <c r="AQ34" s="228">
        <v>329.37</v>
      </c>
      <c r="AR34" s="228">
        <v>0</v>
      </c>
      <c r="AS34" s="230">
        <v>1924</v>
      </c>
      <c r="AT34" s="230">
        <v>1205</v>
      </c>
      <c r="AU34" s="228">
        <v>719</v>
      </c>
      <c r="AV34" s="229">
        <v>0.59719999999999995</v>
      </c>
      <c r="AW34" s="230">
        <v>1630</v>
      </c>
      <c r="AX34" s="230">
        <v>1021</v>
      </c>
      <c r="AY34" s="228">
        <v>610</v>
      </c>
      <c r="AZ34" s="229">
        <v>0.59719999999999995</v>
      </c>
      <c r="BA34" s="228">
        <v>271</v>
      </c>
      <c r="BB34" s="228">
        <v>167</v>
      </c>
      <c r="BC34" s="228">
        <v>105</v>
      </c>
      <c r="BD34" s="229">
        <v>0.62639999999999996</v>
      </c>
      <c r="BE34" s="228">
        <v>22</v>
      </c>
      <c r="BF34" s="228">
        <v>17</v>
      </c>
      <c r="BG34" s="228">
        <v>5</v>
      </c>
      <c r="BH34" s="229">
        <v>0.31659999999999999</v>
      </c>
      <c r="BI34" s="230">
        <v>7808</v>
      </c>
      <c r="BJ34" s="230">
        <v>4842</v>
      </c>
      <c r="BK34" s="230">
        <v>2966</v>
      </c>
      <c r="BL34" s="229">
        <v>0.61250000000000004</v>
      </c>
      <c r="BM34" s="230">
        <v>4089</v>
      </c>
      <c r="BN34" s="230">
        <v>2892</v>
      </c>
      <c r="BO34" s="230">
        <v>1196</v>
      </c>
      <c r="BP34" s="229">
        <v>0.41360000000000002</v>
      </c>
      <c r="BQ34" s="230">
        <v>13821</v>
      </c>
      <c r="BR34" s="230">
        <v>8939</v>
      </c>
      <c r="BS34" s="230">
        <v>4882</v>
      </c>
      <c r="BT34" s="229">
        <v>0.54610000000000003</v>
      </c>
      <c r="BU34" s="230">
        <v>51865779</v>
      </c>
      <c r="BV34" s="230">
        <v>26045345</v>
      </c>
      <c r="BW34" s="230">
        <v>25820434</v>
      </c>
      <c r="BX34" s="229">
        <v>0.99139999999999995</v>
      </c>
      <c r="BY34" s="230">
        <v>3442</v>
      </c>
      <c r="BZ34" s="230">
        <v>3245</v>
      </c>
      <c r="CA34" s="228">
        <v>196</v>
      </c>
      <c r="CB34" s="229">
        <v>6.0499999999999998E-2</v>
      </c>
      <c r="CC34" s="230">
        <v>3206</v>
      </c>
      <c r="CD34" s="230">
        <v>3082</v>
      </c>
      <c r="CE34" s="228">
        <v>124</v>
      </c>
      <c r="CF34" s="229">
        <v>4.0399999999999998E-2</v>
      </c>
      <c r="CG34" s="228">
        <v>214</v>
      </c>
      <c r="CH34" s="228">
        <v>147</v>
      </c>
      <c r="CI34" s="228">
        <v>67</v>
      </c>
      <c r="CJ34" s="229">
        <v>0.4541</v>
      </c>
      <c r="CK34" s="228">
        <v>22</v>
      </c>
      <c r="CL34" s="228">
        <v>17</v>
      </c>
      <c r="CM34" s="228">
        <v>5</v>
      </c>
      <c r="CN34" s="229">
        <v>0.31630000000000003</v>
      </c>
      <c r="CO34" s="230">
        <v>1728</v>
      </c>
      <c r="CP34" s="230">
        <v>1424</v>
      </c>
      <c r="CQ34" s="228">
        <v>303</v>
      </c>
      <c r="CR34" s="229">
        <v>0.21299999999999999</v>
      </c>
      <c r="CS34" s="230">
        <v>1492</v>
      </c>
      <c r="CT34" s="230">
        <v>1260</v>
      </c>
      <c r="CU34" s="228">
        <v>232</v>
      </c>
      <c r="CV34" s="229">
        <v>0.18379999999999999</v>
      </c>
      <c r="CW34" s="230">
        <v>6662</v>
      </c>
      <c r="CX34" s="230">
        <v>5930</v>
      </c>
      <c r="CY34" s="228">
        <v>732</v>
      </c>
      <c r="CZ34" s="229">
        <v>0.1234</v>
      </c>
      <c r="DA34" s="228">
        <v>44.3</v>
      </c>
      <c r="DB34" s="228">
        <v>40.03</v>
      </c>
      <c r="DC34" s="228">
        <v>4.2699999999999996</v>
      </c>
      <c r="DD34" s="228">
        <v>4.2699999999999996</v>
      </c>
      <c r="DE34" s="228">
        <v>47.37</v>
      </c>
      <c r="DF34" s="228">
        <v>47.37</v>
      </c>
      <c r="DG34" s="228">
        <v>-3.07</v>
      </c>
      <c r="DH34" s="228">
        <v>0</v>
      </c>
      <c r="DI34" s="228">
        <v>43.54</v>
      </c>
      <c r="DJ34" s="228">
        <v>38.44</v>
      </c>
      <c r="DK34" s="228">
        <v>5.0999999999999996</v>
      </c>
      <c r="DL34" s="228">
        <v>5.0999999999999996</v>
      </c>
      <c r="DM34" s="228">
        <v>45.74</v>
      </c>
      <c r="DN34" s="228">
        <v>42.69</v>
      </c>
      <c r="DO34" s="228">
        <v>3.05</v>
      </c>
      <c r="DP34" s="228">
        <v>3.05</v>
      </c>
      <c r="DQ34" s="228">
        <v>0.86</v>
      </c>
      <c r="DR34" s="228">
        <v>0.88</v>
      </c>
      <c r="DS34" s="228">
        <v>-0.02</v>
      </c>
      <c r="DT34" s="229">
        <v>-2.2700000000000001E-2</v>
      </c>
      <c r="DU34" s="228">
        <v>330</v>
      </c>
      <c r="DV34" s="228">
        <v>330</v>
      </c>
      <c r="DW34" s="228">
        <v>0.52</v>
      </c>
      <c r="DX34" s="228">
        <v>0.6</v>
      </c>
      <c r="DY34" s="228">
        <v>-0.08</v>
      </c>
      <c r="DZ34" s="229">
        <v>-0.1333</v>
      </c>
      <c r="EA34" s="229">
        <v>6.8400000000000002E-2</v>
      </c>
      <c r="EB34" s="230">
        <v>5029500</v>
      </c>
      <c r="EC34" s="229">
        <v>5.7000000000000002E-3</v>
      </c>
      <c r="ED34" s="229">
        <v>6.8400000000000002E-2</v>
      </c>
      <c r="EE34" s="228">
        <v>1.19</v>
      </c>
      <c r="EF34" s="229">
        <v>3.5999999999999999E-3</v>
      </c>
      <c r="EG34" s="230">
        <v>17748912</v>
      </c>
      <c r="EH34" s="230">
        <v>8067151</v>
      </c>
      <c r="EI34" s="229">
        <v>1.2000999999999999</v>
      </c>
      <c r="EJ34" s="229">
        <v>0.3422</v>
      </c>
      <c r="EK34" s="231">
        <v>8198.9599999999991</v>
      </c>
      <c r="EL34" s="231">
        <v>3991.23</v>
      </c>
      <c r="EM34" s="231">
        <v>1942.45</v>
      </c>
      <c r="EN34" s="228">
        <v>146.61000000000001</v>
      </c>
      <c r="EO34" s="231">
        <v>14132.64</v>
      </c>
      <c r="EP34" s="231">
        <v>8686.0499999999993</v>
      </c>
      <c r="EQ34" s="231">
        <v>5446.59</v>
      </c>
      <c r="ER34" s="229">
        <v>0.627</v>
      </c>
      <c r="ES34" s="231">
        <v>1643.1</v>
      </c>
      <c r="ET34" s="231">
        <v>1325.81</v>
      </c>
      <c r="EU34" s="231">
        <v>3443.42</v>
      </c>
      <c r="EV34" s="231">
        <v>192361942</v>
      </c>
      <c r="EW34" s="231">
        <v>6412.33</v>
      </c>
      <c r="EX34" s="231">
        <v>5542.73</v>
      </c>
      <c r="EY34" s="228">
        <v>869.6</v>
      </c>
      <c r="EZ34" s="229">
        <v>0.15690000000000001</v>
      </c>
      <c r="FA34" s="229">
        <v>1.0647</v>
      </c>
      <c r="FB34" s="227" t="s">
        <v>555</v>
      </c>
      <c r="FC34">
        <f t="shared" si="0"/>
        <v>236</v>
      </c>
    </row>
    <row r="35" spans="1:159" ht="17.25" thickBot="1" x14ac:dyDescent="0.3">
      <c r="A35" s="226">
        <v>46132</v>
      </c>
      <c r="B35" s="227" t="s">
        <v>170</v>
      </c>
      <c r="C35" s="227" t="s">
        <v>191</v>
      </c>
      <c r="D35" s="228">
        <v>2500</v>
      </c>
      <c r="E35" s="228">
        <v>8</v>
      </c>
      <c r="F35" s="228">
        <v>358.7</v>
      </c>
      <c r="G35" s="228">
        <v>358.45</v>
      </c>
      <c r="H35" s="228">
        <v>0.25</v>
      </c>
      <c r="I35" s="229">
        <v>6.9999999999999999E-4</v>
      </c>
      <c r="J35" s="228">
        <v>359.05</v>
      </c>
      <c r="K35" s="228">
        <v>358.1</v>
      </c>
      <c r="L35" s="228">
        <v>0.95</v>
      </c>
      <c r="M35" s="229">
        <v>2.7000000000000001E-3</v>
      </c>
      <c r="N35" s="228">
        <v>358.7</v>
      </c>
      <c r="O35" s="228">
        <v>358.45</v>
      </c>
      <c r="P35" s="228">
        <v>0.25</v>
      </c>
      <c r="Q35" s="229">
        <v>6.9999999999999999E-4</v>
      </c>
      <c r="R35" s="228">
        <v>360.75</v>
      </c>
      <c r="S35" s="228">
        <v>360.55</v>
      </c>
      <c r="T35" s="228">
        <v>0.2</v>
      </c>
      <c r="U35" s="229">
        <v>5.9999999999999995E-4</v>
      </c>
      <c r="V35" s="228">
        <v>362.7</v>
      </c>
      <c r="W35" s="228">
        <v>362.75</v>
      </c>
      <c r="X35" s="228">
        <v>-0.05</v>
      </c>
      <c r="Y35" s="229">
        <v>-1E-4</v>
      </c>
      <c r="Z35" s="228">
        <v>-0.35</v>
      </c>
      <c r="AA35" s="228">
        <v>0.35</v>
      </c>
      <c r="AB35" s="228">
        <v>-0.7</v>
      </c>
      <c r="AC35" s="229">
        <v>-1E-3</v>
      </c>
      <c r="AD35" s="228">
        <v>-0.35</v>
      </c>
      <c r="AE35" s="228">
        <v>0.35</v>
      </c>
      <c r="AF35" s="228">
        <v>-0.7</v>
      </c>
      <c r="AG35" s="229">
        <v>-1E-3</v>
      </c>
      <c r="AH35" s="228">
        <v>1.7</v>
      </c>
      <c r="AI35" s="228">
        <v>2.4500000000000002</v>
      </c>
      <c r="AJ35" s="228">
        <v>-0.75</v>
      </c>
      <c r="AK35" s="229">
        <v>4.7000000000000002E-3</v>
      </c>
      <c r="AL35" s="228">
        <v>3.65</v>
      </c>
      <c r="AM35" s="228">
        <v>4.6500000000000004</v>
      </c>
      <c r="AN35" s="228">
        <v>-1</v>
      </c>
      <c r="AO35" s="229">
        <v>1.0200000000000001E-2</v>
      </c>
      <c r="AP35" s="228">
        <v>359.98</v>
      </c>
      <c r="AQ35" s="228">
        <v>361.63</v>
      </c>
      <c r="AR35" s="228">
        <v>0</v>
      </c>
      <c r="AS35" s="228">
        <v>241</v>
      </c>
      <c r="AT35" s="228">
        <v>328</v>
      </c>
      <c r="AU35" s="228">
        <v>-87</v>
      </c>
      <c r="AV35" s="229">
        <v>-0.26569999999999999</v>
      </c>
      <c r="AW35" s="228">
        <v>185</v>
      </c>
      <c r="AX35" s="228">
        <v>265</v>
      </c>
      <c r="AY35" s="228">
        <v>-80</v>
      </c>
      <c r="AZ35" s="229">
        <v>-0.30109999999999998</v>
      </c>
      <c r="BA35" s="228">
        <v>51</v>
      </c>
      <c r="BB35" s="228">
        <v>57</v>
      </c>
      <c r="BC35" s="228">
        <v>-6</v>
      </c>
      <c r="BD35" s="229">
        <v>-0.10920000000000001</v>
      </c>
      <c r="BE35" s="228">
        <v>4</v>
      </c>
      <c r="BF35" s="228">
        <v>5</v>
      </c>
      <c r="BG35" s="228">
        <v>-1</v>
      </c>
      <c r="BH35" s="229">
        <v>-0.193</v>
      </c>
      <c r="BI35" s="228">
        <v>799</v>
      </c>
      <c r="BJ35" s="230">
        <v>2155</v>
      </c>
      <c r="BK35" s="230">
        <v>-1356</v>
      </c>
      <c r="BL35" s="229">
        <v>-0.62909999999999999</v>
      </c>
      <c r="BM35" s="228">
        <v>333</v>
      </c>
      <c r="BN35" s="228">
        <v>510</v>
      </c>
      <c r="BO35" s="228">
        <v>-177</v>
      </c>
      <c r="BP35" s="229">
        <v>-0.34789999999999999</v>
      </c>
      <c r="BQ35" s="230">
        <v>1372</v>
      </c>
      <c r="BR35" s="230">
        <v>2993</v>
      </c>
      <c r="BS35" s="230">
        <v>-1620</v>
      </c>
      <c r="BT35" s="229">
        <v>-0.54139999999999999</v>
      </c>
      <c r="BU35" s="230">
        <v>1991327</v>
      </c>
      <c r="BV35" s="230">
        <v>2494709</v>
      </c>
      <c r="BW35" s="230">
        <v>-503382</v>
      </c>
      <c r="BX35" s="229">
        <v>-0.20180000000000001</v>
      </c>
      <c r="BY35" s="230">
        <v>1302</v>
      </c>
      <c r="BZ35" s="230">
        <v>1322</v>
      </c>
      <c r="CA35" s="228">
        <v>-20</v>
      </c>
      <c r="CB35" s="229">
        <v>-1.52E-2</v>
      </c>
      <c r="CC35" s="230">
        <v>1172</v>
      </c>
      <c r="CD35" s="230">
        <v>1210</v>
      </c>
      <c r="CE35" s="228">
        <v>-38</v>
      </c>
      <c r="CF35" s="229">
        <v>-3.1300000000000001E-2</v>
      </c>
      <c r="CG35" s="228">
        <v>120</v>
      </c>
      <c r="CH35" s="228">
        <v>104</v>
      </c>
      <c r="CI35" s="228">
        <v>16</v>
      </c>
      <c r="CJ35" s="229">
        <v>0.15640000000000001</v>
      </c>
      <c r="CK35" s="228">
        <v>10</v>
      </c>
      <c r="CL35" s="228">
        <v>8</v>
      </c>
      <c r="CM35" s="228">
        <v>2</v>
      </c>
      <c r="CN35" s="229">
        <v>0.20219999999999999</v>
      </c>
      <c r="CO35" s="228">
        <v>837</v>
      </c>
      <c r="CP35" s="228">
        <v>871</v>
      </c>
      <c r="CQ35" s="228">
        <v>-34</v>
      </c>
      <c r="CR35" s="229">
        <v>-3.8699999999999998E-2</v>
      </c>
      <c r="CS35" s="228">
        <v>566</v>
      </c>
      <c r="CT35" s="228">
        <v>557</v>
      </c>
      <c r="CU35" s="228">
        <v>9</v>
      </c>
      <c r="CV35" s="229">
        <v>1.5299999999999999E-2</v>
      </c>
      <c r="CW35" s="230">
        <v>2705</v>
      </c>
      <c r="CX35" s="230">
        <v>2750</v>
      </c>
      <c r="CY35" s="228">
        <v>-45</v>
      </c>
      <c r="CZ35" s="229">
        <v>-1.6500000000000001E-2</v>
      </c>
      <c r="DA35" s="228">
        <v>34.04</v>
      </c>
      <c r="DB35" s="228">
        <v>31.91</v>
      </c>
      <c r="DC35" s="228">
        <v>2.13</v>
      </c>
      <c r="DD35" s="228">
        <v>2.13</v>
      </c>
      <c r="DE35" s="228">
        <v>36.25</v>
      </c>
      <c r="DF35" s="228">
        <v>36.340000000000003</v>
      </c>
      <c r="DG35" s="228">
        <v>-2.21</v>
      </c>
      <c r="DH35" s="228">
        <v>-0.09</v>
      </c>
      <c r="DI35" s="228">
        <v>33.03</v>
      </c>
      <c r="DJ35" s="228">
        <v>31.36</v>
      </c>
      <c r="DK35" s="228">
        <v>1.67</v>
      </c>
      <c r="DL35" s="228">
        <v>1.67</v>
      </c>
      <c r="DM35" s="228">
        <v>36.479999999999997</v>
      </c>
      <c r="DN35" s="228">
        <v>34.200000000000003</v>
      </c>
      <c r="DO35" s="228">
        <v>2.2799999999999998</v>
      </c>
      <c r="DP35" s="228">
        <v>2.2799999999999998</v>
      </c>
      <c r="DQ35" s="228">
        <v>0.68</v>
      </c>
      <c r="DR35" s="228">
        <v>0.64</v>
      </c>
      <c r="DS35" s="228">
        <v>0.04</v>
      </c>
      <c r="DT35" s="229">
        <v>6.25E-2</v>
      </c>
      <c r="DU35" s="228">
        <v>370</v>
      </c>
      <c r="DV35" s="228">
        <v>340</v>
      </c>
      <c r="DW35" s="228">
        <v>0.42</v>
      </c>
      <c r="DX35" s="228">
        <v>0.24</v>
      </c>
      <c r="DY35" s="228">
        <v>0.18</v>
      </c>
      <c r="DZ35" s="229">
        <v>0.75</v>
      </c>
      <c r="EA35" s="229">
        <v>9.9500000000000005E-2</v>
      </c>
      <c r="EB35" s="230">
        <v>3115000</v>
      </c>
      <c r="EC35" s="229">
        <v>5.7000000000000002E-3</v>
      </c>
      <c r="ED35" s="229">
        <v>9.9500000000000005E-2</v>
      </c>
      <c r="EE35" s="228">
        <v>1.65</v>
      </c>
      <c r="EF35" s="229">
        <v>4.5999999999999999E-3</v>
      </c>
      <c r="EG35" s="230">
        <v>916695</v>
      </c>
      <c r="EH35" s="230">
        <v>1185108</v>
      </c>
      <c r="EI35" s="229">
        <v>-0.22650000000000001</v>
      </c>
      <c r="EJ35" s="229">
        <v>0.46029999999999999</v>
      </c>
      <c r="EK35" s="228">
        <v>837.14</v>
      </c>
      <c r="EL35" s="228">
        <v>326.13</v>
      </c>
      <c r="EM35" s="228">
        <v>241.73</v>
      </c>
      <c r="EN35" s="228">
        <v>26.76</v>
      </c>
      <c r="EO35" s="231">
        <v>1405</v>
      </c>
      <c r="EP35" s="231">
        <v>3041.68</v>
      </c>
      <c r="EQ35" s="231">
        <v>-1636.68</v>
      </c>
      <c r="ER35" s="229">
        <v>-0.53810000000000002</v>
      </c>
      <c r="ES35" s="228">
        <v>876.72</v>
      </c>
      <c r="ET35" s="228">
        <v>552.39</v>
      </c>
      <c r="EU35" s="231">
        <v>1302.5999999999999</v>
      </c>
      <c r="EV35" s="231">
        <v>108004143</v>
      </c>
      <c r="EW35" s="231">
        <v>2731.72</v>
      </c>
      <c r="EX35" s="231">
        <v>2773.4</v>
      </c>
      <c r="EY35" s="228">
        <v>-41.68</v>
      </c>
      <c r="EZ35" s="229">
        <v>-1.4999999999999999E-2</v>
      </c>
      <c r="FA35" s="229">
        <v>0.69820000000000004</v>
      </c>
      <c r="FB35" s="227" t="s">
        <v>693</v>
      </c>
      <c r="FC35">
        <f t="shared" si="0"/>
        <v>130</v>
      </c>
    </row>
    <row r="36" spans="1:159" ht="17.25" thickBot="1" x14ac:dyDescent="0.3">
      <c r="A36" s="226">
        <v>46132</v>
      </c>
      <c r="B36" s="227" t="s">
        <v>184</v>
      </c>
      <c r="C36" s="227" t="s">
        <v>677</v>
      </c>
      <c r="D36" s="228">
        <v>325</v>
      </c>
      <c r="E36" s="228">
        <v>8</v>
      </c>
      <c r="F36" s="231">
        <v>1864.6</v>
      </c>
      <c r="G36" s="231">
        <v>1856.5</v>
      </c>
      <c r="H36" s="228">
        <v>8.1</v>
      </c>
      <c r="I36" s="229">
        <v>4.4000000000000003E-3</v>
      </c>
      <c r="J36" s="231">
        <v>1889</v>
      </c>
      <c r="K36" s="231">
        <v>1866.1</v>
      </c>
      <c r="L36" s="228">
        <v>22.9</v>
      </c>
      <c r="M36" s="229">
        <v>1.23E-2</v>
      </c>
      <c r="N36" s="231">
        <v>1864.6</v>
      </c>
      <c r="O36" s="231">
        <v>1856.5</v>
      </c>
      <c r="P36" s="228">
        <v>8.1</v>
      </c>
      <c r="Q36" s="229">
        <v>4.4000000000000003E-3</v>
      </c>
      <c r="R36" s="231">
        <v>1844</v>
      </c>
      <c r="S36" s="231">
        <v>1837.2</v>
      </c>
      <c r="T36" s="228">
        <v>6.8</v>
      </c>
      <c r="U36" s="229">
        <v>3.7000000000000002E-3</v>
      </c>
      <c r="V36" s="231">
        <v>1844.5</v>
      </c>
      <c r="W36" s="231">
        <v>1805</v>
      </c>
      <c r="X36" s="228">
        <v>39.5</v>
      </c>
      <c r="Y36" s="229">
        <v>2.1899999999999999E-2</v>
      </c>
      <c r="Z36" s="228">
        <v>-24.4</v>
      </c>
      <c r="AA36" s="228">
        <v>-9.6</v>
      </c>
      <c r="AB36" s="228">
        <v>-14.8</v>
      </c>
      <c r="AC36" s="229">
        <v>-1.29E-2</v>
      </c>
      <c r="AD36" s="228">
        <v>-24.4</v>
      </c>
      <c r="AE36" s="228">
        <v>-9.6</v>
      </c>
      <c r="AF36" s="228">
        <v>-14.8</v>
      </c>
      <c r="AG36" s="229">
        <v>-1.29E-2</v>
      </c>
      <c r="AH36" s="228">
        <v>-45</v>
      </c>
      <c r="AI36" s="228">
        <v>-28.9</v>
      </c>
      <c r="AJ36" s="228">
        <v>-16.100000000000001</v>
      </c>
      <c r="AK36" s="229">
        <v>-2.3800000000000002E-2</v>
      </c>
      <c r="AL36" s="228">
        <v>-44.5</v>
      </c>
      <c r="AM36" s="228">
        <v>-61.1</v>
      </c>
      <c r="AN36" s="228">
        <v>16.600000000000001</v>
      </c>
      <c r="AO36" s="229">
        <v>-2.3599999999999999E-2</v>
      </c>
      <c r="AP36" s="231">
        <v>1886.99</v>
      </c>
      <c r="AQ36" s="231">
        <v>1867.16</v>
      </c>
      <c r="AR36" s="228">
        <v>0</v>
      </c>
      <c r="AS36" s="228">
        <v>225</v>
      </c>
      <c r="AT36" s="228">
        <v>261</v>
      </c>
      <c r="AU36" s="228">
        <v>-36</v>
      </c>
      <c r="AV36" s="229">
        <v>-0.1371</v>
      </c>
      <c r="AW36" s="228">
        <v>181</v>
      </c>
      <c r="AX36" s="228">
        <v>190</v>
      </c>
      <c r="AY36" s="228">
        <v>-9</v>
      </c>
      <c r="AZ36" s="229">
        <v>-4.7300000000000002E-2</v>
      </c>
      <c r="BA36" s="228">
        <v>44</v>
      </c>
      <c r="BB36" s="228">
        <v>71</v>
      </c>
      <c r="BC36" s="228">
        <v>-28</v>
      </c>
      <c r="BD36" s="229">
        <v>-0.38840000000000002</v>
      </c>
      <c r="BE36" s="228">
        <v>1</v>
      </c>
      <c r="BF36" s="228">
        <v>0</v>
      </c>
      <c r="BG36" s="228">
        <v>1</v>
      </c>
      <c r="BH36" s="229">
        <v>0</v>
      </c>
      <c r="BI36" s="228">
        <v>758</v>
      </c>
      <c r="BJ36" s="228">
        <v>325</v>
      </c>
      <c r="BK36" s="228">
        <v>433</v>
      </c>
      <c r="BL36" s="229">
        <v>1.3302</v>
      </c>
      <c r="BM36" s="228">
        <v>282</v>
      </c>
      <c r="BN36" s="228">
        <v>168</v>
      </c>
      <c r="BO36" s="228">
        <v>114</v>
      </c>
      <c r="BP36" s="229">
        <v>0.68110000000000004</v>
      </c>
      <c r="BQ36" s="230">
        <v>1265</v>
      </c>
      <c r="BR36" s="228">
        <v>754</v>
      </c>
      <c r="BS36" s="228">
        <v>511</v>
      </c>
      <c r="BT36" s="229">
        <v>0.67830000000000001</v>
      </c>
      <c r="BU36" s="230">
        <v>810555</v>
      </c>
      <c r="BV36" s="230">
        <v>455812</v>
      </c>
      <c r="BW36" s="230">
        <v>354743</v>
      </c>
      <c r="BX36" s="229">
        <v>0.77829999999999999</v>
      </c>
      <c r="BY36" s="228">
        <v>709</v>
      </c>
      <c r="BZ36" s="228">
        <v>663</v>
      </c>
      <c r="CA36" s="228">
        <v>45</v>
      </c>
      <c r="CB36" s="229">
        <v>6.8400000000000002E-2</v>
      </c>
      <c r="CC36" s="228">
        <v>512</v>
      </c>
      <c r="CD36" s="228">
        <v>481</v>
      </c>
      <c r="CE36" s="228">
        <v>31</v>
      </c>
      <c r="CF36" s="229">
        <v>6.3899999999999998E-2</v>
      </c>
      <c r="CG36" s="228">
        <v>196</v>
      </c>
      <c r="CH36" s="228">
        <v>181</v>
      </c>
      <c r="CI36" s="228">
        <v>15</v>
      </c>
      <c r="CJ36" s="229">
        <v>8.1100000000000005E-2</v>
      </c>
      <c r="CK36" s="228">
        <v>1</v>
      </c>
      <c r="CL36" s="228">
        <v>1</v>
      </c>
      <c r="CM36" s="228">
        <v>0</v>
      </c>
      <c r="CN36" s="229">
        <v>0</v>
      </c>
      <c r="CO36" s="228">
        <v>323</v>
      </c>
      <c r="CP36" s="228">
        <v>290</v>
      </c>
      <c r="CQ36" s="228">
        <v>34</v>
      </c>
      <c r="CR36" s="229">
        <v>0.11600000000000001</v>
      </c>
      <c r="CS36" s="228">
        <v>223</v>
      </c>
      <c r="CT36" s="228">
        <v>182</v>
      </c>
      <c r="CU36" s="228">
        <v>41</v>
      </c>
      <c r="CV36" s="229">
        <v>0.22270000000000001</v>
      </c>
      <c r="CW36" s="230">
        <v>1255</v>
      </c>
      <c r="CX36" s="230">
        <v>1135</v>
      </c>
      <c r="CY36" s="228">
        <v>120</v>
      </c>
      <c r="CZ36" s="229">
        <v>0.1053</v>
      </c>
      <c r="DA36" s="228">
        <v>42.33</v>
      </c>
      <c r="DB36" s="228">
        <v>40.380000000000003</v>
      </c>
      <c r="DC36" s="228">
        <v>1.95</v>
      </c>
      <c r="DD36" s="228">
        <v>1.95</v>
      </c>
      <c r="DE36" s="228">
        <v>42.55</v>
      </c>
      <c r="DF36" s="228">
        <v>42.65</v>
      </c>
      <c r="DG36" s="228">
        <v>-0.22</v>
      </c>
      <c r="DH36" s="228">
        <v>-0.1</v>
      </c>
      <c r="DI36" s="228">
        <v>42.66</v>
      </c>
      <c r="DJ36" s="228">
        <v>38.1</v>
      </c>
      <c r="DK36" s="228">
        <v>4.5599999999999996</v>
      </c>
      <c r="DL36" s="228">
        <v>4.5599999999999996</v>
      </c>
      <c r="DM36" s="228">
        <v>41.45</v>
      </c>
      <c r="DN36" s="228">
        <v>44.79</v>
      </c>
      <c r="DO36" s="228">
        <v>-3.34</v>
      </c>
      <c r="DP36" s="228">
        <v>-3.34</v>
      </c>
      <c r="DQ36" s="228">
        <v>0.69</v>
      </c>
      <c r="DR36" s="228">
        <v>0.63</v>
      </c>
      <c r="DS36" s="228">
        <v>0.06</v>
      </c>
      <c r="DT36" s="229">
        <v>9.5200000000000007E-2</v>
      </c>
      <c r="DU36" s="231">
        <v>1900</v>
      </c>
      <c r="DV36" s="231">
        <v>1800</v>
      </c>
      <c r="DW36" s="228">
        <v>0.37</v>
      </c>
      <c r="DX36" s="228">
        <v>0.52</v>
      </c>
      <c r="DY36" s="228">
        <v>-0.15</v>
      </c>
      <c r="DZ36" s="229">
        <v>-0.28849999999999998</v>
      </c>
      <c r="EA36" s="229">
        <v>0.27800000000000002</v>
      </c>
      <c r="EB36" s="230">
        <v>977600</v>
      </c>
      <c r="EC36" s="229">
        <v>-1.0999999999999999E-2</v>
      </c>
      <c r="ED36" s="229">
        <v>0.27800000000000002</v>
      </c>
      <c r="EE36" s="228">
        <v>-19.829999999999998</v>
      </c>
      <c r="EF36" s="229">
        <v>-1.0500000000000001E-2</v>
      </c>
      <c r="EG36" s="230">
        <v>333198</v>
      </c>
      <c r="EH36" s="230">
        <v>160540</v>
      </c>
      <c r="EI36" s="229">
        <v>1.0754999999999999</v>
      </c>
      <c r="EJ36" s="229">
        <v>0.41110000000000002</v>
      </c>
      <c r="EK36" s="228">
        <v>805.93</v>
      </c>
      <c r="EL36" s="228">
        <v>274.06</v>
      </c>
      <c r="EM36" s="228">
        <v>227.17</v>
      </c>
      <c r="EN36" s="228">
        <v>46.91</v>
      </c>
      <c r="EO36" s="231">
        <v>1307.1600000000001</v>
      </c>
      <c r="EP36" s="228">
        <v>751.57</v>
      </c>
      <c r="EQ36" s="228">
        <v>555.6</v>
      </c>
      <c r="ER36" s="229">
        <v>0.73929999999999996</v>
      </c>
      <c r="ES36" s="228">
        <v>319.5</v>
      </c>
      <c r="ET36" s="228">
        <v>201.47</v>
      </c>
      <c r="EU36" s="228">
        <v>706.35</v>
      </c>
      <c r="EV36" s="231">
        <v>15745076</v>
      </c>
      <c r="EW36" s="231">
        <v>1227.33</v>
      </c>
      <c r="EX36" s="231">
        <v>1102.2</v>
      </c>
      <c r="EY36" s="228">
        <v>125.13</v>
      </c>
      <c r="EZ36" s="229">
        <v>0.1135</v>
      </c>
      <c r="FA36" s="229">
        <v>0.42730000000000001</v>
      </c>
      <c r="FB36" s="227" t="s">
        <v>555</v>
      </c>
      <c r="FC36">
        <f t="shared" si="0"/>
        <v>197</v>
      </c>
    </row>
    <row r="37" spans="1:159" ht="17.25" thickBot="1" x14ac:dyDescent="0.3">
      <c r="A37" s="226">
        <v>46132</v>
      </c>
      <c r="B37" s="227" t="s">
        <v>162</v>
      </c>
      <c r="C37" s="227" t="s">
        <v>192</v>
      </c>
      <c r="D37" s="228">
        <v>25</v>
      </c>
      <c r="E37" s="228">
        <v>8</v>
      </c>
      <c r="F37" s="231">
        <v>37770</v>
      </c>
      <c r="G37" s="231">
        <v>37580</v>
      </c>
      <c r="H37" s="228">
        <v>190</v>
      </c>
      <c r="I37" s="229">
        <v>5.1000000000000004E-3</v>
      </c>
      <c r="J37" s="231">
        <v>37790</v>
      </c>
      <c r="K37" s="231">
        <v>37505</v>
      </c>
      <c r="L37" s="228">
        <v>285</v>
      </c>
      <c r="M37" s="229">
        <v>7.6E-3</v>
      </c>
      <c r="N37" s="231">
        <v>37770</v>
      </c>
      <c r="O37" s="231">
        <v>37580</v>
      </c>
      <c r="P37" s="228">
        <v>190</v>
      </c>
      <c r="Q37" s="229">
        <v>5.1000000000000004E-3</v>
      </c>
      <c r="R37" s="231">
        <v>37980</v>
      </c>
      <c r="S37" s="231">
        <v>37730</v>
      </c>
      <c r="T37" s="228">
        <v>250</v>
      </c>
      <c r="U37" s="229">
        <v>6.6E-3</v>
      </c>
      <c r="V37" s="231">
        <v>38150</v>
      </c>
      <c r="W37" s="231">
        <v>38015</v>
      </c>
      <c r="X37" s="228">
        <v>135</v>
      </c>
      <c r="Y37" s="229">
        <v>3.5999999999999999E-3</v>
      </c>
      <c r="Z37" s="228">
        <v>-20</v>
      </c>
      <c r="AA37" s="228">
        <v>75</v>
      </c>
      <c r="AB37" s="228">
        <v>-95</v>
      </c>
      <c r="AC37" s="229">
        <v>-5.0000000000000001E-4</v>
      </c>
      <c r="AD37" s="228">
        <v>-20</v>
      </c>
      <c r="AE37" s="228">
        <v>75</v>
      </c>
      <c r="AF37" s="228">
        <v>-95</v>
      </c>
      <c r="AG37" s="229">
        <v>-5.0000000000000001E-4</v>
      </c>
      <c r="AH37" s="228">
        <v>190</v>
      </c>
      <c r="AI37" s="228">
        <v>225</v>
      </c>
      <c r="AJ37" s="228">
        <v>-35</v>
      </c>
      <c r="AK37" s="229">
        <v>5.0000000000000001E-3</v>
      </c>
      <c r="AL37" s="228">
        <v>360</v>
      </c>
      <c r="AM37" s="228">
        <v>510</v>
      </c>
      <c r="AN37" s="228">
        <v>-150</v>
      </c>
      <c r="AO37" s="229">
        <v>9.4999999999999998E-3</v>
      </c>
      <c r="AP37" s="231">
        <v>37865.93</v>
      </c>
      <c r="AQ37" s="231">
        <v>38041.410000000003</v>
      </c>
      <c r="AR37" s="228">
        <v>0</v>
      </c>
      <c r="AS37" s="228">
        <v>164</v>
      </c>
      <c r="AT37" s="228">
        <v>107</v>
      </c>
      <c r="AU37" s="228">
        <v>57</v>
      </c>
      <c r="AV37" s="229">
        <v>0.53090000000000004</v>
      </c>
      <c r="AW37" s="228">
        <v>133</v>
      </c>
      <c r="AX37" s="228">
        <v>95</v>
      </c>
      <c r="AY37" s="228">
        <v>37</v>
      </c>
      <c r="AZ37" s="229">
        <v>0.3901</v>
      </c>
      <c r="BA37" s="228">
        <v>29</v>
      </c>
      <c r="BB37" s="228">
        <v>10</v>
      </c>
      <c r="BC37" s="228">
        <v>19</v>
      </c>
      <c r="BD37" s="229">
        <v>1.8018000000000001</v>
      </c>
      <c r="BE37" s="228">
        <v>2</v>
      </c>
      <c r="BF37" s="228">
        <v>1</v>
      </c>
      <c r="BG37" s="228">
        <v>1</v>
      </c>
      <c r="BH37" s="229">
        <v>0.63639999999999997</v>
      </c>
      <c r="BI37" s="228">
        <v>974</v>
      </c>
      <c r="BJ37" s="228">
        <v>669</v>
      </c>
      <c r="BK37" s="228">
        <v>305</v>
      </c>
      <c r="BL37" s="229">
        <v>0.4556</v>
      </c>
      <c r="BM37" s="230">
        <v>1081</v>
      </c>
      <c r="BN37" s="230">
        <v>2516</v>
      </c>
      <c r="BO37" s="230">
        <v>-1436</v>
      </c>
      <c r="BP37" s="229">
        <v>-0.57050000000000001</v>
      </c>
      <c r="BQ37" s="230">
        <v>2219</v>
      </c>
      <c r="BR37" s="230">
        <v>3292</v>
      </c>
      <c r="BS37" s="230">
        <v>-1074</v>
      </c>
      <c r="BT37" s="229">
        <v>-0.32619999999999999</v>
      </c>
      <c r="BU37" s="230">
        <v>39774</v>
      </c>
      <c r="BV37" s="230">
        <v>29588</v>
      </c>
      <c r="BW37" s="230">
        <v>10186</v>
      </c>
      <c r="BX37" s="229">
        <v>0.34429999999999999</v>
      </c>
      <c r="BY37" s="230">
        <v>1022</v>
      </c>
      <c r="BZ37" s="230">
        <v>1032</v>
      </c>
      <c r="CA37" s="228">
        <v>-10</v>
      </c>
      <c r="CB37" s="229">
        <v>-0.01</v>
      </c>
      <c r="CC37" s="228">
        <v>981</v>
      </c>
      <c r="CD37" s="228">
        <v>995</v>
      </c>
      <c r="CE37" s="228">
        <v>-14</v>
      </c>
      <c r="CF37" s="229">
        <v>-1.41E-2</v>
      </c>
      <c r="CG37" s="228">
        <v>39</v>
      </c>
      <c r="CH37" s="228">
        <v>35</v>
      </c>
      <c r="CI37" s="228">
        <v>4</v>
      </c>
      <c r="CJ37" s="229">
        <v>0.12529999999999999</v>
      </c>
      <c r="CK37" s="228">
        <v>2</v>
      </c>
      <c r="CL37" s="228">
        <v>3</v>
      </c>
      <c r="CM37" s="228">
        <v>-1</v>
      </c>
      <c r="CN37" s="229">
        <v>-0.2069</v>
      </c>
      <c r="CO37" s="228">
        <v>977</v>
      </c>
      <c r="CP37" s="228">
        <v>959</v>
      </c>
      <c r="CQ37" s="228">
        <v>17</v>
      </c>
      <c r="CR37" s="229">
        <v>1.8200000000000001E-2</v>
      </c>
      <c r="CS37" s="228">
        <v>840</v>
      </c>
      <c r="CT37" s="228">
        <v>852</v>
      </c>
      <c r="CU37" s="228">
        <v>-12</v>
      </c>
      <c r="CV37" s="229">
        <v>-1.43E-2</v>
      </c>
      <c r="CW37" s="230">
        <v>2839</v>
      </c>
      <c r="CX37" s="230">
        <v>2844</v>
      </c>
      <c r="CY37" s="228">
        <v>-5</v>
      </c>
      <c r="CZ37" s="229">
        <v>-1.8E-3</v>
      </c>
      <c r="DA37" s="228">
        <v>39</v>
      </c>
      <c r="DB37" s="228">
        <v>38.76</v>
      </c>
      <c r="DC37" s="228">
        <v>0.24</v>
      </c>
      <c r="DD37" s="228">
        <v>0.24</v>
      </c>
      <c r="DE37" s="228">
        <v>34.92</v>
      </c>
      <c r="DF37" s="228">
        <v>35</v>
      </c>
      <c r="DG37" s="228">
        <v>4.08</v>
      </c>
      <c r="DH37" s="228">
        <v>-0.08</v>
      </c>
      <c r="DI37" s="228">
        <v>36.65</v>
      </c>
      <c r="DJ37" s="228">
        <v>35</v>
      </c>
      <c r="DK37" s="228">
        <v>1.65</v>
      </c>
      <c r="DL37" s="228">
        <v>1.65</v>
      </c>
      <c r="DM37" s="228">
        <v>41.11</v>
      </c>
      <c r="DN37" s="228">
        <v>39.76</v>
      </c>
      <c r="DO37" s="228">
        <v>1.35</v>
      </c>
      <c r="DP37" s="228">
        <v>1.35</v>
      </c>
      <c r="DQ37" s="228">
        <v>0.86</v>
      </c>
      <c r="DR37" s="228">
        <v>0.89</v>
      </c>
      <c r="DS37" s="228">
        <v>-0.03</v>
      </c>
      <c r="DT37" s="229">
        <v>-3.3700000000000001E-2</v>
      </c>
      <c r="DU37" s="231">
        <v>40000</v>
      </c>
      <c r="DV37" s="231">
        <v>30000</v>
      </c>
      <c r="DW37" s="228">
        <v>1.1100000000000001</v>
      </c>
      <c r="DX37" s="228">
        <v>3.76</v>
      </c>
      <c r="DY37" s="228">
        <v>-2.65</v>
      </c>
      <c r="DZ37" s="229">
        <v>-0.70479999999999998</v>
      </c>
      <c r="EA37" s="229">
        <v>4.0300000000000002E-2</v>
      </c>
      <c r="EB37" s="230">
        <v>9900</v>
      </c>
      <c r="EC37" s="229">
        <v>5.5999999999999999E-3</v>
      </c>
      <c r="ED37" s="229">
        <v>4.0300000000000002E-2</v>
      </c>
      <c r="EE37" s="228">
        <v>175.48</v>
      </c>
      <c r="EF37" s="229">
        <v>4.5999999999999999E-3</v>
      </c>
      <c r="EG37" s="230">
        <v>13481</v>
      </c>
      <c r="EH37" s="230">
        <v>7703</v>
      </c>
      <c r="EI37" s="229">
        <v>0.75009999999999999</v>
      </c>
      <c r="EJ37" s="229">
        <v>0.33889999999999998</v>
      </c>
      <c r="EK37" s="231">
        <v>1030.06</v>
      </c>
      <c r="EL37" s="228">
        <v>980.75</v>
      </c>
      <c r="EM37" s="228">
        <v>164.2</v>
      </c>
      <c r="EN37" s="228">
        <v>28.92</v>
      </c>
      <c r="EO37" s="231">
        <v>2175</v>
      </c>
      <c r="EP37" s="231">
        <v>2848.15</v>
      </c>
      <c r="EQ37" s="228">
        <v>-673.15</v>
      </c>
      <c r="ER37" s="229">
        <v>-0.23630000000000001</v>
      </c>
      <c r="ES37" s="228">
        <v>962.21</v>
      </c>
      <c r="ET37" s="228">
        <v>732.51</v>
      </c>
      <c r="EU37" s="231">
        <v>1022.39</v>
      </c>
      <c r="EV37" s="231">
        <v>868841</v>
      </c>
      <c r="EW37" s="231">
        <v>2717.11</v>
      </c>
      <c r="EX37" s="231">
        <v>2707.89</v>
      </c>
      <c r="EY37" s="228">
        <v>9.2200000000000006</v>
      </c>
      <c r="EZ37" s="229">
        <v>3.3999999999999998E-3</v>
      </c>
      <c r="FA37" s="229">
        <v>0.86509999999999998</v>
      </c>
      <c r="FB37" s="227" t="s">
        <v>693</v>
      </c>
      <c r="FC37">
        <f t="shared" si="0"/>
        <v>41</v>
      </c>
    </row>
    <row r="38" spans="1:159" ht="17.25" thickBot="1" x14ac:dyDescent="0.3">
      <c r="A38" s="226">
        <v>46132</v>
      </c>
      <c r="B38" s="227" t="s">
        <v>193</v>
      </c>
      <c r="C38" s="227" t="s">
        <v>194</v>
      </c>
      <c r="D38" s="228">
        <v>1975</v>
      </c>
      <c r="E38" s="228">
        <v>8</v>
      </c>
      <c r="F38" s="228">
        <v>315.75</v>
      </c>
      <c r="G38" s="228">
        <v>313.05</v>
      </c>
      <c r="H38" s="228">
        <v>2.7</v>
      </c>
      <c r="I38" s="229">
        <v>8.6E-3</v>
      </c>
      <c r="J38" s="228">
        <v>316.05</v>
      </c>
      <c r="K38" s="228">
        <v>312.10000000000002</v>
      </c>
      <c r="L38" s="228">
        <v>3.95</v>
      </c>
      <c r="M38" s="229">
        <v>1.2699999999999999E-2</v>
      </c>
      <c r="N38" s="228">
        <v>315.75</v>
      </c>
      <c r="O38" s="228">
        <v>313.05</v>
      </c>
      <c r="P38" s="228">
        <v>2.7</v>
      </c>
      <c r="Q38" s="229">
        <v>8.6E-3</v>
      </c>
      <c r="R38" s="228">
        <v>317.64999999999998</v>
      </c>
      <c r="S38" s="228">
        <v>314.55</v>
      </c>
      <c r="T38" s="228">
        <v>3.1</v>
      </c>
      <c r="U38" s="229">
        <v>9.9000000000000008E-3</v>
      </c>
      <c r="V38" s="228">
        <v>319.3</v>
      </c>
      <c r="W38" s="228">
        <v>316.64999999999998</v>
      </c>
      <c r="X38" s="228">
        <v>2.65</v>
      </c>
      <c r="Y38" s="229">
        <v>8.3999999999999995E-3</v>
      </c>
      <c r="Z38" s="228">
        <v>-0.3</v>
      </c>
      <c r="AA38" s="228">
        <v>0.95</v>
      </c>
      <c r="AB38" s="228">
        <v>-1.25</v>
      </c>
      <c r="AC38" s="229">
        <v>-8.9999999999999998E-4</v>
      </c>
      <c r="AD38" s="228">
        <v>-0.3</v>
      </c>
      <c r="AE38" s="228">
        <v>0.95</v>
      </c>
      <c r="AF38" s="228">
        <v>-1.25</v>
      </c>
      <c r="AG38" s="229">
        <v>-8.9999999999999998E-4</v>
      </c>
      <c r="AH38" s="228">
        <v>1.6</v>
      </c>
      <c r="AI38" s="228">
        <v>2.4500000000000002</v>
      </c>
      <c r="AJ38" s="228">
        <v>-0.85</v>
      </c>
      <c r="AK38" s="229">
        <v>5.1000000000000004E-3</v>
      </c>
      <c r="AL38" s="228">
        <v>3.25</v>
      </c>
      <c r="AM38" s="228">
        <v>4.55</v>
      </c>
      <c r="AN38" s="228">
        <v>-1.3</v>
      </c>
      <c r="AO38" s="229">
        <v>1.03E-2</v>
      </c>
      <c r="AP38" s="228">
        <v>314.29000000000002</v>
      </c>
      <c r="AQ38" s="228">
        <v>316.77999999999997</v>
      </c>
      <c r="AR38" s="228">
        <v>0</v>
      </c>
      <c r="AS38" s="228">
        <v>355</v>
      </c>
      <c r="AT38" s="228">
        <v>249</v>
      </c>
      <c r="AU38" s="228">
        <v>106</v>
      </c>
      <c r="AV38" s="229">
        <v>0.42499999999999999</v>
      </c>
      <c r="AW38" s="228">
        <v>259</v>
      </c>
      <c r="AX38" s="228">
        <v>216</v>
      </c>
      <c r="AY38" s="228">
        <v>44</v>
      </c>
      <c r="AZ38" s="229">
        <v>0.20300000000000001</v>
      </c>
      <c r="BA38" s="228">
        <v>89</v>
      </c>
      <c r="BB38" s="228">
        <v>29</v>
      </c>
      <c r="BC38" s="228">
        <v>59</v>
      </c>
      <c r="BD38" s="229">
        <v>2.0085000000000002</v>
      </c>
      <c r="BE38" s="228">
        <v>7</v>
      </c>
      <c r="BF38" s="228">
        <v>4</v>
      </c>
      <c r="BG38" s="228">
        <v>3</v>
      </c>
      <c r="BH38" s="229">
        <v>0.7258</v>
      </c>
      <c r="BI38" s="230">
        <v>2079</v>
      </c>
      <c r="BJ38" s="230">
        <v>1107</v>
      </c>
      <c r="BK38" s="228">
        <v>972</v>
      </c>
      <c r="BL38" s="229">
        <v>0.87780000000000002</v>
      </c>
      <c r="BM38" s="228">
        <v>853</v>
      </c>
      <c r="BN38" s="228">
        <v>531</v>
      </c>
      <c r="BO38" s="228">
        <v>322</v>
      </c>
      <c r="BP38" s="229">
        <v>0.60519999999999996</v>
      </c>
      <c r="BQ38" s="230">
        <v>3287</v>
      </c>
      <c r="BR38" s="230">
        <v>1888</v>
      </c>
      <c r="BS38" s="230">
        <v>1399</v>
      </c>
      <c r="BT38" s="229">
        <v>0.74129999999999996</v>
      </c>
      <c r="BU38" s="230">
        <v>14942709</v>
      </c>
      <c r="BV38" s="230">
        <v>11291151</v>
      </c>
      <c r="BW38" s="230">
        <v>3651558</v>
      </c>
      <c r="BX38" s="229">
        <v>0.32340000000000002</v>
      </c>
      <c r="BY38" s="230">
        <v>1773</v>
      </c>
      <c r="BZ38" s="230">
        <v>1728</v>
      </c>
      <c r="CA38" s="228">
        <v>45</v>
      </c>
      <c r="CB38" s="229">
        <v>2.6200000000000001E-2</v>
      </c>
      <c r="CC38" s="230">
        <v>1651</v>
      </c>
      <c r="CD38" s="230">
        <v>1647</v>
      </c>
      <c r="CE38" s="228">
        <v>4</v>
      </c>
      <c r="CF38" s="229">
        <v>2.3999999999999998E-3</v>
      </c>
      <c r="CG38" s="228">
        <v>116</v>
      </c>
      <c r="CH38" s="228">
        <v>75</v>
      </c>
      <c r="CI38" s="228">
        <v>41</v>
      </c>
      <c r="CJ38" s="229">
        <v>0.54290000000000005</v>
      </c>
      <c r="CK38" s="228">
        <v>6</v>
      </c>
      <c r="CL38" s="228">
        <v>6</v>
      </c>
      <c r="CM38" s="228">
        <v>1</v>
      </c>
      <c r="CN38" s="229">
        <v>0.10639999999999999</v>
      </c>
      <c r="CO38" s="228">
        <v>854</v>
      </c>
      <c r="CP38" s="228">
        <v>721</v>
      </c>
      <c r="CQ38" s="228">
        <v>134</v>
      </c>
      <c r="CR38" s="229">
        <v>0.18540000000000001</v>
      </c>
      <c r="CS38" s="228">
        <v>705</v>
      </c>
      <c r="CT38" s="228">
        <v>632</v>
      </c>
      <c r="CU38" s="228">
        <v>73</v>
      </c>
      <c r="CV38" s="229">
        <v>0.11550000000000001</v>
      </c>
      <c r="CW38" s="230">
        <v>3332</v>
      </c>
      <c r="CX38" s="230">
        <v>3080</v>
      </c>
      <c r="CY38" s="228">
        <v>252</v>
      </c>
      <c r="CZ38" s="229">
        <v>8.1699999999999995E-2</v>
      </c>
      <c r="DA38" s="228">
        <v>42.01</v>
      </c>
      <c r="DB38" s="228">
        <v>38.549999999999997</v>
      </c>
      <c r="DC38" s="228">
        <v>3.46</v>
      </c>
      <c r="DD38" s="228">
        <v>3.46</v>
      </c>
      <c r="DE38" s="228">
        <v>37.28</v>
      </c>
      <c r="DF38" s="228">
        <v>37.35</v>
      </c>
      <c r="DG38" s="228">
        <v>4.7300000000000004</v>
      </c>
      <c r="DH38" s="228">
        <v>-7.0000000000000007E-2</v>
      </c>
      <c r="DI38" s="228">
        <v>41.23</v>
      </c>
      <c r="DJ38" s="228">
        <v>37.909999999999997</v>
      </c>
      <c r="DK38" s="228">
        <v>3.32</v>
      </c>
      <c r="DL38" s="228">
        <v>3.32</v>
      </c>
      <c r="DM38" s="228">
        <v>43.92</v>
      </c>
      <c r="DN38" s="228">
        <v>39.89</v>
      </c>
      <c r="DO38" s="228">
        <v>4.03</v>
      </c>
      <c r="DP38" s="228">
        <v>4.03</v>
      </c>
      <c r="DQ38" s="228">
        <v>0.83</v>
      </c>
      <c r="DR38" s="228">
        <v>0.88</v>
      </c>
      <c r="DS38" s="228">
        <v>-0.05</v>
      </c>
      <c r="DT38" s="229">
        <v>-5.6800000000000003E-2</v>
      </c>
      <c r="DU38" s="228">
        <v>350</v>
      </c>
      <c r="DV38" s="228">
        <v>300</v>
      </c>
      <c r="DW38" s="228">
        <v>0.41</v>
      </c>
      <c r="DX38" s="228">
        <v>0.48</v>
      </c>
      <c r="DY38" s="228">
        <v>-7.0000000000000007E-2</v>
      </c>
      <c r="DZ38" s="229">
        <v>-0.14580000000000001</v>
      </c>
      <c r="EA38" s="229">
        <v>6.88E-2</v>
      </c>
      <c r="EB38" s="230">
        <v>2557625</v>
      </c>
      <c r="EC38" s="229">
        <v>6.0000000000000001E-3</v>
      </c>
      <c r="ED38" s="229">
        <v>6.88E-2</v>
      </c>
      <c r="EE38" s="228">
        <v>2.4900000000000002</v>
      </c>
      <c r="EF38" s="229">
        <v>7.9000000000000008E-3</v>
      </c>
      <c r="EG38" s="230">
        <v>7495577</v>
      </c>
      <c r="EH38" s="230">
        <v>6893701</v>
      </c>
      <c r="EI38" s="229">
        <v>8.7300000000000003E-2</v>
      </c>
      <c r="EJ38" s="229">
        <v>0.50160000000000005</v>
      </c>
      <c r="EK38" s="231">
        <v>2209.4299999999998</v>
      </c>
      <c r="EL38" s="228">
        <v>836.18</v>
      </c>
      <c r="EM38" s="228">
        <v>353.96</v>
      </c>
      <c r="EN38" s="228">
        <v>53.15</v>
      </c>
      <c r="EO38" s="231">
        <v>3399.56</v>
      </c>
      <c r="EP38" s="231">
        <v>1917.06</v>
      </c>
      <c r="EQ38" s="231">
        <v>1482.51</v>
      </c>
      <c r="ER38" s="229">
        <v>0.77329999999999999</v>
      </c>
      <c r="ES38" s="228">
        <v>872.78</v>
      </c>
      <c r="ET38" s="228">
        <v>651.72</v>
      </c>
      <c r="EU38" s="231">
        <v>1773.74</v>
      </c>
      <c r="EV38" s="231">
        <v>306020745</v>
      </c>
      <c r="EW38" s="231">
        <v>3298.24</v>
      </c>
      <c r="EX38" s="231">
        <v>3014.18</v>
      </c>
      <c r="EY38" s="228">
        <v>284.06</v>
      </c>
      <c r="EZ38" s="229">
        <v>9.4200000000000006E-2</v>
      </c>
      <c r="FA38" s="229">
        <v>0.3448</v>
      </c>
      <c r="FB38" s="227" t="s">
        <v>555</v>
      </c>
      <c r="FC38">
        <f t="shared" si="0"/>
        <v>122</v>
      </c>
    </row>
    <row r="39" spans="1:159" ht="17.25" thickBot="1" x14ac:dyDescent="0.3">
      <c r="A39" s="226">
        <v>46132</v>
      </c>
      <c r="B39" s="227" t="s">
        <v>168</v>
      </c>
      <c r="C39" s="227" t="s">
        <v>195</v>
      </c>
      <c r="D39" s="228">
        <v>125</v>
      </c>
      <c r="E39" s="228">
        <v>8</v>
      </c>
      <c r="F39" s="231">
        <v>5697.5</v>
      </c>
      <c r="G39" s="231">
        <v>5737.5</v>
      </c>
      <c r="H39" s="228">
        <v>-40</v>
      </c>
      <c r="I39" s="229">
        <v>-7.0000000000000001E-3</v>
      </c>
      <c r="J39" s="231">
        <v>5700</v>
      </c>
      <c r="K39" s="231">
        <v>5735.5</v>
      </c>
      <c r="L39" s="228">
        <v>-35.5</v>
      </c>
      <c r="M39" s="229">
        <v>-6.1999999999999998E-3</v>
      </c>
      <c r="N39" s="231">
        <v>5697.5</v>
      </c>
      <c r="O39" s="231">
        <v>5737.5</v>
      </c>
      <c r="P39" s="228">
        <v>-40</v>
      </c>
      <c r="Q39" s="229">
        <v>-7.0000000000000001E-3</v>
      </c>
      <c r="R39" s="231">
        <v>5728</v>
      </c>
      <c r="S39" s="231">
        <v>5771.5</v>
      </c>
      <c r="T39" s="228">
        <v>-43.5</v>
      </c>
      <c r="U39" s="229">
        <v>-7.4999999999999997E-3</v>
      </c>
      <c r="V39" s="231">
        <v>5780</v>
      </c>
      <c r="W39" s="231">
        <v>5792</v>
      </c>
      <c r="X39" s="228">
        <v>-12</v>
      </c>
      <c r="Y39" s="229">
        <v>-2.0999999999999999E-3</v>
      </c>
      <c r="Z39" s="228">
        <v>-2.5</v>
      </c>
      <c r="AA39" s="228">
        <v>2</v>
      </c>
      <c r="AB39" s="228">
        <v>-4.5</v>
      </c>
      <c r="AC39" s="229">
        <v>-4.0000000000000002E-4</v>
      </c>
      <c r="AD39" s="228">
        <v>-2.5</v>
      </c>
      <c r="AE39" s="228">
        <v>2</v>
      </c>
      <c r="AF39" s="228">
        <v>-4.5</v>
      </c>
      <c r="AG39" s="229">
        <v>-4.0000000000000002E-4</v>
      </c>
      <c r="AH39" s="228">
        <v>28</v>
      </c>
      <c r="AI39" s="228">
        <v>36</v>
      </c>
      <c r="AJ39" s="228">
        <v>-8</v>
      </c>
      <c r="AK39" s="229">
        <v>4.8999999999999998E-3</v>
      </c>
      <c r="AL39" s="228">
        <v>80</v>
      </c>
      <c r="AM39" s="228">
        <v>56.5</v>
      </c>
      <c r="AN39" s="228">
        <v>23.5</v>
      </c>
      <c r="AO39" s="229">
        <v>1.4E-2</v>
      </c>
      <c r="AP39" s="231">
        <v>5701.63</v>
      </c>
      <c r="AQ39" s="231">
        <v>5736.16</v>
      </c>
      <c r="AR39" s="228">
        <v>0</v>
      </c>
      <c r="AS39" s="228">
        <v>173</v>
      </c>
      <c r="AT39" s="228">
        <v>249</v>
      </c>
      <c r="AU39" s="228">
        <v>-76</v>
      </c>
      <c r="AV39" s="229">
        <v>-0.30530000000000002</v>
      </c>
      <c r="AW39" s="228">
        <v>145</v>
      </c>
      <c r="AX39" s="228">
        <v>233</v>
      </c>
      <c r="AY39" s="228">
        <v>-89</v>
      </c>
      <c r="AZ39" s="229">
        <v>-0.38040000000000002</v>
      </c>
      <c r="BA39" s="228">
        <v>28</v>
      </c>
      <c r="BB39" s="228">
        <v>15</v>
      </c>
      <c r="BC39" s="228">
        <v>13</v>
      </c>
      <c r="BD39" s="229">
        <v>0.86260000000000003</v>
      </c>
      <c r="BE39" s="228">
        <v>1</v>
      </c>
      <c r="BF39" s="228">
        <v>1</v>
      </c>
      <c r="BG39" s="228">
        <v>0</v>
      </c>
      <c r="BH39" s="229">
        <v>-0.33329999999999999</v>
      </c>
      <c r="BI39" s="228">
        <v>430</v>
      </c>
      <c r="BJ39" s="230">
        <v>1426</v>
      </c>
      <c r="BK39" s="228">
        <v>-996</v>
      </c>
      <c r="BL39" s="229">
        <v>-0.69869999999999999</v>
      </c>
      <c r="BM39" s="228">
        <v>200</v>
      </c>
      <c r="BN39" s="228">
        <v>402</v>
      </c>
      <c r="BO39" s="228">
        <v>-203</v>
      </c>
      <c r="BP39" s="229">
        <v>-0.50419999999999998</v>
      </c>
      <c r="BQ39" s="228">
        <v>802</v>
      </c>
      <c r="BR39" s="230">
        <v>2078</v>
      </c>
      <c r="BS39" s="230">
        <v>-1275</v>
      </c>
      <c r="BT39" s="229">
        <v>-0.61380000000000001</v>
      </c>
      <c r="BU39" s="230">
        <v>618830</v>
      </c>
      <c r="BV39" s="230">
        <v>358878</v>
      </c>
      <c r="BW39" s="230">
        <v>259952</v>
      </c>
      <c r="BX39" s="229">
        <v>0.72430000000000005</v>
      </c>
      <c r="BY39" s="230">
        <v>1597</v>
      </c>
      <c r="BZ39" s="230">
        <v>1589</v>
      </c>
      <c r="CA39" s="228">
        <v>8</v>
      </c>
      <c r="CB39" s="229">
        <v>4.7000000000000002E-3</v>
      </c>
      <c r="CC39" s="230">
        <v>1530</v>
      </c>
      <c r="CD39" s="230">
        <v>1533</v>
      </c>
      <c r="CE39" s="228">
        <v>-2</v>
      </c>
      <c r="CF39" s="229">
        <v>-1.6000000000000001E-3</v>
      </c>
      <c r="CG39" s="228">
        <v>63</v>
      </c>
      <c r="CH39" s="228">
        <v>54</v>
      </c>
      <c r="CI39" s="228">
        <v>10</v>
      </c>
      <c r="CJ39" s="229">
        <v>0.18479999999999999</v>
      </c>
      <c r="CK39" s="228">
        <v>3</v>
      </c>
      <c r="CL39" s="228">
        <v>3</v>
      </c>
      <c r="CM39" s="228">
        <v>0</v>
      </c>
      <c r="CN39" s="229">
        <v>4.8800000000000003E-2</v>
      </c>
      <c r="CO39" s="228">
        <v>302</v>
      </c>
      <c r="CP39" s="228">
        <v>325</v>
      </c>
      <c r="CQ39" s="228">
        <v>-22</v>
      </c>
      <c r="CR39" s="229">
        <v>-6.8400000000000002E-2</v>
      </c>
      <c r="CS39" s="228">
        <v>320</v>
      </c>
      <c r="CT39" s="228">
        <v>344</v>
      </c>
      <c r="CU39" s="228">
        <v>-24</v>
      </c>
      <c r="CV39" s="229">
        <v>-6.83E-2</v>
      </c>
      <c r="CW39" s="230">
        <v>2220</v>
      </c>
      <c r="CX39" s="230">
        <v>2258</v>
      </c>
      <c r="CY39" s="228">
        <v>-38</v>
      </c>
      <c r="CZ39" s="229">
        <v>-1.6899999999999998E-2</v>
      </c>
      <c r="DA39" s="228">
        <v>27.19</v>
      </c>
      <c r="DB39" s="228">
        <v>25.06</v>
      </c>
      <c r="DC39" s="228">
        <v>2.13</v>
      </c>
      <c r="DD39" s="228">
        <v>2.13</v>
      </c>
      <c r="DE39" s="228">
        <v>24.74</v>
      </c>
      <c r="DF39" s="228">
        <v>24.79</v>
      </c>
      <c r="DG39" s="228">
        <v>2.4500000000000002</v>
      </c>
      <c r="DH39" s="228">
        <v>-0.05</v>
      </c>
      <c r="DI39" s="228">
        <v>26.59</v>
      </c>
      <c r="DJ39" s="228">
        <v>24.5</v>
      </c>
      <c r="DK39" s="228">
        <v>2.09</v>
      </c>
      <c r="DL39" s="228">
        <v>2.09</v>
      </c>
      <c r="DM39" s="228">
        <v>28.47</v>
      </c>
      <c r="DN39" s="228">
        <v>27.06</v>
      </c>
      <c r="DO39" s="228">
        <v>1.41</v>
      </c>
      <c r="DP39" s="228">
        <v>1.41</v>
      </c>
      <c r="DQ39" s="228">
        <v>1.06</v>
      </c>
      <c r="DR39" s="228">
        <v>1.06</v>
      </c>
      <c r="DS39" s="228">
        <v>0</v>
      </c>
      <c r="DT39" s="229">
        <v>0</v>
      </c>
      <c r="DU39" s="231">
        <v>6000</v>
      </c>
      <c r="DV39" s="231">
        <v>5000</v>
      </c>
      <c r="DW39" s="228">
        <v>0.46</v>
      </c>
      <c r="DX39" s="228">
        <v>0.28000000000000003</v>
      </c>
      <c r="DY39" s="228">
        <v>0.18</v>
      </c>
      <c r="DZ39" s="229">
        <v>0.64290000000000003</v>
      </c>
      <c r="EA39" s="229">
        <v>4.1700000000000001E-2</v>
      </c>
      <c r="EB39" s="230">
        <v>99125</v>
      </c>
      <c r="EC39" s="229">
        <v>5.4000000000000003E-3</v>
      </c>
      <c r="ED39" s="229">
        <v>4.1700000000000001E-2</v>
      </c>
      <c r="EE39" s="228">
        <v>34.53</v>
      </c>
      <c r="EF39" s="229">
        <v>6.1000000000000004E-3</v>
      </c>
      <c r="EG39" s="230">
        <v>403706</v>
      </c>
      <c r="EH39" s="230">
        <v>193427</v>
      </c>
      <c r="EI39" s="229">
        <v>1.0871</v>
      </c>
      <c r="EJ39" s="229">
        <v>0.65239999999999998</v>
      </c>
      <c r="EK39" s="228">
        <v>444.73</v>
      </c>
      <c r="EL39" s="228">
        <v>197.62</v>
      </c>
      <c r="EM39" s="228">
        <v>173.5</v>
      </c>
      <c r="EN39" s="228">
        <v>32.04</v>
      </c>
      <c r="EO39" s="228">
        <v>815.86</v>
      </c>
      <c r="EP39" s="231">
        <v>2114.08</v>
      </c>
      <c r="EQ39" s="231">
        <v>-1298.22</v>
      </c>
      <c r="ER39" s="229">
        <v>-0.61409999999999998</v>
      </c>
      <c r="ES39" s="228">
        <v>310.97000000000003</v>
      </c>
      <c r="ET39" s="228">
        <v>295</v>
      </c>
      <c r="EU39" s="231">
        <v>1597.39</v>
      </c>
      <c r="EV39" s="231">
        <v>14553559</v>
      </c>
      <c r="EW39" s="231">
        <v>2203.37</v>
      </c>
      <c r="EX39" s="231">
        <v>2252.91</v>
      </c>
      <c r="EY39" s="228">
        <v>-49.54</v>
      </c>
      <c r="EZ39" s="229">
        <v>-2.1999999999999999E-2</v>
      </c>
      <c r="FA39" s="229">
        <v>0.26769999999999999</v>
      </c>
      <c r="FB39" s="227" t="s">
        <v>566</v>
      </c>
      <c r="FC39">
        <f t="shared" si="0"/>
        <v>67</v>
      </c>
    </row>
    <row r="40" spans="1:159" ht="17.25" thickBot="1" x14ac:dyDescent="0.3">
      <c r="A40" s="226">
        <v>46132</v>
      </c>
      <c r="B40" s="227" t="s">
        <v>175</v>
      </c>
      <c r="C40" s="227" t="s">
        <v>583</v>
      </c>
      <c r="D40" s="228">
        <v>375</v>
      </c>
      <c r="E40" s="228">
        <v>8</v>
      </c>
      <c r="F40" s="231">
        <v>3477.8</v>
      </c>
      <c r="G40" s="231">
        <v>3540.9</v>
      </c>
      <c r="H40" s="228">
        <v>-63.1</v>
      </c>
      <c r="I40" s="229">
        <v>-1.78E-2</v>
      </c>
      <c r="J40" s="231">
        <v>3470.7</v>
      </c>
      <c r="K40" s="231">
        <v>3531.5</v>
      </c>
      <c r="L40" s="228">
        <v>-60.8</v>
      </c>
      <c r="M40" s="229">
        <v>-1.72E-2</v>
      </c>
      <c r="N40" s="231">
        <v>3477.8</v>
      </c>
      <c r="O40" s="231">
        <v>3540.9</v>
      </c>
      <c r="P40" s="228">
        <v>-63.1</v>
      </c>
      <c r="Q40" s="229">
        <v>-1.78E-2</v>
      </c>
      <c r="R40" s="231">
        <v>3482.4</v>
      </c>
      <c r="S40" s="231">
        <v>3542.2</v>
      </c>
      <c r="T40" s="228">
        <v>-59.8</v>
      </c>
      <c r="U40" s="229">
        <v>-1.6899999999999998E-2</v>
      </c>
      <c r="V40" s="231">
        <v>3490.6</v>
      </c>
      <c r="W40" s="231">
        <v>3546.4</v>
      </c>
      <c r="X40" s="228">
        <v>-55.8</v>
      </c>
      <c r="Y40" s="229">
        <v>-1.5699999999999999E-2</v>
      </c>
      <c r="Z40" s="228">
        <v>7.1</v>
      </c>
      <c r="AA40" s="228">
        <v>9.4</v>
      </c>
      <c r="AB40" s="228">
        <v>-2.2999999999999998</v>
      </c>
      <c r="AC40" s="229">
        <v>2E-3</v>
      </c>
      <c r="AD40" s="228">
        <v>7.1</v>
      </c>
      <c r="AE40" s="228">
        <v>9.4</v>
      </c>
      <c r="AF40" s="228">
        <v>-2.2999999999999998</v>
      </c>
      <c r="AG40" s="229">
        <v>2E-3</v>
      </c>
      <c r="AH40" s="228">
        <v>11.7</v>
      </c>
      <c r="AI40" s="228">
        <v>10.7</v>
      </c>
      <c r="AJ40" s="228">
        <v>1</v>
      </c>
      <c r="AK40" s="229">
        <v>3.3999999999999998E-3</v>
      </c>
      <c r="AL40" s="228">
        <v>19.899999999999999</v>
      </c>
      <c r="AM40" s="228">
        <v>14.9</v>
      </c>
      <c r="AN40" s="228">
        <v>5</v>
      </c>
      <c r="AO40" s="229">
        <v>5.7000000000000002E-3</v>
      </c>
      <c r="AP40" s="231">
        <v>3509.68</v>
      </c>
      <c r="AQ40" s="231">
        <v>3510.6</v>
      </c>
      <c r="AR40" s="228">
        <v>0</v>
      </c>
      <c r="AS40" s="230">
        <v>1129</v>
      </c>
      <c r="AT40" s="230">
        <v>1963</v>
      </c>
      <c r="AU40" s="228">
        <v>-834</v>
      </c>
      <c r="AV40" s="229">
        <v>-0.42499999999999999</v>
      </c>
      <c r="AW40" s="228">
        <v>864</v>
      </c>
      <c r="AX40" s="230">
        <v>1637</v>
      </c>
      <c r="AY40" s="228">
        <v>-773</v>
      </c>
      <c r="AZ40" s="229">
        <v>-0.47220000000000001</v>
      </c>
      <c r="BA40" s="228">
        <v>242</v>
      </c>
      <c r="BB40" s="228">
        <v>281</v>
      </c>
      <c r="BC40" s="228">
        <v>-39</v>
      </c>
      <c r="BD40" s="229">
        <v>-0.13780000000000001</v>
      </c>
      <c r="BE40" s="228">
        <v>23</v>
      </c>
      <c r="BF40" s="228">
        <v>45</v>
      </c>
      <c r="BG40" s="228">
        <v>-23</v>
      </c>
      <c r="BH40" s="229">
        <v>-0.50290000000000001</v>
      </c>
      <c r="BI40" s="230">
        <v>3993</v>
      </c>
      <c r="BJ40" s="230">
        <v>11691</v>
      </c>
      <c r="BK40" s="230">
        <v>-7698</v>
      </c>
      <c r="BL40" s="229">
        <v>-0.65839999999999999</v>
      </c>
      <c r="BM40" s="230">
        <v>5198</v>
      </c>
      <c r="BN40" s="230">
        <v>8950</v>
      </c>
      <c r="BO40" s="230">
        <v>-3753</v>
      </c>
      <c r="BP40" s="229">
        <v>-0.41930000000000001</v>
      </c>
      <c r="BQ40" s="230">
        <v>10320</v>
      </c>
      <c r="BR40" s="230">
        <v>22604</v>
      </c>
      <c r="BS40" s="230">
        <v>-12285</v>
      </c>
      <c r="BT40" s="229">
        <v>-0.54349999999999998</v>
      </c>
      <c r="BU40" s="230">
        <v>3517096</v>
      </c>
      <c r="BV40" s="230">
        <v>6083283</v>
      </c>
      <c r="BW40" s="230">
        <v>-2566187</v>
      </c>
      <c r="BX40" s="229">
        <v>-0.42180000000000001</v>
      </c>
      <c r="BY40" s="230">
        <v>2847</v>
      </c>
      <c r="BZ40" s="230">
        <v>2924</v>
      </c>
      <c r="CA40" s="228">
        <v>-77</v>
      </c>
      <c r="CB40" s="229">
        <v>-2.64E-2</v>
      </c>
      <c r="CC40" s="230">
        <v>2344</v>
      </c>
      <c r="CD40" s="230">
        <v>2546</v>
      </c>
      <c r="CE40" s="228">
        <v>-203</v>
      </c>
      <c r="CF40" s="229">
        <v>-7.9500000000000001E-2</v>
      </c>
      <c r="CG40" s="228">
        <v>453</v>
      </c>
      <c r="CH40" s="228">
        <v>330</v>
      </c>
      <c r="CI40" s="228">
        <v>122</v>
      </c>
      <c r="CJ40" s="229">
        <v>0.3705</v>
      </c>
      <c r="CK40" s="228">
        <v>50</v>
      </c>
      <c r="CL40" s="228">
        <v>47</v>
      </c>
      <c r="CM40" s="228">
        <v>3</v>
      </c>
      <c r="CN40" s="229">
        <v>6.0400000000000002E-2</v>
      </c>
      <c r="CO40" s="230">
        <v>2910</v>
      </c>
      <c r="CP40" s="230">
        <v>2782</v>
      </c>
      <c r="CQ40" s="228">
        <v>127</v>
      </c>
      <c r="CR40" s="229">
        <v>4.5699999999999998E-2</v>
      </c>
      <c r="CS40" s="230">
        <v>3535</v>
      </c>
      <c r="CT40" s="230">
        <v>3686</v>
      </c>
      <c r="CU40" s="228">
        <v>-151</v>
      </c>
      <c r="CV40" s="229">
        <v>-4.1000000000000002E-2</v>
      </c>
      <c r="CW40" s="230">
        <v>9291</v>
      </c>
      <c r="CX40" s="230">
        <v>9392</v>
      </c>
      <c r="CY40" s="228">
        <v>-101</v>
      </c>
      <c r="CZ40" s="229">
        <v>-1.0800000000000001E-2</v>
      </c>
      <c r="DA40" s="228">
        <v>45.62</v>
      </c>
      <c r="DB40" s="228">
        <v>41.49</v>
      </c>
      <c r="DC40" s="228">
        <v>4.13</v>
      </c>
      <c r="DD40" s="228">
        <v>4.13</v>
      </c>
      <c r="DE40" s="228">
        <v>59.12</v>
      </c>
      <c r="DF40" s="228">
        <v>59.22</v>
      </c>
      <c r="DG40" s="228">
        <v>-13.5</v>
      </c>
      <c r="DH40" s="228">
        <v>-0.1</v>
      </c>
      <c r="DI40" s="228">
        <v>42.94</v>
      </c>
      <c r="DJ40" s="228">
        <v>38.4</v>
      </c>
      <c r="DK40" s="228">
        <v>4.54</v>
      </c>
      <c r="DL40" s="228">
        <v>4.54</v>
      </c>
      <c r="DM40" s="228">
        <v>47.68</v>
      </c>
      <c r="DN40" s="228">
        <v>45.53</v>
      </c>
      <c r="DO40" s="228">
        <v>2.15</v>
      </c>
      <c r="DP40" s="228">
        <v>2.15</v>
      </c>
      <c r="DQ40" s="228">
        <v>1.21</v>
      </c>
      <c r="DR40" s="228">
        <v>1.32</v>
      </c>
      <c r="DS40" s="228">
        <v>-0.11</v>
      </c>
      <c r="DT40" s="229">
        <v>-8.3299999999999999E-2</v>
      </c>
      <c r="DU40" s="231">
        <v>3500</v>
      </c>
      <c r="DV40" s="231">
        <v>3200</v>
      </c>
      <c r="DW40" s="228">
        <v>1.3</v>
      </c>
      <c r="DX40" s="228">
        <v>0.77</v>
      </c>
      <c r="DY40" s="228">
        <v>0.53</v>
      </c>
      <c r="DZ40" s="229">
        <v>0.68830000000000002</v>
      </c>
      <c r="EA40" s="229">
        <v>0.1767</v>
      </c>
      <c r="EB40" s="230">
        <v>1086000</v>
      </c>
      <c r="EC40" s="229">
        <v>1.2999999999999999E-3</v>
      </c>
      <c r="ED40" s="229">
        <v>0.1767</v>
      </c>
      <c r="EE40" s="228">
        <v>0.92</v>
      </c>
      <c r="EF40" s="229">
        <v>2.9999999999999997E-4</v>
      </c>
      <c r="EG40" s="230">
        <v>1238929</v>
      </c>
      <c r="EH40" s="230">
        <v>1244324</v>
      </c>
      <c r="EI40" s="229">
        <v>-4.3E-3</v>
      </c>
      <c r="EJ40" s="229">
        <v>0.3523</v>
      </c>
      <c r="EK40" s="231">
        <v>4209.42</v>
      </c>
      <c r="EL40" s="231">
        <v>5011</v>
      </c>
      <c r="EM40" s="231">
        <v>1139.26</v>
      </c>
      <c r="EN40" s="228">
        <v>103.06</v>
      </c>
      <c r="EO40" s="231">
        <v>10359.68</v>
      </c>
      <c r="EP40" s="231">
        <v>22843.54</v>
      </c>
      <c r="EQ40" s="231">
        <v>-12483.86</v>
      </c>
      <c r="ER40" s="229">
        <v>-0.54649999999999999</v>
      </c>
      <c r="ES40" s="231">
        <v>2815.66</v>
      </c>
      <c r="ET40" s="231">
        <v>3117.83</v>
      </c>
      <c r="EU40" s="231">
        <v>2847.41</v>
      </c>
      <c r="EV40" s="231">
        <v>61182611</v>
      </c>
      <c r="EW40" s="231">
        <v>8780.89</v>
      </c>
      <c r="EX40" s="231">
        <v>8907.5499999999993</v>
      </c>
      <c r="EY40" s="228">
        <v>-126.66</v>
      </c>
      <c r="EZ40" s="229">
        <v>-1.4200000000000001E-2</v>
      </c>
      <c r="FA40" s="229">
        <v>0.43659999999999999</v>
      </c>
      <c r="FB40" s="227" t="s">
        <v>567</v>
      </c>
      <c r="FC40">
        <f t="shared" si="0"/>
        <v>503</v>
      </c>
    </row>
    <row r="41" spans="1:159" ht="17.25" thickBot="1" x14ac:dyDescent="0.3">
      <c r="A41" s="226">
        <v>46132</v>
      </c>
      <c r="B41" s="227" t="s">
        <v>175</v>
      </c>
      <c r="C41" s="227" t="s">
        <v>610</v>
      </c>
      <c r="D41" s="228">
        <v>750</v>
      </c>
      <c r="E41" s="228">
        <v>8</v>
      </c>
      <c r="F41" s="228">
        <v>747.55</v>
      </c>
      <c r="G41" s="228">
        <v>752.35</v>
      </c>
      <c r="H41" s="228">
        <v>-4.8</v>
      </c>
      <c r="I41" s="229">
        <v>-6.4000000000000003E-3</v>
      </c>
      <c r="J41" s="228">
        <v>749.25</v>
      </c>
      <c r="K41" s="228">
        <v>750.15</v>
      </c>
      <c r="L41" s="228">
        <v>-0.9</v>
      </c>
      <c r="M41" s="229">
        <v>-1.1999999999999999E-3</v>
      </c>
      <c r="N41" s="228">
        <v>747.55</v>
      </c>
      <c r="O41" s="228">
        <v>752.35</v>
      </c>
      <c r="P41" s="228">
        <v>-4.8</v>
      </c>
      <c r="Q41" s="229">
        <v>-6.4000000000000003E-3</v>
      </c>
      <c r="R41" s="228">
        <v>740.85</v>
      </c>
      <c r="S41" s="228">
        <v>742.7</v>
      </c>
      <c r="T41" s="228">
        <v>-1.85</v>
      </c>
      <c r="U41" s="229">
        <v>-2.5000000000000001E-3</v>
      </c>
      <c r="V41" s="228">
        <v>738.25</v>
      </c>
      <c r="W41" s="228">
        <v>738.65</v>
      </c>
      <c r="X41" s="228">
        <v>-0.4</v>
      </c>
      <c r="Y41" s="229">
        <v>-5.0000000000000001E-4</v>
      </c>
      <c r="Z41" s="228">
        <v>-1.7</v>
      </c>
      <c r="AA41" s="228">
        <v>2.2000000000000002</v>
      </c>
      <c r="AB41" s="228">
        <v>-3.9</v>
      </c>
      <c r="AC41" s="229">
        <v>-2.3E-3</v>
      </c>
      <c r="AD41" s="228">
        <v>-1.7</v>
      </c>
      <c r="AE41" s="228">
        <v>2.2000000000000002</v>
      </c>
      <c r="AF41" s="228">
        <v>-3.9</v>
      </c>
      <c r="AG41" s="229">
        <v>-2.3E-3</v>
      </c>
      <c r="AH41" s="228">
        <v>-8.4</v>
      </c>
      <c r="AI41" s="228">
        <v>-7.45</v>
      </c>
      <c r="AJ41" s="228">
        <v>-0.95</v>
      </c>
      <c r="AK41" s="229">
        <v>-1.12E-2</v>
      </c>
      <c r="AL41" s="228">
        <v>-11</v>
      </c>
      <c r="AM41" s="228">
        <v>-11.5</v>
      </c>
      <c r="AN41" s="228">
        <v>0.5</v>
      </c>
      <c r="AO41" s="229">
        <v>-1.47E-2</v>
      </c>
      <c r="AP41" s="228">
        <v>746.24</v>
      </c>
      <c r="AQ41" s="228">
        <v>738.82</v>
      </c>
      <c r="AR41" s="228">
        <v>0</v>
      </c>
      <c r="AS41" s="228">
        <v>91</v>
      </c>
      <c r="AT41" s="228">
        <v>190</v>
      </c>
      <c r="AU41" s="228">
        <v>-100</v>
      </c>
      <c r="AV41" s="229">
        <v>-0.52270000000000005</v>
      </c>
      <c r="AW41" s="228">
        <v>66</v>
      </c>
      <c r="AX41" s="228">
        <v>147</v>
      </c>
      <c r="AY41" s="228">
        <v>-80</v>
      </c>
      <c r="AZ41" s="229">
        <v>-0.54720000000000002</v>
      </c>
      <c r="BA41" s="228">
        <v>23</v>
      </c>
      <c r="BB41" s="228">
        <v>41</v>
      </c>
      <c r="BC41" s="228">
        <v>-18</v>
      </c>
      <c r="BD41" s="229">
        <v>-0.43290000000000001</v>
      </c>
      <c r="BE41" s="228">
        <v>1</v>
      </c>
      <c r="BF41" s="228">
        <v>3</v>
      </c>
      <c r="BG41" s="228">
        <v>-2</v>
      </c>
      <c r="BH41" s="229">
        <v>-0.53700000000000003</v>
      </c>
      <c r="BI41" s="228">
        <v>190</v>
      </c>
      <c r="BJ41" s="228">
        <v>509</v>
      </c>
      <c r="BK41" s="228">
        <v>-319</v>
      </c>
      <c r="BL41" s="229">
        <v>-0.62660000000000005</v>
      </c>
      <c r="BM41" s="228">
        <v>161</v>
      </c>
      <c r="BN41" s="228">
        <v>249</v>
      </c>
      <c r="BO41" s="228">
        <v>-88</v>
      </c>
      <c r="BP41" s="229">
        <v>-0.3528</v>
      </c>
      <c r="BQ41" s="228">
        <v>442</v>
      </c>
      <c r="BR41" s="228">
        <v>948</v>
      </c>
      <c r="BS41" s="228">
        <v>-506</v>
      </c>
      <c r="BT41" s="229">
        <v>-0.53390000000000004</v>
      </c>
      <c r="BU41" s="230">
        <v>1102969</v>
      </c>
      <c r="BV41" s="230">
        <v>2371105</v>
      </c>
      <c r="BW41" s="230">
        <v>-1268136</v>
      </c>
      <c r="BX41" s="229">
        <v>-0.53480000000000005</v>
      </c>
      <c r="BY41" s="228">
        <v>570</v>
      </c>
      <c r="BZ41" s="228">
        <v>568</v>
      </c>
      <c r="CA41" s="228">
        <v>2</v>
      </c>
      <c r="CB41" s="229">
        <v>3.3E-3</v>
      </c>
      <c r="CC41" s="228">
        <v>471</v>
      </c>
      <c r="CD41" s="228">
        <v>476</v>
      </c>
      <c r="CE41" s="228">
        <v>-5</v>
      </c>
      <c r="CF41" s="229">
        <v>-9.9000000000000008E-3</v>
      </c>
      <c r="CG41" s="228">
        <v>92</v>
      </c>
      <c r="CH41" s="228">
        <v>86</v>
      </c>
      <c r="CI41" s="228">
        <v>6</v>
      </c>
      <c r="CJ41" s="229">
        <v>6.9400000000000003E-2</v>
      </c>
      <c r="CK41" s="228">
        <v>6</v>
      </c>
      <c r="CL41" s="228">
        <v>5</v>
      </c>
      <c r="CM41" s="228">
        <v>1</v>
      </c>
      <c r="CN41" s="229">
        <v>0.1042</v>
      </c>
      <c r="CO41" s="228">
        <v>225</v>
      </c>
      <c r="CP41" s="228">
        <v>223</v>
      </c>
      <c r="CQ41" s="228">
        <v>2</v>
      </c>
      <c r="CR41" s="229">
        <v>1.0800000000000001E-2</v>
      </c>
      <c r="CS41" s="228">
        <v>189</v>
      </c>
      <c r="CT41" s="228">
        <v>190</v>
      </c>
      <c r="CU41" s="228">
        <v>-2</v>
      </c>
      <c r="CV41" s="229">
        <v>-8.5000000000000006E-3</v>
      </c>
      <c r="CW41" s="228">
        <v>984</v>
      </c>
      <c r="CX41" s="228">
        <v>981</v>
      </c>
      <c r="CY41" s="228">
        <v>3</v>
      </c>
      <c r="CZ41" s="229">
        <v>2.7000000000000001E-3</v>
      </c>
      <c r="DA41" s="228">
        <v>34.97</v>
      </c>
      <c r="DB41" s="228">
        <v>32.450000000000003</v>
      </c>
      <c r="DC41" s="228">
        <v>2.52</v>
      </c>
      <c r="DD41" s="228">
        <v>2.52</v>
      </c>
      <c r="DE41" s="228">
        <v>40.86</v>
      </c>
      <c r="DF41" s="228">
        <v>40.96</v>
      </c>
      <c r="DG41" s="228">
        <v>-5.89</v>
      </c>
      <c r="DH41" s="228">
        <v>-0.1</v>
      </c>
      <c r="DI41" s="228">
        <v>33.21</v>
      </c>
      <c r="DJ41" s="228">
        <v>30.68</v>
      </c>
      <c r="DK41" s="228">
        <v>2.5299999999999998</v>
      </c>
      <c r="DL41" s="228">
        <v>2.5299999999999998</v>
      </c>
      <c r="DM41" s="228">
        <v>37.049999999999997</v>
      </c>
      <c r="DN41" s="228">
        <v>36.06</v>
      </c>
      <c r="DO41" s="228">
        <v>0.99</v>
      </c>
      <c r="DP41" s="228">
        <v>0.99</v>
      </c>
      <c r="DQ41" s="228">
        <v>0.84</v>
      </c>
      <c r="DR41" s="228">
        <v>0.85</v>
      </c>
      <c r="DS41" s="228">
        <v>-0.01</v>
      </c>
      <c r="DT41" s="229">
        <v>-1.18E-2</v>
      </c>
      <c r="DU41" s="228">
        <v>800</v>
      </c>
      <c r="DV41" s="228">
        <v>700</v>
      </c>
      <c r="DW41" s="228">
        <v>0.85</v>
      </c>
      <c r="DX41" s="228">
        <v>0.49</v>
      </c>
      <c r="DY41" s="228">
        <v>0.36</v>
      </c>
      <c r="DZ41" s="229">
        <v>0.73470000000000002</v>
      </c>
      <c r="EA41" s="229">
        <v>0.17269999999999999</v>
      </c>
      <c r="EB41" s="230">
        <v>1228500</v>
      </c>
      <c r="EC41" s="229">
        <v>-8.9999999999999993E-3</v>
      </c>
      <c r="ED41" s="229">
        <v>0.17269999999999999</v>
      </c>
      <c r="EE41" s="228">
        <v>-7.42</v>
      </c>
      <c r="EF41" s="229">
        <v>-9.9000000000000008E-3</v>
      </c>
      <c r="EG41" s="230">
        <v>428997</v>
      </c>
      <c r="EH41" s="230">
        <v>1017656</v>
      </c>
      <c r="EI41" s="229">
        <v>-0.57840000000000003</v>
      </c>
      <c r="EJ41" s="229">
        <v>0.38890000000000002</v>
      </c>
      <c r="EK41" s="228">
        <v>197.95</v>
      </c>
      <c r="EL41" s="228">
        <v>157.78</v>
      </c>
      <c r="EM41" s="228">
        <v>90.48</v>
      </c>
      <c r="EN41" s="228">
        <v>26.87</v>
      </c>
      <c r="EO41" s="228">
        <v>446.21</v>
      </c>
      <c r="EP41" s="228">
        <v>958.81</v>
      </c>
      <c r="EQ41" s="228">
        <v>-512.6</v>
      </c>
      <c r="ER41" s="229">
        <v>-0.53459999999999996</v>
      </c>
      <c r="ES41" s="228">
        <v>224.66</v>
      </c>
      <c r="ET41" s="228">
        <v>172.92</v>
      </c>
      <c r="EU41" s="228">
        <v>568.79</v>
      </c>
      <c r="EV41" s="231">
        <v>37147595</v>
      </c>
      <c r="EW41" s="228">
        <v>966.37</v>
      </c>
      <c r="EX41" s="228">
        <v>966</v>
      </c>
      <c r="EY41" s="228">
        <v>0.37</v>
      </c>
      <c r="EZ41" s="229">
        <v>4.0000000000000002E-4</v>
      </c>
      <c r="FA41" s="229">
        <v>0.3543</v>
      </c>
      <c r="FB41" s="227" t="s">
        <v>566</v>
      </c>
      <c r="FC41">
        <f t="shared" si="0"/>
        <v>99</v>
      </c>
    </row>
    <row r="42" spans="1:159" ht="17.25" thickBot="1" x14ac:dyDescent="0.3">
      <c r="A42" s="226">
        <v>46132</v>
      </c>
      <c r="B42" s="227" t="s">
        <v>172</v>
      </c>
      <c r="C42" s="227" t="s">
        <v>196</v>
      </c>
      <c r="D42" s="228">
        <v>6750</v>
      </c>
      <c r="E42" s="228">
        <v>8</v>
      </c>
      <c r="F42" s="228">
        <v>143.07</v>
      </c>
      <c r="G42" s="228">
        <v>142.61000000000001</v>
      </c>
      <c r="H42" s="228">
        <v>0.46</v>
      </c>
      <c r="I42" s="229">
        <v>3.2000000000000002E-3</v>
      </c>
      <c r="J42" s="228">
        <v>142.74</v>
      </c>
      <c r="K42" s="228">
        <v>142.37</v>
      </c>
      <c r="L42" s="228">
        <v>0.37</v>
      </c>
      <c r="M42" s="229">
        <v>2.5999999999999999E-3</v>
      </c>
      <c r="N42" s="228">
        <v>143.07</v>
      </c>
      <c r="O42" s="228">
        <v>142.61000000000001</v>
      </c>
      <c r="P42" s="228">
        <v>0.46</v>
      </c>
      <c r="Q42" s="229">
        <v>3.2000000000000002E-3</v>
      </c>
      <c r="R42" s="228">
        <v>143.77000000000001</v>
      </c>
      <c r="S42" s="228">
        <v>143.41</v>
      </c>
      <c r="T42" s="228">
        <v>0.36</v>
      </c>
      <c r="U42" s="229">
        <v>2.5000000000000001E-3</v>
      </c>
      <c r="V42" s="228">
        <v>144.56</v>
      </c>
      <c r="W42" s="228">
        <v>144.37</v>
      </c>
      <c r="X42" s="228">
        <v>0.19</v>
      </c>
      <c r="Y42" s="229">
        <v>1.2999999999999999E-3</v>
      </c>
      <c r="Z42" s="228">
        <v>0.33</v>
      </c>
      <c r="AA42" s="228">
        <v>0.24</v>
      </c>
      <c r="AB42" s="228">
        <v>0.09</v>
      </c>
      <c r="AC42" s="229">
        <v>2.3E-3</v>
      </c>
      <c r="AD42" s="228">
        <v>0.33</v>
      </c>
      <c r="AE42" s="228">
        <v>0.24</v>
      </c>
      <c r="AF42" s="228">
        <v>0.09</v>
      </c>
      <c r="AG42" s="229">
        <v>2.3E-3</v>
      </c>
      <c r="AH42" s="228">
        <v>1.03</v>
      </c>
      <c r="AI42" s="228">
        <v>1.04</v>
      </c>
      <c r="AJ42" s="228">
        <v>-0.01</v>
      </c>
      <c r="AK42" s="229">
        <v>7.1999999999999998E-3</v>
      </c>
      <c r="AL42" s="228">
        <v>1.82</v>
      </c>
      <c r="AM42" s="228">
        <v>2</v>
      </c>
      <c r="AN42" s="228">
        <v>-0.18</v>
      </c>
      <c r="AO42" s="229">
        <v>1.2800000000000001E-2</v>
      </c>
      <c r="AP42" s="228">
        <v>143.62</v>
      </c>
      <c r="AQ42" s="228">
        <v>144.47</v>
      </c>
      <c r="AR42" s="228">
        <v>0</v>
      </c>
      <c r="AS42" s="228">
        <v>728</v>
      </c>
      <c r="AT42" s="228">
        <v>734</v>
      </c>
      <c r="AU42" s="228">
        <v>-6</v>
      </c>
      <c r="AV42" s="229">
        <v>-7.9000000000000008E-3</v>
      </c>
      <c r="AW42" s="228">
        <v>550</v>
      </c>
      <c r="AX42" s="228">
        <v>467</v>
      </c>
      <c r="AY42" s="228">
        <v>83</v>
      </c>
      <c r="AZ42" s="229">
        <v>0.17799999999999999</v>
      </c>
      <c r="BA42" s="228">
        <v>167</v>
      </c>
      <c r="BB42" s="228">
        <v>87</v>
      </c>
      <c r="BC42" s="228">
        <v>81</v>
      </c>
      <c r="BD42" s="229">
        <v>0.92869999999999997</v>
      </c>
      <c r="BE42" s="228">
        <v>11</v>
      </c>
      <c r="BF42" s="228">
        <v>181</v>
      </c>
      <c r="BG42" s="228">
        <v>-169</v>
      </c>
      <c r="BH42" s="229">
        <v>-0.93700000000000006</v>
      </c>
      <c r="BI42" s="230">
        <v>1465</v>
      </c>
      <c r="BJ42" s="228">
        <v>932</v>
      </c>
      <c r="BK42" s="228">
        <v>532</v>
      </c>
      <c r="BL42" s="229">
        <v>0.57110000000000005</v>
      </c>
      <c r="BM42" s="230">
        <v>1019</v>
      </c>
      <c r="BN42" s="228">
        <v>531</v>
      </c>
      <c r="BO42" s="228">
        <v>489</v>
      </c>
      <c r="BP42" s="229">
        <v>0.92100000000000004</v>
      </c>
      <c r="BQ42" s="230">
        <v>3212</v>
      </c>
      <c r="BR42" s="230">
        <v>2197</v>
      </c>
      <c r="BS42" s="230">
        <v>1015</v>
      </c>
      <c r="BT42" s="229">
        <v>0.46210000000000001</v>
      </c>
      <c r="BU42" s="230">
        <v>21950604</v>
      </c>
      <c r="BV42" s="230">
        <v>14964789</v>
      </c>
      <c r="BW42" s="230">
        <v>6985815</v>
      </c>
      <c r="BX42" s="229">
        <v>0.46679999999999999</v>
      </c>
      <c r="BY42" s="230">
        <v>2878</v>
      </c>
      <c r="BZ42" s="230">
        <v>2840</v>
      </c>
      <c r="CA42" s="228">
        <v>38</v>
      </c>
      <c r="CB42" s="229">
        <v>1.35E-2</v>
      </c>
      <c r="CC42" s="230">
        <v>2354</v>
      </c>
      <c r="CD42" s="230">
        <v>2397</v>
      </c>
      <c r="CE42" s="228">
        <v>-43</v>
      </c>
      <c r="CF42" s="229">
        <v>-1.7899999999999999E-2</v>
      </c>
      <c r="CG42" s="228">
        <v>326</v>
      </c>
      <c r="CH42" s="228">
        <v>245</v>
      </c>
      <c r="CI42" s="228">
        <v>81</v>
      </c>
      <c r="CJ42" s="229">
        <v>0.32890000000000003</v>
      </c>
      <c r="CK42" s="228">
        <v>198</v>
      </c>
      <c r="CL42" s="228">
        <v>198</v>
      </c>
      <c r="CM42" s="228">
        <v>1</v>
      </c>
      <c r="CN42" s="229">
        <v>2.8999999999999998E-3</v>
      </c>
      <c r="CO42" s="230">
        <v>1138</v>
      </c>
      <c r="CP42" s="230">
        <v>1077</v>
      </c>
      <c r="CQ42" s="228">
        <v>61</v>
      </c>
      <c r="CR42" s="229">
        <v>5.6599999999999998E-2</v>
      </c>
      <c r="CS42" s="230">
        <v>1058</v>
      </c>
      <c r="CT42" s="228">
        <v>999</v>
      </c>
      <c r="CU42" s="228">
        <v>59</v>
      </c>
      <c r="CV42" s="229">
        <v>5.8900000000000001E-2</v>
      </c>
      <c r="CW42" s="230">
        <v>5074</v>
      </c>
      <c r="CX42" s="230">
        <v>4916</v>
      </c>
      <c r="CY42" s="228">
        <v>158</v>
      </c>
      <c r="CZ42" s="229">
        <v>3.2199999999999999E-2</v>
      </c>
      <c r="DA42" s="228">
        <v>39.24</v>
      </c>
      <c r="DB42" s="228">
        <v>35.15</v>
      </c>
      <c r="DC42" s="228">
        <v>4.09</v>
      </c>
      <c r="DD42" s="228">
        <v>4.09</v>
      </c>
      <c r="DE42" s="228">
        <v>39.04</v>
      </c>
      <c r="DF42" s="228">
        <v>39.14</v>
      </c>
      <c r="DG42" s="228">
        <v>0.2</v>
      </c>
      <c r="DH42" s="228">
        <v>-0.1</v>
      </c>
      <c r="DI42" s="228">
        <v>37.39</v>
      </c>
      <c r="DJ42" s="228">
        <v>33.97</v>
      </c>
      <c r="DK42" s="228">
        <v>3.42</v>
      </c>
      <c r="DL42" s="228">
        <v>3.42</v>
      </c>
      <c r="DM42" s="228">
        <v>41.91</v>
      </c>
      <c r="DN42" s="228">
        <v>37.229999999999997</v>
      </c>
      <c r="DO42" s="228">
        <v>4.68</v>
      </c>
      <c r="DP42" s="228">
        <v>4.68</v>
      </c>
      <c r="DQ42" s="228">
        <v>0.93</v>
      </c>
      <c r="DR42" s="228">
        <v>0.93</v>
      </c>
      <c r="DS42" s="228">
        <v>0</v>
      </c>
      <c r="DT42" s="229">
        <v>0</v>
      </c>
      <c r="DU42" s="228">
        <v>150</v>
      </c>
      <c r="DV42" s="228">
        <v>140</v>
      </c>
      <c r="DW42" s="228">
        <v>0.7</v>
      </c>
      <c r="DX42" s="228">
        <v>0.56999999999999995</v>
      </c>
      <c r="DY42" s="228">
        <v>0.13</v>
      </c>
      <c r="DZ42" s="229">
        <v>0.2281</v>
      </c>
      <c r="EA42" s="229">
        <v>0.18210000000000001</v>
      </c>
      <c r="EB42" s="230">
        <v>30955500</v>
      </c>
      <c r="EC42" s="229">
        <v>4.8999999999999998E-3</v>
      </c>
      <c r="ED42" s="229">
        <v>0.18210000000000001</v>
      </c>
      <c r="EE42" s="228">
        <v>0.85</v>
      </c>
      <c r="EF42" s="229">
        <v>5.8999999999999999E-3</v>
      </c>
      <c r="EG42" s="230">
        <v>8207157</v>
      </c>
      <c r="EH42" s="230">
        <v>5133895</v>
      </c>
      <c r="EI42" s="229">
        <v>0.59860000000000002</v>
      </c>
      <c r="EJ42" s="229">
        <v>0.37390000000000001</v>
      </c>
      <c r="EK42" s="231">
        <v>1525.31</v>
      </c>
      <c r="EL42" s="231">
        <v>1009.05</v>
      </c>
      <c r="EM42" s="228">
        <v>732.16</v>
      </c>
      <c r="EN42" s="228">
        <v>55.93</v>
      </c>
      <c r="EO42" s="231">
        <v>3266.52</v>
      </c>
      <c r="EP42" s="231">
        <v>2216.64</v>
      </c>
      <c r="EQ42" s="231">
        <v>1049.8699999999999</v>
      </c>
      <c r="ER42" s="229">
        <v>0.47360000000000002</v>
      </c>
      <c r="ES42" s="231">
        <v>1142.8800000000001</v>
      </c>
      <c r="ET42" s="231">
        <v>1006.28</v>
      </c>
      <c r="EU42" s="231">
        <v>2881.51</v>
      </c>
      <c r="EV42" s="231">
        <v>504315430</v>
      </c>
      <c r="EW42" s="231">
        <v>5030.67</v>
      </c>
      <c r="EX42" s="231">
        <v>4859.93</v>
      </c>
      <c r="EY42" s="228">
        <v>170.74</v>
      </c>
      <c r="EZ42" s="229">
        <v>3.5099999999999999E-2</v>
      </c>
      <c r="FA42" s="229">
        <v>0.70320000000000005</v>
      </c>
      <c r="FB42" s="227" t="s">
        <v>555</v>
      </c>
      <c r="FC42">
        <f t="shared" si="0"/>
        <v>524</v>
      </c>
    </row>
    <row r="43" spans="1:159" ht="17.25" thickBot="1" x14ac:dyDescent="0.3">
      <c r="A43" s="226">
        <v>46132</v>
      </c>
      <c r="B43" s="227" t="s">
        <v>175</v>
      </c>
      <c r="C43" s="227" t="s">
        <v>596</v>
      </c>
      <c r="D43" s="228">
        <v>475</v>
      </c>
      <c r="E43" s="228">
        <v>8</v>
      </c>
      <c r="F43" s="231">
        <v>1365.7</v>
      </c>
      <c r="G43" s="231">
        <v>1396.1</v>
      </c>
      <c r="H43" s="228">
        <v>-30.4</v>
      </c>
      <c r="I43" s="229">
        <v>-2.18E-2</v>
      </c>
      <c r="J43" s="231">
        <v>1370.3</v>
      </c>
      <c r="K43" s="231">
        <v>1393.2</v>
      </c>
      <c r="L43" s="228">
        <v>-22.9</v>
      </c>
      <c r="M43" s="229">
        <v>-1.6400000000000001E-2</v>
      </c>
      <c r="N43" s="231">
        <v>1365.7</v>
      </c>
      <c r="O43" s="231">
        <v>1396.1</v>
      </c>
      <c r="P43" s="228">
        <v>-30.4</v>
      </c>
      <c r="Q43" s="229">
        <v>-2.18E-2</v>
      </c>
      <c r="R43" s="231">
        <v>1357.4</v>
      </c>
      <c r="S43" s="231">
        <v>1386.2</v>
      </c>
      <c r="T43" s="228">
        <v>-28.8</v>
      </c>
      <c r="U43" s="229">
        <v>-2.0799999999999999E-2</v>
      </c>
      <c r="V43" s="231">
        <v>1354.6</v>
      </c>
      <c r="W43" s="231">
        <v>1380.7</v>
      </c>
      <c r="X43" s="228">
        <v>-26.1</v>
      </c>
      <c r="Y43" s="229">
        <v>-1.89E-2</v>
      </c>
      <c r="Z43" s="228">
        <v>-4.5999999999999996</v>
      </c>
      <c r="AA43" s="228">
        <v>2.9</v>
      </c>
      <c r="AB43" s="228">
        <v>-7.5</v>
      </c>
      <c r="AC43" s="229">
        <v>-3.3999999999999998E-3</v>
      </c>
      <c r="AD43" s="228">
        <v>-4.5999999999999996</v>
      </c>
      <c r="AE43" s="228">
        <v>2.9</v>
      </c>
      <c r="AF43" s="228">
        <v>-7.5</v>
      </c>
      <c r="AG43" s="229">
        <v>-3.3999999999999998E-3</v>
      </c>
      <c r="AH43" s="228">
        <v>-12.9</v>
      </c>
      <c r="AI43" s="228">
        <v>-7</v>
      </c>
      <c r="AJ43" s="228">
        <v>-5.9</v>
      </c>
      <c r="AK43" s="229">
        <v>-9.4000000000000004E-3</v>
      </c>
      <c r="AL43" s="228">
        <v>-15.7</v>
      </c>
      <c r="AM43" s="228">
        <v>-12.5</v>
      </c>
      <c r="AN43" s="228">
        <v>-3.2</v>
      </c>
      <c r="AO43" s="229">
        <v>-1.15E-2</v>
      </c>
      <c r="AP43" s="231">
        <v>1375.05</v>
      </c>
      <c r="AQ43" s="231">
        <v>1367.28</v>
      </c>
      <c r="AR43" s="228">
        <v>0</v>
      </c>
      <c r="AS43" s="228">
        <v>428</v>
      </c>
      <c r="AT43" s="228">
        <v>333</v>
      </c>
      <c r="AU43" s="228">
        <v>96</v>
      </c>
      <c r="AV43" s="229">
        <v>0.2883</v>
      </c>
      <c r="AW43" s="228">
        <v>291</v>
      </c>
      <c r="AX43" s="228">
        <v>236</v>
      </c>
      <c r="AY43" s="228">
        <v>55</v>
      </c>
      <c r="AZ43" s="229">
        <v>0.23180000000000001</v>
      </c>
      <c r="BA43" s="228">
        <v>122</v>
      </c>
      <c r="BB43" s="228">
        <v>81</v>
      </c>
      <c r="BC43" s="228">
        <v>41</v>
      </c>
      <c r="BD43" s="229">
        <v>0.50560000000000005</v>
      </c>
      <c r="BE43" s="228">
        <v>16</v>
      </c>
      <c r="BF43" s="228">
        <v>16</v>
      </c>
      <c r="BG43" s="228">
        <v>0</v>
      </c>
      <c r="BH43" s="229">
        <v>1.2500000000000001E-2</v>
      </c>
      <c r="BI43" s="228">
        <v>973</v>
      </c>
      <c r="BJ43" s="230">
        <v>1512</v>
      </c>
      <c r="BK43" s="228">
        <v>-539</v>
      </c>
      <c r="BL43" s="229">
        <v>-0.35630000000000001</v>
      </c>
      <c r="BM43" s="228">
        <v>664</v>
      </c>
      <c r="BN43" s="228">
        <v>859</v>
      </c>
      <c r="BO43" s="228">
        <v>-195</v>
      </c>
      <c r="BP43" s="229">
        <v>-0.22739999999999999</v>
      </c>
      <c r="BQ43" s="230">
        <v>2066</v>
      </c>
      <c r="BR43" s="230">
        <v>2704</v>
      </c>
      <c r="BS43" s="228">
        <v>-638</v>
      </c>
      <c r="BT43" s="229">
        <v>-0.23599999999999999</v>
      </c>
      <c r="BU43" s="230">
        <v>2430970</v>
      </c>
      <c r="BV43" s="230">
        <v>2418769</v>
      </c>
      <c r="BW43" s="230">
        <v>12201</v>
      </c>
      <c r="BX43" s="229">
        <v>5.0000000000000001E-3</v>
      </c>
      <c r="BY43" s="230">
        <v>1585</v>
      </c>
      <c r="BZ43" s="230">
        <v>1495</v>
      </c>
      <c r="CA43" s="228">
        <v>90</v>
      </c>
      <c r="CB43" s="229">
        <v>6.0299999999999999E-2</v>
      </c>
      <c r="CC43" s="230">
        <v>1074</v>
      </c>
      <c r="CD43" s="230">
        <v>1048</v>
      </c>
      <c r="CE43" s="228">
        <v>26</v>
      </c>
      <c r="CF43" s="229">
        <v>2.4899999999999999E-2</v>
      </c>
      <c r="CG43" s="228">
        <v>455</v>
      </c>
      <c r="CH43" s="228">
        <v>400</v>
      </c>
      <c r="CI43" s="228">
        <v>55</v>
      </c>
      <c r="CJ43" s="229">
        <v>0.1366</v>
      </c>
      <c r="CK43" s="228">
        <v>56</v>
      </c>
      <c r="CL43" s="228">
        <v>47</v>
      </c>
      <c r="CM43" s="228">
        <v>9</v>
      </c>
      <c r="CN43" s="229">
        <v>0.19969999999999999</v>
      </c>
      <c r="CO43" s="228">
        <v>711</v>
      </c>
      <c r="CP43" s="228">
        <v>664</v>
      </c>
      <c r="CQ43" s="228">
        <v>47</v>
      </c>
      <c r="CR43" s="229">
        <v>7.1300000000000002E-2</v>
      </c>
      <c r="CS43" s="228">
        <v>626</v>
      </c>
      <c r="CT43" s="228">
        <v>606</v>
      </c>
      <c r="CU43" s="228">
        <v>21</v>
      </c>
      <c r="CV43" s="229">
        <v>3.39E-2</v>
      </c>
      <c r="CW43" s="230">
        <v>2923</v>
      </c>
      <c r="CX43" s="230">
        <v>2765</v>
      </c>
      <c r="CY43" s="228">
        <v>158</v>
      </c>
      <c r="CZ43" s="229">
        <v>5.7099999999999998E-2</v>
      </c>
      <c r="DA43" s="228">
        <v>40.24</v>
      </c>
      <c r="DB43" s="228">
        <v>35.200000000000003</v>
      </c>
      <c r="DC43" s="228">
        <v>5.04</v>
      </c>
      <c r="DD43" s="228">
        <v>5.04</v>
      </c>
      <c r="DE43" s="228">
        <v>46.8</v>
      </c>
      <c r="DF43" s="228">
        <v>46.82</v>
      </c>
      <c r="DG43" s="228">
        <v>-6.56</v>
      </c>
      <c r="DH43" s="228">
        <v>-0.02</v>
      </c>
      <c r="DI43" s="228">
        <v>39.07</v>
      </c>
      <c r="DJ43" s="228">
        <v>33.229999999999997</v>
      </c>
      <c r="DK43" s="228">
        <v>5.84</v>
      </c>
      <c r="DL43" s="228">
        <v>5.84</v>
      </c>
      <c r="DM43" s="228">
        <v>41.95</v>
      </c>
      <c r="DN43" s="228">
        <v>38.68</v>
      </c>
      <c r="DO43" s="228">
        <v>3.27</v>
      </c>
      <c r="DP43" s="228">
        <v>3.27</v>
      </c>
      <c r="DQ43" s="228">
        <v>0.88</v>
      </c>
      <c r="DR43" s="228">
        <v>0.91</v>
      </c>
      <c r="DS43" s="228">
        <v>-0.03</v>
      </c>
      <c r="DT43" s="229">
        <v>-3.3000000000000002E-2</v>
      </c>
      <c r="DU43" s="231">
        <v>1400</v>
      </c>
      <c r="DV43" s="231">
        <v>1400</v>
      </c>
      <c r="DW43" s="228">
        <v>0.68</v>
      </c>
      <c r="DX43" s="228">
        <v>0.56999999999999995</v>
      </c>
      <c r="DY43" s="228">
        <v>0.11</v>
      </c>
      <c r="DZ43" s="229">
        <v>0.193</v>
      </c>
      <c r="EA43" s="229">
        <v>0.32240000000000002</v>
      </c>
      <c r="EB43" s="230">
        <v>3273700</v>
      </c>
      <c r="EC43" s="229">
        <v>-6.1000000000000004E-3</v>
      </c>
      <c r="ED43" s="229">
        <v>0.32240000000000002</v>
      </c>
      <c r="EE43" s="228">
        <v>-7.77</v>
      </c>
      <c r="EF43" s="229">
        <v>-5.7000000000000002E-3</v>
      </c>
      <c r="EG43" s="230">
        <v>919003</v>
      </c>
      <c r="EH43" s="230">
        <v>748115</v>
      </c>
      <c r="EI43" s="229">
        <v>0.22839999999999999</v>
      </c>
      <c r="EJ43" s="229">
        <v>0.378</v>
      </c>
      <c r="EK43" s="231">
        <v>1021.4</v>
      </c>
      <c r="EL43" s="228">
        <v>656.38</v>
      </c>
      <c r="EM43" s="228">
        <v>430.59</v>
      </c>
      <c r="EN43" s="228">
        <v>59.08</v>
      </c>
      <c r="EO43" s="231">
        <v>2108.37</v>
      </c>
      <c r="EP43" s="231">
        <v>2780.97</v>
      </c>
      <c r="EQ43" s="228">
        <v>-672.6</v>
      </c>
      <c r="ER43" s="229">
        <v>-0.2419</v>
      </c>
      <c r="ES43" s="228">
        <v>698.94</v>
      </c>
      <c r="ET43" s="228">
        <v>584.29</v>
      </c>
      <c r="EU43" s="231">
        <v>1582.22</v>
      </c>
      <c r="EV43" s="231">
        <v>26647500</v>
      </c>
      <c r="EW43" s="231">
        <v>2865.45</v>
      </c>
      <c r="EX43" s="231">
        <v>2736.89</v>
      </c>
      <c r="EY43" s="228">
        <v>128.56</v>
      </c>
      <c r="EZ43" s="229">
        <v>4.7E-2</v>
      </c>
      <c r="FA43" s="229">
        <v>0.80310000000000004</v>
      </c>
      <c r="FB43" s="227" t="s">
        <v>566</v>
      </c>
      <c r="FC43">
        <f t="shared" si="0"/>
        <v>511</v>
      </c>
    </row>
    <row r="44" spans="1:159" ht="17.25" thickBot="1" x14ac:dyDescent="0.3">
      <c r="A44" s="226">
        <v>46132</v>
      </c>
      <c r="B44" s="227" t="s">
        <v>161</v>
      </c>
      <c r="C44" s="227" t="s">
        <v>611</v>
      </c>
      <c r="D44" s="228">
        <v>850</v>
      </c>
      <c r="E44" s="228">
        <v>8</v>
      </c>
      <c r="F44" s="228">
        <v>795.55</v>
      </c>
      <c r="G44" s="228">
        <v>774.65</v>
      </c>
      <c r="H44" s="228">
        <v>20.9</v>
      </c>
      <c r="I44" s="229">
        <v>2.7E-2</v>
      </c>
      <c r="J44" s="228">
        <v>795.7</v>
      </c>
      <c r="K44" s="228">
        <v>774.8</v>
      </c>
      <c r="L44" s="228">
        <v>20.9</v>
      </c>
      <c r="M44" s="229">
        <v>2.7E-2</v>
      </c>
      <c r="N44" s="228">
        <v>795.55</v>
      </c>
      <c r="O44" s="228">
        <v>774.65</v>
      </c>
      <c r="P44" s="228">
        <v>20.9</v>
      </c>
      <c r="Q44" s="229">
        <v>2.7E-2</v>
      </c>
      <c r="R44" s="228">
        <v>799.55</v>
      </c>
      <c r="S44" s="228">
        <v>779.2</v>
      </c>
      <c r="T44" s="228">
        <v>20.350000000000001</v>
      </c>
      <c r="U44" s="229">
        <v>2.6100000000000002E-2</v>
      </c>
      <c r="V44" s="228">
        <v>803.25</v>
      </c>
      <c r="W44" s="228">
        <v>784.3</v>
      </c>
      <c r="X44" s="228">
        <v>18.95</v>
      </c>
      <c r="Y44" s="229">
        <v>2.4199999999999999E-2</v>
      </c>
      <c r="Z44" s="228">
        <v>-0.15</v>
      </c>
      <c r="AA44" s="228">
        <v>-0.15</v>
      </c>
      <c r="AB44" s="228">
        <v>0</v>
      </c>
      <c r="AC44" s="229">
        <v>-2.0000000000000001E-4</v>
      </c>
      <c r="AD44" s="228">
        <v>-0.15</v>
      </c>
      <c r="AE44" s="228">
        <v>-0.15</v>
      </c>
      <c r="AF44" s="228">
        <v>0</v>
      </c>
      <c r="AG44" s="229">
        <v>-2.0000000000000001E-4</v>
      </c>
      <c r="AH44" s="228">
        <v>3.85</v>
      </c>
      <c r="AI44" s="228">
        <v>4.4000000000000004</v>
      </c>
      <c r="AJ44" s="228">
        <v>-0.55000000000000004</v>
      </c>
      <c r="AK44" s="229">
        <v>4.7999999999999996E-3</v>
      </c>
      <c r="AL44" s="228">
        <v>7.55</v>
      </c>
      <c r="AM44" s="228">
        <v>9.5</v>
      </c>
      <c r="AN44" s="228">
        <v>-1.95</v>
      </c>
      <c r="AO44" s="229">
        <v>9.4999999999999998E-3</v>
      </c>
      <c r="AP44" s="228">
        <v>792.57</v>
      </c>
      <c r="AQ44" s="228">
        <v>796.5</v>
      </c>
      <c r="AR44" s="228">
        <v>0</v>
      </c>
      <c r="AS44" s="228">
        <v>385</v>
      </c>
      <c r="AT44" s="228">
        <v>285</v>
      </c>
      <c r="AU44" s="228">
        <v>99</v>
      </c>
      <c r="AV44" s="229">
        <v>0.34870000000000001</v>
      </c>
      <c r="AW44" s="228">
        <v>307</v>
      </c>
      <c r="AX44" s="228">
        <v>255</v>
      </c>
      <c r="AY44" s="228">
        <v>51</v>
      </c>
      <c r="AZ44" s="229">
        <v>0.20130000000000001</v>
      </c>
      <c r="BA44" s="228">
        <v>70</v>
      </c>
      <c r="BB44" s="228">
        <v>26</v>
      </c>
      <c r="BC44" s="228">
        <v>44</v>
      </c>
      <c r="BD44" s="229">
        <v>1.6882999999999999</v>
      </c>
      <c r="BE44" s="228">
        <v>8</v>
      </c>
      <c r="BF44" s="228">
        <v>4</v>
      </c>
      <c r="BG44" s="228">
        <v>4</v>
      </c>
      <c r="BH44" s="229">
        <v>1.0702</v>
      </c>
      <c r="BI44" s="230">
        <v>2146</v>
      </c>
      <c r="BJ44" s="230">
        <v>1094</v>
      </c>
      <c r="BK44" s="230">
        <v>1052</v>
      </c>
      <c r="BL44" s="229">
        <v>0.96179999999999999</v>
      </c>
      <c r="BM44" s="228">
        <v>766</v>
      </c>
      <c r="BN44" s="228">
        <v>349</v>
      </c>
      <c r="BO44" s="228">
        <v>417</v>
      </c>
      <c r="BP44" s="229">
        <v>1.1943999999999999</v>
      </c>
      <c r="BQ44" s="230">
        <v>3297</v>
      </c>
      <c r="BR44" s="230">
        <v>1728</v>
      </c>
      <c r="BS44" s="230">
        <v>1569</v>
      </c>
      <c r="BT44" s="229">
        <v>0.90759999999999996</v>
      </c>
      <c r="BU44" s="230">
        <v>6441732</v>
      </c>
      <c r="BV44" s="230">
        <v>4593602</v>
      </c>
      <c r="BW44" s="230">
        <v>1848130</v>
      </c>
      <c r="BX44" s="229">
        <v>0.40229999999999999</v>
      </c>
      <c r="BY44" s="230">
        <v>1599</v>
      </c>
      <c r="BZ44" s="230">
        <v>1582</v>
      </c>
      <c r="CA44" s="228">
        <v>17</v>
      </c>
      <c r="CB44" s="229">
        <v>1.09E-2</v>
      </c>
      <c r="CC44" s="230">
        <v>1439</v>
      </c>
      <c r="CD44" s="230">
        <v>1437</v>
      </c>
      <c r="CE44" s="228">
        <v>1</v>
      </c>
      <c r="CF44" s="229">
        <v>8.0000000000000004E-4</v>
      </c>
      <c r="CG44" s="228">
        <v>50</v>
      </c>
      <c r="CH44" s="228">
        <v>33</v>
      </c>
      <c r="CI44" s="228">
        <v>17</v>
      </c>
      <c r="CJ44" s="229">
        <v>0.50919999999999999</v>
      </c>
      <c r="CK44" s="228">
        <v>111</v>
      </c>
      <c r="CL44" s="228">
        <v>112</v>
      </c>
      <c r="CM44" s="228">
        <v>-1</v>
      </c>
      <c r="CN44" s="229">
        <v>-7.3000000000000001E-3</v>
      </c>
      <c r="CO44" s="228">
        <v>423</v>
      </c>
      <c r="CP44" s="228">
        <v>329</v>
      </c>
      <c r="CQ44" s="228">
        <v>94</v>
      </c>
      <c r="CR44" s="229">
        <v>0.2858</v>
      </c>
      <c r="CS44" s="228">
        <v>294</v>
      </c>
      <c r="CT44" s="228">
        <v>211</v>
      </c>
      <c r="CU44" s="228">
        <v>83</v>
      </c>
      <c r="CV44" s="229">
        <v>0.39100000000000001</v>
      </c>
      <c r="CW44" s="230">
        <v>2316</v>
      </c>
      <c r="CX44" s="230">
        <v>2122</v>
      </c>
      <c r="CY44" s="228">
        <v>194</v>
      </c>
      <c r="CZ44" s="229">
        <v>9.1399999999999995E-2</v>
      </c>
      <c r="DA44" s="228">
        <v>39.229999999999997</v>
      </c>
      <c r="DB44" s="228">
        <v>35.43</v>
      </c>
      <c r="DC44" s="228">
        <v>3.8</v>
      </c>
      <c r="DD44" s="228">
        <v>3.8</v>
      </c>
      <c r="DE44" s="228">
        <v>42.5</v>
      </c>
      <c r="DF44" s="228">
        <v>42.46</v>
      </c>
      <c r="DG44" s="228">
        <v>-3.27</v>
      </c>
      <c r="DH44" s="228">
        <v>0.04</v>
      </c>
      <c r="DI44" s="228">
        <v>38.4</v>
      </c>
      <c r="DJ44" s="228">
        <v>34.58</v>
      </c>
      <c r="DK44" s="228">
        <v>3.82</v>
      </c>
      <c r="DL44" s="228">
        <v>3.82</v>
      </c>
      <c r="DM44" s="228">
        <v>41.57</v>
      </c>
      <c r="DN44" s="228">
        <v>38.1</v>
      </c>
      <c r="DO44" s="228">
        <v>3.47</v>
      </c>
      <c r="DP44" s="228">
        <v>3.47</v>
      </c>
      <c r="DQ44" s="228">
        <v>0.7</v>
      </c>
      <c r="DR44" s="228">
        <v>0.64</v>
      </c>
      <c r="DS44" s="228">
        <v>0.06</v>
      </c>
      <c r="DT44" s="229">
        <v>9.3700000000000006E-2</v>
      </c>
      <c r="DU44" s="228">
        <v>800</v>
      </c>
      <c r="DV44" s="228">
        <v>770</v>
      </c>
      <c r="DW44" s="228">
        <v>0.36</v>
      </c>
      <c r="DX44" s="228">
        <v>0.32</v>
      </c>
      <c r="DY44" s="228">
        <v>0.04</v>
      </c>
      <c r="DZ44" s="229">
        <v>0.125</v>
      </c>
      <c r="EA44" s="229">
        <v>0.10050000000000001</v>
      </c>
      <c r="EB44" s="230">
        <v>1819000</v>
      </c>
      <c r="EC44" s="229">
        <v>5.0000000000000001E-3</v>
      </c>
      <c r="ED44" s="229">
        <v>0.10050000000000001</v>
      </c>
      <c r="EE44" s="228">
        <v>3.93</v>
      </c>
      <c r="EF44" s="229">
        <v>5.0000000000000001E-3</v>
      </c>
      <c r="EG44" s="230">
        <v>3058135</v>
      </c>
      <c r="EH44" s="230">
        <v>2512283</v>
      </c>
      <c r="EI44" s="229">
        <v>0.21729999999999999</v>
      </c>
      <c r="EJ44" s="229">
        <v>0.47470000000000001</v>
      </c>
      <c r="EK44" s="231">
        <v>2221.7199999999998</v>
      </c>
      <c r="EL44" s="228">
        <v>742.04</v>
      </c>
      <c r="EM44" s="228">
        <v>383.67</v>
      </c>
      <c r="EN44" s="228">
        <v>49.93</v>
      </c>
      <c r="EO44" s="231">
        <v>3347.43</v>
      </c>
      <c r="EP44" s="231">
        <v>1703.39</v>
      </c>
      <c r="EQ44" s="231">
        <v>1644.03</v>
      </c>
      <c r="ER44" s="229">
        <v>0.96519999999999995</v>
      </c>
      <c r="ES44" s="228">
        <v>417.15</v>
      </c>
      <c r="ET44" s="228">
        <v>269.68</v>
      </c>
      <c r="EU44" s="231">
        <v>1600.71</v>
      </c>
      <c r="EV44" s="231">
        <v>103080397</v>
      </c>
      <c r="EW44" s="231">
        <v>2287.5500000000002</v>
      </c>
      <c r="EX44" s="231">
        <v>2043.91</v>
      </c>
      <c r="EY44" s="228">
        <v>243.64</v>
      </c>
      <c r="EZ44" s="229">
        <v>0.1192</v>
      </c>
      <c r="FA44" s="229">
        <v>0.28239999999999998</v>
      </c>
      <c r="FB44" s="227" t="s">
        <v>555</v>
      </c>
      <c r="FC44">
        <f t="shared" si="0"/>
        <v>160</v>
      </c>
    </row>
    <row r="45" spans="1:159" ht="17.25" thickBot="1" x14ac:dyDescent="0.3">
      <c r="A45" s="226">
        <v>46132</v>
      </c>
      <c r="B45" s="227" t="s">
        <v>175</v>
      </c>
      <c r="C45" s="227" t="s">
        <v>198</v>
      </c>
      <c r="D45" s="228">
        <v>625</v>
      </c>
      <c r="E45" s="228">
        <v>8</v>
      </c>
      <c r="F45" s="231">
        <v>1568.8</v>
      </c>
      <c r="G45" s="231">
        <v>1578.4</v>
      </c>
      <c r="H45" s="228">
        <v>-9.6</v>
      </c>
      <c r="I45" s="229">
        <v>-6.1000000000000004E-3</v>
      </c>
      <c r="J45" s="231">
        <v>1569.3</v>
      </c>
      <c r="K45" s="231">
        <v>1579</v>
      </c>
      <c r="L45" s="228">
        <v>-9.6999999999999993</v>
      </c>
      <c r="M45" s="229">
        <v>-6.1000000000000004E-3</v>
      </c>
      <c r="N45" s="231">
        <v>1568.8</v>
      </c>
      <c r="O45" s="231">
        <v>1578.4</v>
      </c>
      <c r="P45" s="228">
        <v>-9.6</v>
      </c>
      <c r="Q45" s="229">
        <v>-6.1000000000000004E-3</v>
      </c>
      <c r="R45" s="231">
        <v>1576</v>
      </c>
      <c r="S45" s="231">
        <v>1585.2</v>
      </c>
      <c r="T45" s="228">
        <v>-9.1999999999999993</v>
      </c>
      <c r="U45" s="229">
        <v>-5.7999999999999996E-3</v>
      </c>
      <c r="V45" s="231">
        <v>1586</v>
      </c>
      <c r="W45" s="231">
        <v>1592.2</v>
      </c>
      <c r="X45" s="228">
        <v>-6.2</v>
      </c>
      <c r="Y45" s="229">
        <v>-3.8999999999999998E-3</v>
      </c>
      <c r="Z45" s="228">
        <v>-0.5</v>
      </c>
      <c r="AA45" s="228">
        <v>-0.6</v>
      </c>
      <c r="AB45" s="228">
        <v>0.1</v>
      </c>
      <c r="AC45" s="229">
        <v>-2.9999999999999997E-4</v>
      </c>
      <c r="AD45" s="228">
        <v>-0.5</v>
      </c>
      <c r="AE45" s="228">
        <v>-0.6</v>
      </c>
      <c r="AF45" s="228">
        <v>0.1</v>
      </c>
      <c r="AG45" s="229">
        <v>-2.9999999999999997E-4</v>
      </c>
      <c r="AH45" s="228">
        <v>6.7</v>
      </c>
      <c r="AI45" s="228">
        <v>6.2</v>
      </c>
      <c r="AJ45" s="228">
        <v>0.5</v>
      </c>
      <c r="AK45" s="229">
        <v>4.3E-3</v>
      </c>
      <c r="AL45" s="228">
        <v>16.7</v>
      </c>
      <c r="AM45" s="228">
        <v>13.2</v>
      </c>
      <c r="AN45" s="228">
        <v>3.5</v>
      </c>
      <c r="AO45" s="229">
        <v>1.06E-2</v>
      </c>
      <c r="AP45" s="231">
        <v>1573.87</v>
      </c>
      <c r="AQ45" s="231">
        <v>1581.35</v>
      </c>
      <c r="AR45" s="228">
        <v>0</v>
      </c>
      <c r="AS45" s="228">
        <v>245</v>
      </c>
      <c r="AT45" s="228">
        <v>531</v>
      </c>
      <c r="AU45" s="228">
        <v>-286</v>
      </c>
      <c r="AV45" s="229">
        <v>-0.53910000000000002</v>
      </c>
      <c r="AW45" s="228">
        <v>223</v>
      </c>
      <c r="AX45" s="228">
        <v>385</v>
      </c>
      <c r="AY45" s="228">
        <v>-162</v>
      </c>
      <c r="AZ45" s="229">
        <v>-0.42049999999999998</v>
      </c>
      <c r="BA45" s="228">
        <v>20</v>
      </c>
      <c r="BB45" s="228">
        <v>27</v>
      </c>
      <c r="BC45" s="228">
        <v>-6</v>
      </c>
      <c r="BD45" s="229">
        <v>-0.23250000000000001</v>
      </c>
      <c r="BE45" s="228">
        <v>1</v>
      </c>
      <c r="BF45" s="228">
        <v>119</v>
      </c>
      <c r="BG45" s="228">
        <v>-118</v>
      </c>
      <c r="BH45" s="229">
        <v>-0.98929999999999996</v>
      </c>
      <c r="BI45" s="228">
        <v>472</v>
      </c>
      <c r="BJ45" s="228">
        <v>749</v>
      </c>
      <c r="BK45" s="228">
        <v>-277</v>
      </c>
      <c r="BL45" s="229">
        <v>-0.36959999999999998</v>
      </c>
      <c r="BM45" s="228">
        <v>323</v>
      </c>
      <c r="BN45" s="228">
        <v>496</v>
      </c>
      <c r="BO45" s="228">
        <v>-172</v>
      </c>
      <c r="BP45" s="229">
        <v>-0.3478</v>
      </c>
      <c r="BQ45" s="230">
        <v>1040</v>
      </c>
      <c r="BR45" s="230">
        <v>1775</v>
      </c>
      <c r="BS45" s="228">
        <v>-735</v>
      </c>
      <c r="BT45" s="229">
        <v>-0.41420000000000001</v>
      </c>
      <c r="BU45" s="230">
        <v>878178</v>
      </c>
      <c r="BV45" s="230">
        <v>1234834</v>
      </c>
      <c r="BW45" s="230">
        <v>-356656</v>
      </c>
      <c r="BX45" s="229">
        <v>-0.2888</v>
      </c>
      <c r="BY45" s="230">
        <v>3134</v>
      </c>
      <c r="BZ45" s="230">
        <v>3124</v>
      </c>
      <c r="CA45" s="228">
        <v>10</v>
      </c>
      <c r="CB45" s="229">
        <v>3.3E-3</v>
      </c>
      <c r="CC45" s="230">
        <v>2906</v>
      </c>
      <c r="CD45" s="230">
        <v>2902</v>
      </c>
      <c r="CE45" s="228">
        <v>4</v>
      </c>
      <c r="CF45" s="229">
        <v>1.2999999999999999E-3</v>
      </c>
      <c r="CG45" s="228">
        <v>107</v>
      </c>
      <c r="CH45" s="228">
        <v>101</v>
      </c>
      <c r="CI45" s="228">
        <v>6</v>
      </c>
      <c r="CJ45" s="229">
        <v>6.0100000000000001E-2</v>
      </c>
      <c r="CK45" s="228">
        <v>121</v>
      </c>
      <c r="CL45" s="228">
        <v>121</v>
      </c>
      <c r="CM45" s="228">
        <v>0</v>
      </c>
      <c r="CN45" s="229">
        <v>2.3999999999999998E-3</v>
      </c>
      <c r="CO45" s="228">
        <v>763</v>
      </c>
      <c r="CP45" s="228">
        <v>744</v>
      </c>
      <c r="CQ45" s="228">
        <v>19</v>
      </c>
      <c r="CR45" s="229">
        <v>2.58E-2</v>
      </c>
      <c r="CS45" s="228">
        <v>654</v>
      </c>
      <c r="CT45" s="228">
        <v>636</v>
      </c>
      <c r="CU45" s="228">
        <v>18</v>
      </c>
      <c r="CV45" s="229">
        <v>2.7699999999999999E-2</v>
      </c>
      <c r="CW45" s="230">
        <v>4551</v>
      </c>
      <c r="CX45" s="230">
        <v>4504</v>
      </c>
      <c r="CY45" s="228">
        <v>47</v>
      </c>
      <c r="CZ45" s="229">
        <v>1.04E-2</v>
      </c>
      <c r="DA45" s="228">
        <v>39.89</v>
      </c>
      <c r="DB45" s="228">
        <v>34.92</v>
      </c>
      <c r="DC45" s="228">
        <v>4.97</v>
      </c>
      <c r="DD45" s="228">
        <v>4.97</v>
      </c>
      <c r="DE45" s="228">
        <v>40.92</v>
      </c>
      <c r="DF45" s="228">
        <v>41.01</v>
      </c>
      <c r="DG45" s="228">
        <v>-1.03</v>
      </c>
      <c r="DH45" s="228">
        <v>-0.09</v>
      </c>
      <c r="DI45" s="228">
        <v>38.090000000000003</v>
      </c>
      <c r="DJ45" s="228">
        <v>33.53</v>
      </c>
      <c r="DK45" s="228">
        <v>4.5599999999999996</v>
      </c>
      <c r="DL45" s="228">
        <v>4.5599999999999996</v>
      </c>
      <c r="DM45" s="228">
        <v>42.51</v>
      </c>
      <c r="DN45" s="228">
        <v>37.01</v>
      </c>
      <c r="DO45" s="228">
        <v>5.5</v>
      </c>
      <c r="DP45" s="228">
        <v>5.5</v>
      </c>
      <c r="DQ45" s="228">
        <v>0.86</v>
      </c>
      <c r="DR45" s="228">
        <v>0.86</v>
      </c>
      <c r="DS45" s="228">
        <v>0</v>
      </c>
      <c r="DT45" s="229">
        <v>0</v>
      </c>
      <c r="DU45" s="231">
        <v>1600</v>
      </c>
      <c r="DV45" s="231">
        <v>1500</v>
      </c>
      <c r="DW45" s="228">
        <v>0.68</v>
      </c>
      <c r="DX45" s="228">
        <v>0.66</v>
      </c>
      <c r="DY45" s="228">
        <v>0.02</v>
      </c>
      <c r="DZ45" s="229">
        <v>3.0300000000000001E-2</v>
      </c>
      <c r="EA45" s="229">
        <v>7.2800000000000004E-2</v>
      </c>
      <c r="EB45" s="230">
        <v>1414375</v>
      </c>
      <c r="EC45" s="229">
        <v>4.5999999999999999E-3</v>
      </c>
      <c r="ED45" s="229">
        <v>7.2800000000000004E-2</v>
      </c>
      <c r="EE45" s="228">
        <v>7.48</v>
      </c>
      <c r="EF45" s="229">
        <v>4.7999999999999996E-3</v>
      </c>
      <c r="EG45" s="230">
        <v>452758</v>
      </c>
      <c r="EH45" s="230">
        <v>670802</v>
      </c>
      <c r="EI45" s="229">
        <v>-0.32500000000000001</v>
      </c>
      <c r="EJ45" s="229">
        <v>0.51559999999999995</v>
      </c>
      <c r="EK45" s="228">
        <v>493.97</v>
      </c>
      <c r="EL45" s="228">
        <v>312.95</v>
      </c>
      <c r="EM45" s="228">
        <v>245.63</v>
      </c>
      <c r="EN45" s="228">
        <v>50.1</v>
      </c>
      <c r="EO45" s="231">
        <v>1052.56</v>
      </c>
      <c r="EP45" s="231">
        <v>1805.06</v>
      </c>
      <c r="EQ45" s="228">
        <v>-752.51</v>
      </c>
      <c r="ER45" s="229">
        <v>-0.41689999999999999</v>
      </c>
      <c r="ES45" s="228">
        <v>759.81</v>
      </c>
      <c r="ET45" s="228">
        <v>618.86</v>
      </c>
      <c r="EU45" s="231">
        <v>3136.28</v>
      </c>
      <c r="EV45" s="231">
        <v>63646863</v>
      </c>
      <c r="EW45" s="231">
        <v>4514.95</v>
      </c>
      <c r="EX45" s="231">
        <v>4485.58</v>
      </c>
      <c r="EY45" s="228">
        <v>29.37</v>
      </c>
      <c r="EZ45" s="229">
        <v>6.4999999999999997E-3</v>
      </c>
      <c r="FA45" s="229">
        <v>0.45579999999999998</v>
      </c>
      <c r="FB45" s="227" t="s">
        <v>566</v>
      </c>
      <c r="FC45">
        <f t="shared" si="0"/>
        <v>228</v>
      </c>
    </row>
    <row r="46" spans="1:159" ht="17.25" thickBot="1" x14ac:dyDescent="0.3">
      <c r="A46" s="226">
        <v>46132</v>
      </c>
      <c r="B46" s="227" t="s">
        <v>170</v>
      </c>
      <c r="C46" s="227" t="s">
        <v>199</v>
      </c>
      <c r="D46" s="228">
        <v>375</v>
      </c>
      <c r="E46" s="228">
        <v>8</v>
      </c>
      <c r="F46" s="231">
        <v>1230.0999999999999</v>
      </c>
      <c r="G46" s="231">
        <v>1245.0999999999999</v>
      </c>
      <c r="H46" s="228">
        <v>-15</v>
      </c>
      <c r="I46" s="229">
        <v>-1.2E-2</v>
      </c>
      <c r="J46" s="231">
        <v>1229.5</v>
      </c>
      <c r="K46" s="231">
        <v>1240.8</v>
      </c>
      <c r="L46" s="228">
        <v>-11.3</v>
      </c>
      <c r="M46" s="229">
        <v>-9.1000000000000004E-3</v>
      </c>
      <c r="N46" s="231">
        <v>1230.0999999999999</v>
      </c>
      <c r="O46" s="231">
        <v>1245.0999999999999</v>
      </c>
      <c r="P46" s="228">
        <v>-15</v>
      </c>
      <c r="Q46" s="229">
        <v>-1.2E-2</v>
      </c>
      <c r="R46" s="231">
        <v>1236.7</v>
      </c>
      <c r="S46" s="231">
        <v>1252</v>
      </c>
      <c r="T46" s="228">
        <v>-15.3</v>
      </c>
      <c r="U46" s="229">
        <v>-1.2200000000000001E-2</v>
      </c>
      <c r="V46" s="231">
        <v>1242</v>
      </c>
      <c r="W46" s="231">
        <v>1254.9000000000001</v>
      </c>
      <c r="X46" s="228">
        <v>-12.9</v>
      </c>
      <c r="Y46" s="229">
        <v>-1.03E-2</v>
      </c>
      <c r="Z46" s="228">
        <v>0.6</v>
      </c>
      <c r="AA46" s="228">
        <v>4.3</v>
      </c>
      <c r="AB46" s="228">
        <v>-3.7</v>
      </c>
      <c r="AC46" s="229">
        <v>5.0000000000000001E-4</v>
      </c>
      <c r="AD46" s="228">
        <v>0.6</v>
      </c>
      <c r="AE46" s="228">
        <v>4.3</v>
      </c>
      <c r="AF46" s="228">
        <v>-3.7</v>
      </c>
      <c r="AG46" s="229">
        <v>5.0000000000000001E-4</v>
      </c>
      <c r="AH46" s="228">
        <v>7.2</v>
      </c>
      <c r="AI46" s="228">
        <v>11.2</v>
      </c>
      <c r="AJ46" s="228">
        <v>-4</v>
      </c>
      <c r="AK46" s="229">
        <v>5.8999999999999999E-3</v>
      </c>
      <c r="AL46" s="228">
        <v>12.5</v>
      </c>
      <c r="AM46" s="228">
        <v>14.1</v>
      </c>
      <c r="AN46" s="228">
        <v>-1.6</v>
      </c>
      <c r="AO46" s="229">
        <v>1.0200000000000001E-2</v>
      </c>
      <c r="AP46" s="231">
        <v>1235.8900000000001</v>
      </c>
      <c r="AQ46" s="231">
        <v>1243.33</v>
      </c>
      <c r="AR46" s="228">
        <v>0</v>
      </c>
      <c r="AS46" s="228">
        <v>430</v>
      </c>
      <c r="AT46" s="228">
        <v>201</v>
      </c>
      <c r="AU46" s="228">
        <v>229</v>
      </c>
      <c r="AV46" s="229">
        <v>1.1388</v>
      </c>
      <c r="AW46" s="228">
        <v>256</v>
      </c>
      <c r="AX46" s="228">
        <v>164</v>
      </c>
      <c r="AY46" s="228">
        <v>93</v>
      </c>
      <c r="AZ46" s="229">
        <v>0.56769999999999998</v>
      </c>
      <c r="BA46" s="228">
        <v>168</v>
      </c>
      <c r="BB46" s="228">
        <v>32</v>
      </c>
      <c r="BC46" s="228">
        <v>136</v>
      </c>
      <c r="BD46" s="229">
        <v>4.2663000000000002</v>
      </c>
      <c r="BE46" s="228">
        <v>6</v>
      </c>
      <c r="BF46" s="228">
        <v>6</v>
      </c>
      <c r="BG46" s="228">
        <v>0</v>
      </c>
      <c r="BH46" s="229">
        <v>2.46E-2</v>
      </c>
      <c r="BI46" s="228">
        <v>656</v>
      </c>
      <c r="BJ46" s="228">
        <v>725</v>
      </c>
      <c r="BK46" s="228">
        <v>-69</v>
      </c>
      <c r="BL46" s="229">
        <v>-9.5100000000000004E-2</v>
      </c>
      <c r="BM46" s="228">
        <v>211</v>
      </c>
      <c r="BN46" s="228">
        <v>270</v>
      </c>
      <c r="BO46" s="228">
        <v>-59</v>
      </c>
      <c r="BP46" s="229">
        <v>-0.2198</v>
      </c>
      <c r="BQ46" s="230">
        <v>1297</v>
      </c>
      <c r="BR46" s="230">
        <v>1196</v>
      </c>
      <c r="BS46" s="228">
        <v>101</v>
      </c>
      <c r="BT46" s="229">
        <v>8.4099999999999994E-2</v>
      </c>
      <c r="BU46" s="230">
        <v>1189964</v>
      </c>
      <c r="BV46" s="230">
        <v>2653013</v>
      </c>
      <c r="BW46" s="230">
        <v>-1463049</v>
      </c>
      <c r="BX46" s="229">
        <v>-0.55149999999999999</v>
      </c>
      <c r="BY46" s="230">
        <v>1938</v>
      </c>
      <c r="BZ46" s="230">
        <v>1930</v>
      </c>
      <c r="CA46" s="228">
        <v>9</v>
      </c>
      <c r="CB46" s="229">
        <v>4.4000000000000003E-3</v>
      </c>
      <c r="CC46" s="230">
        <v>1580</v>
      </c>
      <c r="CD46" s="230">
        <v>1725</v>
      </c>
      <c r="CE46" s="228">
        <v>-145</v>
      </c>
      <c r="CF46" s="229">
        <v>-8.4000000000000005E-2</v>
      </c>
      <c r="CG46" s="228">
        <v>344</v>
      </c>
      <c r="CH46" s="228">
        <v>194</v>
      </c>
      <c r="CI46" s="228">
        <v>150</v>
      </c>
      <c r="CJ46" s="229">
        <v>0.77569999999999995</v>
      </c>
      <c r="CK46" s="228">
        <v>14</v>
      </c>
      <c r="CL46" s="228">
        <v>11</v>
      </c>
      <c r="CM46" s="228">
        <v>3</v>
      </c>
      <c r="CN46" s="229">
        <v>0.30170000000000002</v>
      </c>
      <c r="CO46" s="228">
        <v>591</v>
      </c>
      <c r="CP46" s="228">
        <v>527</v>
      </c>
      <c r="CQ46" s="228">
        <v>64</v>
      </c>
      <c r="CR46" s="229">
        <v>0.12189999999999999</v>
      </c>
      <c r="CS46" s="228">
        <v>489</v>
      </c>
      <c r="CT46" s="228">
        <v>471</v>
      </c>
      <c r="CU46" s="228">
        <v>18</v>
      </c>
      <c r="CV46" s="229">
        <v>3.8699999999999998E-2</v>
      </c>
      <c r="CW46" s="230">
        <v>3019</v>
      </c>
      <c r="CX46" s="230">
        <v>2928</v>
      </c>
      <c r="CY46" s="228">
        <v>91</v>
      </c>
      <c r="CZ46" s="229">
        <v>3.1099999999999999E-2</v>
      </c>
      <c r="DA46" s="228">
        <v>25.07</v>
      </c>
      <c r="DB46" s="228">
        <v>22.88</v>
      </c>
      <c r="DC46" s="228">
        <v>2.19</v>
      </c>
      <c r="DD46" s="228">
        <v>2.19</v>
      </c>
      <c r="DE46" s="228">
        <v>25.02</v>
      </c>
      <c r="DF46" s="228">
        <v>25.03</v>
      </c>
      <c r="DG46" s="228">
        <v>0.05</v>
      </c>
      <c r="DH46" s="228">
        <v>-0.01</v>
      </c>
      <c r="DI46" s="228">
        <v>25.03</v>
      </c>
      <c r="DJ46" s="228">
        <v>22.24</v>
      </c>
      <c r="DK46" s="228">
        <v>2.79</v>
      </c>
      <c r="DL46" s="228">
        <v>2.79</v>
      </c>
      <c r="DM46" s="228">
        <v>25.21</v>
      </c>
      <c r="DN46" s="228">
        <v>24.59</v>
      </c>
      <c r="DO46" s="228">
        <v>0.62</v>
      </c>
      <c r="DP46" s="228">
        <v>0.62</v>
      </c>
      <c r="DQ46" s="228">
        <v>0.83</v>
      </c>
      <c r="DR46" s="228">
        <v>0.89</v>
      </c>
      <c r="DS46" s="228">
        <v>-0.06</v>
      </c>
      <c r="DT46" s="229">
        <v>-6.7400000000000002E-2</v>
      </c>
      <c r="DU46" s="231">
        <v>1240</v>
      </c>
      <c r="DV46" s="231">
        <v>1160</v>
      </c>
      <c r="DW46" s="228">
        <v>0.32</v>
      </c>
      <c r="DX46" s="228">
        <v>0.37</v>
      </c>
      <c r="DY46" s="228">
        <v>-0.05</v>
      </c>
      <c r="DZ46" s="229">
        <v>-0.1351</v>
      </c>
      <c r="EA46" s="229">
        <v>0.18459999999999999</v>
      </c>
      <c r="EB46" s="230">
        <v>1661625</v>
      </c>
      <c r="EC46" s="229">
        <v>5.4000000000000003E-3</v>
      </c>
      <c r="ED46" s="229">
        <v>0.18459999999999999</v>
      </c>
      <c r="EE46" s="228">
        <v>7.44</v>
      </c>
      <c r="EF46" s="229">
        <v>6.0000000000000001E-3</v>
      </c>
      <c r="EG46" s="230">
        <v>564165</v>
      </c>
      <c r="EH46" s="230">
        <v>1988311</v>
      </c>
      <c r="EI46" s="229">
        <v>-0.71630000000000005</v>
      </c>
      <c r="EJ46" s="229">
        <v>0.47410000000000002</v>
      </c>
      <c r="EK46" s="228">
        <v>679.15</v>
      </c>
      <c r="EL46" s="228">
        <v>211.74</v>
      </c>
      <c r="EM46" s="228">
        <v>433.15</v>
      </c>
      <c r="EN46" s="228">
        <v>39.21</v>
      </c>
      <c r="EO46" s="231">
        <v>1324.05</v>
      </c>
      <c r="EP46" s="231">
        <v>1222.6600000000001</v>
      </c>
      <c r="EQ46" s="228">
        <v>101.38</v>
      </c>
      <c r="ER46" s="229">
        <v>8.2900000000000001E-2</v>
      </c>
      <c r="ES46" s="228">
        <v>614.67999999999995</v>
      </c>
      <c r="ET46" s="228">
        <v>471.38</v>
      </c>
      <c r="EU46" s="231">
        <v>1940.31</v>
      </c>
      <c r="EV46" s="231">
        <v>76385219</v>
      </c>
      <c r="EW46" s="231">
        <v>3026.37</v>
      </c>
      <c r="EX46" s="231">
        <v>2956.96</v>
      </c>
      <c r="EY46" s="228">
        <v>69.41</v>
      </c>
      <c r="EZ46" s="229">
        <v>2.35E-2</v>
      </c>
      <c r="FA46" s="229">
        <v>0.32129999999999997</v>
      </c>
      <c r="FB46" s="227" t="s">
        <v>566</v>
      </c>
      <c r="FC46">
        <f t="shared" si="0"/>
        <v>358</v>
      </c>
    </row>
    <row r="47" spans="1:159" ht="17.25" thickBot="1" x14ac:dyDescent="0.3">
      <c r="A47" s="226">
        <v>46132</v>
      </c>
      <c r="B47" s="227" t="s">
        <v>227</v>
      </c>
      <c r="C47" s="227" t="s">
        <v>200</v>
      </c>
      <c r="D47" s="228">
        <v>1350</v>
      </c>
      <c r="E47" s="228">
        <v>8</v>
      </c>
      <c r="F47" s="228">
        <v>442.35</v>
      </c>
      <c r="G47" s="228">
        <v>439.55</v>
      </c>
      <c r="H47" s="228">
        <v>2.8</v>
      </c>
      <c r="I47" s="229">
        <v>6.4000000000000003E-3</v>
      </c>
      <c r="J47" s="228">
        <v>441.75</v>
      </c>
      <c r="K47" s="228">
        <v>438.75</v>
      </c>
      <c r="L47" s="228">
        <v>3</v>
      </c>
      <c r="M47" s="229">
        <v>6.7999999999999996E-3</v>
      </c>
      <c r="N47" s="228">
        <v>442.35</v>
      </c>
      <c r="O47" s="228">
        <v>439.55</v>
      </c>
      <c r="P47" s="228">
        <v>2.8</v>
      </c>
      <c r="Q47" s="229">
        <v>6.4000000000000003E-3</v>
      </c>
      <c r="R47" s="228">
        <v>439.8</v>
      </c>
      <c r="S47" s="228">
        <v>436.5</v>
      </c>
      <c r="T47" s="228">
        <v>3.3</v>
      </c>
      <c r="U47" s="229">
        <v>7.6E-3</v>
      </c>
      <c r="V47" s="228">
        <v>438.8</v>
      </c>
      <c r="W47" s="228">
        <v>434.65</v>
      </c>
      <c r="X47" s="228">
        <v>4.1500000000000004</v>
      </c>
      <c r="Y47" s="229">
        <v>9.4999999999999998E-3</v>
      </c>
      <c r="Z47" s="228">
        <v>0.6</v>
      </c>
      <c r="AA47" s="228">
        <v>0.8</v>
      </c>
      <c r="AB47" s="228">
        <v>-0.2</v>
      </c>
      <c r="AC47" s="229">
        <v>1.4E-3</v>
      </c>
      <c r="AD47" s="228">
        <v>0.6</v>
      </c>
      <c r="AE47" s="228">
        <v>0.8</v>
      </c>
      <c r="AF47" s="228">
        <v>-0.2</v>
      </c>
      <c r="AG47" s="229">
        <v>1.4E-3</v>
      </c>
      <c r="AH47" s="228">
        <v>-1.95</v>
      </c>
      <c r="AI47" s="228">
        <v>-2.25</v>
      </c>
      <c r="AJ47" s="228">
        <v>0.3</v>
      </c>
      <c r="AK47" s="229">
        <v>-4.4000000000000003E-3</v>
      </c>
      <c r="AL47" s="228">
        <v>-2.95</v>
      </c>
      <c r="AM47" s="228">
        <v>-4.0999999999999996</v>
      </c>
      <c r="AN47" s="228">
        <v>1.1499999999999999</v>
      </c>
      <c r="AO47" s="229">
        <v>-6.7000000000000002E-3</v>
      </c>
      <c r="AP47" s="228">
        <v>440.49</v>
      </c>
      <c r="AQ47" s="228">
        <v>437.97</v>
      </c>
      <c r="AR47" s="228">
        <v>0</v>
      </c>
      <c r="AS47" s="228">
        <v>440</v>
      </c>
      <c r="AT47" s="228">
        <v>608</v>
      </c>
      <c r="AU47" s="228">
        <v>-168</v>
      </c>
      <c r="AV47" s="229">
        <v>-0.2762</v>
      </c>
      <c r="AW47" s="228">
        <v>324</v>
      </c>
      <c r="AX47" s="228">
        <v>482</v>
      </c>
      <c r="AY47" s="228">
        <v>-158</v>
      </c>
      <c r="AZ47" s="229">
        <v>-0.32869999999999999</v>
      </c>
      <c r="BA47" s="228">
        <v>106</v>
      </c>
      <c r="BB47" s="228">
        <v>113</v>
      </c>
      <c r="BC47" s="228">
        <v>-6</v>
      </c>
      <c r="BD47" s="229">
        <v>-5.57E-2</v>
      </c>
      <c r="BE47" s="228">
        <v>10</v>
      </c>
      <c r="BF47" s="228">
        <v>14</v>
      </c>
      <c r="BG47" s="228">
        <v>-3</v>
      </c>
      <c r="BH47" s="229">
        <v>-0.23910000000000001</v>
      </c>
      <c r="BI47" s="230">
        <v>2103</v>
      </c>
      <c r="BJ47" s="230">
        <v>2253</v>
      </c>
      <c r="BK47" s="228">
        <v>-150</v>
      </c>
      <c r="BL47" s="229">
        <v>-6.6600000000000006E-2</v>
      </c>
      <c r="BM47" s="230">
        <v>1144</v>
      </c>
      <c r="BN47" s="230">
        <v>1351</v>
      </c>
      <c r="BO47" s="228">
        <v>-208</v>
      </c>
      <c r="BP47" s="229">
        <v>-0.1537</v>
      </c>
      <c r="BQ47" s="230">
        <v>3687</v>
      </c>
      <c r="BR47" s="230">
        <v>4213</v>
      </c>
      <c r="BS47" s="228">
        <v>-526</v>
      </c>
      <c r="BT47" s="229">
        <v>-0.12479999999999999</v>
      </c>
      <c r="BU47" s="230">
        <v>8461130</v>
      </c>
      <c r="BV47" s="230">
        <v>11372615</v>
      </c>
      <c r="BW47" s="230">
        <v>-2911485</v>
      </c>
      <c r="BX47" s="229">
        <v>-0.25600000000000001</v>
      </c>
      <c r="BY47" s="230">
        <v>3119</v>
      </c>
      <c r="BZ47" s="230">
        <v>3104</v>
      </c>
      <c r="CA47" s="228">
        <v>15</v>
      </c>
      <c r="CB47" s="229">
        <v>4.7000000000000002E-3</v>
      </c>
      <c r="CC47" s="230">
        <v>2739</v>
      </c>
      <c r="CD47" s="230">
        <v>2759</v>
      </c>
      <c r="CE47" s="228">
        <v>-20</v>
      </c>
      <c r="CF47" s="229">
        <v>-7.1999999999999998E-3</v>
      </c>
      <c r="CG47" s="228">
        <v>343</v>
      </c>
      <c r="CH47" s="228">
        <v>308</v>
      </c>
      <c r="CI47" s="228">
        <v>36</v>
      </c>
      <c r="CJ47" s="229">
        <v>0.1157</v>
      </c>
      <c r="CK47" s="228">
        <v>37</v>
      </c>
      <c r="CL47" s="228">
        <v>38</v>
      </c>
      <c r="CM47" s="228">
        <v>-1</v>
      </c>
      <c r="CN47" s="229">
        <v>-2.3800000000000002E-2</v>
      </c>
      <c r="CO47" s="230">
        <v>1883</v>
      </c>
      <c r="CP47" s="230">
        <v>1957</v>
      </c>
      <c r="CQ47" s="228">
        <v>-74</v>
      </c>
      <c r="CR47" s="229">
        <v>-3.7999999999999999E-2</v>
      </c>
      <c r="CS47" s="230">
        <v>1173</v>
      </c>
      <c r="CT47" s="230">
        <v>1255</v>
      </c>
      <c r="CU47" s="228">
        <v>-82</v>
      </c>
      <c r="CV47" s="229">
        <v>-6.5199999999999994E-2</v>
      </c>
      <c r="CW47" s="230">
        <v>6175</v>
      </c>
      <c r="CX47" s="230">
        <v>6317</v>
      </c>
      <c r="CY47" s="228">
        <v>-142</v>
      </c>
      <c r="CZ47" s="229">
        <v>-2.24E-2</v>
      </c>
      <c r="DA47" s="228">
        <v>31.21</v>
      </c>
      <c r="DB47" s="228">
        <v>28.23</v>
      </c>
      <c r="DC47" s="228">
        <v>2.98</v>
      </c>
      <c r="DD47" s="228">
        <v>2.98</v>
      </c>
      <c r="DE47" s="228">
        <v>30.97</v>
      </c>
      <c r="DF47" s="228">
        <v>31.03</v>
      </c>
      <c r="DG47" s="228">
        <v>0.24</v>
      </c>
      <c r="DH47" s="228">
        <v>-0.06</v>
      </c>
      <c r="DI47" s="228">
        <v>31.07</v>
      </c>
      <c r="DJ47" s="228">
        <v>27.9</v>
      </c>
      <c r="DK47" s="228">
        <v>3.17</v>
      </c>
      <c r="DL47" s="228">
        <v>3.17</v>
      </c>
      <c r="DM47" s="228">
        <v>31.46</v>
      </c>
      <c r="DN47" s="228">
        <v>28.78</v>
      </c>
      <c r="DO47" s="228">
        <v>2.68</v>
      </c>
      <c r="DP47" s="228">
        <v>2.68</v>
      </c>
      <c r="DQ47" s="228">
        <v>0.62</v>
      </c>
      <c r="DR47" s="228">
        <v>0.64</v>
      </c>
      <c r="DS47" s="228">
        <v>-0.02</v>
      </c>
      <c r="DT47" s="229">
        <v>-3.1300000000000001E-2</v>
      </c>
      <c r="DU47" s="228">
        <v>500</v>
      </c>
      <c r="DV47" s="228">
        <v>400</v>
      </c>
      <c r="DW47" s="228">
        <v>0.54</v>
      </c>
      <c r="DX47" s="228">
        <v>0.6</v>
      </c>
      <c r="DY47" s="228">
        <v>-0.06</v>
      </c>
      <c r="DZ47" s="229">
        <v>-0.1</v>
      </c>
      <c r="EA47" s="229">
        <v>0.12180000000000001</v>
      </c>
      <c r="EB47" s="230">
        <v>7801650</v>
      </c>
      <c r="EC47" s="229">
        <v>-5.7999999999999996E-3</v>
      </c>
      <c r="ED47" s="229">
        <v>0.12180000000000001</v>
      </c>
      <c r="EE47" s="228">
        <v>-2.52</v>
      </c>
      <c r="EF47" s="229">
        <v>-5.7000000000000002E-3</v>
      </c>
      <c r="EG47" s="230">
        <v>4513898</v>
      </c>
      <c r="EH47" s="230">
        <v>6874068</v>
      </c>
      <c r="EI47" s="229">
        <v>-0.34329999999999999</v>
      </c>
      <c r="EJ47" s="229">
        <v>0.53349999999999997</v>
      </c>
      <c r="EK47" s="231">
        <v>2180.13</v>
      </c>
      <c r="EL47" s="231">
        <v>1125</v>
      </c>
      <c r="EM47" s="228">
        <v>437.78</v>
      </c>
      <c r="EN47" s="228">
        <v>86.53</v>
      </c>
      <c r="EO47" s="231">
        <v>3742.91</v>
      </c>
      <c r="EP47" s="231">
        <v>4237.8100000000004</v>
      </c>
      <c r="EQ47" s="228">
        <v>-494.9</v>
      </c>
      <c r="ER47" s="229">
        <v>-0.1168</v>
      </c>
      <c r="ES47" s="231">
        <v>1993.12</v>
      </c>
      <c r="ET47" s="231">
        <v>1130.8</v>
      </c>
      <c r="EU47" s="231">
        <v>3116.88</v>
      </c>
      <c r="EV47" s="231">
        <v>320531323</v>
      </c>
      <c r="EW47" s="231">
        <v>6240.8</v>
      </c>
      <c r="EX47" s="231">
        <v>6359.62</v>
      </c>
      <c r="EY47" s="228">
        <v>-118.82</v>
      </c>
      <c r="EZ47" s="229">
        <v>-1.8700000000000001E-2</v>
      </c>
      <c r="FA47" s="229">
        <v>0.4355</v>
      </c>
      <c r="FB47" s="227" t="s">
        <v>555</v>
      </c>
      <c r="FC47">
        <f t="shared" si="0"/>
        <v>380</v>
      </c>
    </row>
    <row r="48" spans="1:159" ht="17.25" thickBot="1" x14ac:dyDescent="0.3">
      <c r="A48" s="226">
        <v>46132</v>
      </c>
      <c r="B48" s="227" t="s">
        <v>215</v>
      </c>
      <c r="C48" s="227" t="s">
        <v>696</v>
      </c>
      <c r="D48" s="228">
        <v>400</v>
      </c>
      <c r="E48" s="228">
        <v>8</v>
      </c>
      <c r="F48" s="231">
        <v>1545.7</v>
      </c>
      <c r="G48" s="231">
        <v>1566.2</v>
      </c>
      <c r="H48" s="228">
        <v>-20.5</v>
      </c>
      <c r="I48" s="229">
        <v>-1.3100000000000001E-2</v>
      </c>
      <c r="J48" s="231">
        <v>1544.9</v>
      </c>
      <c r="K48" s="231">
        <v>1561.1</v>
      </c>
      <c r="L48" s="228">
        <v>-16.2</v>
      </c>
      <c r="M48" s="229">
        <v>-1.04E-2</v>
      </c>
      <c r="N48" s="231">
        <v>1545.7</v>
      </c>
      <c r="O48" s="231">
        <v>1566.2</v>
      </c>
      <c r="P48" s="228">
        <v>-20.5</v>
      </c>
      <c r="Q48" s="229">
        <v>-1.3100000000000001E-2</v>
      </c>
      <c r="R48" s="231">
        <v>1546.2</v>
      </c>
      <c r="S48" s="231">
        <v>1566.4</v>
      </c>
      <c r="T48" s="228">
        <v>-20.2</v>
      </c>
      <c r="U48" s="229">
        <v>-1.29E-2</v>
      </c>
      <c r="V48" s="231">
        <v>1551.1</v>
      </c>
      <c r="W48" s="231">
        <v>1571.2</v>
      </c>
      <c r="X48" s="228">
        <v>-20.100000000000001</v>
      </c>
      <c r="Y48" s="229">
        <v>-1.2800000000000001E-2</v>
      </c>
      <c r="Z48" s="228">
        <v>0.8</v>
      </c>
      <c r="AA48" s="228">
        <v>5.0999999999999996</v>
      </c>
      <c r="AB48" s="228">
        <v>-4.3</v>
      </c>
      <c r="AC48" s="229">
        <v>5.0000000000000001E-4</v>
      </c>
      <c r="AD48" s="228">
        <v>0.8</v>
      </c>
      <c r="AE48" s="228">
        <v>5.0999999999999996</v>
      </c>
      <c r="AF48" s="228">
        <v>-4.3</v>
      </c>
      <c r="AG48" s="229">
        <v>5.0000000000000001E-4</v>
      </c>
      <c r="AH48" s="228">
        <v>1.3</v>
      </c>
      <c r="AI48" s="228">
        <v>5.3</v>
      </c>
      <c r="AJ48" s="228">
        <v>-4</v>
      </c>
      <c r="AK48" s="229">
        <v>8.0000000000000004E-4</v>
      </c>
      <c r="AL48" s="228">
        <v>6.2</v>
      </c>
      <c r="AM48" s="228">
        <v>10.1</v>
      </c>
      <c r="AN48" s="228">
        <v>-3.9</v>
      </c>
      <c r="AO48" s="229">
        <v>4.0000000000000001E-3</v>
      </c>
      <c r="AP48" s="231">
        <v>1558.19</v>
      </c>
      <c r="AQ48" s="231">
        <v>1560.48</v>
      </c>
      <c r="AR48" s="228">
        <v>0</v>
      </c>
      <c r="AS48" s="228">
        <v>156</v>
      </c>
      <c r="AT48" s="228">
        <v>265</v>
      </c>
      <c r="AU48" s="228">
        <v>-109</v>
      </c>
      <c r="AV48" s="229">
        <v>-0.4128</v>
      </c>
      <c r="AW48" s="228">
        <v>120</v>
      </c>
      <c r="AX48" s="228">
        <v>225</v>
      </c>
      <c r="AY48" s="228">
        <v>-105</v>
      </c>
      <c r="AZ48" s="229">
        <v>-0.46850000000000003</v>
      </c>
      <c r="BA48" s="228">
        <v>34</v>
      </c>
      <c r="BB48" s="228">
        <v>37</v>
      </c>
      <c r="BC48" s="228">
        <v>-2</v>
      </c>
      <c r="BD48" s="229">
        <v>-6.0699999999999997E-2</v>
      </c>
      <c r="BE48" s="228">
        <v>2</v>
      </c>
      <c r="BF48" s="228">
        <v>4</v>
      </c>
      <c r="BG48" s="228">
        <v>-2</v>
      </c>
      <c r="BH48" s="229">
        <v>-0.51719999999999999</v>
      </c>
      <c r="BI48" s="228">
        <v>394</v>
      </c>
      <c r="BJ48" s="230">
        <v>1363</v>
      </c>
      <c r="BK48" s="228">
        <v>-968</v>
      </c>
      <c r="BL48" s="229">
        <v>-0.71079999999999999</v>
      </c>
      <c r="BM48" s="228">
        <v>121</v>
      </c>
      <c r="BN48" s="228">
        <v>256</v>
      </c>
      <c r="BO48" s="228">
        <v>-135</v>
      </c>
      <c r="BP48" s="229">
        <v>-0.52700000000000002</v>
      </c>
      <c r="BQ48" s="228">
        <v>671</v>
      </c>
      <c r="BR48" s="230">
        <v>1884</v>
      </c>
      <c r="BS48" s="230">
        <v>-1213</v>
      </c>
      <c r="BT48" s="229">
        <v>-0.64380000000000004</v>
      </c>
      <c r="BU48" s="230">
        <v>1823958</v>
      </c>
      <c r="BV48" s="230">
        <v>3854822</v>
      </c>
      <c r="BW48" s="230">
        <v>-2030864</v>
      </c>
      <c r="BX48" s="229">
        <v>-0.52680000000000005</v>
      </c>
      <c r="BY48" s="228">
        <v>300</v>
      </c>
      <c r="BZ48" s="228">
        <v>277</v>
      </c>
      <c r="CA48" s="228">
        <v>22</v>
      </c>
      <c r="CB48" s="229">
        <v>7.9500000000000001E-2</v>
      </c>
      <c r="CC48" s="228">
        <v>226</v>
      </c>
      <c r="CD48" s="228">
        <v>217</v>
      </c>
      <c r="CE48" s="228">
        <v>9</v>
      </c>
      <c r="CF48" s="229">
        <v>4.3400000000000001E-2</v>
      </c>
      <c r="CG48" s="228">
        <v>69</v>
      </c>
      <c r="CH48" s="228">
        <v>57</v>
      </c>
      <c r="CI48" s="228">
        <v>12</v>
      </c>
      <c r="CJ48" s="229">
        <v>0.20910000000000001</v>
      </c>
      <c r="CK48" s="228">
        <v>5</v>
      </c>
      <c r="CL48" s="228">
        <v>4</v>
      </c>
      <c r="CM48" s="228">
        <v>1</v>
      </c>
      <c r="CN48" s="229">
        <v>0.19350000000000001</v>
      </c>
      <c r="CO48" s="228">
        <v>206</v>
      </c>
      <c r="CP48" s="228">
        <v>167</v>
      </c>
      <c r="CQ48" s="228">
        <v>39</v>
      </c>
      <c r="CR48" s="229">
        <v>0.23119999999999999</v>
      </c>
      <c r="CS48" s="228">
        <v>121</v>
      </c>
      <c r="CT48" s="228">
        <v>114</v>
      </c>
      <c r="CU48" s="228">
        <v>7</v>
      </c>
      <c r="CV48" s="229">
        <v>5.8999999999999997E-2</v>
      </c>
      <c r="CW48" s="228">
        <v>627</v>
      </c>
      <c r="CX48" s="228">
        <v>559</v>
      </c>
      <c r="CY48" s="228">
        <v>68</v>
      </c>
      <c r="CZ48" s="229">
        <v>0.1207</v>
      </c>
      <c r="DA48" s="228">
        <v>60.41</v>
      </c>
      <c r="DB48" s="228">
        <v>52.74</v>
      </c>
      <c r="DC48" s="228">
        <v>7.67</v>
      </c>
      <c r="DD48" s="228">
        <v>7.67</v>
      </c>
      <c r="DE48" s="228">
        <v>54.79</v>
      </c>
      <c r="DF48" s="228">
        <v>54.91</v>
      </c>
      <c r="DG48" s="228">
        <v>5.62</v>
      </c>
      <c r="DH48" s="228">
        <v>-0.12</v>
      </c>
      <c r="DI48" s="228">
        <v>59.94</v>
      </c>
      <c r="DJ48" s="228">
        <v>52.4</v>
      </c>
      <c r="DK48" s="228">
        <v>7.54</v>
      </c>
      <c r="DL48" s="228">
        <v>7.54</v>
      </c>
      <c r="DM48" s="228">
        <v>61.94</v>
      </c>
      <c r="DN48" s="228">
        <v>54.57</v>
      </c>
      <c r="DO48" s="228">
        <v>7.37</v>
      </c>
      <c r="DP48" s="228">
        <v>7.37</v>
      </c>
      <c r="DQ48" s="228">
        <v>0.59</v>
      </c>
      <c r="DR48" s="228">
        <v>0.68</v>
      </c>
      <c r="DS48" s="228">
        <v>-0.09</v>
      </c>
      <c r="DT48" s="229">
        <v>-0.13239999999999999</v>
      </c>
      <c r="DU48" s="231">
        <v>1560</v>
      </c>
      <c r="DV48" s="231">
        <v>1420</v>
      </c>
      <c r="DW48" s="228">
        <v>0.31</v>
      </c>
      <c r="DX48" s="228">
        <v>0.19</v>
      </c>
      <c r="DY48" s="228">
        <v>0.12</v>
      </c>
      <c r="DZ48" s="229">
        <v>0.63160000000000005</v>
      </c>
      <c r="EA48" s="229">
        <v>0.24560000000000001</v>
      </c>
      <c r="EB48" s="230">
        <v>394000</v>
      </c>
      <c r="EC48" s="229">
        <v>2.9999999999999997E-4</v>
      </c>
      <c r="ED48" s="229">
        <v>0.24560000000000001</v>
      </c>
      <c r="EE48" s="228">
        <v>2.29</v>
      </c>
      <c r="EF48" s="229">
        <v>1.5E-3</v>
      </c>
      <c r="EG48" s="230">
        <v>526312</v>
      </c>
      <c r="EH48" s="230">
        <v>851607</v>
      </c>
      <c r="EI48" s="229">
        <v>-0.38200000000000001</v>
      </c>
      <c r="EJ48" s="229">
        <v>0.28860000000000002</v>
      </c>
      <c r="EK48" s="228">
        <v>417.98</v>
      </c>
      <c r="EL48" s="228">
        <v>115.82</v>
      </c>
      <c r="EM48" s="228">
        <v>157</v>
      </c>
      <c r="EN48" s="228">
        <v>25.59</v>
      </c>
      <c r="EO48" s="228">
        <v>690.8</v>
      </c>
      <c r="EP48" s="231">
        <v>1949.9</v>
      </c>
      <c r="EQ48" s="231">
        <v>-1259.0999999999999</v>
      </c>
      <c r="ER48" s="229">
        <v>-0.64570000000000005</v>
      </c>
      <c r="ES48" s="228">
        <v>207.27</v>
      </c>
      <c r="ET48" s="228">
        <v>109.71</v>
      </c>
      <c r="EU48" s="228">
        <v>299.58999999999997</v>
      </c>
      <c r="EV48" s="231">
        <v>12661431</v>
      </c>
      <c r="EW48" s="228">
        <v>616.58000000000004</v>
      </c>
      <c r="EX48" s="228">
        <v>550.45000000000005</v>
      </c>
      <c r="EY48" s="228">
        <v>66.13</v>
      </c>
      <c r="EZ48" s="229">
        <v>0.1201</v>
      </c>
      <c r="FA48" s="229">
        <v>0.32019999999999998</v>
      </c>
      <c r="FB48" s="227" t="s">
        <v>566</v>
      </c>
      <c r="FC48">
        <f t="shared" si="0"/>
        <v>74</v>
      </c>
    </row>
    <row r="49" spans="1:159" ht="17.25" thickBot="1" x14ac:dyDescent="0.3">
      <c r="A49" s="226">
        <v>46132</v>
      </c>
      <c r="B49" s="227" t="s">
        <v>221</v>
      </c>
      <c r="C49" s="227" t="s">
        <v>470</v>
      </c>
      <c r="D49" s="228">
        <v>375</v>
      </c>
      <c r="E49" s="228">
        <v>8</v>
      </c>
      <c r="F49" s="231">
        <v>1284.7</v>
      </c>
      <c r="G49" s="231">
        <v>1316.8</v>
      </c>
      <c r="H49" s="228">
        <v>-32.1</v>
      </c>
      <c r="I49" s="229">
        <v>-2.4400000000000002E-2</v>
      </c>
      <c r="J49" s="231">
        <v>1288.0999999999999</v>
      </c>
      <c r="K49" s="231">
        <v>1316.8</v>
      </c>
      <c r="L49" s="228">
        <v>-28.7</v>
      </c>
      <c r="M49" s="229">
        <v>-2.18E-2</v>
      </c>
      <c r="N49" s="231">
        <v>1284.7</v>
      </c>
      <c r="O49" s="231">
        <v>1316.8</v>
      </c>
      <c r="P49" s="228">
        <v>-32.1</v>
      </c>
      <c r="Q49" s="229">
        <v>-2.4400000000000002E-2</v>
      </c>
      <c r="R49" s="231">
        <v>1288.4000000000001</v>
      </c>
      <c r="S49" s="231">
        <v>1321</v>
      </c>
      <c r="T49" s="228">
        <v>-32.6</v>
      </c>
      <c r="U49" s="229">
        <v>-2.47E-2</v>
      </c>
      <c r="V49" s="231">
        <v>1295.5999999999999</v>
      </c>
      <c r="W49" s="231">
        <v>1327.9</v>
      </c>
      <c r="X49" s="228">
        <v>-32.299999999999997</v>
      </c>
      <c r="Y49" s="229">
        <v>-2.4299999999999999E-2</v>
      </c>
      <c r="Z49" s="228">
        <v>-3.4</v>
      </c>
      <c r="AA49" s="228">
        <v>0</v>
      </c>
      <c r="AB49" s="228">
        <v>-3.4</v>
      </c>
      <c r="AC49" s="229">
        <v>-2.5999999999999999E-3</v>
      </c>
      <c r="AD49" s="228">
        <v>-3.4</v>
      </c>
      <c r="AE49" s="228">
        <v>0</v>
      </c>
      <c r="AF49" s="228">
        <v>-3.4</v>
      </c>
      <c r="AG49" s="229">
        <v>-2.5999999999999999E-3</v>
      </c>
      <c r="AH49" s="228">
        <v>0.3</v>
      </c>
      <c r="AI49" s="228">
        <v>4.2</v>
      </c>
      <c r="AJ49" s="228">
        <v>-3.9</v>
      </c>
      <c r="AK49" s="229">
        <v>2.0000000000000001E-4</v>
      </c>
      <c r="AL49" s="228">
        <v>7.5</v>
      </c>
      <c r="AM49" s="228">
        <v>11.1</v>
      </c>
      <c r="AN49" s="228">
        <v>-3.6</v>
      </c>
      <c r="AO49" s="229">
        <v>5.7999999999999996E-3</v>
      </c>
      <c r="AP49" s="231">
        <v>1296.6300000000001</v>
      </c>
      <c r="AQ49" s="231">
        <v>1300.51</v>
      </c>
      <c r="AR49" s="228">
        <v>0</v>
      </c>
      <c r="AS49" s="228">
        <v>341</v>
      </c>
      <c r="AT49" s="228">
        <v>298</v>
      </c>
      <c r="AU49" s="228">
        <v>43</v>
      </c>
      <c r="AV49" s="229">
        <v>0.14299999999999999</v>
      </c>
      <c r="AW49" s="228">
        <v>272</v>
      </c>
      <c r="AX49" s="228">
        <v>253</v>
      </c>
      <c r="AY49" s="228">
        <v>19</v>
      </c>
      <c r="AZ49" s="229">
        <v>7.6200000000000004E-2</v>
      </c>
      <c r="BA49" s="228">
        <v>65</v>
      </c>
      <c r="BB49" s="228">
        <v>42</v>
      </c>
      <c r="BC49" s="228">
        <v>22</v>
      </c>
      <c r="BD49" s="229">
        <v>0.52610000000000001</v>
      </c>
      <c r="BE49" s="228">
        <v>4</v>
      </c>
      <c r="BF49" s="228">
        <v>3</v>
      </c>
      <c r="BG49" s="228">
        <v>1</v>
      </c>
      <c r="BH49" s="229">
        <v>0.33850000000000002</v>
      </c>
      <c r="BI49" s="228">
        <v>662</v>
      </c>
      <c r="BJ49" s="228">
        <v>837</v>
      </c>
      <c r="BK49" s="228">
        <v>-175</v>
      </c>
      <c r="BL49" s="229">
        <v>-0.2092</v>
      </c>
      <c r="BM49" s="228">
        <v>384</v>
      </c>
      <c r="BN49" s="228">
        <v>464</v>
      </c>
      <c r="BO49" s="228">
        <v>-80</v>
      </c>
      <c r="BP49" s="229">
        <v>-0.1724</v>
      </c>
      <c r="BQ49" s="230">
        <v>1387</v>
      </c>
      <c r="BR49" s="230">
        <v>1600</v>
      </c>
      <c r="BS49" s="228">
        <v>-212</v>
      </c>
      <c r="BT49" s="229">
        <v>-0.1328</v>
      </c>
      <c r="BU49" s="230">
        <v>2083521</v>
      </c>
      <c r="BV49" s="230">
        <v>2914113</v>
      </c>
      <c r="BW49" s="230">
        <v>-830592</v>
      </c>
      <c r="BX49" s="229">
        <v>-0.28499999999999998</v>
      </c>
      <c r="BY49" s="230">
        <v>2312</v>
      </c>
      <c r="BZ49" s="230">
        <v>2349</v>
      </c>
      <c r="CA49" s="228">
        <v>-37</v>
      </c>
      <c r="CB49" s="229">
        <v>-1.5900000000000001E-2</v>
      </c>
      <c r="CC49" s="230">
        <v>2141</v>
      </c>
      <c r="CD49" s="230">
        <v>2209</v>
      </c>
      <c r="CE49" s="228">
        <v>-68</v>
      </c>
      <c r="CF49" s="229">
        <v>-3.0800000000000001E-2</v>
      </c>
      <c r="CG49" s="228">
        <v>158</v>
      </c>
      <c r="CH49" s="228">
        <v>129</v>
      </c>
      <c r="CI49" s="228">
        <v>29</v>
      </c>
      <c r="CJ49" s="229">
        <v>0.22520000000000001</v>
      </c>
      <c r="CK49" s="228">
        <v>13</v>
      </c>
      <c r="CL49" s="228">
        <v>12</v>
      </c>
      <c r="CM49" s="228">
        <v>2</v>
      </c>
      <c r="CN49" s="229">
        <v>0.1358</v>
      </c>
      <c r="CO49" s="230">
        <v>1023</v>
      </c>
      <c r="CP49" s="228">
        <v>981</v>
      </c>
      <c r="CQ49" s="228">
        <v>41</v>
      </c>
      <c r="CR49" s="229">
        <v>4.2200000000000001E-2</v>
      </c>
      <c r="CS49" s="228">
        <v>630</v>
      </c>
      <c r="CT49" s="228">
        <v>635</v>
      </c>
      <c r="CU49" s="228">
        <v>-5</v>
      </c>
      <c r="CV49" s="229">
        <v>-8.0000000000000002E-3</v>
      </c>
      <c r="CW49" s="230">
        <v>3965</v>
      </c>
      <c r="CX49" s="230">
        <v>3966</v>
      </c>
      <c r="CY49" s="228">
        <v>-1</v>
      </c>
      <c r="CZ49" s="229">
        <v>-2.0000000000000001E-4</v>
      </c>
      <c r="DA49" s="228">
        <v>46.1</v>
      </c>
      <c r="DB49" s="228">
        <v>39.99</v>
      </c>
      <c r="DC49" s="228">
        <v>6.11</v>
      </c>
      <c r="DD49" s="228">
        <v>6.11</v>
      </c>
      <c r="DE49" s="228">
        <v>43.2</v>
      </c>
      <c r="DF49" s="228">
        <v>43.2</v>
      </c>
      <c r="DG49" s="228">
        <v>2.9</v>
      </c>
      <c r="DH49" s="228">
        <v>0</v>
      </c>
      <c r="DI49" s="228">
        <v>45.3</v>
      </c>
      <c r="DJ49" s="228">
        <v>38.700000000000003</v>
      </c>
      <c r="DK49" s="228">
        <v>6.6</v>
      </c>
      <c r="DL49" s="228">
        <v>6.6</v>
      </c>
      <c r="DM49" s="228">
        <v>47.48</v>
      </c>
      <c r="DN49" s="228">
        <v>42.31</v>
      </c>
      <c r="DO49" s="228">
        <v>5.17</v>
      </c>
      <c r="DP49" s="228">
        <v>5.17</v>
      </c>
      <c r="DQ49" s="228">
        <v>0.62</v>
      </c>
      <c r="DR49" s="228">
        <v>0.65</v>
      </c>
      <c r="DS49" s="228">
        <v>-0.03</v>
      </c>
      <c r="DT49" s="229">
        <v>-4.6199999999999998E-2</v>
      </c>
      <c r="DU49" s="231">
        <v>1300</v>
      </c>
      <c r="DV49" s="231">
        <v>1220</v>
      </c>
      <c r="DW49" s="228">
        <v>0.57999999999999996</v>
      </c>
      <c r="DX49" s="228">
        <v>0.55000000000000004</v>
      </c>
      <c r="DY49" s="228">
        <v>0.03</v>
      </c>
      <c r="DZ49" s="229">
        <v>5.45E-2</v>
      </c>
      <c r="EA49" s="229">
        <v>7.4200000000000002E-2</v>
      </c>
      <c r="EB49" s="230">
        <v>1096875</v>
      </c>
      <c r="EC49" s="229">
        <v>2.8999999999999998E-3</v>
      </c>
      <c r="ED49" s="229">
        <v>7.4200000000000002E-2</v>
      </c>
      <c r="EE49" s="228">
        <v>3.88</v>
      </c>
      <c r="EF49" s="229">
        <v>3.0000000000000001E-3</v>
      </c>
      <c r="EG49" s="230">
        <v>977078</v>
      </c>
      <c r="EH49" s="230">
        <v>1377808</v>
      </c>
      <c r="EI49" s="229">
        <v>-0.2908</v>
      </c>
      <c r="EJ49" s="229">
        <v>0.46899999999999997</v>
      </c>
      <c r="EK49" s="228">
        <v>703.49</v>
      </c>
      <c r="EL49" s="228">
        <v>384.41</v>
      </c>
      <c r="EM49" s="228">
        <v>344.49</v>
      </c>
      <c r="EN49" s="228">
        <v>76.55</v>
      </c>
      <c r="EO49" s="231">
        <v>1432.38</v>
      </c>
      <c r="EP49" s="231">
        <v>1666.94</v>
      </c>
      <c r="EQ49" s="228">
        <v>-234.56</v>
      </c>
      <c r="ER49" s="229">
        <v>-0.14069999999999999</v>
      </c>
      <c r="ES49" s="231">
        <v>1010.29</v>
      </c>
      <c r="ET49" s="228">
        <v>591.95000000000005</v>
      </c>
      <c r="EU49" s="231">
        <v>2312.7399999999998</v>
      </c>
      <c r="EV49" s="231">
        <v>50256271</v>
      </c>
      <c r="EW49" s="231">
        <v>3914.98</v>
      </c>
      <c r="EX49" s="231">
        <v>3972.76</v>
      </c>
      <c r="EY49" s="228">
        <v>-57.78</v>
      </c>
      <c r="EZ49" s="229">
        <v>-1.4500000000000001E-2</v>
      </c>
      <c r="FA49" s="229">
        <v>0.61419999999999997</v>
      </c>
      <c r="FB49" s="227" t="s">
        <v>567</v>
      </c>
      <c r="FC49">
        <f t="shared" si="0"/>
        <v>171</v>
      </c>
    </row>
    <row r="50" spans="1:159" ht="17.25" thickBot="1" x14ac:dyDescent="0.3">
      <c r="A50" s="226">
        <v>46132</v>
      </c>
      <c r="B50" s="227" t="s">
        <v>168</v>
      </c>
      <c r="C50" s="227" t="s">
        <v>201</v>
      </c>
      <c r="D50" s="228">
        <v>225</v>
      </c>
      <c r="E50" s="228">
        <v>8</v>
      </c>
      <c r="F50" s="231">
        <v>2122.6</v>
      </c>
      <c r="G50" s="231">
        <v>2109.1999999999998</v>
      </c>
      <c r="H50" s="228">
        <v>13.4</v>
      </c>
      <c r="I50" s="229">
        <v>6.4000000000000003E-3</v>
      </c>
      <c r="J50" s="231">
        <v>2129</v>
      </c>
      <c r="K50" s="231">
        <v>2106</v>
      </c>
      <c r="L50" s="228">
        <v>23</v>
      </c>
      <c r="M50" s="229">
        <v>1.09E-2</v>
      </c>
      <c r="N50" s="231">
        <v>2122.6</v>
      </c>
      <c r="O50" s="231">
        <v>2109.1999999999998</v>
      </c>
      <c r="P50" s="228">
        <v>13.4</v>
      </c>
      <c r="Q50" s="229">
        <v>6.4000000000000003E-3</v>
      </c>
      <c r="R50" s="231">
        <v>2108.4</v>
      </c>
      <c r="S50" s="231">
        <v>2101.6</v>
      </c>
      <c r="T50" s="228">
        <v>6.8</v>
      </c>
      <c r="U50" s="229">
        <v>3.2000000000000002E-3</v>
      </c>
      <c r="V50" s="231">
        <v>2103.1</v>
      </c>
      <c r="W50" s="231">
        <v>2098.6</v>
      </c>
      <c r="X50" s="228">
        <v>4.5</v>
      </c>
      <c r="Y50" s="229">
        <v>2.0999999999999999E-3</v>
      </c>
      <c r="Z50" s="228">
        <v>-6.4</v>
      </c>
      <c r="AA50" s="228">
        <v>3.2</v>
      </c>
      <c r="AB50" s="228">
        <v>-9.6</v>
      </c>
      <c r="AC50" s="229">
        <v>-3.0000000000000001E-3</v>
      </c>
      <c r="AD50" s="228">
        <v>-6.4</v>
      </c>
      <c r="AE50" s="228">
        <v>3.2</v>
      </c>
      <c r="AF50" s="228">
        <v>-9.6</v>
      </c>
      <c r="AG50" s="229">
        <v>-3.0000000000000001E-3</v>
      </c>
      <c r="AH50" s="228">
        <v>-20.6</v>
      </c>
      <c r="AI50" s="228">
        <v>-4.4000000000000004</v>
      </c>
      <c r="AJ50" s="228">
        <v>-16.2</v>
      </c>
      <c r="AK50" s="229">
        <v>-9.7000000000000003E-3</v>
      </c>
      <c r="AL50" s="228">
        <v>-25.9</v>
      </c>
      <c r="AM50" s="228">
        <v>-7.4</v>
      </c>
      <c r="AN50" s="228">
        <v>-18.5</v>
      </c>
      <c r="AO50" s="229">
        <v>-1.2200000000000001E-2</v>
      </c>
      <c r="AP50" s="231">
        <v>2121.8000000000002</v>
      </c>
      <c r="AQ50" s="231">
        <v>2113.44</v>
      </c>
      <c r="AR50" s="228">
        <v>0</v>
      </c>
      <c r="AS50" s="228">
        <v>202</v>
      </c>
      <c r="AT50" s="228">
        <v>671</v>
      </c>
      <c r="AU50" s="228">
        <v>-469</v>
      </c>
      <c r="AV50" s="229">
        <v>-0.69950000000000001</v>
      </c>
      <c r="AW50" s="228">
        <v>173</v>
      </c>
      <c r="AX50" s="228">
        <v>602</v>
      </c>
      <c r="AY50" s="228">
        <v>-429</v>
      </c>
      <c r="AZ50" s="229">
        <v>-0.71289999999999998</v>
      </c>
      <c r="BA50" s="228">
        <v>26</v>
      </c>
      <c r="BB50" s="228">
        <v>62</v>
      </c>
      <c r="BC50" s="228">
        <v>-35</v>
      </c>
      <c r="BD50" s="229">
        <v>-0.57250000000000001</v>
      </c>
      <c r="BE50" s="228">
        <v>2</v>
      </c>
      <c r="BF50" s="228">
        <v>7</v>
      </c>
      <c r="BG50" s="228">
        <v>-4</v>
      </c>
      <c r="BH50" s="229">
        <v>-0.66200000000000003</v>
      </c>
      <c r="BI50" s="230">
        <v>1029</v>
      </c>
      <c r="BJ50" s="230">
        <v>5907</v>
      </c>
      <c r="BK50" s="230">
        <v>-4877</v>
      </c>
      <c r="BL50" s="229">
        <v>-0.82579999999999998</v>
      </c>
      <c r="BM50" s="228">
        <v>435</v>
      </c>
      <c r="BN50" s="230">
        <v>2221</v>
      </c>
      <c r="BO50" s="230">
        <v>-1785</v>
      </c>
      <c r="BP50" s="229">
        <v>-0.80400000000000005</v>
      </c>
      <c r="BQ50" s="230">
        <v>1666</v>
      </c>
      <c r="BR50" s="230">
        <v>8798</v>
      </c>
      <c r="BS50" s="230">
        <v>-7132</v>
      </c>
      <c r="BT50" s="229">
        <v>-0.81059999999999999</v>
      </c>
      <c r="BU50" s="230">
        <v>612975</v>
      </c>
      <c r="BV50" s="230">
        <v>2217997</v>
      </c>
      <c r="BW50" s="230">
        <v>-1605022</v>
      </c>
      <c r="BX50" s="229">
        <v>-0.72360000000000002</v>
      </c>
      <c r="BY50" s="230">
        <v>1236</v>
      </c>
      <c r="BZ50" s="230">
        <v>1240</v>
      </c>
      <c r="CA50" s="228">
        <v>-4</v>
      </c>
      <c r="CB50" s="229">
        <v>-3.0999999999999999E-3</v>
      </c>
      <c r="CC50" s="230">
        <v>1156</v>
      </c>
      <c r="CD50" s="230">
        <v>1167</v>
      </c>
      <c r="CE50" s="228">
        <v>-11</v>
      </c>
      <c r="CF50" s="229">
        <v>-9.1000000000000004E-3</v>
      </c>
      <c r="CG50" s="228">
        <v>75</v>
      </c>
      <c r="CH50" s="228">
        <v>68</v>
      </c>
      <c r="CI50" s="228">
        <v>7</v>
      </c>
      <c r="CJ50" s="229">
        <v>9.7799999999999998E-2</v>
      </c>
      <c r="CK50" s="228">
        <v>6</v>
      </c>
      <c r="CL50" s="228">
        <v>6</v>
      </c>
      <c r="CM50" s="228">
        <v>0</v>
      </c>
      <c r="CN50" s="229">
        <v>1.6500000000000001E-2</v>
      </c>
      <c r="CO50" s="228">
        <v>489</v>
      </c>
      <c r="CP50" s="228">
        <v>570</v>
      </c>
      <c r="CQ50" s="228">
        <v>-82</v>
      </c>
      <c r="CR50" s="229">
        <v>-0.1431</v>
      </c>
      <c r="CS50" s="228">
        <v>375</v>
      </c>
      <c r="CT50" s="228">
        <v>419</v>
      </c>
      <c r="CU50" s="228">
        <v>-43</v>
      </c>
      <c r="CV50" s="229">
        <v>-0.1038</v>
      </c>
      <c r="CW50" s="230">
        <v>2100</v>
      </c>
      <c r="CX50" s="230">
        <v>2229</v>
      </c>
      <c r="CY50" s="228">
        <v>-129</v>
      </c>
      <c r="CZ50" s="229">
        <v>-5.7799999999999997E-2</v>
      </c>
      <c r="DA50" s="228">
        <v>33.619999999999997</v>
      </c>
      <c r="DB50" s="228">
        <v>31.34</v>
      </c>
      <c r="DC50" s="228">
        <v>2.2799999999999998</v>
      </c>
      <c r="DD50" s="228">
        <v>2.2799999999999998</v>
      </c>
      <c r="DE50" s="228">
        <v>30.68</v>
      </c>
      <c r="DF50" s="228">
        <v>30.74</v>
      </c>
      <c r="DG50" s="228">
        <v>2.94</v>
      </c>
      <c r="DH50" s="228">
        <v>-0.06</v>
      </c>
      <c r="DI50" s="228">
        <v>33.020000000000003</v>
      </c>
      <c r="DJ50" s="228">
        <v>30.83</v>
      </c>
      <c r="DK50" s="228">
        <v>2.19</v>
      </c>
      <c r="DL50" s="228">
        <v>2.19</v>
      </c>
      <c r="DM50" s="228">
        <v>35.049999999999997</v>
      </c>
      <c r="DN50" s="228">
        <v>32.68</v>
      </c>
      <c r="DO50" s="228">
        <v>2.37</v>
      </c>
      <c r="DP50" s="228">
        <v>2.37</v>
      </c>
      <c r="DQ50" s="228">
        <v>0.77</v>
      </c>
      <c r="DR50" s="228">
        <v>0.73</v>
      </c>
      <c r="DS50" s="228">
        <v>0.04</v>
      </c>
      <c r="DT50" s="229">
        <v>5.4800000000000001E-2</v>
      </c>
      <c r="DU50" s="231">
        <v>2200</v>
      </c>
      <c r="DV50" s="231">
        <v>2100</v>
      </c>
      <c r="DW50" s="228">
        <v>0.42</v>
      </c>
      <c r="DX50" s="228">
        <v>0.38</v>
      </c>
      <c r="DY50" s="228">
        <v>0.04</v>
      </c>
      <c r="DZ50" s="229">
        <v>0.1053</v>
      </c>
      <c r="EA50" s="229">
        <v>6.5000000000000002E-2</v>
      </c>
      <c r="EB50" s="230">
        <v>346950</v>
      </c>
      <c r="EC50" s="229">
        <v>-6.7000000000000002E-3</v>
      </c>
      <c r="ED50" s="229">
        <v>6.5000000000000002E-2</v>
      </c>
      <c r="EE50" s="228">
        <v>-8.36</v>
      </c>
      <c r="EF50" s="229">
        <v>-3.8999999999999998E-3</v>
      </c>
      <c r="EG50" s="230">
        <v>285115</v>
      </c>
      <c r="EH50" s="230">
        <v>708994</v>
      </c>
      <c r="EI50" s="229">
        <v>-0.59789999999999999</v>
      </c>
      <c r="EJ50" s="229">
        <v>0.46510000000000001</v>
      </c>
      <c r="EK50" s="231">
        <v>1072.3900000000001</v>
      </c>
      <c r="EL50" s="228">
        <v>422.73</v>
      </c>
      <c r="EM50" s="228">
        <v>201.44</v>
      </c>
      <c r="EN50" s="228">
        <v>60.78</v>
      </c>
      <c r="EO50" s="231">
        <v>1696.56</v>
      </c>
      <c r="EP50" s="231">
        <v>8840.01</v>
      </c>
      <c r="EQ50" s="231">
        <v>-7143.45</v>
      </c>
      <c r="ER50" s="229">
        <v>-0.80810000000000004</v>
      </c>
      <c r="ES50" s="228">
        <v>486.82</v>
      </c>
      <c r="ET50" s="228">
        <v>348.39</v>
      </c>
      <c r="EU50" s="231">
        <v>1235.72</v>
      </c>
      <c r="EV50" s="231">
        <v>19054573</v>
      </c>
      <c r="EW50" s="231">
        <v>2070.94</v>
      </c>
      <c r="EX50" s="231">
        <v>2190.83</v>
      </c>
      <c r="EY50" s="228">
        <v>-119.89</v>
      </c>
      <c r="EZ50" s="229">
        <v>-5.4699999999999999E-2</v>
      </c>
      <c r="FA50" s="229">
        <v>0.51919999999999999</v>
      </c>
      <c r="FB50" s="227" t="s">
        <v>693</v>
      </c>
      <c r="FC50">
        <f t="shared" si="0"/>
        <v>80</v>
      </c>
    </row>
    <row r="51" spans="1:159" ht="17.25" thickBot="1" x14ac:dyDescent="0.3">
      <c r="A51" s="226">
        <v>46132</v>
      </c>
      <c r="B51" s="227" t="s">
        <v>215</v>
      </c>
      <c r="C51" s="227" t="s">
        <v>202</v>
      </c>
      <c r="D51" s="228">
        <v>1250</v>
      </c>
      <c r="E51" s="228">
        <v>8</v>
      </c>
      <c r="F51" s="228">
        <v>501.95</v>
      </c>
      <c r="G51" s="228">
        <v>504.5</v>
      </c>
      <c r="H51" s="228">
        <v>-2.5499999999999998</v>
      </c>
      <c r="I51" s="229">
        <v>-5.1000000000000004E-3</v>
      </c>
      <c r="J51" s="228">
        <v>501.05</v>
      </c>
      <c r="K51" s="228">
        <v>503.1</v>
      </c>
      <c r="L51" s="228">
        <v>-2.0499999999999998</v>
      </c>
      <c r="M51" s="229">
        <v>-4.1000000000000003E-3</v>
      </c>
      <c r="N51" s="228">
        <v>501.95</v>
      </c>
      <c r="O51" s="228">
        <v>504.5</v>
      </c>
      <c r="P51" s="228">
        <v>-2.5499999999999998</v>
      </c>
      <c r="Q51" s="229">
        <v>-5.1000000000000004E-3</v>
      </c>
      <c r="R51" s="228">
        <v>504.5</v>
      </c>
      <c r="S51" s="228">
        <v>506.95</v>
      </c>
      <c r="T51" s="228">
        <v>-2.4500000000000002</v>
      </c>
      <c r="U51" s="229">
        <v>-4.7999999999999996E-3</v>
      </c>
      <c r="V51" s="228">
        <v>507.7</v>
      </c>
      <c r="W51" s="228">
        <v>509.2</v>
      </c>
      <c r="X51" s="228">
        <v>-1.5</v>
      </c>
      <c r="Y51" s="229">
        <v>-2.8999999999999998E-3</v>
      </c>
      <c r="Z51" s="228">
        <v>0.9</v>
      </c>
      <c r="AA51" s="228">
        <v>1.4</v>
      </c>
      <c r="AB51" s="228">
        <v>-0.5</v>
      </c>
      <c r="AC51" s="229">
        <v>1.8E-3</v>
      </c>
      <c r="AD51" s="228">
        <v>0.9</v>
      </c>
      <c r="AE51" s="228">
        <v>1.4</v>
      </c>
      <c r="AF51" s="228">
        <v>-0.5</v>
      </c>
      <c r="AG51" s="229">
        <v>1.8E-3</v>
      </c>
      <c r="AH51" s="228">
        <v>3.45</v>
      </c>
      <c r="AI51" s="228">
        <v>3.85</v>
      </c>
      <c r="AJ51" s="228">
        <v>-0.4</v>
      </c>
      <c r="AK51" s="229">
        <v>6.8999999999999999E-3</v>
      </c>
      <c r="AL51" s="228">
        <v>6.65</v>
      </c>
      <c r="AM51" s="228">
        <v>6.1</v>
      </c>
      <c r="AN51" s="228">
        <v>0.55000000000000004</v>
      </c>
      <c r="AO51" s="229">
        <v>1.3299999999999999E-2</v>
      </c>
      <c r="AP51" s="228">
        <v>505.78</v>
      </c>
      <c r="AQ51" s="228">
        <v>508.33</v>
      </c>
      <c r="AR51" s="228">
        <v>0</v>
      </c>
      <c r="AS51" s="228">
        <v>156</v>
      </c>
      <c r="AT51" s="228">
        <v>227</v>
      </c>
      <c r="AU51" s="228">
        <v>-71</v>
      </c>
      <c r="AV51" s="229">
        <v>-0.314</v>
      </c>
      <c r="AW51" s="228">
        <v>112</v>
      </c>
      <c r="AX51" s="228">
        <v>180</v>
      </c>
      <c r="AY51" s="228">
        <v>-68</v>
      </c>
      <c r="AZ51" s="229">
        <v>-0.37909999999999999</v>
      </c>
      <c r="BA51" s="228">
        <v>40</v>
      </c>
      <c r="BB51" s="228">
        <v>44</v>
      </c>
      <c r="BC51" s="228">
        <v>-4</v>
      </c>
      <c r="BD51" s="229">
        <v>-0.1</v>
      </c>
      <c r="BE51" s="228">
        <v>4</v>
      </c>
      <c r="BF51" s="228">
        <v>3</v>
      </c>
      <c r="BG51" s="228">
        <v>1</v>
      </c>
      <c r="BH51" s="229">
        <v>0.45829999999999999</v>
      </c>
      <c r="BI51" s="228">
        <v>258</v>
      </c>
      <c r="BJ51" s="228">
        <v>349</v>
      </c>
      <c r="BK51" s="228">
        <v>-91</v>
      </c>
      <c r="BL51" s="229">
        <v>-0.26069999999999999</v>
      </c>
      <c r="BM51" s="228">
        <v>100</v>
      </c>
      <c r="BN51" s="228">
        <v>144</v>
      </c>
      <c r="BO51" s="228">
        <v>-44</v>
      </c>
      <c r="BP51" s="229">
        <v>-0.30509999999999998</v>
      </c>
      <c r="BQ51" s="228">
        <v>514</v>
      </c>
      <c r="BR51" s="228">
        <v>721</v>
      </c>
      <c r="BS51" s="228">
        <v>-206</v>
      </c>
      <c r="BT51" s="229">
        <v>-0.28639999999999999</v>
      </c>
      <c r="BU51" s="230">
        <v>1351995</v>
      </c>
      <c r="BV51" s="230">
        <v>1774369</v>
      </c>
      <c r="BW51" s="230">
        <v>-422374</v>
      </c>
      <c r="BX51" s="229">
        <v>-0.23799999999999999</v>
      </c>
      <c r="BY51" s="230">
        <v>1293</v>
      </c>
      <c r="BZ51" s="230">
        <v>1298</v>
      </c>
      <c r="CA51" s="228">
        <v>-4</v>
      </c>
      <c r="CB51" s="229">
        <v>-3.3E-3</v>
      </c>
      <c r="CC51" s="230">
        <v>1185</v>
      </c>
      <c r="CD51" s="230">
        <v>1214</v>
      </c>
      <c r="CE51" s="228">
        <v>-29</v>
      </c>
      <c r="CF51" s="229">
        <v>-2.4199999999999999E-2</v>
      </c>
      <c r="CG51" s="228">
        <v>101</v>
      </c>
      <c r="CH51" s="228">
        <v>78</v>
      </c>
      <c r="CI51" s="228">
        <v>23</v>
      </c>
      <c r="CJ51" s="229">
        <v>0.2964</v>
      </c>
      <c r="CK51" s="228">
        <v>7</v>
      </c>
      <c r="CL51" s="228">
        <v>5</v>
      </c>
      <c r="CM51" s="228">
        <v>2</v>
      </c>
      <c r="CN51" s="229">
        <v>0.36899999999999999</v>
      </c>
      <c r="CO51" s="228">
        <v>309</v>
      </c>
      <c r="CP51" s="228">
        <v>309</v>
      </c>
      <c r="CQ51" s="228">
        <v>0</v>
      </c>
      <c r="CR51" s="229">
        <v>1.1999999999999999E-3</v>
      </c>
      <c r="CS51" s="228">
        <v>247</v>
      </c>
      <c r="CT51" s="228">
        <v>251</v>
      </c>
      <c r="CU51" s="228">
        <v>-5</v>
      </c>
      <c r="CV51" s="229">
        <v>-1.9E-2</v>
      </c>
      <c r="CW51" s="230">
        <v>1849</v>
      </c>
      <c r="CX51" s="230">
        <v>1858</v>
      </c>
      <c r="CY51" s="228">
        <v>-9</v>
      </c>
      <c r="CZ51" s="229">
        <v>-4.7000000000000002E-3</v>
      </c>
      <c r="DA51" s="228">
        <v>33.9</v>
      </c>
      <c r="DB51" s="228">
        <v>30.29</v>
      </c>
      <c r="DC51" s="228">
        <v>3.61</v>
      </c>
      <c r="DD51" s="228">
        <v>3.61</v>
      </c>
      <c r="DE51" s="228">
        <v>34.94</v>
      </c>
      <c r="DF51" s="228">
        <v>35.020000000000003</v>
      </c>
      <c r="DG51" s="228">
        <v>-1.04</v>
      </c>
      <c r="DH51" s="228">
        <v>-0.08</v>
      </c>
      <c r="DI51" s="228">
        <v>33.200000000000003</v>
      </c>
      <c r="DJ51" s="228">
        <v>29.48</v>
      </c>
      <c r="DK51" s="228">
        <v>3.72</v>
      </c>
      <c r="DL51" s="228">
        <v>3.72</v>
      </c>
      <c r="DM51" s="228">
        <v>35.700000000000003</v>
      </c>
      <c r="DN51" s="228">
        <v>32.25</v>
      </c>
      <c r="DO51" s="228">
        <v>3.45</v>
      </c>
      <c r="DP51" s="228">
        <v>3.45</v>
      </c>
      <c r="DQ51" s="228">
        <v>0.8</v>
      </c>
      <c r="DR51" s="228">
        <v>0.81</v>
      </c>
      <c r="DS51" s="228">
        <v>-0.01</v>
      </c>
      <c r="DT51" s="229">
        <v>-1.23E-2</v>
      </c>
      <c r="DU51" s="228">
        <v>530</v>
      </c>
      <c r="DV51" s="228">
        <v>500</v>
      </c>
      <c r="DW51" s="228">
        <v>0.39</v>
      </c>
      <c r="DX51" s="228">
        <v>0.41</v>
      </c>
      <c r="DY51" s="228">
        <v>-0.02</v>
      </c>
      <c r="DZ51" s="229">
        <v>-4.8800000000000003E-2</v>
      </c>
      <c r="EA51" s="229">
        <v>8.3900000000000002E-2</v>
      </c>
      <c r="EB51" s="230">
        <v>1661250</v>
      </c>
      <c r="EC51" s="229">
        <v>5.1000000000000004E-3</v>
      </c>
      <c r="ED51" s="229">
        <v>8.3900000000000002E-2</v>
      </c>
      <c r="EE51" s="228">
        <v>2.5499999999999998</v>
      </c>
      <c r="EF51" s="229">
        <v>5.0000000000000001E-3</v>
      </c>
      <c r="EG51" s="230">
        <v>602465</v>
      </c>
      <c r="EH51" s="230">
        <v>794444</v>
      </c>
      <c r="EI51" s="229">
        <v>-0.2417</v>
      </c>
      <c r="EJ51" s="229">
        <v>0.4456</v>
      </c>
      <c r="EK51" s="228">
        <v>269.83</v>
      </c>
      <c r="EL51" s="228">
        <v>100.1</v>
      </c>
      <c r="EM51" s="228">
        <v>157.04</v>
      </c>
      <c r="EN51" s="228">
        <v>23.61</v>
      </c>
      <c r="EO51" s="228">
        <v>526.97</v>
      </c>
      <c r="EP51" s="228">
        <v>737.28</v>
      </c>
      <c r="EQ51" s="228">
        <v>-210.31</v>
      </c>
      <c r="ER51" s="229">
        <v>-0.2853</v>
      </c>
      <c r="ES51" s="228">
        <v>307.39</v>
      </c>
      <c r="ET51" s="228">
        <v>234.55</v>
      </c>
      <c r="EU51" s="231">
        <v>1294</v>
      </c>
      <c r="EV51" s="231">
        <v>51639257</v>
      </c>
      <c r="EW51" s="231">
        <v>1835.94</v>
      </c>
      <c r="EX51" s="231">
        <v>1850.08</v>
      </c>
      <c r="EY51" s="228">
        <v>-14.14</v>
      </c>
      <c r="EZ51" s="229">
        <v>-7.6E-3</v>
      </c>
      <c r="FA51" s="229">
        <v>0.71340000000000003</v>
      </c>
      <c r="FB51" s="227" t="s">
        <v>567</v>
      </c>
      <c r="FC51">
        <f t="shared" si="0"/>
        <v>108</v>
      </c>
    </row>
    <row r="52" spans="1:159" ht="17.25" thickBot="1" x14ac:dyDescent="0.3">
      <c r="A52" s="226">
        <v>46132</v>
      </c>
      <c r="B52" s="227" t="s">
        <v>184</v>
      </c>
      <c r="C52" s="227" t="s">
        <v>523</v>
      </c>
      <c r="D52" s="228">
        <v>1800</v>
      </c>
      <c r="E52" s="228">
        <v>8</v>
      </c>
      <c r="F52" s="228">
        <v>260.98</v>
      </c>
      <c r="G52" s="228">
        <v>261.39</v>
      </c>
      <c r="H52" s="228">
        <v>-0.41</v>
      </c>
      <c r="I52" s="229">
        <v>-1.6000000000000001E-3</v>
      </c>
      <c r="J52" s="228">
        <v>261.22000000000003</v>
      </c>
      <c r="K52" s="228">
        <v>261.45</v>
      </c>
      <c r="L52" s="228">
        <v>-0.23</v>
      </c>
      <c r="M52" s="229">
        <v>-8.9999999999999998E-4</v>
      </c>
      <c r="N52" s="228">
        <v>260.98</v>
      </c>
      <c r="O52" s="228">
        <v>261.39</v>
      </c>
      <c r="P52" s="228">
        <v>-0.41</v>
      </c>
      <c r="Q52" s="229">
        <v>-1.6000000000000001E-3</v>
      </c>
      <c r="R52" s="228">
        <v>262.07</v>
      </c>
      <c r="S52" s="228">
        <v>262.99</v>
      </c>
      <c r="T52" s="228">
        <v>-0.92</v>
      </c>
      <c r="U52" s="229">
        <v>-3.5000000000000001E-3</v>
      </c>
      <c r="V52" s="228">
        <v>263.48</v>
      </c>
      <c r="W52" s="228">
        <v>264.95</v>
      </c>
      <c r="X52" s="228">
        <v>-1.47</v>
      </c>
      <c r="Y52" s="229">
        <v>-5.4999999999999997E-3</v>
      </c>
      <c r="Z52" s="228">
        <v>-0.24</v>
      </c>
      <c r="AA52" s="228">
        <v>-0.06</v>
      </c>
      <c r="AB52" s="228">
        <v>-0.18</v>
      </c>
      <c r="AC52" s="229">
        <v>-8.9999999999999998E-4</v>
      </c>
      <c r="AD52" s="228">
        <v>-0.24</v>
      </c>
      <c r="AE52" s="228">
        <v>-0.06</v>
      </c>
      <c r="AF52" s="228">
        <v>-0.18</v>
      </c>
      <c r="AG52" s="229">
        <v>-8.9999999999999998E-4</v>
      </c>
      <c r="AH52" s="228">
        <v>0.85</v>
      </c>
      <c r="AI52" s="228">
        <v>1.54</v>
      </c>
      <c r="AJ52" s="228">
        <v>-0.69</v>
      </c>
      <c r="AK52" s="229">
        <v>3.3E-3</v>
      </c>
      <c r="AL52" s="228">
        <v>2.2599999999999998</v>
      </c>
      <c r="AM52" s="228">
        <v>3.5</v>
      </c>
      <c r="AN52" s="228">
        <v>-1.24</v>
      </c>
      <c r="AO52" s="229">
        <v>8.6999999999999994E-3</v>
      </c>
      <c r="AP52" s="228">
        <v>262.5</v>
      </c>
      <c r="AQ52" s="228">
        <v>264.29000000000002</v>
      </c>
      <c r="AR52" s="228">
        <v>0</v>
      </c>
      <c r="AS52" s="228">
        <v>140</v>
      </c>
      <c r="AT52" s="228">
        <v>139</v>
      </c>
      <c r="AU52" s="228">
        <v>2</v>
      </c>
      <c r="AV52" s="229">
        <v>1.2200000000000001E-2</v>
      </c>
      <c r="AW52" s="228">
        <v>119</v>
      </c>
      <c r="AX52" s="228">
        <v>119</v>
      </c>
      <c r="AY52" s="228">
        <v>-1</v>
      </c>
      <c r="AZ52" s="229">
        <v>-5.4999999999999997E-3</v>
      </c>
      <c r="BA52" s="228">
        <v>20</v>
      </c>
      <c r="BB52" s="228">
        <v>17</v>
      </c>
      <c r="BC52" s="228">
        <v>3</v>
      </c>
      <c r="BD52" s="229">
        <v>0.14710000000000001</v>
      </c>
      <c r="BE52" s="228">
        <v>2</v>
      </c>
      <c r="BF52" s="228">
        <v>2</v>
      </c>
      <c r="BG52" s="228">
        <v>0</v>
      </c>
      <c r="BH52" s="229">
        <v>-9.2999999999999999E-2</v>
      </c>
      <c r="BI52" s="228">
        <v>329</v>
      </c>
      <c r="BJ52" s="228">
        <v>453</v>
      </c>
      <c r="BK52" s="228">
        <v>-124</v>
      </c>
      <c r="BL52" s="229">
        <v>-0.27379999999999999</v>
      </c>
      <c r="BM52" s="228">
        <v>95</v>
      </c>
      <c r="BN52" s="228">
        <v>200</v>
      </c>
      <c r="BO52" s="228">
        <v>-106</v>
      </c>
      <c r="BP52" s="229">
        <v>-0.5272</v>
      </c>
      <c r="BQ52" s="228">
        <v>564</v>
      </c>
      <c r="BR52" s="228">
        <v>793</v>
      </c>
      <c r="BS52" s="228">
        <v>-228</v>
      </c>
      <c r="BT52" s="229">
        <v>-0.2878</v>
      </c>
      <c r="BU52" s="230">
        <v>5780471</v>
      </c>
      <c r="BV52" s="230">
        <v>4552540</v>
      </c>
      <c r="BW52" s="230">
        <v>1227931</v>
      </c>
      <c r="BX52" s="229">
        <v>0.2697</v>
      </c>
      <c r="BY52" s="230">
        <v>1182</v>
      </c>
      <c r="BZ52" s="230">
        <v>1173</v>
      </c>
      <c r="CA52" s="228">
        <v>9</v>
      </c>
      <c r="CB52" s="229">
        <v>7.4999999999999997E-3</v>
      </c>
      <c r="CC52" s="230">
        <v>1140</v>
      </c>
      <c r="CD52" s="230">
        <v>1139</v>
      </c>
      <c r="CE52" s="228">
        <v>2</v>
      </c>
      <c r="CF52" s="229">
        <v>1.2999999999999999E-3</v>
      </c>
      <c r="CG52" s="228">
        <v>37</v>
      </c>
      <c r="CH52" s="228">
        <v>30</v>
      </c>
      <c r="CI52" s="228">
        <v>7</v>
      </c>
      <c r="CJ52" s="229">
        <v>0.23269999999999999</v>
      </c>
      <c r="CK52" s="228">
        <v>5</v>
      </c>
      <c r="CL52" s="228">
        <v>4</v>
      </c>
      <c r="CM52" s="228">
        <v>0</v>
      </c>
      <c r="CN52" s="229">
        <v>7.8700000000000006E-2</v>
      </c>
      <c r="CO52" s="228">
        <v>319</v>
      </c>
      <c r="CP52" s="228">
        <v>317</v>
      </c>
      <c r="CQ52" s="228">
        <v>2</v>
      </c>
      <c r="CR52" s="229">
        <v>5.8999999999999999E-3</v>
      </c>
      <c r="CS52" s="228">
        <v>215</v>
      </c>
      <c r="CT52" s="228">
        <v>222</v>
      </c>
      <c r="CU52" s="228">
        <v>-7</v>
      </c>
      <c r="CV52" s="229">
        <v>-3.32E-2</v>
      </c>
      <c r="CW52" s="230">
        <v>1715</v>
      </c>
      <c r="CX52" s="230">
        <v>1712</v>
      </c>
      <c r="CY52" s="228">
        <v>3</v>
      </c>
      <c r="CZ52" s="229">
        <v>1.9E-3</v>
      </c>
      <c r="DA52" s="228">
        <v>40.840000000000003</v>
      </c>
      <c r="DB52" s="228">
        <v>37.520000000000003</v>
      </c>
      <c r="DC52" s="228">
        <v>3.32</v>
      </c>
      <c r="DD52" s="228">
        <v>3.32</v>
      </c>
      <c r="DE52" s="228">
        <v>35.380000000000003</v>
      </c>
      <c r="DF52" s="228">
        <v>35.47</v>
      </c>
      <c r="DG52" s="228">
        <v>5.46</v>
      </c>
      <c r="DH52" s="228">
        <v>-0.09</v>
      </c>
      <c r="DI52" s="228">
        <v>40.11</v>
      </c>
      <c r="DJ52" s="228">
        <v>36.58</v>
      </c>
      <c r="DK52" s="228">
        <v>3.53</v>
      </c>
      <c r="DL52" s="228">
        <v>3.53</v>
      </c>
      <c r="DM52" s="228">
        <v>43.37</v>
      </c>
      <c r="DN52" s="228">
        <v>39.630000000000003</v>
      </c>
      <c r="DO52" s="228">
        <v>3.74</v>
      </c>
      <c r="DP52" s="228">
        <v>3.74</v>
      </c>
      <c r="DQ52" s="228">
        <v>0.67</v>
      </c>
      <c r="DR52" s="228">
        <v>0.7</v>
      </c>
      <c r="DS52" s="228">
        <v>-0.03</v>
      </c>
      <c r="DT52" s="229">
        <v>-4.2900000000000001E-2</v>
      </c>
      <c r="DU52" s="228">
        <v>275</v>
      </c>
      <c r="DV52" s="228">
        <v>220</v>
      </c>
      <c r="DW52" s="228">
        <v>0.28999999999999998</v>
      </c>
      <c r="DX52" s="228">
        <v>0.44</v>
      </c>
      <c r="DY52" s="228">
        <v>-0.15</v>
      </c>
      <c r="DZ52" s="229">
        <v>-0.34089999999999998</v>
      </c>
      <c r="EA52" s="229">
        <v>3.5000000000000003E-2</v>
      </c>
      <c r="EB52" s="230">
        <v>1305000</v>
      </c>
      <c r="EC52" s="229">
        <v>4.1999999999999997E-3</v>
      </c>
      <c r="ED52" s="229">
        <v>3.5000000000000003E-2</v>
      </c>
      <c r="EE52" s="228">
        <v>1.79</v>
      </c>
      <c r="EF52" s="229">
        <v>6.7999999999999996E-3</v>
      </c>
      <c r="EG52" s="230">
        <v>3023605</v>
      </c>
      <c r="EH52" s="230">
        <v>1822956</v>
      </c>
      <c r="EI52" s="229">
        <v>0.65859999999999996</v>
      </c>
      <c r="EJ52" s="229">
        <v>0.52310000000000001</v>
      </c>
      <c r="EK52" s="228">
        <v>345.39</v>
      </c>
      <c r="EL52" s="228">
        <v>94.13</v>
      </c>
      <c r="EM52" s="228">
        <v>141.34</v>
      </c>
      <c r="EN52" s="228">
        <v>35.76</v>
      </c>
      <c r="EO52" s="228">
        <v>580.85</v>
      </c>
      <c r="EP52" s="228">
        <v>810.03</v>
      </c>
      <c r="EQ52" s="228">
        <v>-229.18</v>
      </c>
      <c r="ER52" s="229">
        <v>-0.28289999999999998</v>
      </c>
      <c r="ES52" s="228">
        <v>320.83</v>
      </c>
      <c r="ET52" s="228">
        <v>201.72</v>
      </c>
      <c r="EU52" s="231">
        <v>1181.7</v>
      </c>
      <c r="EV52" s="231">
        <v>96587231</v>
      </c>
      <c r="EW52" s="231">
        <v>1704.25</v>
      </c>
      <c r="EX52" s="231">
        <v>1701.81</v>
      </c>
      <c r="EY52" s="228">
        <v>2.44</v>
      </c>
      <c r="EZ52" s="229">
        <v>1.4E-3</v>
      </c>
      <c r="FA52" s="229">
        <v>0.68049999999999999</v>
      </c>
      <c r="FB52" s="227" t="s">
        <v>566</v>
      </c>
      <c r="FC52">
        <f t="shared" si="0"/>
        <v>42</v>
      </c>
    </row>
    <row r="53" spans="1:159" ht="17.25" thickBot="1" x14ac:dyDescent="0.3">
      <c r="A53" s="226">
        <v>46132</v>
      </c>
      <c r="B53" s="227" t="s">
        <v>184</v>
      </c>
      <c r="C53" s="227" t="s">
        <v>203</v>
      </c>
      <c r="D53" s="228">
        <v>200</v>
      </c>
      <c r="E53" s="228">
        <v>8</v>
      </c>
      <c r="F53" s="231">
        <v>5196</v>
      </c>
      <c r="G53" s="231">
        <v>5151.7</v>
      </c>
      <c r="H53" s="228">
        <v>44.3</v>
      </c>
      <c r="I53" s="229">
        <v>8.6E-3</v>
      </c>
      <c r="J53" s="231">
        <v>5200.3</v>
      </c>
      <c r="K53" s="231">
        <v>5140.8999999999996</v>
      </c>
      <c r="L53" s="228">
        <v>59.4</v>
      </c>
      <c r="M53" s="229">
        <v>1.1599999999999999E-2</v>
      </c>
      <c r="N53" s="231">
        <v>5196</v>
      </c>
      <c r="O53" s="231">
        <v>5151.7</v>
      </c>
      <c r="P53" s="228">
        <v>44.3</v>
      </c>
      <c r="Q53" s="229">
        <v>8.6E-3</v>
      </c>
      <c r="R53" s="231">
        <v>5218.5</v>
      </c>
      <c r="S53" s="231">
        <v>5180.6000000000004</v>
      </c>
      <c r="T53" s="228">
        <v>37.9</v>
      </c>
      <c r="U53" s="229">
        <v>7.3000000000000001E-3</v>
      </c>
      <c r="V53" s="231">
        <v>5239.6000000000004</v>
      </c>
      <c r="W53" s="231">
        <v>5193.3999999999996</v>
      </c>
      <c r="X53" s="228">
        <v>46.2</v>
      </c>
      <c r="Y53" s="229">
        <v>8.8999999999999999E-3</v>
      </c>
      <c r="Z53" s="228">
        <v>-4.3</v>
      </c>
      <c r="AA53" s="228">
        <v>10.8</v>
      </c>
      <c r="AB53" s="228">
        <v>-15.1</v>
      </c>
      <c r="AC53" s="229">
        <v>-8.0000000000000004E-4</v>
      </c>
      <c r="AD53" s="228">
        <v>-4.3</v>
      </c>
      <c r="AE53" s="228">
        <v>10.8</v>
      </c>
      <c r="AF53" s="228">
        <v>-15.1</v>
      </c>
      <c r="AG53" s="229">
        <v>-8.0000000000000004E-4</v>
      </c>
      <c r="AH53" s="228">
        <v>18.2</v>
      </c>
      <c r="AI53" s="228">
        <v>39.700000000000003</v>
      </c>
      <c r="AJ53" s="228">
        <v>-21.5</v>
      </c>
      <c r="AK53" s="229">
        <v>3.5000000000000001E-3</v>
      </c>
      <c r="AL53" s="228">
        <v>39.299999999999997</v>
      </c>
      <c r="AM53" s="228">
        <v>52.5</v>
      </c>
      <c r="AN53" s="228">
        <v>-13.2</v>
      </c>
      <c r="AO53" s="229">
        <v>7.6E-3</v>
      </c>
      <c r="AP53" s="231">
        <v>5173.97</v>
      </c>
      <c r="AQ53" s="231">
        <v>5201.88</v>
      </c>
      <c r="AR53" s="228">
        <v>0</v>
      </c>
      <c r="AS53" s="228">
        <v>367</v>
      </c>
      <c r="AT53" s="228">
        <v>748</v>
      </c>
      <c r="AU53" s="228">
        <v>-381</v>
      </c>
      <c r="AV53" s="229">
        <v>-0.50949999999999995</v>
      </c>
      <c r="AW53" s="228">
        <v>304</v>
      </c>
      <c r="AX53" s="228">
        <v>564</v>
      </c>
      <c r="AY53" s="228">
        <v>-260</v>
      </c>
      <c r="AZ53" s="229">
        <v>-0.46129999999999999</v>
      </c>
      <c r="BA53" s="228">
        <v>60</v>
      </c>
      <c r="BB53" s="228">
        <v>54</v>
      </c>
      <c r="BC53" s="228">
        <v>6</v>
      </c>
      <c r="BD53" s="229">
        <v>0.1197</v>
      </c>
      <c r="BE53" s="228">
        <v>3</v>
      </c>
      <c r="BF53" s="228">
        <v>130</v>
      </c>
      <c r="BG53" s="228">
        <v>-127</v>
      </c>
      <c r="BH53" s="229">
        <v>-0.97850000000000004</v>
      </c>
      <c r="BI53" s="230">
        <v>1991</v>
      </c>
      <c r="BJ53" s="230">
        <v>2490</v>
      </c>
      <c r="BK53" s="228">
        <v>-499</v>
      </c>
      <c r="BL53" s="229">
        <v>-0.20050000000000001</v>
      </c>
      <c r="BM53" s="230">
        <v>1035</v>
      </c>
      <c r="BN53" s="228">
        <v>679</v>
      </c>
      <c r="BO53" s="228">
        <v>356</v>
      </c>
      <c r="BP53" s="229">
        <v>0.52449999999999997</v>
      </c>
      <c r="BQ53" s="230">
        <v>3393</v>
      </c>
      <c r="BR53" s="230">
        <v>3917</v>
      </c>
      <c r="BS53" s="228">
        <v>-524</v>
      </c>
      <c r="BT53" s="229">
        <v>-0.1338</v>
      </c>
      <c r="BU53" s="230">
        <v>634600</v>
      </c>
      <c r="BV53" s="230">
        <v>548497</v>
      </c>
      <c r="BW53" s="230">
        <v>86103</v>
      </c>
      <c r="BX53" s="229">
        <v>0.157</v>
      </c>
      <c r="BY53" s="230">
        <v>2076</v>
      </c>
      <c r="BZ53" s="230">
        <v>2110</v>
      </c>
      <c r="CA53" s="228">
        <v>-34</v>
      </c>
      <c r="CB53" s="229">
        <v>-1.6199999999999999E-2</v>
      </c>
      <c r="CC53" s="230">
        <v>1869</v>
      </c>
      <c r="CD53" s="230">
        <v>1915</v>
      </c>
      <c r="CE53" s="228">
        <v>-45</v>
      </c>
      <c r="CF53" s="229">
        <v>-2.3699999999999999E-2</v>
      </c>
      <c r="CG53" s="228">
        <v>76</v>
      </c>
      <c r="CH53" s="228">
        <v>64</v>
      </c>
      <c r="CI53" s="228">
        <v>12</v>
      </c>
      <c r="CJ53" s="229">
        <v>0.18479999999999999</v>
      </c>
      <c r="CK53" s="228">
        <v>130</v>
      </c>
      <c r="CL53" s="228">
        <v>131</v>
      </c>
      <c r="CM53" s="228">
        <v>-1</v>
      </c>
      <c r="CN53" s="229">
        <v>-4.7999999999999996E-3</v>
      </c>
      <c r="CO53" s="228">
        <v>723</v>
      </c>
      <c r="CP53" s="228">
        <v>666</v>
      </c>
      <c r="CQ53" s="228">
        <v>57</v>
      </c>
      <c r="CR53" s="229">
        <v>8.5999999999999993E-2</v>
      </c>
      <c r="CS53" s="228">
        <v>487</v>
      </c>
      <c r="CT53" s="228">
        <v>463</v>
      </c>
      <c r="CU53" s="228">
        <v>25</v>
      </c>
      <c r="CV53" s="229">
        <v>5.3499999999999999E-2</v>
      </c>
      <c r="CW53" s="230">
        <v>3286</v>
      </c>
      <c r="CX53" s="230">
        <v>3238</v>
      </c>
      <c r="CY53" s="228">
        <v>48</v>
      </c>
      <c r="CZ53" s="229">
        <v>1.4800000000000001E-2</v>
      </c>
      <c r="DA53" s="228">
        <v>40.54</v>
      </c>
      <c r="DB53" s="228">
        <v>33.57</v>
      </c>
      <c r="DC53" s="228">
        <v>6.97</v>
      </c>
      <c r="DD53" s="228">
        <v>6.97</v>
      </c>
      <c r="DE53" s="228">
        <v>36.14</v>
      </c>
      <c r="DF53" s="228">
        <v>36.200000000000003</v>
      </c>
      <c r="DG53" s="228">
        <v>4.4000000000000004</v>
      </c>
      <c r="DH53" s="228">
        <v>-0.06</v>
      </c>
      <c r="DI53" s="228">
        <v>36.200000000000003</v>
      </c>
      <c r="DJ53" s="228">
        <v>33.1</v>
      </c>
      <c r="DK53" s="228">
        <v>3.1</v>
      </c>
      <c r="DL53" s="228">
        <v>3.1</v>
      </c>
      <c r="DM53" s="228">
        <v>48.89</v>
      </c>
      <c r="DN53" s="228">
        <v>35.270000000000003</v>
      </c>
      <c r="DO53" s="228">
        <v>13.62</v>
      </c>
      <c r="DP53" s="228">
        <v>13.62</v>
      </c>
      <c r="DQ53" s="228">
        <v>0.67</v>
      </c>
      <c r="DR53" s="228">
        <v>0.69</v>
      </c>
      <c r="DS53" s="228">
        <v>-0.02</v>
      </c>
      <c r="DT53" s="229">
        <v>-2.9000000000000001E-2</v>
      </c>
      <c r="DU53" s="231">
        <v>5200</v>
      </c>
      <c r="DV53" s="231">
        <v>4700</v>
      </c>
      <c r="DW53" s="228">
        <v>0.52</v>
      </c>
      <c r="DX53" s="228">
        <v>0.27</v>
      </c>
      <c r="DY53" s="228">
        <v>0.25</v>
      </c>
      <c r="DZ53" s="229">
        <v>0.92589999999999995</v>
      </c>
      <c r="EA53" s="229">
        <v>9.9400000000000002E-2</v>
      </c>
      <c r="EB53" s="230">
        <v>375600</v>
      </c>
      <c r="EC53" s="229">
        <v>4.3E-3</v>
      </c>
      <c r="ED53" s="229">
        <v>9.9400000000000002E-2</v>
      </c>
      <c r="EE53" s="228">
        <v>27.91</v>
      </c>
      <c r="EF53" s="229">
        <v>5.4000000000000003E-3</v>
      </c>
      <c r="EG53" s="230">
        <v>337052</v>
      </c>
      <c r="EH53" s="230">
        <v>230095</v>
      </c>
      <c r="EI53" s="229">
        <v>0.46479999999999999</v>
      </c>
      <c r="EJ53" s="229">
        <v>0.53110000000000002</v>
      </c>
      <c r="EK53" s="231">
        <v>2046.13</v>
      </c>
      <c r="EL53" s="228">
        <v>923.08</v>
      </c>
      <c r="EM53" s="228">
        <v>365.63</v>
      </c>
      <c r="EN53" s="228">
        <v>46.95</v>
      </c>
      <c r="EO53" s="231">
        <v>3334.84</v>
      </c>
      <c r="EP53" s="231">
        <v>3943.35</v>
      </c>
      <c r="EQ53" s="228">
        <v>-608.51</v>
      </c>
      <c r="ER53" s="229">
        <v>-0.15429999999999999</v>
      </c>
      <c r="ES53" s="228">
        <v>713.39</v>
      </c>
      <c r="ET53" s="228">
        <v>445.95</v>
      </c>
      <c r="EU53" s="231">
        <v>2077.02</v>
      </c>
      <c r="EV53" s="231">
        <v>20374200</v>
      </c>
      <c r="EW53" s="231">
        <v>3236.36</v>
      </c>
      <c r="EX53" s="231">
        <v>3167.09</v>
      </c>
      <c r="EY53" s="228">
        <v>69.27</v>
      </c>
      <c r="EZ53" s="229">
        <v>2.1899999999999999E-2</v>
      </c>
      <c r="FA53" s="229">
        <v>0.31040000000000001</v>
      </c>
      <c r="FB53" s="227" t="s">
        <v>693</v>
      </c>
      <c r="FC53">
        <f t="shared" si="0"/>
        <v>207</v>
      </c>
    </row>
    <row r="54" spans="1:159" ht="17.25" thickBot="1" x14ac:dyDescent="0.3">
      <c r="A54" s="226">
        <v>46132</v>
      </c>
      <c r="B54" s="227" t="s">
        <v>168</v>
      </c>
      <c r="C54" s="227" t="s">
        <v>204</v>
      </c>
      <c r="D54" s="228">
        <v>1250</v>
      </c>
      <c r="E54" s="228">
        <v>8</v>
      </c>
      <c r="F54" s="228">
        <v>441.8</v>
      </c>
      <c r="G54" s="228">
        <v>442.75</v>
      </c>
      <c r="H54" s="228">
        <v>-0.95</v>
      </c>
      <c r="I54" s="229">
        <v>-2.0999999999999999E-3</v>
      </c>
      <c r="J54" s="228">
        <v>441.7</v>
      </c>
      <c r="K54" s="228">
        <v>442.85</v>
      </c>
      <c r="L54" s="228">
        <v>-1.1499999999999999</v>
      </c>
      <c r="M54" s="229">
        <v>-2.5999999999999999E-3</v>
      </c>
      <c r="N54" s="228">
        <v>441.8</v>
      </c>
      <c r="O54" s="228">
        <v>442.75</v>
      </c>
      <c r="P54" s="228">
        <v>-0.95</v>
      </c>
      <c r="Q54" s="229">
        <v>-2.0999999999999999E-3</v>
      </c>
      <c r="R54" s="228">
        <v>443.7</v>
      </c>
      <c r="S54" s="228">
        <v>445</v>
      </c>
      <c r="T54" s="228">
        <v>-1.3</v>
      </c>
      <c r="U54" s="229">
        <v>-2.8999999999999998E-3</v>
      </c>
      <c r="V54" s="228">
        <v>447.9</v>
      </c>
      <c r="W54" s="228">
        <v>448.1</v>
      </c>
      <c r="X54" s="228">
        <v>-0.2</v>
      </c>
      <c r="Y54" s="229">
        <v>-4.0000000000000002E-4</v>
      </c>
      <c r="Z54" s="228">
        <v>0.1</v>
      </c>
      <c r="AA54" s="228">
        <v>-0.1</v>
      </c>
      <c r="AB54" s="228">
        <v>0.2</v>
      </c>
      <c r="AC54" s="229">
        <v>2.0000000000000001E-4</v>
      </c>
      <c r="AD54" s="228">
        <v>0.1</v>
      </c>
      <c r="AE54" s="228">
        <v>-0.1</v>
      </c>
      <c r="AF54" s="228">
        <v>0.2</v>
      </c>
      <c r="AG54" s="229">
        <v>2.0000000000000001E-4</v>
      </c>
      <c r="AH54" s="228">
        <v>2</v>
      </c>
      <c r="AI54" s="228">
        <v>2.15</v>
      </c>
      <c r="AJ54" s="228">
        <v>-0.15</v>
      </c>
      <c r="AK54" s="229">
        <v>4.4999999999999997E-3</v>
      </c>
      <c r="AL54" s="228">
        <v>6.2</v>
      </c>
      <c r="AM54" s="228">
        <v>5.25</v>
      </c>
      <c r="AN54" s="228">
        <v>0.95</v>
      </c>
      <c r="AO54" s="229">
        <v>1.4E-2</v>
      </c>
      <c r="AP54" s="228">
        <v>442.71</v>
      </c>
      <c r="AQ54" s="228">
        <v>445</v>
      </c>
      <c r="AR54" s="228">
        <v>0</v>
      </c>
      <c r="AS54" s="228">
        <v>141</v>
      </c>
      <c r="AT54" s="228">
        <v>378</v>
      </c>
      <c r="AU54" s="228">
        <v>-237</v>
      </c>
      <c r="AV54" s="229">
        <v>-0.62670000000000003</v>
      </c>
      <c r="AW54" s="228">
        <v>114</v>
      </c>
      <c r="AX54" s="228">
        <v>333</v>
      </c>
      <c r="AY54" s="228">
        <v>-219</v>
      </c>
      <c r="AZ54" s="229">
        <v>-0.65800000000000003</v>
      </c>
      <c r="BA54" s="228">
        <v>23</v>
      </c>
      <c r="BB54" s="228">
        <v>40</v>
      </c>
      <c r="BC54" s="228">
        <v>-17</v>
      </c>
      <c r="BD54" s="229">
        <v>-0.42409999999999998</v>
      </c>
      <c r="BE54" s="228">
        <v>4</v>
      </c>
      <c r="BF54" s="228">
        <v>5</v>
      </c>
      <c r="BG54" s="228">
        <v>-1</v>
      </c>
      <c r="BH54" s="229">
        <v>-0.1341</v>
      </c>
      <c r="BI54" s="228">
        <v>703</v>
      </c>
      <c r="BJ54" s="230">
        <v>1693</v>
      </c>
      <c r="BK54" s="228">
        <v>-990</v>
      </c>
      <c r="BL54" s="229">
        <v>-0.58489999999999998</v>
      </c>
      <c r="BM54" s="228">
        <v>220</v>
      </c>
      <c r="BN54" s="228">
        <v>512</v>
      </c>
      <c r="BO54" s="228">
        <v>-291</v>
      </c>
      <c r="BP54" s="229">
        <v>-0.56950000000000001</v>
      </c>
      <c r="BQ54" s="230">
        <v>1064</v>
      </c>
      <c r="BR54" s="230">
        <v>2583</v>
      </c>
      <c r="BS54" s="230">
        <v>-1518</v>
      </c>
      <c r="BT54" s="229">
        <v>-0.58799999999999997</v>
      </c>
      <c r="BU54" s="230">
        <v>1722940</v>
      </c>
      <c r="BV54" s="230">
        <v>5393012</v>
      </c>
      <c r="BW54" s="230">
        <v>-3670072</v>
      </c>
      <c r="BX54" s="229">
        <v>-0.68049999999999999</v>
      </c>
      <c r="BY54" s="230">
        <v>1294</v>
      </c>
      <c r="BZ54" s="230">
        <v>1290</v>
      </c>
      <c r="CA54" s="228">
        <v>5</v>
      </c>
      <c r="CB54" s="229">
        <v>3.5000000000000001E-3</v>
      </c>
      <c r="CC54" s="230">
        <v>1226</v>
      </c>
      <c r="CD54" s="230">
        <v>1227</v>
      </c>
      <c r="CE54" s="228">
        <v>-1</v>
      </c>
      <c r="CF54" s="229">
        <v>-6.9999999999999999E-4</v>
      </c>
      <c r="CG54" s="228">
        <v>59</v>
      </c>
      <c r="CH54" s="228">
        <v>56</v>
      </c>
      <c r="CI54" s="228">
        <v>3</v>
      </c>
      <c r="CJ54" s="229">
        <v>5.6399999999999999E-2</v>
      </c>
      <c r="CK54" s="228">
        <v>10</v>
      </c>
      <c r="CL54" s="228">
        <v>7</v>
      </c>
      <c r="CM54" s="228">
        <v>2</v>
      </c>
      <c r="CN54" s="229">
        <v>0.30080000000000001</v>
      </c>
      <c r="CO54" s="228">
        <v>567</v>
      </c>
      <c r="CP54" s="228">
        <v>578</v>
      </c>
      <c r="CQ54" s="228">
        <v>-12</v>
      </c>
      <c r="CR54" s="229">
        <v>-2.0199999999999999E-2</v>
      </c>
      <c r="CS54" s="228">
        <v>332</v>
      </c>
      <c r="CT54" s="228">
        <v>370</v>
      </c>
      <c r="CU54" s="228">
        <v>-38</v>
      </c>
      <c r="CV54" s="229">
        <v>-0.1026</v>
      </c>
      <c r="CW54" s="230">
        <v>2193</v>
      </c>
      <c r="CX54" s="230">
        <v>2238</v>
      </c>
      <c r="CY54" s="228">
        <v>-45</v>
      </c>
      <c r="CZ54" s="229">
        <v>-2.0199999999999999E-2</v>
      </c>
      <c r="DA54" s="228">
        <v>32.71</v>
      </c>
      <c r="DB54" s="228">
        <v>29.35</v>
      </c>
      <c r="DC54" s="228">
        <v>3.36</v>
      </c>
      <c r="DD54" s="228">
        <v>3.36</v>
      </c>
      <c r="DE54" s="228">
        <v>27.2</v>
      </c>
      <c r="DF54" s="228">
        <v>27.26</v>
      </c>
      <c r="DG54" s="228">
        <v>5.51</v>
      </c>
      <c r="DH54" s="228">
        <v>-0.06</v>
      </c>
      <c r="DI54" s="228">
        <v>32.75</v>
      </c>
      <c r="DJ54" s="228">
        <v>29.4</v>
      </c>
      <c r="DK54" s="228">
        <v>3.35</v>
      </c>
      <c r="DL54" s="228">
        <v>3.35</v>
      </c>
      <c r="DM54" s="228">
        <v>32.590000000000003</v>
      </c>
      <c r="DN54" s="228">
        <v>29.21</v>
      </c>
      <c r="DO54" s="228">
        <v>3.38</v>
      </c>
      <c r="DP54" s="228">
        <v>3.38</v>
      </c>
      <c r="DQ54" s="228">
        <v>0.59</v>
      </c>
      <c r="DR54" s="228">
        <v>0.64</v>
      </c>
      <c r="DS54" s="228">
        <v>-0.05</v>
      </c>
      <c r="DT54" s="229">
        <v>-7.8100000000000003E-2</v>
      </c>
      <c r="DU54" s="228">
        <v>480</v>
      </c>
      <c r="DV54" s="228">
        <v>400</v>
      </c>
      <c r="DW54" s="228">
        <v>0.31</v>
      </c>
      <c r="DX54" s="228">
        <v>0.3</v>
      </c>
      <c r="DY54" s="228">
        <v>0.01</v>
      </c>
      <c r="DZ54" s="229">
        <v>3.3300000000000003E-2</v>
      </c>
      <c r="EA54" s="229">
        <v>5.2900000000000003E-2</v>
      </c>
      <c r="EB54" s="230">
        <v>1428750</v>
      </c>
      <c r="EC54" s="229">
        <v>4.3E-3</v>
      </c>
      <c r="ED54" s="229">
        <v>5.2900000000000003E-2</v>
      </c>
      <c r="EE54" s="228">
        <v>2.29</v>
      </c>
      <c r="EF54" s="229">
        <v>5.1999999999999998E-3</v>
      </c>
      <c r="EG54" s="230">
        <v>763319</v>
      </c>
      <c r="EH54" s="230">
        <v>2920022</v>
      </c>
      <c r="EI54" s="229">
        <v>-0.73860000000000003</v>
      </c>
      <c r="EJ54" s="229">
        <v>0.443</v>
      </c>
      <c r="EK54" s="228">
        <v>742.26</v>
      </c>
      <c r="EL54" s="228">
        <v>217.02</v>
      </c>
      <c r="EM54" s="228">
        <v>141.51</v>
      </c>
      <c r="EN54" s="228">
        <v>53.51</v>
      </c>
      <c r="EO54" s="231">
        <v>1100.78</v>
      </c>
      <c r="EP54" s="231">
        <v>2653.61</v>
      </c>
      <c r="EQ54" s="231">
        <v>-1552.83</v>
      </c>
      <c r="ER54" s="229">
        <v>-0.58520000000000005</v>
      </c>
      <c r="ES54" s="228">
        <v>592.15</v>
      </c>
      <c r="ET54" s="228">
        <v>311.97000000000003</v>
      </c>
      <c r="EU54" s="231">
        <v>1294.8599999999999</v>
      </c>
      <c r="EV54" s="231">
        <v>76827821</v>
      </c>
      <c r="EW54" s="231">
        <v>2198.9899999999998</v>
      </c>
      <c r="EX54" s="231">
        <v>2245.04</v>
      </c>
      <c r="EY54" s="228">
        <v>-46.05</v>
      </c>
      <c r="EZ54" s="229">
        <v>-2.0500000000000001E-2</v>
      </c>
      <c r="FA54" s="229">
        <v>0.64610000000000001</v>
      </c>
      <c r="FB54" s="227" t="s">
        <v>566</v>
      </c>
      <c r="FC54">
        <f t="shared" si="0"/>
        <v>68</v>
      </c>
    </row>
    <row r="55" spans="1:159" ht="17.25" thickBot="1" x14ac:dyDescent="0.3">
      <c r="A55" s="226">
        <v>46132</v>
      </c>
      <c r="B55" s="227" t="s">
        <v>157</v>
      </c>
      <c r="C55" s="227" t="s">
        <v>524</v>
      </c>
      <c r="D55" s="228">
        <v>325</v>
      </c>
      <c r="E55" s="228">
        <v>8</v>
      </c>
      <c r="F55" s="231">
        <v>1982.2</v>
      </c>
      <c r="G55" s="231">
        <v>1978.1</v>
      </c>
      <c r="H55" s="228">
        <v>4.0999999999999996</v>
      </c>
      <c r="I55" s="229">
        <v>2.0999999999999999E-3</v>
      </c>
      <c r="J55" s="231">
        <v>1981.8</v>
      </c>
      <c r="K55" s="231">
        <v>1971.7</v>
      </c>
      <c r="L55" s="228">
        <v>10.1</v>
      </c>
      <c r="M55" s="229">
        <v>5.1000000000000004E-3</v>
      </c>
      <c r="N55" s="231">
        <v>1982.2</v>
      </c>
      <c r="O55" s="231">
        <v>1978.1</v>
      </c>
      <c r="P55" s="228">
        <v>4.0999999999999996</v>
      </c>
      <c r="Q55" s="229">
        <v>2.0999999999999999E-3</v>
      </c>
      <c r="R55" s="231">
        <v>1991.2</v>
      </c>
      <c r="S55" s="231">
        <v>1986.5</v>
      </c>
      <c r="T55" s="228">
        <v>4.7</v>
      </c>
      <c r="U55" s="229">
        <v>2.3999999999999998E-3</v>
      </c>
      <c r="V55" s="231">
        <v>2002.7</v>
      </c>
      <c r="W55" s="231">
        <v>1996</v>
      </c>
      <c r="X55" s="228">
        <v>6.7</v>
      </c>
      <c r="Y55" s="229">
        <v>3.3999999999999998E-3</v>
      </c>
      <c r="Z55" s="228">
        <v>0.4</v>
      </c>
      <c r="AA55" s="228">
        <v>6.4</v>
      </c>
      <c r="AB55" s="228">
        <v>-6</v>
      </c>
      <c r="AC55" s="229">
        <v>2.0000000000000001E-4</v>
      </c>
      <c r="AD55" s="228">
        <v>0.4</v>
      </c>
      <c r="AE55" s="228">
        <v>6.4</v>
      </c>
      <c r="AF55" s="228">
        <v>-6</v>
      </c>
      <c r="AG55" s="229">
        <v>2.0000000000000001E-4</v>
      </c>
      <c r="AH55" s="228">
        <v>9.4</v>
      </c>
      <c r="AI55" s="228">
        <v>14.8</v>
      </c>
      <c r="AJ55" s="228">
        <v>-5.4</v>
      </c>
      <c r="AK55" s="229">
        <v>4.7000000000000002E-3</v>
      </c>
      <c r="AL55" s="228">
        <v>20.9</v>
      </c>
      <c r="AM55" s="228">
        <v>24.3</v>
      </c>
      <c r="AN55" s="228">
        <v>-3.4</v>
      </c>
      <c r="AO55" s="229">
        <v>1.0500000000000001E-2</v>
      </c>
      <c r="AP55" s="231">
        <v>1984.02</v>
      </c>
      <c r="AQ55" s="231">
        <v>1995.54</v>
      </c>
      <c r="AR55" s="228">
        <v>0</v>
      </c>
      <c r="AS55" s="228">
        <v>98</v>
      </c>
      <c r="AT55" s="228">
        <v>115</v>
      </c>
      <c r="AU55" s="228">
        <v>-16</v>
      </c>
      <c r="AV55" s="229">
        <v>-0.1429</v>
      </c>
      <c r="AW55" s="228">
        <v>82</v>
      </c>
      <c r="AX55" s="228">
        <v>103</v>
      </c>
      <c r="AY55" s="228">
        <v>-21</v>
      </c>
      <c r="AZ55" s="229">
        <v>-0.2024</v>
      </c>
      <c r="BA55" s="228">
        <v>16</v>
      </c>
      <c r="BB55" s="228">
        <v>11</v>
      </c>
      <c r="BC55" s="228">
        <v>4</v>
      </c>
      <c r="BD55" s="229">
        <v>0.39429999999999998</v>
      </c>
      <c r="BE55" s="228">
        <v>0</v>
      </c>
      <c r="BF55" s="228">
        <v>0</v>
      </c>
      <c r="BG55" s="228">
        <v>0</v>
      </c>
      <c r="BH55" s="229">
        <v>0</v>
      </c>
      <c r="BI55" s="228">
        <v>172</v>
      </c>
      <c r="BJ55" s="228">
        <v>189</v>
      </c>
      <c r="BK55" s="228">
        <v>-17</v>
      </c>
      <c r="BL55" s="229">
        <v>-9.0399999999999994E-2</v>
      </c>
      <c r="BM55" s="228">
        <v>56</v>
      </c>
      <c r="BN55" s="228">
        <v>83</v>
      </c>
      <c r="BO55" s="228">
        <v>-28</v>
      </c>
      <c r="BP55" s="229">
        <v>-0.33229999999999998</v>
      </c>
      <c r="BQ55" s="228">
        <v>326</v>
      </c>
      <c r="BR55" s="228">
        <v>387</v>
      </c>
      <c r="BS55" s="228">
        <v>-61</v>
      </c>
      <c r="BT55" s="229">
        <v>-0.158</v>
      </c>
      <c r="BU55" s="230">
        <v>200810</v>
      </c>
      <c r="BV55" s="230">
        <v>204253</v>
      </c>
      <c r="BW55" s="230">
        <v>-3443</v>
      </c>
      <c r="BX55" s="229">
        <v>-1.6899999999999998E-2</v>
      </c>
      <c r="BY55" s="228">
        <v>513</v>
      </c>
      <c r="BZ55" s="228">
        <v>509</v>
      </c>
      <c r="CA55" s="228">
        <v>4</v>
      </c>
      <c r="CB55" s="229">
        <v>8.0000000000000002E-3</v>
      </c>
      <c r="CC55" s="228">
        <v>497</v>
      </c>
      <c r="CD55" s="228">
        <v>496</v>
      </c>
      <c r="CE55" s="228">
        <v>1</v>
      </c>
      <c r="CF55" s="229">
        <v>1.4E-3</v>
      </c>
      <c r="CG55" s="228">
        <v>16</v>
      </c>
      <c r="CH55" s="228">
        <v>13</v>
      </c>
      <c r="CI55" s="228">
        <v>3</v>
      </c>
      <c r="CJ55" s="229">
        <v>0.27039999999999997</v>
      </c>
      <c r="CK55" s="228">
        <v>1</v>
      </c>
      <c r="CL55" s="228">
        <v>1</v>
      </c>
      <c r="CM55" s="228">
        <v>0</v>
      </c>
      <c r="CN55" s="229">
        <v>-0.1111</v>
      </c>
      <c r="CO55" s="228">
        <v>216</v>
      </c>
      <c r="CP55" s="228">
        <v>202</v>
      </c>
      <c r="CQ55" s="228">
        <v>14</v>
      </c>
      <c r="CR55" s="229">
        <v>6.9500000000000006E-2</v>
      </c>
      <c r="CS55" s="228">
        <v>196</v>
      </c>
      <c r="CT55" s="228">
        <v>200</v>
      </c>
      <c r="CU55" s="228">
        <v>-4</v>
      </c>
      <c r="CV55" s="229">
        <v>-1.8100000000000002E-2</v>
      </c>
      <c r="CW55" s="228">
        <v>925</v>
      </c>
      <c r="CX55" s="228">
        <v>911</v>
      </c>
      <c r="CY55" s="228">
        <v>14</v>
      </c>
      <c r="CZ55" s="229">
        <v>1.5900000000000001E-2</v>
      </c>
      <c r="DA55" s="228">
        <v>40.43</v>
      </c>
      <c r="DB55" s="228">
        <v>37.47</v>
      </c>
      <c r="DC55" s="228">
        <v>2.96</v>
      </c>
      <c r="DD55" s="228">
        <v>2.96</v>
      </c>
      <c r="DE55" s="228">
        <v>34.06</v>
      </c>
      <c r="DF55" s="228">
        <v>34.15</v>
      </c>
      <c r="DG55" s="228">
        <v>6.37</v>
      </c>
      <c r="DH55" s="228">
        <v>-0.09</v>
      </c>
      <c r="DI55" s="228">
        <v>39.61</v>
      </c>
      <c r="DJ55" s="228">
        <v>36.549999999999997</v>
      </c>
      <c r="DK55" s="228">
        <v>3.06</v>
      </c>
      <c r="DL55" s="228">
        <v>3.06</v>
      </c>
      <c r="DM55" s="228">
        <v>42.98</v>
      </c>
      <c r="DN55" s="228">
        <v>39.549999999999997</v>
      </c>
      <c r="DO55" s="228">
        <v>3.43</v>
      </c>
      <c r="DP55" s="228">
        <v>3.43</v>
      </c>
      <c r="DQ55" s="228">
        <v>0.91</v>
      </c>
      <c r="DR55" s="228">
        <v>0.99</v>
      </c>
      <c r="DS55" s="228">
        <v>-0.08</v>
      </c>
      <c r="DT55" s="229">
        <v>-8.0799999999999997E-2</v>
      </c>
      <c r="DU55" s="231">
        <v>2060</v>
      </c>
      <c r="DV55" s="231">
        <v>1900</v>
      </c>
      <c r="DW55" s="228">
        <v>0.32</v>
      </c>
      <c r="DX55" s="228">
        <v>0.44</v>
      </c>
      <c r="DY55" s="228">
        <v>-0.12</v>
      </c>
      <c r="DZ55" s="229">
        <v>-0.2727</v>
      </c>
      <c r="EA55" s="229">
        <v>3.2199999999999999E-2</v>
      </c>
      <c r="EB55" s="230">
        <v>66625</v>
      </c>
      <c r="EC55" s="229">
        <v>4.4999999999999997E-3</v>
      </c>
      <c r="ED55" s="229">
        <v>3.2199999999999999E-2</v>
      </c>
      <c r="EE55" s="228">
        <v>11.52</v>
      </c>
      <c r="EF55" s="229">
        <v>5.7999999999999996E-3</v>
      </c>
      <c r="EG55" s="230">
        <v>93550</v>
      </c>
      <c r="EH55" s="230">
        <v>112522</v>
      </c>
      <c r="EI55" s="229">
        <v>-0.1686</v>
      </c>
      <c r="EJ55" s="229">
        <v>0.46589999999999998</v>
      </c>
      <c r="EK55" s="228">
        <v>187.71</v>
      </c>
      <c r="EL55" s="228">
        <v>53.32</v>
      </c>
      <c r="EM55" s="228">
        <v>98.36</v>
      </c>
      <c r="EN55" s="228">
        <v>18.350000000000001</v>
      </c>
      <c r="EO55" s="228">
        <v>339.4</v>
      </c>
      <c r="EP55" s="228">
        <v>401.53</v>
      </c>
      <c r="EQ55" s="228">
        <v>-62.13</v>
      </c>
      <c r="ER55" s="229">
        <v>-0.1547</v>
      </c>
      <c r="ES55" s="228">
        <v>223.58</v>
      </c>
      <c r="ET55" s="228">
        <v>183.83</v>
      </c>
      <c r="EU55" s="228">
        <v>513.52</v>
      </c>
      <c r="EV55" s="231">
        <v>12425160</v>
      </c>
      <c r="EW55" s="228">
        <v>920.92</v>
      </c>
      <c r="EX55" s="228">
        <v>903.61</v>
      </c>
      <c r="EY55" s="228">
        <v>17.309999999999999</v>
      </c>
      <c r="EZ55" s="229">
        <v>1.9199999999999998E-2</v>
      </c>
      <c r="FA55" s="229">
        <v>0.37580000000000002</v>
      </c>
      <c r="FB55" s="227" t="s">
        <v>555</v>
      </c>
      <c r="FC55">
        <f t="shared" si="0"/>
        <v>16</v>
      </c>
    </row>
    <row r="56" spans="1:159" ht="17.25" thickBot="1" x14ac:dyDescent="0.3">
      <c r="A56" s="226">
        <v>46132</v>
      </c>
      <c r="B56" s="227" t="s">
        <v>614</v>
      </c>
      <c r="C56" s="227" t="s">
        <v>599</v>
      </c>
      <c r="D56" s="228">
        <v>2075</v>
      </c>
      <c r="E56" s="228">
        <v>8</v>
      </c>
      <c r="F56" s="228">
        <v>464.8</v>
      </c>
      <c r="G56" s="228">
        <v>464.5</v>
      </c>
      <c r="H56" s="228">
        <v>0.3</v>
      </c>
      <c r="I56" s="229">
        <v>5.9999999999999995E-4</v>
      </c>
      <c r="J56" s="228">
        <v>464.5</v>
      </c>
      <c r="K56" s="228">
        <v>463</v>
      </c>
      <c r="L56" s="228">
        <v>1.5</v>
      </c>
      <c r="M56" s="229">
        <v>3.2000000000000002E-3</v>
      </c>
      <c r="N56" s="228">
        <v>464.8</v>
      </c>
      <c r="O56" s="228">
        <v>464.5</v>
      </c>
      <c r="P56" s="228">
        <v>0.3</v>
      </c>
      <c r="Q56" s="229">
        <v>5.9999999999999995E-4</v>
      </c>
      <c r="R56" s="228">
        <v>467.4</v>
      </c>
      <c r="S56" s="228">
        <v>466.65</v>
      </c>
      <c r="T56" s="228">
        <v>0.75</v>
      </c>
      <c r="U56" s="229">
        <v>1.6000000000000001E-3</v>
      </c>
      <c r="V56" s="228">
        <v>469.65</v>
      </c>
      <c r="W56" s="228">
        <v>469.2</v>
      </c>
      <c r="X56" s="228">
        <v>0.45</v>
      </c>
      <c r="Y56" s="229">
        <v>1E-3</v>
      </c>
      <c r="Z56" s="228">
        <v>0.3</v>
      </c>
      <c r="AA56" s="228">
        <v>1.5</v>
      </c>
      <c r="AB56" s="228">
        <v>-1.2</v>
      </c>
      <c r="AC56" s="229">
        <v>5.9999999999999995E-4</v>
      </c>
      <c r="AD56" s="228">
        <v>0.3</v>
      </c>
      <c r="AE56" s="228">
        <v>1.5</v>
      </c>
      <c r="AF56" s="228">
        <v>-1.2</v>
      </c>
      <c r="AG56" s="229">
        <v>5.9999999999999995E-4</v>
      </c>
      <c r="AH56" s="228">
        <v>2.9</v>
      </c>
      <c r="AI56" s="228">
        <v>3.65</v>
      </c>
      <c r="AJ56" s="228">
        <v>-0.75</v>
      </c>
      <c r="AK56" s="229">
        <v>6.1999999999999998E-3</v>
      </c>
      <c r="AL56" s="228">
        <v>5.15</v>
      </c>
      <c r="AM56" s="228">
        <v>6.2</v>
      </c>
      <c r="AN56" s="228">
        <v>-1.05</v>
      </c>
      <c r="AO56" s="229">
        <v>1.11E-2</v>
      </c>
      <c r="AP56" s="228">
        <v>469.55</v>
      </c>
      <c r="AQ56" s="228">
        <v>473.35</v>
      </c>
      <c r="AR56" s="228">
        <v>0</v>
      </c>
      <c r="AS56" s="228">
        <v>352</v>
      </c>
      <c r="AT56" s="228">
        <v>340</v>
      </c>
      <c r="AU56" s="228">
        <v>12</v>
      </c>
      <c r="AV56" s="229">
        <v>3.4799999999999998E-2</v>
      </c>
      <c r="AW56" s="228">
        <v>286</v>
      </c>
      <c r="AX56" s="228">
        <v>313</v>
      </c>
      <c r="AY56" s="228">
        <v>-26</v>
      </c>
      <c r="AZ56" s="229">
        <v>-8.4199999999999997E-2</v>
      </c>
      <c r="BA56" s="228">
        <v>63</v>
      </c>
      <c r="BB56" s="228">
        <v>27</v>
      </c>
      <c r="BC56" s="228">
        <v>36</v>
      </c>
      <c r="BD56" s="229">
        <v>1.3695999999999999</v>
      </c>
      <c r="BE56" s="228">
        <v>3</v>
      </c>
      <c r="BF56" s="228">
        <v>1</v>
      </c>
      <c r="BG56" s="228">
        <v>2</v>
      </c>
      <c r="BH56" s="229">
        <v>1.5</v>
      </c>
      <c r="BI56" s="230">
        <v>1546</v>
      </c>
      <c r="BJ56" s="230">
        <v>1443</v>
      </c>
      <c r="BK56" s="228">
        <v>103</v>
      </c>
      <c r="BL56" s="229">
        <v>7.1499999999999994E-2</v>
      </c>
      <c r="BM56" s="228">
        <v>328</v>
      </c>
      <c r="BN56" s="228">
        <v>313</v>
      </c>
      <c r="BO56" s="228">
        <v>16</v>
      </c>
      <c r="BP56" s="229">
        <v>4.9700000000000001E-2</v>
      </c>
      <c r="BQ56" s="230">
        <v>2226</v>
      </c>
      <c r="BR56" s="230">
        <v>2096</v>
      </c>
      <c r="BS56" s="228">
        <v>130</v>
      </c>
      <c r="BT56" s="229">
        <v>6.2300000000000001E-2</v>
      </c>
      <c r="BU56" s="230">
        <v>3821359</v>
      </c>
      <c r="BV56" s="230">
        <v>5683537</v>
      </c>
      <c r="BW56" s="230">
        <v>-1862178</v>
      </c>
      <c r="BX56" s="229">
        <v>-0.3276</v>
      </c>
      <c r="BY56" s="230">
        <v>1461</v>
      </c>
      <c r="BZ56" s="230">
        <v>1477</v>
      </c>
      <c r="CA56" s="228">
        <v>-16</v>
      </c>
      <c r="CB56" s="229">
        <v>-1.0800000000000001E-2</v>
      </c>
      <c r="CC56" s="230">
        <v>1395</v>
      </c>
      <c r="CD56" s="230">
        <v>1433</v>
      </c>
      <c r="CE56" s="228">
        <v>-38</v>
      </c>
      <c r="CF56" s="229">
        <v>-2.6800000000000001E-2</v>
      </c>
      <c r="CG56" s="228">
        <v>61</v>
      </c>
      <c r="CH56" s="228">
        <v>41</v>
      </c>
      <c r="CI56" s="228">
        <v>20</v>
      </c>
      <c r="CJ56" s="229">
        <v>0.49519999999999997</v>
      </c>
      <c r="CK56" s="228">
        <v>5</v>
      </c>
      <c r="CL56" s="228">
        <v>3</v>
      </c>
      <c r="CM56" s="228">
        <v>2</v>
      </c>
      <c r="CN56" s="229">
        <v>0.80649999999999999</v>
      </c>
      <c r="CO56" s="228">
        <v>617</v>
      </c>
      <c r="CP56" s="228">
        <v>671</v>
      </c>
      <c r="CQ56" s="228">
        <v>-54</v>
      </c>
      <c r="CR56" s="229">
        <v>-8.09E-2</v>
      </c>
      <c r="CS56" s="228">
        <v>247</v>
      </c>
      <c r="CT56" s="228">
        <v>259</v>
      </c>
      <c r="CU56" s="228">
        <v>-11</v>
      </c>
      <c r="CV56" s="229">
        <v>-4.3999999999999997E-2</v>
      </c>
      <c r="CW56" s="230">
        <v>2325</v>
      </c>
      <c r="CX56" s="230">
        <v>2407</v>
      </c>
      <c r="CY56" s="228">
        <v>-82</v>
      </c>
      <c r="CZ56" s="229">
        <v>-3.39E-2</v>
      </c>
      <c r="DA56" s="228">
        <v>38.979999999999997</v>
      </c>
      <c r="DB56" s="228">
        <v>38.07</v>
      </c>
      <c r="DC56" s="228">
        <v>0.91</v>
      </c>
      <c r="DD56" s="228">
        <v>0.91</v>
      </c>
      <c r="DE56" s="228">
        <v>39.36</v>
      </c>
      <c r="DF56" s="228">
        <v>39.450000000000003</v>
      </c>
      <c r="DG56" s="228">
        <v>-0.38</v>
      </c>
      <c r="DH56" s="228">
        <v>-0.09</v>
      </c>
      <c r="DI56" s="228">
        <v>38.950000000000003</v>
      </c>
      <c r="DJ56" s="228">
        <v>38.35</v>
      </c>
      <c r="DK56" s="228">
        <v>0.6</v>
      </c>
      <c r="DL56" s="228">
        <v>0.6</v>
      </c>
      <c r="DM56" s="228">
        <v>39.119999999999997</v>
      </c>
      <c r="DN56" s="228">
        <v>36.78</v>
      </c>
      <c r="DO56" s="228">
        <v>2.34</v>
      </c>
      <c r="DP56" s="228">
        <v>2.34</v>
      </c>
      <c r="DQ56" s="228">
        <v>0.4</v>
      </c>
      <c r="DR56" s="228">
        <v>0.39</v>
      </c>
      <c r="DS56" s="228">
        <v>0.01</v>
      </c>
      <c r="DT56" s="229">
        <v>2.5600000000000001E-2</v>
      </c>
      <c r="DU56" s="228">
        <v>480</v>
      </c>
      <c r="DV56" s="228">
        <v>440</v>
      </c>
      <c r="DW56" s="228">
        <v>0.21</v>
      </c>
      <c r="DX56" s="228">
        <v>0.22</v>
      </c>
      <c r="DY56" s="228">
        <v>-0.01</v>
      </c>
      <c r="DZ56" s="229">
        <v>-4.5499999999999999E-2</v>
      </c>
      <c r="EA56" s="229">
        <v>4.5199999999999997E-2</v>
      </c>
      <c r="EB56" s="230">
        <v>935825</v>
      </c>
      <c r="EC56" s="229">
        <v>5.5999999999999999E-3</v>
      </c>
      <c r="ED56" s="229">
        <v>4.5199999999999997E-2</v>
      </c>
      <c r="EE56" s="228">
        <v>3.8</v>
      </c>
      <c r="EF56" s="229">
        <v>8.0999999999999996E-3</v>
      </c>
      <c r="EG56" s="230">
        <v>1518660</v>
      </c>
      <c r="EH56" s="230">
        <v>3547918</v>
      </c>
      <c r="EI56" s="229">
        <v>-0.57199999999999995</v>
      </c>
      <c r="EJ56" s="229">
        <v>0.39739999999999998</v>
      </c>
      <c r="EK56" s="231">
        <v>1628.79</v>
      </c>
      <c r="EL56" s="228">
        <v>327.08</v>
      </c>
      <c r="EM56" s="228">
        <v>356.47</v>
      </c>
      <c r="EN56" s="228">
        <v>26.15</v>
      </c>
      <c r="EO56" s="231">
        <v>2312.33</v>
      </c>
      <c r="EP56" s="231">
        <v>2163.87</v>
      </c>
      <c r="EQ56" s="228">
        <v>148.46</v>
      </c>
      <c r="ER56" s="229">
        <v>6.8599999999999994E-2</v>
      </c>
      <c r="ES56" s="228">
        <v>634.17999999999995</v>
      </c>
      <c r="ET56" s="228">
        <v>233.36</v>
      </c>
      <c r="EU56" s="231">
        <v>1461.17</v>
      </c>
      <c r="EV56" s="231">
        <v>83072620</v>
      </c>
      <c r="EW56" s="231">
        <v>2328.71</v>
      </c>
      <c r="EX56" s="231">
        <v>2408.5100000000002</v>
      </c>
      <c r="EY56" s="228">
        <v>-79.8</v>
      </c>
      <c r="EZ56" s="229">
        <v>-3.3099999999999997E-2</v>
      </c>
      <c r="FA56" s="229">
        <v>0.60209999999999997</v>
      </c>
      <c r="FB56" s="227" t="s">
        <v>693</v>
      </c>
      <c r="FC56">
        <f t="shared" si="0"/>
        <v>66</v>
      </c>
    </row>
    <row r="57" spans="1:159" ht="17.25" thickBot="1" x14ac:dyDescent="0.3">
      <c r="A57" s="226">
        <v>46132</v>
      </c>
      <c r="B57" s="227" t="s">
        <v>170</v>
      </c>
      <c r="C57" s="227" t="s">
        <v>205</v>
      </c>
      <c r="D57" s="228">
        <v>100</v>
      </c>
      <c r="E57" s="228">
        <v>8</v>
      </c>
      <c r="F57" s="231">
        <v>6274.5</v>
      </c>
      <c r="G57" s="231">
        <v>6238</v>
      </c>
      <c r="H57" s="228">
        <v>36.5</v>
      </c>
      <c r="I57" s="229">
        <v>5.8999999999999999E-3</v>
      </c>
      <c r="J57" s="231">
        <v>6280</v>
      </c>
      <c r="K57" s="231">
        <v>6229</v>
      </c>
      <c r="L57" s="228">
        <v>51</v>
      </c>
      <c r="M57" s="229">
        <v>8.2000000000000007E-3</v>
      </c>
      <c r="N57" s="231">
        <v>6274.5</v>
      </c>
      <c r="O57" s="231">
        <v>6238</v>
      </c>
      <c r="P57" s="228">
        <v>36.5</v>
      </c>
      <c r="Q57" s="229">
        <v>5.8999999999999999E-3</v>
      </c>
      <c r="R57" s="231">
        <v>6310.5</v>
      </c>
      <c r="S57" s="231">
        <v>6276.5</v>
      </c>
      <c r="T57" s="228">
        <v>34</v>
      </c>
      <c r="U57" s="229">
        <v>5.4000000000000003E-3</v>
      </c>
      <c r="V57" s="231">
        <v>6350</v>
      </c>
      <c r="W57" s="231">
        <v>6299.5</v>
      </c>
      <c r="X57" s="228">
        <v>50.5</v>
      </c>
      <c r="Y57" s="229">
        <v>8.0000000000000002E-3</v>
      </c>
      <c r="Z57" s="228">
        <v>-5.5</v>
      </c>
      <c r="AA57" s="228">
        <v>9</v>
      </c>
      <c r="AB57" s="228">
        <v>-14.5</v>
      </c>
      <c r="AC57" s="229">
        <v>-8.9999999999999998E-4</v>
      </c>
      <c r="AD57" s="228">
        <v>-5.5</v>
      </c>
      <c r="AE57" s="228">
        <v>9</v>
      </c>
      <c r="AF57" s="228">
        <v>-14.5</v>
      </c>
      <c r="AG57" s="229">
        <v>-8.9999999999999998E-4</v>
      </c>
      <c r="AH57" s="228">
        <v>30.5</v>
      </c>
      <c r="AI57" s="228">
        <v>47.5</v>
      </c>
      <c r="AJ57" s="228">
        <v>-17</v>
      </c>
      <c r="AK57" s="229">
        <v>4.8999999999999998E-3</v>
      </c>
      <c r="AL57" s="228">
        <v>70</v>
      </c>
      <c r="AM57" s="228">
        <v>70.5</v>
      </c>
      <c r="AN57" s="228">
        <v>-0.5</v>
      </c>
      <c r="AO57" s="229">
        <v>1.11E-2</v>
      </c>
      <c r="AP57" s="231">
        <v>6271.37</v>
      </c>
      <c r="AQ57" s="231">
        <v>6307.9</v>
      </c>
      <c r="AR57" s="228">
        <v>0</v>
      </c>
      <c r="AS57" s="228">
        <v>128</v>
      </c>
      <c r="AT57" s="228">
        <v>123</v>
      </c>
      <c r="AU57" s="228">
        <v>4</v>
      </c>
      <c r="AV57" s="229">
        <v>3.4099999999999998E-2</v>
      </c>
      <c r="AW57" s="228">
        <v>97</v>
      </c>
      <c r="AX57" s="228">
        <v>104</v>
      </c>
      <c r="AY57" s="228">
        <v>-6</v>
      </c>
      <c r="AZ57" s="229">
        <v>-6.1100000000000002E-2</v>
      </c>
      <c r="BA57" s="228">
        <v>30</v>
      </c>
      <c r="BB57" s="228">
        <v>20</v>
      </c>
      <c r="BC57" s="228">
        <v>11</v>
      </c>
      <c r="BD57" s="229">
        <v>0.53990000000000005</v>
      </c>
      <c r="BE57" s="228">
        <v>0</v>
      </c>
      <c r="BF57" s="228">
        <v>0</v>
      </c>
      <c r="BG57" s="228">
        <v>0</v>
      </c>
      <c r="BH57" s="229">
        <v>-0.5</v>
      </c>
      <c r="BI57" s="228">
        <v>775</v>
      </c>
      <c r="BJ57" s="228">
        <v>650</v>
      </c>
      <c r="BK57" s="228">
        <v>125</v>
      </c>
      <c r="BL57" s="229">
        <v>0.19170000000000001</v>
      </c>
      <c r="BM57" s="228">
        <v>275</v>
      </c>
      <c r="BN57" s="228">
        <v>369</v>
      </c>
      <c r="BO57" s="228">
        <v>-94</v>
      </c>
      <c r="BP57" s="229">
        <v>-0.25430000000000003</v>
      </c>
      <c r="BQ57" s="230">
        <v>1178</v>
      </c>
      <c r="BR57" s="230">
        <v>1143</v>
      </c>
      <c r="BS57" s="228">
        <v>35</v>
      </c>
      <c r="BT57" s="229">
        <v>3.0499999999999999E-2</v>
      </c>
      <c r="BU57" s="230">
        <v>213499</v>
      </c>
      <c r="BV57" s="230">
        <v>178285</v>
      </c>
      <c r="BW57" s="230">
        <v>35214</v>
      </c>
      <c r="BX57" s="229">
        <v>0.19750000000000001</v>
      </c>
      <c r="BY57" s="230">
        <v>1741</v>
      </c>
      <c r="BZ57" s="230">
        <v>1729</v>
      </c>
      <c r="CA57" s="228">
        <v>12</v>
      </c>
      <c r="CB57" s="229">
        <v>7.0000000000000001E-3</v>
      </c>
      <c r="CC57" s="230">
        <v>1668</v>
      </c>
      <c r="CD57" s="230">
        <v>1673</v>
      </c>
      <c r="CE57" s="228">
        <v>-5</v>
      </c>
      <c r="CF57" s="229">
        <v>-2.8999999999999998E-3</v>
      </c>
      <c r="CG57" s="228">
        <v>71</v>
      </c>
      <c r="CH57" s="228">
        <v>54</v>
      </c>
      <c r="CI57" s="228">
        <v>17</v>
      </c>
      <c r="CJ57" s="229">
        <v>0.31219999999999998</v>
      </c>
      <c r="CK57" s="228">
        <v>2</v>
      </c>
      <c r="CL57" s="228">
        <v>2</v>
      </c>
      <c r="CM57" s="228">
        <v>0</v>
      </c>
      <c r="CN57" s="229">
        <v>3.5700000000000003E-2</v>
      </c>
      <c r="CO57" s="228">
        <v>472</v>
      </c>
      <c r="CP57" s="228">
        <v>442</v>
      </c>
      <c r="CQ57" s="228">
        <v>30</v>
      </c>
      <c r="CR57" s="229">
        <v>6.6799999999999998E-2</v>
      </c>
      <c r="CS57" s="228">
        <v>475</v>
      </c>
      <c r="CT57" s="228">
        <v>464</v>
      </c>
      <c r="CU57" s="228">
        <v>11</v>
      </c>
      <c r="CV57" s="229">
        <v>2.46E-2</v>
      </c>
      <c r="CW57" s="230">
        <v>2688</v>
      </c>
      <c r="CX57" s="230">
        <v>2635</v>
      </c>
      <c r="CY57" s="228">
        <v>53</v>
      </c>
      <c r="CZ57" s="229">
        <v>2.0199999999999999E-2</v>
      </c>
      <c r="DA57" s="228">
        <v>26.55</v>
      </c>
      <c r="DB57" s="228">
        <v>24.25</v>
      </c>
      <c r="DC57" s="228">
        <v>2.2999999999999998</v>
      </c>
      <c r="DD57" s="228">
        <v>2.2999999999999998</v>
      </c>
      <c r="DE57" s="228">
        <v>29.69</v>
      </c>
      <c r="DF57" s="228">
        <v>29.75</v>
      </c>
      <c r="DG57" s="228">
        <v>-3.14</v>
      </c>
      <c r="DH57" s="228">
        <v>-0.06</v>
      </c>
      <c r="DI57" s="228">
        <v>25.93</v>
      </c>
      <c r="DJ57" s="228">
        <v>23.79</v>
      </c>
      <c r="DK57" s="228">
        <v>2.14</v>
      </c>
      <c r="DL57" s="228">
        <v>2.14</v>
      </c>
      <c r="DM57" s="228">
        <v>28.32</v>
      </c>
      <c r="DN57" s="228">
        <v>25.06</v>
      </c>
      <c r="DO57" s="228">
        <v>3.26</v>
      </c>
      <c r="DP57" s="228">
        <v>3.26</v>
      </c>
      <c r="DQ57" s="228">
        <v>1.01</v>
      </c>
      <c r="DR57" s="228">
        <v>1.05</v>
      </c>
      <c r="DS57" s="228">
        <v>-0.04</v>
      </c>
      <c r="DT57" s="229">
        <v>-3.8100000000000002E-2</v>
      </c>
      <c r="DU57" s="231">
        <v>6300</v>
      </c>
      <c r="DV57" s="231">
        <v>5200</v>
      </c>
      <c r="DW57" s="228">
        <v>0.36</v>
      </c>
      <c r="DX57" s="228">
        <v>0.56999999999999995</v>
      </c>
      <c r="DY57" s="228">
        <v>-0.21</v>
      </c>
      <c r="DZ57" s="229">
        <v>-0.36840000000000001</v>
      </c>
      <c r="EA57" s="229">
        <v>4.2099999999999999E-2</v>
      </c>
      <c r="EB57" s="230">
        <v>89600</v>
      </c>
      <c r="EC57" s="229">
        <v>5.7000000000000002E-3</v>
      </c>
      <c r="ED57" s="229">
        <v>4.2099999999999999E-2</v>
      </c>
      <c r="EE57" s="228">
        <v>36.53</v>
      </c>
      <c r="EF57" s="229">
        <v>5.7999999999999996E-3</v>
      </c>
      <c r="EG57" s="230">
        <v>128564</v>
      </c>
      <c r="EH57" s="230">
        <v>76362</v>
      </c>
      <c r="EI57" s="229">
        <v>0.68359999999999999</v>
      </c>
      <c r="EJ57" s="229">
        <v>0.60219999999999996</v>
      </c>
      <c r="EK57" s="228">
        <v>796.03</v>
      </c>
      <c r="EL57" s="228">
        <v>267.52</v>
      </c>
      <c r="EM57" s="228">
        <v>127.74</v>
      </c>
      <c r="EN57" s="228">
        <v>25.56</v>
      </c>
      <c r="EO57" s="231">
        <v>1191.28</v>
      </c>
      <c r="EP57" s="231">
        <v>1157.17</v>
      </c>
      <c r="EQ57" s="228">
        <v>34.11</v>
      </c>
      <c r="ER57" s="229">
        <v>2.9499999999999998E-2</v>
      </c>
      <c r="ES57" s="228">
        <v>475.23</v>
      </c>
      <c r="ET57" s="228">
        <v>436.82</v>
      </c>
      <c r="EU57" s="231">
        <v>1741.54</v>
      </c>
      <c r="EV57" s="231">
        <v>15815194</v>
      </c>
      <c r="EW57" s="231">
        <v>2653.59</v>
      </c>
      <c r="EX57" s="231">
        <v>2588.1</v>
      </c>
      <c r="EY57" s="228">
        <v>65.489999999999995</v>
      </c>
      <c r="EZ57" s="229">
        <v>2.53E-2</v>
      </c>
      <c r="FA57" s="229">
        <v>0.27089999999999997</v>
      </c>
      <c r="FB57" s="227" t="s">
        <v>555</v>
      </c>
      <c r="FC57">
        <f t="shared" si="0"/>
        <v>73</v>
      </c>
    </row>
    <row r="58" spans="1:159" ht="17.25" thickBot="1" x14ac:dyDescent="0.3">
      <c r="A58" s="226">
        <v>46132</v>
      </c>
      <c r="B58" s="227" t="s">
        <v>184</v>
      </c>
      <c r="C58" s="227" t="s">
        <v>512</v>
      </c>
      <c r="D58" s="228">
        <v>50</v>
      </c>
      <c r="E58" s="228">
        <v>8</v>
      </c>
      <c r="F58" s="231">
        <v>11195.5</v>
      </c>
      <c r="G58" s="231">
        <v>11377.5</v>
      </c>
      <c r="H58" s="228">
        <v>-182</v>
      </c>
      <c r="I58" s="229">
        <v>-1.6E-2</v>
      </c>
      <c r="J58" s="231">
        <v>11211</v>
      </c>
      <c r="K58" s="231">
        <v>11371.5</v>
      </c>
      <c r="L58" s="228">
        <v>-160.5</v>
      </c>
      <c r="M58" s="229">
        <v>-1.41E-2</v>
      </c>
      <c r="N58" s="231">
        <v>11195.5</v>
      </c>
      <c r="O58" s="231">
        <v>11377.5</v>
      </c>
      <c r="P58" s="228">
        <v>-182</v>
      </c>
      <c r="Q58" s="229">
        <v>-1.6E-2</v>
      </c>
      <c r="R58" s="231">
        <v>11099</v>
      </c>
      <c r="S58" s="231">
        <v>11280</v>
      </c>
      <c r="T58" s="228">
        <v>-181</v>
      </c>
      <c r="U58" s="229">
        <v>-1.6E-2</v>
      </c>
      <c r="V58" s="231">
        <v>11071.5</v>
      </c>
      <c r="W58" s="231">
        <v>11207.5</v>
      </c>
      <c r="X58" s="228">
        <v>-136</v>
      </c>
      <c r="Y58" s="229">
        <v>-1.21E-2</v>
      </c>
      <c r="Z58" s="228">
        <v>-15.5</v>
      </c>
      <c r="AA58" s="228">
        <v>6</v>
      </c>
      <c r="AB58" s="228">
        <v>-21.5</v>
      </c>
      <c r="AC58" s="229">
        <v>-1.4E-3</v>
      </c>
      <c r="AD58" s="228">
        <v>-15.5</v>
      </c>
      <c r="AE58" s="228">
        <v>6</v>
      </c>
      <c r="AF58" s="228">
        <v>-21.5</v>
      </c>
      <c r="AG58" s="229">
        <v>-1.4E-3</v>
      </c>
      <c r="AH58" s="228">
        <v>-112</v>
      </c>
      <c r="AI58" s="228">
        <v>-91.5</v>
      </c>
      <c r="AJ58" s="228">
        <v>-20.5</v>
      </c>
      <c r="AK58" s="229">
        <v>-0.01</v>
      </c>
      <c r="AL58" s="228">
        <v>-139.5</v>
      </c>
      <c r="AM58" s="228">
        <v>-164</v>
      </c>
      <c r="AN58" s="228">
        <v>24.5</v>
      </c>
      <c r="AO58" s="229">
        <v>-1.24E-2</v>
      </c>
      <c r="AP58" s="231">
        <v>11257.33</v>
      </c>
      <c r="AQ58" s="231">
        <v>11173.57</v>
      </c>
      <c r="AR58" s="228">
        <v>0</v>
      </c>
      <c r="AS58" s="228">
        <v>853</v>
      </c>
      <c r="AT58" s="230">
        <v>1042</v>
      </c>
      <c r="AU58" s="228">
        <v>-189</v>
      </c>
      <c r="AV58" s="229">
        <v>-0.18140000000000001</v>
      </c>
      <c r="AW58" s="228">
        <v>626</v>
      </c>
      <c r="AX58" s="228">
        <v>819</v>
      </c>
      <c r="AY58" s="228">
        <v>-193</v>
      </c>
      <c r="AZ58" s="229">
        <v>-0.2356</v>
      </c>
      <c r="BA58" s="228">
        <v>199</v>
      </c>
      <c r="BB58" s="228">
        <v>190</v>
      </c>
      <c r="BC58" s="228">
        <v>8</v>
      </c>
      <c r="BD58" s="229">
        <v>4.4400000000000002E-2</v>
      </c>
      <c r="BE58" s="228">
        <v>29</v>
      </c>
      <c r="BF58" s="228">
        <v>33</v>
      </c>
      <c r="BG58" s="228">
        <v>-5</v>
      </c>
      <c r="BH58" s="229">
        <v>-0.13800000000000001</v>
      </c>
      <c r="BI58" s="230">
        <v>3081</v>
      </c>
      <c r="BJ58" s="230">
        <v>3891</v>
      </c>
      <c r="BK58" s="228">
        <v>-810</v>
      </c>
      <c r="BL58" s="229">
        <v>-0.20830000000000001</v>
      </c>
      <c r="BM58" s="230">
        <v>2075</v>
      </c>
      <c r="BN58" s="230">
        <v>2166</v>
      </c>
      <c r="BO58" s="228">
        <v>-92</v>
      </c>
      <c r="BP58" s="229">
        <v>-4.24E-2</v>
      </c>
      <c r="BQ58" s="230">
        <v>6009</v>
      </c>
      <c r="BR58" s="230">
        <v>7100</v>
      </c>
      <c r="BS58" s="230">
        <v>-1091</v>
      </c>
      <c r="BT58" s="229">
        <v>-0.1537</v>
      </c>
      <c r="BU58" s="230">
        <v>690067</v>
      </c>
      <c r="BV58" s="230">
        <v>776120</v>
      </c>
      <c r="BW58" s="230">
        <v>-86053</v>
      </c>
      <c r="BX58" s="229">
        <v>-0.1109</v>
      </c>
      <c r="BY58" s="230">
        <v>3482</v>
      </c>
      <c r="BZ58" s="230">
        <v>3478</v>
      </c>
      <c r="CA58" s="228">
        <v>5</v>
      </c>
      <c r="CB58" s="229">
        <v>1.4E-3</v>
      </c>
      <c r="CC58" s="230">
        <v>2879</v>
      </c>
      <c r="CD58" s="230">
        <v>2953</v>
      </c>
      <c r="CE58" s="228">
        <v>-74</v>
      </c>
      <c r="CF58" s="229">
        <v>-2.5000000000000001E-2</v>
      </c>
      <c r="CG58" s="228">
        <v>538</v>
      </c>
      <c r="CH58" s="228">
        <v>470</v>
      </c>
      <c r="CI58" s="228">
        <v>69</v>
      </c>
      <c r="CJ58" s="229">
        <v>0.14599999999999999</v>
      </c>
      <c r="CK58" s="228">
        <v>65</v>
      </c>
      <c r="CL58" s="228">
        <v>55</v>
      </c>
      <c r="CM58" s="228">
        <v>10</v>
      </c>
      <c r="CN58" s="229">
        <v>0.18310000000000001</v>
      </c>
      <c r="CO58" s="230">
        <v>2381</v>
      </c>
      <c r="CP58" s="230">
        <v>2339</v>
      </c>
      <c r="CQ58" s="228">
        <v>41</v>
      </c>
      <c r="CR58" s="229">
        <v>1.77E-2</v>
      </c>
      <c r="CS58" s="230">
        <v>1680</v>
      </c>
      <c r="CT58" s="230">
        <v>1739</v>
      </c>
      <c r="CU58" s="228">
        <v>-60</v>
      </c>
      <c r="CV58" s="229">
        <v>-3.4200000000000001E-2</v>
      </c>
      <c r="CW58" s="230">
        <v>7543</v>
      </c>
      <c r="CX58" s="230">
        <v>7556</v>
      </c>
      <c r="CY58" s="228">
        <v>-13</v>
      </c>
      <c r="CZ58" s="229">
        <v>-1.8E-3</v>
      </c>
      <c r="DA58" s="228">
        <v>50.17</v>
      </c>
      <c r="DB58" s="228">
        <v>45.96</v>
      </c>
      <c r="DC58" s="228">
        <v>4.21</v>
      </c>
      <c r="DD58" s="228">
        <v>4.21</v>
      </c>
      <c r="DE58" s="228">
        <v>49.27</v>
      </c>
      <c r="DF58" s="228">
        <v>49.35</v>
      </c>
      <c r="DG58" s="228">
        <v>0.9</v>
      </c>
      <c r="DH58" s="228">
        <v>-0.08</v>
      </c>
      <c r="DI58" s="228">
        <v>48.9</v>
      </c>
      <c r="DJ58" s="228">
        <v>44.01</v>
      </c>
      <c r="DK58" s="228">
        <v>4.8899999999999997</v>
      </c>
      <c r="DL58" s="228">
        <v>4.8899999999999997</v>
      </c>
      <c r="DM58" s="228">
        <v>52.06</v>
      </c>
      <c r="DN58" s="228">
        <v>49.46</v>
      </c>
      <c r="DO58" s="228">
        <v>2.6</v>
      </c>
      <c r="DP58" s="228">
        <v>2.6</v>
      </c>
      <c r="DQ58" s="228">
        <v>0.71</v>
      </c>
      <c r="DR58" s="228">
        <v>0.74</v>
      </c>
      <c r="DS58" s="228">
        <v>-0.03</v>
      </c>
      <c r="DT58" s="229">
        <v>-4.0500000000000001E-2</v>
      </c>
      <c r="DU58" s="231">
        <v>12000</v>
      </c>
      <c r="DV58" s="231">
        <v>10000</v>
      </c>
      <c r="DW58" s="228">
        <v>0.67</v>
      </c>
      <c r="DX58" s="228">
        <v>0.56000000000000005</v>
      </c>
      <c r="DY58" s="228">
        <v>0.11</v>
      </c>
      <c r="DZ58" s="229">
        <v>0.19639999999999999</v>
      </c>
      <c r="EA58" s="229">
        <v>0.17319999999999999</v>
      </c>
      <c r="EB58" s="230">
        <v>468550</v>
      </c>
      <c r="EC58" s="229">
        <v>-8.6E-3</v>
      </c>
      <c r="ED58" s="229">
        <v>0.17319999999999999</v>
      </c>
      <c r="EE58" s="228">
        <v>-83.76</v>
      </c>
      <c r="EF58" s="229">
        <v>-7.4000000000000003E-3</v>
      </c>
      <c r="EG58" s="230">
        <v>165477</v>
      </c>
      <c r="EH58" s="230">
        <v>185972</v>
      </c>
      <c r="EI58" s="229">
        <v>-0.11020000000000001</v>
      </c>
      <c r="EJ58" s="229">
        <v>0.23980000000000001</v>
      </c>
      <c r="EK58" s="231">
        <v>3277.1</v>
      </c>
      <c r="EL58" s="231">
        <v>2042.53</v>
      </c>
      <c r="EM58" s="228">
        <v>856.2</v>
      </c>
      <c r="EN58" s="228">
        <v>198.05</v>
      </c>
      <c r="EO58" s="231">
        <v>6175.83</v>
      </c>
      <c r="EP58" s="231">
        <v>7299.37</v>
      </c>
      <c r="EQ58" s="231">
        <v>-1123.53</v>
      </c>
      <c r="ER58" s="229">
        <v>-0.15390000000000001</v>
      </c>
      <c r="ES58" s="231">
        <v>2417.67</v>
      </c>
      <c r="ET58" s="231">
        <v>1542.84</v>
      </c>
      <c r="EU58" s="231">
        <v>3477.06</v>
      </c>
      <c r="EV58" s="231">
        <v>6478285</v>
      </c>
      <c r="EW58" s="231">
        <v>7437.57</v>
      </c>
      <c r="EX58" s="231">
        <v>7492.07</v>
      </c>
      <c r="EY58" s="228">
        <v>-54.5</v>
      </c>
      <c r="EZ58" s="229">
        <v>-7.3000000000000001E-3</v>
      </c>
      <c r="FA58" s="229">
        <v>1.04</v>
      </c>
      <c r="FB58" s="227" t="s">
        <v>566</v>
      </c>
      <c r="FC58">
        <f t="shared" si="0"/>
        <v>603</v>
      </c>
    </row>
    <row r="59" spans="1:159" ht="17.25" thickBot="1" x14ac:dyDescent="0.3">
      <c r="A59" s="226">
        <v>46132</v>
      </c>
      <c r="B59" s="227" t="s">
        <v>206</v>
      </c>
      <c r="C59" s="227" t="s">
        <v>207</v>
      </c>
      <c r="D59" s="228">
        <v>825</v>
      </c>
      <c r="E59" s="228">
        <v>8</v>
      </c>
      <c r="F59" s="228">
        <v>595.54999999999995</v>
      </c>
      <c r="G59" s="228">
        <v>601.54999999999995</v>
      </c>
      <c r="H59" s="228">
        <v>-6</v>
      </c>
      <c r="I59" s="229">
        <v>-0.01</v>
      </c>
      <c r="J59" s="228">
        <v>596.4</v>
      </c>
      <c r="K59" s="228">
        <v>601.75</v>
      </c>
      <c r="L59" s="228">
        <v>-5.35</v>
      </c>
      <c r="M59" s="229">
        <v>-8.8999999999999999E-3</v>
      </c>
      <c r="N59" s="228">
        <v>595.54999999999995</v>
      </c>
      <c r="O59" s="228">
        <v>601.54999999999995</v>
      </c>
      <c r="P59" s="228">
        <v>-6</v>
      </c>
      <c r="Q59" s="229">
        <v>-0.01</v>
      </c>
      <c r="R59" s="228">
        <v>599.35</v>
      </c>
      <c r="S59" s="228">
        <v>605.04999999999995</v>
      </c>
      <c r="T59" s="228">
        <v>-5.7</v>
      </c>
      <c r="U59" s="229">
        <v>-9.4000000000000004E-3</v>
      </c>
      <c r="V59" s="228">
        <v>601.5</v>
      </c>
      <c r="W59" s="228">
        <v>608.6</v>
      </c>
      <c r="X59" s="228">
        <v>-7.1</v>
      </c>
      <c r="Y59" s="229">
        <v>-1.17E-2</v>
      </c>
      <c r="Z59" s="228">
        <v>-0.85</v>
      </c>
      <c r="AA59" s="228">
        <v>-0.2</v>
      </c>
      <c r="AB59" s="228">
        <v>-0.65</v>
      </c>
      <c r="AC59" s="229">
        <v>-1.4E-3</v>
      </c>
      <c r="AD59" s="228">
        <v>-0.85</v>
      </c>
      <c r="AE59" s="228">
        <v>-0.2</v>
      </c>
      <c r="AF59" s="228">
        <v>-0.65</v>
      </c>
      <c r="AG59" s="229">
        <v>-1.4E-3</v>
      </c>
      <c r="AH59" s="228">
        <v>2.95</v>
      </c>
      <c r="AI59" s="228">
        <v>3.3</v>
      </c>
      <c r="AJ59" s="228">
        <v>-0.35</v>
      </c>
      <c r="AK59" s="229">
        <v>4.8999999999999998E-3</v>
      </c>
      <c r="AL59" s="228">
        <v>5.0999999999999996</v>
      </c>
      <c r="AM59" s="228">
        <v>6.85</v>
      </c>
      <c r="AN59" s="228">
        <v>-1.75</v>
      </c>
      <c r="AO59" s="229">
        <v>8.6E-3</v>
      </c>
      <c r="AP59" s="228">
        <v>596.55999999999995</v>
      </c>
      <c r="AQ59" s="228">
        <v>600.33000000000004</v>
      </c>
      <c r="AR59" s="228">
        <v>0</v>
      </c>
      <c r="AS59" s="228">
        <v>305</v>
      </c>
      <c r="AT59" s="228">
        <v>581</v>
      </c>
      <c r="AU59" s="228">
        <v>-276</v>
      </c>
      <c r="AV59" s="229">
        <v>-0.47560000000000002</v>
      </c>
      <c r="AW59" s="228">
        <v>252</v>
      </c>
      <c r="AX59" s="228">
        <v>458</v>
      </c>
      <c r="AY59" s="228">
        <v>-206</v>
      </c>
      <c r="AZ59" s="229">
        <v>-0.45079999999999998</v>
      </c>
      <c r="BA59" s="228">
        <v>51</v>
      </c>
      <c r="BB59" s="228">
        <v>36</v>
      </c>
      <c r="BC59" s="228">
        <v>15</v>
      </c>
      <c r="BD59" s="229">
        <v>0.41510000000000002</v>
      </c>
      <c r="BE59" s="228">
        <v>3</v>
      </c>
      <c r="BF59" s="228">
        <v>87</v>
      </c>
      <c r="BG59" s="228">
        <v>-85</v>
      </c>
      <c r="BH59" s="229">
        <v>-0.9708</v>
      </c>
      <c r="BI59" s="228">
        <v>564</v>
      </c>
      <c r="BJ59" s="230">
        <v>1017</v>
      </c>
      <c r="BK59" s="228">
        <v>-454</v>
      </c>
      <c r="BL59" s="229">
        <v>-0.44579999999999997</v>
      </c>
      <c r="BM59" s="228">
        <v>375</v>
      </c>
      <c r="BN59" s="228">
        <v>856</v>
      </c>
      <c r="BO59" s="228">
        <v>-481</v>
      </c>
      <c r="BP59" s="229">
        <v>-0.56210000000000004</v>
      </c>
      <c r="BQ59" s="230">
        <v>1244</v>
      </c>
      <c r="BR59" s="230">
        <v>2455</v>
      </c>
      <c r="BS59" s="230">
        <v>-1211</v>
      </c>
      <c r="BT59" s="229">
        <v>-0.49340000000000001</v>
      </c>
      <c r="BU59" s="230">
        <v>3376215</v>
      </c>
      <c r="BV59" s="230">
        <v>5020638</v>
      </c>
      <c r="BW59" s="230">
        <v>-1644423</v>
      </c>
      <c r="BX59" s="229">
        <v>-0.32750000000000001</v>
      </c>
      <c r="BY59" s="230">
        <v>3022</v>
      </c>
      <c r="BZ59" s="230">
        <v>3056</v>
      </c>
      <c r="CA59" s="228">
        <v>-34</v>
      </c>
      <c r="CB59" s="229">
        <v>-1.12E-2</v>
      </c>
      <c r="CC59" s="230">
        <v>2679</v>
      </c>
      <c r="CD59" s="230">
        <v>2743</v>
      </c>
      <c r="CE59" s="228">
        <v>-64</v>
      </c>
      <c r="CF59" s="229">
        <v>-2.3199999999999998E-2</v>
      </c>
      <c r="CG59" s="228">
        <v>250</v>
      </c>
      <c r="CH59" s="228">
        <v>222</v>
      </c>
      <c r="CI59" s="228">
        <v>28</v>
      </c>
      <c r="CJ59" s="229">
        <v>0.12759999999999999</v>
      </c>
      <c r="CK59" s="228">
        <v>92</v>
      </c>
      <c r="CL59" s="228">
        <v>91</v>
      </c>
      <c r="CM59" s="228">
        <v>1</v>
      </c>
      <c r="CN59" s="229">
        <v>1.2999999999999999E-2</v>
      </c>
      <c r="CO59" s="228">
        <v>639</v>
      </c>
      <c r="CP59" s="228">
        <v>624</v>
      </c>
      <c r="CQ59" s="228">
        <v>15</v>
      </c>
      <c r="CR59" s="229">
        <v>2.3800000000000002E-2</v>
      </c>
      <c r="CS59" s="228">
        <v>679</v>
      </c>
      <c r="CT59" s="228">
        <v>672</v>
      </c>
      <c r="CU59" s="228">
        <v>7</v>
      </c>
      <c r="CV59" s="229">
        <v>1.0500000000000001E-2</v>
      </c>
      <c r="CW59" s="230">
        <v>4340</v>
      </c>
      <c r="CX59" s="230">
        <v>4352</v>
      </c>
      <c r="CY59" s="228">
        <v>-12</v>
      </c>
      <c r="CZ59" s="229">
        <v>-2.8E-3</v>
      </c>
      <c r="DA59" s="228">
        <v>37.520000000000003</v>
      </c>
      <c r="DB59" s="228">
        <v>34.47</v>
      </c>
      <c r="DC59" s="228">
        <v>3.05</v>
      </c>
      <c r="DD59" s="228">
        <v>3.05</v>
      </c>
      <c r="DE59" s="228">
        <v>37.979999999999997</v>
      </c>
      <c r="DF59" s="228">
        <v>38.049999999999997</v>
      </c>
      <c r="DG59" s="228">
        <v>-0.46</v>
      </c>
      <c r="DH59" s="228">
        <v>-7.0000000000000007E-2</v>
      </c>
      <c r="DI59" s="228">
        <v>36.659999999999997</v>
      </c>
      <c r="DJ59" s="228">
        <v>32.950000000000003</v>
      </c>
      <c r="DK59" s="228">
        <v>3.71</v>
      </c>
      <c r="DL59" s="228">
        <v>3.71</v>
      </c>
      <c r="DM59" s="228">
        <v>38.799999999999997</v>
      </c>
      <c r="DN59" s="228">
        <v>36.28</v>
      </c>
      <c r="DO59" s="228">
        <v>2.52</v>
      </c>
      <c r="DP59" s="228">
        <v>2.52</v>
      </c>
      <c r="DQ59" s="228">
        <v>1.06</v>
      </c>
      <c r="DR59" s="228">
        <v>1.08</v>
      </c>
      <c r="DS59" s="228">
        <v>-0.02</v>
      </c>
      <c r="DT59" s="229">
        <v>-1.8499999999999999E-2</v>
      </c>
      <c r="DU59" s="228">
        <v>600</v>
      </c>
      <c r="DV59" s="228">
        <v>540</v>
      </c>
      <c r="DW59" s="228">
        <v>0.67</v>
      </c>
      <c r="DX59" s="228">
        <v>0.84</v>
      </c>
      <c r="DY59" s="228">
        <v>-0.17</v>
      </c>
      <c r="DZ59" s="229">
        <v>-0.2024</v>
      </c>
      <c r="EA59" s="229">
        <v>0.1132</v>
      </c>
      <c r="EB59" s="230">
        <v>5249475</v>
      </c>
      <c r="EC59" s="229">
        <v>6.4000000000000003E-3</v>
      </c>
      <c r="ED59" s="229">
        <v>0.1132</v>
      </c>
      <c r="EE59" s="228">
        <v>3.77</v>
      </c>
      <c r="EF59" s="229">
        <v>6.3E-3</v>
      </c>
      <c r="EG59" s="230">
        <v>1616153</v>
      </c>
      <c r="EH59" s="230">
        <v>2565754</v>
      </c>
      <c r="EI59" s="229">
        <v>-0.37009999999999998</v>
      </c>
      <c r="EJ59" s="229">
        <v>0.47870000000000001</v>
      </c>
      <c r="EK59" s="228">
        <v>585.51</v>
      </c>
      <c r="EL59" s="228">
        <v>370.31</v>
      </c>
      <c r="EM59" s="228">
        <v>305.68</v>
      </c>
      <c r="EN59" s="228">
        <v>82.4</v>
      </c>
      <c r="EO59" s="231">
        <v>1261.5</v>
      </c>
      <c r="EP59" s="231">
        <v>2477.54</v>
      </c>
      <c r="EQ59" s="231">
        <v>-1216.04</v>
      </c>
      <c r="ER59" s="229">
        <v>-0.49080000000000001</v>
      </c>
      <c r="ES59" s="228">
        <v>629.79</v>
      </c>
      <c r="ET59" s="228">
        <v>630.9</v>
      </c>
      <c r="EU59" s="231">
        <v>3024.04</v>
      </c>
      <c r="EV59" s="231">
        <v>96251298</v>
      </c>
      <c r="EW59" s="231">
        <v>4284.74</v>
      </c>
      <c r="EX59" s="231">
        <v>4324.68</v>
      </c>
      <c r="EY59" s="228">
        <v>-39.94</v>
      </c>
      <c r="EZ59" s="229">
        <v>-9.1999999999999998E-3</v>
      </c>
      <c r="FA59" s="229">
        <v>0.7571</v>
      </c>
      <c r="FB59" s="227" t="s">
        <v>567</v>
      </c>
      <c r="FC59">
        <f t="shared" si="0"/>
        <v>343</v>
      </c>
    </row>
    <row r="60" spans="1:159" ht="17.25" thickBot="1" x14ac:dyDescent="0.3">
      <c r="A60" s="226">
        <v>46132</v>
      </c>
      <c r="B60" s="227" t="s">
        <v>614</v>
      </c>
      <c r="C60" s="227" t="s">
        <v>582</v>
      </c>
      <c r="D60" s="228">
        <v>150</v>
      </c>
      <c r="E60" s="228">
        <v>8</v>
      </c>
      <c r="F60" s="231">
        <v>4607.8</v>
      </c>
      <c r="G60" s="231">
        <v>4644.8999999999996</v>
      </c>
      <c r="H60" s="228">
        <v>-37.1</v>
      </c>
      <c r="I60" s="229">
        <v>-8.0000000000000002E-3</v>
      </c>
      <c r="J60" s="231">
        <v>4605.2</v>
      </c>
      <c r="K60" s="231">
        <v>4628.5</v>
      </c>
      <c r="L60" s="228">
        <v>-23.3</v>
      </c>
      <c r="M60" s="229">
        <v>-5.0000000000000001E-3</v>
      </c>
      <c r="N60" s="231">
        <v>4607.8</v>
      </c>
      <c r="O60" s="231">
        <v>4644.8999999999996</v>
      </c>
      <c r="P60" s="228">
        <v>-37.1</v>
      </c>
      <c r="Q60" s="229">
        <v>-8.0000000000000002E-3</v>
      </c>
      <c r="R60" s="231">
        <v>4604</v>
      </c>
      <c r="S60" s="231">
        <v>4634.1000000000004</v>
      </c>
      <c r="T60" s="228">
        <v>-30.1</v>
      </c>
      <c r="U60" s="229">
        <v>-6.4999999999999997E-3</v>
      </c>
      <c r="V60" s="231">
        <v>4603.3</v>
      </c>
      <c r="W60" s="231">
        <v>4622.6000000000004</v>
      </c>
      <c r="X60" s="228">
        <v>-19.3</v>
      </c>
      <c r="Y60" s="229">
        <v>-4.1999999999999997E-3</v>
      </c>
      <c r="Z60" s="228">
        <v>2.6</v>
      </c>
      <c r="AA60" s="228">
        <v>16.399999999999999</v>
      </c>
      <c r="AB60" s="228">
        <v>-13.8</v>
      </c>
      <c r="AC60" s="229">
        <v>5.9999999999999995E-4</v>
      </c>
      <c r="AD60" s="228">
        <v>2.6</v>
      </c>
      <c r="AE60" s="228">
        <v>16.399999999999999</v>
      </c>
      <c r="AF60" s="228">
        <v>-13.8</v>
      </c>
      <c r="AG60" s="229">
        <v>5.9999999999999995E-4</v>
      </c>
      <c r="AH60" s="228">
        <v>-1.2</v>
      </c>
      <c r="AI60" s="228">
        <v>5.6</v>
      </c>
      <c r="AJ60" s="228">
        <v>-6.8</v>
      </c>
      <c r="AK60" s="229">
        <v>-2.9999999999999997E-4</v>
      </c>
      <c r="AL60" s="228">
        <v>-1.9</v>
      </c>
      <c r="AM60" s="228">
        <v>-5.9</v>
      </c>
      <c r="AN60" s="228">
        <v>4</v>
      </c>
      <c r="AO60" s="229">
        <v>-4.0000000000000002E-4</v>
      </c>
      <c r="AP60" s="231">
        <v>4601.05</v>
      </c>
      <c r="AQ60" s="231">
        <v>4596.55</v>
      </c>
      <c r="AR60" s="228">
        <v>0</v>
      </c>
      <c r="AS60" s="228">
        <v>248</v>
      </c>
      <c r="AT60" s="228">
        <v>670</v>
      </c>
      <c r="AU60" s="228">
        <v>-422</v>
      </c>
      <c r="AV60" s="229">
        <v>-0.63019999999999998</v>
      </c>
      <c r="AW60" s="228">
        <v>197</v>
      </c>
      <c r="AX60" s="228">
        <v>598</v>
      </c>
      <c r="AY60" s="228">
        <v>-401</v>
      </c>
      <c r="AZ60" s="229">
        <v>-0.67079999999999995</v>
      </c>
      <c r="BA60" s="228">
        <v>47</v>
      </c>
      <c r="BB60" s="228">
        <v>62</v>
      </c>
      <c r="BC60" s="228">
        <v>-15</v>
      </c>
      <c r="BD60" s="229">
        <v>-0.2445</v>
      </c>
      <c r="BE60" s="228">
        <v>4</v>
      </c>
      <c r="BF60" s="228">
        <v>10</v>
      </c>
      <c r="BG60" s="228">
        <v>-6</v>
      </c>
      <c r="BH60" s="229">
        <v>-0.61539999999999995</v>
      </c>
      <c r="BI60" s="230">
        <v>1148</v>
      </c>
      <c r="BJ60" s="230">
        <v>4471</v>
      </c>
      <c r="BK60" s="230">
        <v>-3323</v>
      </c>
      <c r="BL60" s="229">
        <v>-0.74319999999999997</v>
      </c>
      <c r="BM60" s="228">
        <v>931</v>
      </c>
      <c r="BN60" s="230">
        <v>2009</v>
      </c>
      <c r="BO60" s="230">
        <v>-1078</v>
      </c>
      <c r="BP60" s="229">
        <v>-0.53649999999999998</v>
      </c>
      <c r="BQ60" s="230">
        <v>2327</v>
      </c>
      <c r="BR60" s="230">
        <v>7150</v>
      </c>
      <c r="BS60" s="230">
        <v>-4823</v>
      </c>
      <c r="BT60" s="229">
        <v>-0.67449999999999999</v>
      </c>
      <c r="BU60" s="230">
        <v>550567</v>
      </c>
      <c r="BV60" s="230">
        <v>1407059</v>
      </c>
      <c r="BW60" s="230">
        <v>-856492</v>
      </c>
      <c r="BX60" s="229">
        <v>-0.60870000000000002</v>
      </c>
      <c r="BY60" s="230">
        <v>1853</v>
      </c>
      <c r="BZ60" s="230">
        <v>1859</v>
      </c>
      <c r="CA60" s="228">
        <v>-6</v>
      </c>
      <c r="CB60" s="229">
        <v>-3.3999999999999998E-3</v>
      </c>
      <c r="CC60" s="230">
        <v>1676</v>
      </c>
      <c r="CD60" s="230">
        <v>1696</v>
      </c>
      <c r="CE60" s="228">
        <v>-19</v>
      </c>
      <c r="CF60" s="229">
        <v>-1.1299999999999999E-2</v>
      </c>
      <c r="CG60" s="228">
        <v>166</v>
      </c>
      <c r="CH60" s="228">
        <v>154</v>
      </c>
      <c r="CI60" s="228">
        <v>12</v>
      </c>
      <c r="CJ60" s="229">
        <v>7.5700000000000003E-2</v>
      </c>
      <c r="CK60" s="228">
        <v>10</v>
      </c>
      <c r="CL60" s="228">
        <v>9</v>
      </c>
      <c r="CM60" s="228">
        <v>1</v>
      </c>
      <c r="CN60" s="229">
        <v>0.13850000000000001</v>
      </c>
      <c r="CO60" s="228">
        <v>884</v>
      </c>
      <c r="CP60" s="228">
        <v>898</v>
      </c>
      <c r="CQ60" s="228">
        <v>-14</v>
      </c>
      <c r="CR60" s="229">
        <v>-1.54E-2</v>
      </c>
      <c r="CS60" s="228">
        <v>834</v>
      </c>
      <c r="CT60" s="228">
        <v>866</v>
      </c>
      <c r="CU60" s="228">
        <v>-32</v>
      </c>
      <c r="CV60" s="229">
        <v>-3.6400000000000002E-2</v>
      </c>
      <c r="CW60" s="230">
        <v>3571</v>
      </c>
      <c r="CX60" s="230">
        <v>3623</v>
      </c>
      <c r="CY60" s="228">
        <v>-52</v>
      </c>
      <c r="CZ60" s="229">
        <v>-1.43E-2</v>
      </c>
      <c r="DA60" s="228">
        <v>35.200000000000003</v>
      </c>
      <c r="DB60" s="228">
        <v>32.5</v>
      </c>
      <c r="DC60" s="228">
        <v>2.7</v>
      </c>
      <c r="DD60" s="228">
        <v>2.7</v>
      </c>
      <c r="DE60" s="228">
        <v>33.17</v>
      </c>
      <c r="DF60" s="228">
        <v>33.24</v>
      </c>
      <c r="DG60" s="228">
        <v>2.0299999999999998</v>
      </c>
      <c r="DH60" s="228">
        <v>-7.0000000000000007E-2</v>
      </c>
      <c r="DI60" s="228">
        <v>33.520000000000003</v>
      </c>
      <c r="DJ60" s="228">
        <v>31.27</v>
      </c>
      <c r="DK60" s="228">
        <v>2.25</v>
      </c>
      <c r="DL60" s="228">
        <v>2.25</v>
      </c>
      <c r="DM60" s="228">
        <v>37.28</v>
      </c>
      <c r="DN60" s="228">
        <v>35.25</v>
      </c>
      <c r="DO60" s="228">
        <v>2.0299999999999998</v>
      </c>
      <c r="DP60" s="228">
        <v>2.0299999999999998</v>
      </c>
      <c r="DQ60" s="228">
        <v>0.94</v>
      </c>
      <c r="DR60" s="228">
        <v>0.96</v>
      </c>
      <c r="DS60" s="228">
        <v>-0.02</v>
      </c>
      <c r="DT60" s="229">
        <v>-2.0799999999999999E-2</v>
      </c>
      <c r="DU60" s="231">
        <v>4600</v>
      </c>
      <c r="DV60" s="231">
        <v>3700</v>
      </c>
      <c r="DW60" s="228">
        <v>0.81</v>
      </c>
      <c r="DX60" s="228">
        <v>0.45</v>
      </c>
      <c r="DY60" s="228">
        <v>0.36</v>
      </c>
      <c r="DZ60" s="229">
        <v>0.8</v>
      </c>
      <c r="EA60" s="229">
        <v>9.5100000000000004E-2</v>
      </c>
      <c r="EB60" s="230">
        <v>354450</v>
      </c>
      <c r="EC60" s="229">
        <v>-8.0000000000000004E-4</v>
      </c>
      <c r="ED60" s="229">
        <v>9.5100000000000004E-2</v>
      </c>
      <c r="EE60" s="228">
        <v>-4.5</v>
      </c>
      <c r="EF60" s="229">
        <v>-1E-3</v>
      </c>
      <c r="EG60" s="230">
        <v>284812</v>
      </c>
      <c r="EH60" s="230">
        <v>732037</v>
      </c>
      <c r="EI60" s="229">
        <v>-0.6109</v>
      </c>
      <c r="EJ60" s="229">
        <v>0.51729999999999998</v>
      </c>
      <c r="EK60" s="231">
        <v>1199.23</v>
      </c>
      <c r="EL60" s="228">
        <v>897.92</v>
      </c>
      <c r="EM60" s="228">
        <v>247.44</v>
      </c>
      <c r="EN60" s="228">
        <v>66.849999999999994</v>
      </c>
      <c r="EO60" s="231">
        <v>2344.59</v>
      </c>
      <c r="EP60" s="231">
        <v>7246.53</v>
      </c>
      <c r="EQ60" s="231">
        <v>-4901.93</v>
      </c>
      <c r="ER60" s="229">
        <v>-0.67649999999999999</v>
      </c>
      <c r="ES60" s="228">
        <v>868.27</v>
      </c>
      <c r="ET60" s="228">
        <v>752.95</v>
      </c>
      <c r="EU60" s="231">
        <v>1852.4</v>
      </c>
      <c r="EV60" s="231">
        <v>16494391</v>
      </c>
      <c r="EW60" s="231">
        <v>3473.61</v>
      </c>
      <c r="EX60" s="231">
        <v>3539.3</v>
      </c>
      <c r="EY60" s="228">
        <v>-65.69</v>
      </c>
      <c r="EZ60" s="229">
        <v>-1.8599999999999998E-2</v>
      </c>
      <c r="FA60" s="229">
        <v>0.46989999999999998</v>
      </c>
      <c r="FB60" s="227" t="s">
        <v>567</v>
      </c>
      <c r="FC60">
        <f t="shared" si="0"/>
        <v>177</v>
      </c>
    </row>
    <row r="61" spans="1:159" ht="17.25" thickBot="1" x14ac:dyDescent="0.3">
      <c r="A61" s="226">
        <v>46132</v>
      </c>
      <c r="B61" s="227" t="s">
        <v>170</v>
      </c>
      <c r="C61" s="227" t="s">
        <v>208</v>
      </c>
      <c r="D61" s="228">
        <v>625</v>
      </c>
      <c r="E61" s="228">
        <v>8</v>
      </c>
      <c r="F61" s="231">
        <v>1224.0999999999999</v>
      </c>
      <c r="G61" s="231">
        <v>1231.8</v>
      </c>
      <c r="H61" s="228">
        <v>-7.7</v>
      </c>
      <c r="I61" s="229">
        <v>-6.3E-3</v>
      </c>
      <c r="J61" s="231">
        <v>1232.5999999999999</v>
      </c>
      <c r="K61" s="231">
        <v>1235.7</v>
      </c>
      <c r="L61" s="228">
        <v>-3.1</v>
      </c>
      <c r="M61" s="229">
        <v>-2.5000000000000001E-3</v>
      </c>
      <c r="N61" s="231">
        <v>1224.0999999999999</v>
      </c>
      <c r="O61" s="231">
        <v>1231.8</v>
      </c>
      <c r="P61" s="228">
        <v>-7.7</v>
      </c>
      <c r="Q61" s="229">
        <v>-6.3E-3</v>
      </c>
      <c r="R61" s="231">
        <v>1224.4000000000001</v>
      </c>
      <c r="S61" s="231">
        <v>1232.2</v>
      </c>
      <c r="T61" s="228">
        <v>-7.8</v>
      </c>
      <c r="U61" s="229">
        <v>-6.3E-3</v>
      </c>
      <c r="V61" s="231">
        <v>1228.2</v>
      </c>
      <c r="W61" s="231">
        <v>1236.0999999999999</v>
      </c>
      <c r="X61" s="228">
        <v>-7.9</v>
      </c>
      <c r="Y61" s="229">
        <v>-6.4000000000000003E-3</v>
      </c>
      <c r="Z61" s="228">
        <v>-8.5</v>
      </c>
      <c r="AA61" s="228">
        <v>-3.9</v>
      </c>
      <c r="AB61" s="228">
        <v>-4.5999999999999996</v>
      </c>
      <c r="AC61" s="229">
        <v>-6.8999999999999999E-3</v>
      </c>
      <c r="AD61" s="228">
        <v>-8.5</v>
      </c>
      <c r="AE61" s="228">
        <v>-3.9</v>
      </c>
      <c r="AF61" s="228">
        <v>-4.5999999999999996</v>
      </c>
      <c r="AG61" s="229">
        <v>-6.8999999999999999E-3</v>
      </c>
      <c r="AH61" s="228">
        <v>-8.1999999999999993</v>
      </c>
      <c r="AI61" s="228">
        <v>-3.5</v>
      </c>
      <c r="AJ61" s="228">
        <v>-4.7</v>
      </c>
      <c r="AK61" s="229">
        <v>-6.7000000000000002E-3</v>
      </c>
      <c r="AL61" s="228">
        <v>-4.4000000000000004</v>
      </c>
      <c r="AM61" s="228">
        <v>0.4</v>
      </c>
      <c r="AN61" s="228">
        <v>-4.8</v>
      </c>
      <c r="AO61" s="229">
        <v>-3.5999999999999999E-3</v>
      </c>
      <c r="AP61" s="231">
        <v>1228.43</v>
      </c>
      <c r="AQ61" s="231">
        <v>1228.3699999999999</v>
      </c>
      <c r="AR61" s="228">
        <v>0</v>
      </c>
      <c r="AS61" s="228">
        <v>237</v>
      </c>
      <c r="AT61" s="228">
        <v>281</v>
      </c>
      <c r="AU61" s="228">
        <v>-43</v>
      </c>
      <c r="AV61" s="229">
        <v>-0.15409999999999999</v>
      </c>
      <c r="AW61" s="228">
        <v>183</v>
      </c>
      <c r="AX61" s="228">
        <v>217</v>
      </c>
      <c r="AY61" s="228">
        <v>-34</v>
      </c>
      <c r="AZ61" s="229">
        <v>-0.1555</v>
      </c>
      <c r="BA61" s="228">
        <v>50</v>
      </c>
      <c r="BB61" s="228">
        <v>60</v>
      </c>
      <c r="BC61" s="228">
        <v>-10</v>
      </c>
      <c r="BD61" s="229">
        <v>-0.16200000000000001</v>
      </c>
      <c r="BE61" s="228">
        <v>5</v>
      </c>
      <c r="BF61" s="228">
        <v>5</v>
      </c>
      <c r="BG61" s="228">
        <v>0</v>
      </c>
      <c r="BH61" s="229">
        <v>1.6899999999999998E-2</v>
      </c>
      <c r="BI61" s="228">
        <v>827</v>
      </c>
      <c r="BJ61" s="230">
        <v>1175</v>
      </c>
      <c r="BK61" s="228">
        <v>-348</v>
      </c>
      <c r="BL61" s="229">
        <v>-0.2959</v>
      </c>
      <c r="BM61" s="228">
        <v>383</v>
      </c>
      <c r="BN61" s="228">
        <v>494</v>
      </c>
      <c r="BO61" s="228">
        <v>-111</v>
      </c>
      <c r="BP61" s="229">
        <v>-0.2248</v>
      </c>
      <c r="BQ61" s="230">
        <v>1447</v>
      </c>
      <c r="BR61" s="230">
        <v>1949</v>
      </c>
      <c r="BS61" s="228">
        <v>-502</v>
      </c>
      <c r="BT61" s="229">
        <v>-0.25750000000000001</v>
      </c>
      <c r="BU61" s="230">
        <v>1743994</v>
      </c>
      <c r="BV61" s="230">
        <v>2640179</v>
      </c>
      <c r="BW61" s="230">
        <v>-896185</v>
      </c>
      <c r="BX61" s="229">
        <v>-0.33939999999999998</v>
      </c>
      <c r="BY61" s="230">
        <v>1732</v>
      </c>
      <c r="BZ61" s="230">
        <v>1691</v>
      </c>
      <c r="CA61" s="228">
        <v>41</v>
      </c>
      <c r="CB61" s="229">
        <v>2.41E-2</v>
      </c>
      <c r="CC61" s="230">
        <v>1593</v>
      </c>
      <c r="CD61" s="230">
        <v>1572</v>
      </c>
      <c r="CE61" s="228">
        <v>21</v>
      </c>
      <c r="CF61" s="229">
        <v>1.32E-2</v>
      </c>
      <c r="CG61" s="228">
        <v>123</v>
      </c>
      <c r="CH61" s="228">
        <v>104</v>
      </c>
      <c r="CI61" s="228">
        <v>19</v>
      </c>
      <c r="CJ61" s="229">
        <v>0.1797</v>
      </c>
      <c r="CK61" s="228">
        <v>17</v>
      </c>
      <c r="CL61" s="228">
        <v>15</v>
      </c>
      <c r="CM61" s="228">
        <v>1</v>
      </c>
      <c r="CN61" s="229">
        <v>9.0899999999999995E-2</v>
      </c>
      <c r="CO61" s="228">
        <v>876</v>
      </c>
      <c r="CP61" s="228">
        <v>888</v>
      </c>
      <c r="CQ61" s="228">
        <v>-11</v>
      </c>
      <c r="CR61" s="229">
        <v>-1.26E-2</v>
      </c>
      <c r="CS61" s="228">
        <v>618</v>
      </c>
      <c r="CT61" s="228">
        <v>633</v>
      </c>
      <c r="CU61" s="228">
        <v>-15</v>
      </c>
      <c r="CV61" s="229">
        <v>-2.3699999999999999E-2</v>
      </c>
      <c r="CW61" s="230">
        <v>3226</v>
      </c>
      <c r="CX61" s="230">
        <v>3211</v>
      </c>
      <c r="CY61" s="228">
        <v>15</v>
      </c>
      <c r="CZ61" s="229">
        <v>4.5999999999999999E-3</v>
      </c>
      <c r="DA61" s="228">
        <v>27.32</v>
      </c>
      <c r="DB61" s="228">
        <v>25.1</v>
      </c>
      <c r="DC61" s="228">
        <v>2.2200000000000002</v>
      </c>
      <c r="DD61" s="228">
        <v>2.2200000000000002</v>
      </c>
      <c r="DE61" s="228">
        <v>25.98</v>
      </c>
      <c r="DF61" s="228">
        <v>26.04</v>
      </c>
      <c r="DG61" s="228">
        <v>1.34</v>
      </c>
      <c r="DH61" s="228">
        <v>-0.06</v>
      </c>
      <c r="DI61" s="228">
        <v>27.14</v>
      </c>
      <c r="DJ61" s="228">
        <v>24.76</v>
      </c>
      <c r="DK61" s="228">
        <v>2.38</v>
      </c>
      <c r="DL61" s="228">
        <v>2.38</v>
      </c>
      <c r="DM61" s="228">
        <v>27.7</v>
      </c>
      <c r="DN61" s="228">
        <v>25.92</v>
      </c>
      <c r="DO61" s="228">
        <v>1.78</v>
      </c>
      <c r="DP61" s="228">
        <v>1.78</v>
      </c>
      <c r="DQ61" s="228">
        <v>0.7</v>
      </c>
      <c r="DR61" s="228">
        <v>0.71</v>
      </c>
      <c r="DS61" s="228">
        <v>-0.01</v>
      </c>
      <c r="DT61" s="229">
        <v>-1.41E-2</v>
      </c>
      <c r="DU61" s="231">
        <v>1240</v>
      </c>
      <c r="DV61" s="231">
        <v>1200</v>
      </c>
      <c r="DW61" s="228">
        <v>0.46</v>
      </c>
      <c r="DX61" s="228">
        <v>0.42</v>
      </c>
      <c r="DY61" s="228">
        <v>0.04</v>
      </c>
      <c r="DZ61" s="229">
        <v>9.5200000000000007E-2</v>
      </c>
      <c r="EA61" s="229">
        <v>8.0299999999999996E-2</v>
      </c>
      <c r="EB61" s="230">
        <v>972500</v>
      </c>
      <c r="EC61" s="229">
        <v>2.0000000000000001E-4</v>
      </c>
      <c r="ED61" s="229">
        <v>8.0299999999999996E-2</v>
      </c>
      <c r="EE61" s="228">
        <v>-0.06</v>
      </c>
      <c r="EF61" s="229">
        <v>0</v>
      </c>
      <c r="EG61" s="230">
        <v>1155026</v>
      </c>
      <c r="EH61" s="230">
        <v>1809643</v>
      </c>
      <c r="EI61" s="229">
        <v>-0.36170000000000002</v>
      </c>
      <c r="EJ61" s="229">
        <v>0.6623</v>
      </c>
      <c r="EK61" s="228">
        <v>854.43</v>
      </c>
      <c r="EL61" s="228">
        <v>381.49</v>
      </c>
      <c r="EM61" s="228">
        <v>238.17</v>
      </c>
      <c r="EN61" s="228">
        <v>46.55</v>
      </c>
      <c r="EO61" s="231">
        <v>1474.09</v>
      </c>
      <c r="EP61" s="231">
        <v>1983.56</v>
      </c>
      <c r="EQ61" s="228">
        <v>-509.46</v>
      </c>
      <c r="ER61" s="229">
        <v>-0.25679999999999997</v>
      </c>
      <c r="ES61" s="228">
        <v>904.28</v>
      </c>
      <c r="ET61" s="228">
        <v>595.85</v>
      </c>
      <c r="EU61" s="231">
        <v>1731.8</v>
      </c>
      <c r="EV61" s="231">
        <v>61026255</v>
      </c>
      <c r="EW61" s="231">
        <v>3231.93</v>
      </c>
      <c r="EX61" s="231">
        <v>3226.48</v>
      </c>
      <c r="EY61" s="228">
        <v>5.45</v>
      </c>
      <c r="EZ61" s="229">
        <v>1.6999999999999999E-3</v>
      </c>
      <c r="FA61" s="229">
        <v>0.43180000000000002</v>
      </c>
      <c r="FB61" s="227" t="s">
        <v>566</v>
      </c>
      <c r="FC61">
        <f t="shared" si="0"/>
        <v>139</v>
      </c>
    </row>
    <row r="62" spans="1:159" ht="17.25" thickBot="1" x14ac:dyDescent="0.3">
      <c r="A62" s="226">
        <v>46132</v>
      </c>
      <c r="B62" s="227" t="s">
        <v>162</v>
      </c>
      <c r="C62" s="227" t="s">
        <v>209</v>
      </c>
      <c r="D62" s="228">
        <v>100</v>
      </c>
      <c r="E62" s="228">
        <v>8</v>
      </c>
      <c r="F62" s="231">
        <v>7233</v>
      </c>
      <c r="G62" s="231">
        <v>7189.5</v>
      </c>
      <c r="H62" s="228">
        <v>43.5</v>
      </c>
      <c r="I62" s="229">
        <v>6.1000000000000004E-3</v>
      </c>
      <c r="J62" s="231">
        <v>7243</v>
      </c>
      <c r="K62" s="231">
        <v>7189.5</v>
      </c>
      <c r="L62" s="228">
        <v>53.5</v>
      </c>
      <c r="M62" s="229">
        <v>7.4000000000000003E-3</v>
      </c>
      <c r="N62" s="231">
        <v>7233</v>
      </c>
      <c r="O62" s="231">
        <v>7189.5</v>
      </c>
      <c r="P62" s="228">
        <v>43.5</v>
      </c>
      <c r="Q62" s="229">
        <v>6.1000000000000004E-3</v>
      </c>
      <c r="R62" s="231">
        <v>7270</v>
      </c>
      <c r="S62" s="231">
        <v>7228.5</v>
      </c>
      <c r="T62" s="228">
        <v>41.5</v>
      </c>
      <c r="U62" s="229">
        <v>5.7000000000000002E-3</v>
      </c>
      <c r="V62" s="231">
        <v>7319</v>
      </c>
      <c r="W62" s="231">
        <v>7279</v>
      </c>
      <c r="X62" s="228">
        <v>40</v>
      </c>
      <c r="Y62" s="229">
        <v>5.4999999999999997E-3</v>
      </c>
      <c r="Z62" s="228">
        <v>-10</v>
      </c>
      <c r="AA62" s="228">
        <v>0</v>
      </c>
      <c r="AB62" s="228">
        <v>-10</v>
      </c>
      <c r="AC62" s="229">
        <v>-1.4E-3</v>
      </c>
      <c r="AD62" s="228">
        <v>-10</v>
      </c>
      <c r="AE62" s="228">
        <v>0</v>
      </c>
      <c r="AF62" s="228">
        <v>-10</v>
      </c>
      <c r="AG62" s="229">
        <v>-1.4E-3</v>
      </c>
      <c r="AH62" s="228">
        <v>27</v>
      </c>
      <c r="AI62" s="228">
        <v>39</v>
      </c>
      <c r="AJ62" s="228">
        <v>-12</v>
      </c>
      <c r="AK62" s="229">
        <v>3.7000000000000002E-3</v>
      </c>
      <c r="AL62" s="228">
        <v>76</v>
      </c>
      <c r="AM62" s="228">
        <v>89.5</v>
      </c>
      <c r="AN62" s="228">
        <v>-13.5</v>
      </c>
      <c r="AO62" s="229">
        <v>1.0500000000000001E-2</v>
      </c>
      <c r="AP62" s="231">
        <v>7218.43</v>
      </c>
      <c r="AQ62" s="231">
        <v>7247.44</v>
      </c>
      <c r="AR62" s="228">
        <v>0</v>
      </c>
      <c r="AS62" s="228">
        <v>343</v>
      </c>
      <c r="AT62" s="228">
        <v>347</v>
      </c>
      <c r="AU62" s="228">
        <v>-5</v>
      </c>
      <c r="AV62" s="229">
        <v>-1.35E-2</v>
      </c>
      <c r="AW62" s="228">
        <v>282</v>
      </c>
      <c r="AX62" s="228">
        <v>287</v>
      </c>
      <c r="AY62" s="228">
        <v>-4</v>
      </c>
      <c r="AZ62" s="229">
        <v>-1.49E-2</v>
      </c>
      <c r="BA62" s="228">
        <v>56</v>
      </c>
      <c r="BB62" s="228">
        <v>57</v>
      </c>
      <c r="BC62" s="228">
        <v>-1</v>
      </c>
      <c r="BD62" s="229">
        <v>-2.1499999999999998E-2</v>
      </c>
      <c r="BE62" s="228">
        <v>4</v>
      </c>
      <c r="BF62" s="228">
        <v>4</v>
      </c>
      <c r="BG62" s="228">
        <v>1</v>
      </c>
      <c r="BH62" s="229">
        <v>0.22</v>
      </c>
      <c r="BI62" s="230">
        <v>2554</v>
      </c>
      <c r="BJ62" s="230">
        <v>2377</v>
      </c>
      <c r="BK62" s="228">
        <v>177</v>
      </c>
      <c r="BL62" s="229">
        <v>7.4499999999999997E-2</v>
      </c>
      <c r="BM62" s="228">
        <v>858</v>
      </c>
      <c r="BN62" s="228">
        <v>797</v>
      </c>
      <c r="BO62" s="228">
        <v>61</v>
      </c>
      <c r="BP62" s="229">
        <v>7.6799999999999993E-2</v>
      </c>
      <c r="BQ62" s="230">
        <v>3754</v>
      </c>
      <c r="BR62" s="230">
        <v>3521</v>
      </c>
      <c r="BS62" s="228">
        <v>233</v>
      </c>
      <c r="BT62" s="229">
        <v>6.6299999999999998E-2</v>
      </c>
      <c r="BU62" s="230">
        <v>720976</v>
      </c>
      <c r="BV62" s="230">
        <v>645766</v>
      </c>
      <c r="BW62" s="230">
        <v>75210</v>
      </c>
      <c r="BX62" s="229">
        <v>0.11650000000000001</v>
      </c>
      <c r="BY62" s="230">
        <v>3041</v>
      </c>
      <c r="BZ62" s="230">
        <v>3106</v>
      </c>
      <c r="CA62" s="228">
        <v>-65</v>
      </c>
      <c r="CB62" s="229">
        <v>-2.0799999999999999E-2</v>
      </c>
      <c r="CC62" s="230">
        <v>2550</v>
      </c>
      <c r="CD62" s="230">
        <v>2623</v>
      </c>
      <c r="CE62" s="228">
        <v>-73</v>
      </c>
      <c r="CF62" s="229">
        <v>-2.7900000000000001E-2</v>
      </c>
      <c r="CG62" s="228">
        <v>248</v>
      </c>
      <c r="CH62" s="228">
        <v>240</v>
      </c>
      <c r="CI62" s="228">
        <v>8</v>
      </c>
      <c r="CJ62" s="229">
        <v>3.5299999999999998E-2</v>
      </c>
      <c r="CK62" s="228">
        <v>243</v>
      </c>
      <c r="CL62" s="228">
        <v>243</v>
      </c>
      <c r="CM62" s="228">
        <v>0</v>
      </c>
      <c r="CN62" s="229">
        <v>8.9999999999999998E-4</v>
      </c>
      <c r="CO62" s="230">
        <v>1556</v>
      </c>
      <c r="CP62" s="230">
        <v>1679</v>
      </c>
      <c r="CQ62" s="228">
        <v>-124</v>
      </c>
      <c r="CR62" s="229">
        <v>-7.3599999999999999E-2</v>
      </c>
      <c r="CS62" s="230">
        <v>1200</v>
      </c>
      <c r="CT62" s="230">
        <v>1142</v>
      </c>
      <c r="CU62" s="228">
        <v>58</v>
      </c>
      <c r="CV62" s="229">
        <v>5.04E-2</v>
      </c>
      <c r="CW62" s="230">
        <v>5797</v>
      </c>
      <c r="CX62" s="230">
        <v>5928</v>
      </c>
      <c r="CY62" s="228">
        <v>-131</v>
      </c>
      <c r="CZ62" s="229">
        <v>-2.1999999999999999E-2</v>
      </c>
      <c r="DA62" s="228">
        <v>33.1</v>
      </c>
      <c r="DB62" s="228">
        <v>30.63</v>
      </c>
      <c r="DC62" s="228">
        <v>2.4700000000000002</v>
      </c>
      <c r="DD62" s="228">
        <v>2.4700000000000002</v>
      </c>
      <c r="DE62" s="228">
        <v>33.79</v>
      </c>
      <c r="DF62" s="228">
        <v>33.86</v>
      </c>
      <c r="DG62" s="228">
        <v>-0.69</v>
      </c>
      <c r="DH62" s="228">
        <v>-7.0000000000000007E-2</v>
      </c>
      <c r="DI62" s="228">
        <v>32.49</v>
      </c>
      <c r="DJ62" s="228">
        <v>30.13</v>
      </c>
      <c r="DK62" s="228">
        <v>2.36</v>
      </c>
      <c r="DL62" s="228">
        <v>2.36</v>
      </c>
      <c r="DM62" s="228">
        <v>34.909999999999997</v>
      </c>
      <c r="DN62" s="228">
        <v>32.15</v>
      </c>
      <c r="DO62" s="228">
        <v>2.76</v>
      </c>
      <c r="DP62" s="228">
        <v>2.76</v>
      </c>
      <c r="DQ62" s="228">
        <v>0.77</v>
      </c>
      <c r="DR62" s="228">
        <v>0.68</v>
      </c>
      <c r="DS62" s="228">
        <v>0.09</v>
      </c>
      <c r="DT62" s="229">
        <v>0.13239999999999999</v>
      </c>
      <c r="DU62" s="231">
        <v>8000</v>
      </c>
      <c r="DV62" s="231">
        <v>6500</v>
      </c>
      <c r="DW62" s="228">
        <v>0.34</v>
      </c>
      <c r="DX62" s="228">
        <v>0.34</v>
      </c>
      <c r="DY62" s="228">
        <v>0</v>
      </c>
      <c r="DZ62" s="229">
        <v>0</v>
      </c>
      <c r="EA62" s="229">
        <v>0.1615</v>
      </c>
      <c r="EB62" s="230">
        <v>667300</v>
      </c>
      <c r="EC62" s="229">
        <v>5.1000000000000004E-3</v>
      </c>
      <c r="ED62" s="229">
        <v>0.1615</v>
      </c>
      <c r="EE62" s="228">
        <v>29.01</v>
      </c>
      <c r="EF62" s="229">
        <v>4.0000000000000001E-3</v>
      </c>
      <c r="EG62" s="230">
        <v>400544</v>
      </c>
      <c r="EH62" s="230">
        <v>392238</v>
      </c>
      <c r="EI62" s="229">
        <v>2.12E-2</v>
      </c>
      <c r="EJ62" s="229">
        <v>0.55559999999999998</v>
      </c>
      <c r="EK62" s="231">
        <v>2657.55</v>
      </c>
      <c r="EL62" s="228">
        <v>831.85</v>
      </c>
      <c r="EM62" s="228">
        <v>342.28</v>
      </c>
      <c r="EN62" s="228">
        <v>82.86</v>
      </c>
      <c r="EO62" s="231">
        <v>3831.68</v>
      </c>
      <c r="EP62" s="231">
        <v>3574.48</v>
      </c>
      <c r="EQ62" s="228">
        <v>257.20999999999998</v>
      </c>
      <c r="ER62" s="229">
        <v>7.1999999999999995E-2</v>
      </c>
      <c r="ES62" s="231">
        <v>1595.22</v>
      </c>
      <c r="ET62" s="231">
        <v>1153.92</v>
      </c>
      <c r="EU62" s="231">
        <v>3045.56</v>
      </c>
      <c r="EV62" s="231">
        <v>20960143</v>
      </c>
      <c r="EW62" s="231">
        <v>5794.7</v>
      </c>
      <c r="EX62" s="231">
        <v>5914.09</v>
      </c>
      <c r="EY62" s="228">
        <v>-119.39</v>
      </c>
      <c r="EZ62" s="229">
        <v>-2.0199999999999999E-2</v>
      </c>
      <c r="FA62" s="229">
        <v>0.38240000000000002</v>
      </c>
      <c r="FB62" s="227" t="s">
        <v>693</v>
      </c>
      <c r="FC62">
        <f t="shared" si="0"/>
        <v>491</v>
      </c>
    </row>
    <row r="63" spans="1:159" ht="17.25" thickBot="1" x14ac:dyDescent="0.3">
      <c r="A63" s="226">
        <v>46132</v>
      </c>
      <c r="B63" s="227" t="s">
        <v>614</v>
      </c>
      <c r="C63" s="227" t="s">
        <v>665</v>
      </c>
      <c r="D63" s="228">
        <v>2425</v>
      </c>
      <c r="E63" s="228">
        <v>8</v>
      </c>
      <c r="F63" s="228">
        <v>254.72</v>
      </c>
      <c r="G63" s="228">
        <v>252.59</v>
      </c>
      <c r="H63" s="228">
        <v>2.13</v>
      </c>
      <c r="I63" s="229">
        <v>8.3999999999999995E-3</v>
      </c>
      <c r="J63" s="228">
        <v>254.88</v>
      </c>
      <c r="K63" s="228">
        <v>252.61</v>
      </c>
      <c r="L63" s="228">
        <v>2.27</v>
      </c>
      <c r="M63" s="229">
        <v>8.9999999999999993E-3</v>
      </c>
      <c r="N63" s="228">
        <v>254.72</v>
      </c>
      <c r="O63" s="228">
        <v>252.59</v>
      </c>
      <c r="P63" s="228">
        <v>2.13</v>
      </c>
      <c r="Q63" s="229">
        <v>8.3999999999999995E-3</v>
      </c>
      <c r="R63" s="228">
        <v>255.77</v>
      </c>
      <c r="S63" s="228">
        <v>253.93</v>
      </c>
      <c r="T63" s="228">
        <v>1.84</v>
      </c>
      <c r="U63" s="229">
        <v>7.1999999999999998E-3</v>
      </c>
      <c r="V63" s="228">
        <v>257.77999999999997</v>
      </c>
      <c r="W63" s="228">
        <v>255.4</v>
      </c>
      <c r="X63" s="228">
        <v>2.38</v>
      </c>
      <c r="Y63" s="229">
        <v>9.2999999999999992E-3</v>
      </c>
      <c r="Z63" s="228">
        <v>-0.16</v>
      </c>
      <c r="AA63" s="228">
        <v>-0.02</v>
      </c>
      <c r="AB63" s="228">
        <v>-0.14000000000000001</v>
      </c>
      <c r="AC63" s="229">
        <v>-5.9999999999999995E-4</v>
      </c>
      <c r="AD63" s="228">
        <v>-0.16</v>
      </c>
      <c r="AE63" s="228">
        <v>-0.02</v>
      </c>
      <c r="AF63" s="228">
        <v>-0.14000000000000001</v>
      </c>
      <c r="AG63" s="229">
        <v>-5.9999999999999995E-4</v>
      </c>
      <c r="AH63" s="228">
        <v>0.89</v>
      </c>
      <c r="AI63" s="228">
        <v>1.32</v>
      </c>
      <c r="AJ63" s="228">
        <v>-0.43</v>
      </c>
      <c r="AK63" s="229">
        <v>3.5000000000000001E-3</v>
      </c>
      <c r="AL63" s="228">
        <v>2.9</v>
      </c>
      <c r="AM63" s="228">
        <v>2.79</v>
      </c>
      <c r="AN63" s="228">
        <v>0.11</v>
      </c>
      <c r="AO63" s="229">
        <v>1.14E-2</v>
      </c>
      <c r="AP63" s="228">
        <v>254.7</v>
      </c>
      <c r="AQ63" s="228">
        <v>255.49</v>
      </c>
      <c r="AR63" s="228">
        <v>0</v>
      </c>
      <c r="AS63" s="228">
        <v>900</v>
      </c>
      <c r="AT63" s="228">
        <v>912</v>
      </c>
      <c r="AU63" s="228">
        <v>-12</v>
      </c>
      <c r="AV63" s="229">
        <v>-1.34E-2</v>
      </c>
      <c r="AW63" s="228">
        <v>732</v>
      </c>
      <c r="AX63" s="228">
        <v>809</v>
      </c>
      <c r="AY63" s="228">
        <v>-77</v>
      </c>
      <c r="AZ63" s="229">
        <v>-9.4899999999999998E-2</v>
      </c>
      <c r="BA63" s="228">
        <v>137</v>
      </c>
      <c r="BB63" s="228">
        <v>91</v>
      </c>
      <c r="BC63" s="228">
        <v>47</v>
      </c>
      <c r="BD63" s="229">
        <v>0.51739999999999997</v>
      </c>
      <c r="BE63" s="228">
        <v>31</v>
      </c>
      <c r="BF63" s="228">
        <v>13</v>
      </c>
      <c r="BG63" s="228">
        <v>18</v>
      </c>
      <c r="BH63" s="229">
        <v>1.3443000000000001</v>
      </c>
      <c r="BI63" s="230">
        <v>2027</v>
      </c>
      <c r="BJ63" s="230">
        <v>2193</v>
      </c>
      <c r="BK63" s="228">
        <v>-166</v>
      </c>
      <c r="BL63" s="229">
        <v>-7.5700000000000003E-2</v>
      </c>
      <c r="BM63" s="230">
        <v>1238</v>
      </c>
      <c r="BN63" s="230">
        <v>1073</v>
      </c>
      <c r="BO63" s="228">
        <v>166</v>
      </c>
      <c r="BP63" s="229">
        <v>0.15429999999999999</v>
      </c>
      <c r="BQ63" s="230">
        <v>4165</v>
      </c>
      <c r="BR63" s="230">
        <v>4178</v>
      </c>
      <c r="BS63" s="228">
        <v>-13</v>
      </c>
      <c r="BT63" s="229">
        <v>-3.0000000000000001E-3</v>
      </c>
      <c r="BU63" s="230">
        <v>41505385</v>
      </c>
      <c r="BV63" s="230">
        <v>38278410</v>
      </c>
      <c r="BW63" s="230">
        <v>3226975</v>
      </c>
      <c r="BX63" s="229">
        <v>8.43E-2</v>
      </c>
      <c r="BY63" s="230">
        <v>4931</v>
      </c>
      <c r="BZ63" s="230">
        <v>4969</v>
      </c>
      <c r="CA63" s="228">
        <v>-38</v>
      </c>
      <c r="CB63" s="229">
        <v>-7.7000000000000002E-3</v>
      </c>
      <c r="CC63" s="230">
        <v>4413</v>
      </c>
      <c r="CD63" s="230">
        <v>4507</v>
      </c>
      <c r="CE63" s="228">
        <v>-94</v>
      </c>
      <c r="CF63" s="229">
        <v>-2.0899999999999998E-2</v>
      </c>
      <c r="CG63" s="228">
        <v>427</v>
      </c>
      <c r="CH63" s="228">
        <v>389</v>
      </c>
      <c r="CI63" s="228">
        <v>38</v>
      </c>
      <c r="CJ63" s="229">
        <v>9.8799999999999999E-2</v>
      </c>
      <c r="CK63" s="228">
        <v>90</v>
      </c>
      <c r="CL63" s="228">
        <v>73</v>
      </c>
      <c r="CM63" s="228">
        <v>18</v>
      </c>
      <c r="CN63" s="229">
        <v>0.24049999999999999</v>
      </c>
      <c r="CO63" s="230">
        <v>1603</v>
      </c>
      <c r="CP63" s="230">
        <v>1651</v>
      </c>
      <c r="CQ63" s="228">
        <v>-48</v>
      </c>
      <c r="CR63" s="229">
        <v>-2.8899999999999999E-2</v>
      </c>
      <c r="CS63" s="230">
        <v>1281</v>
      </c>
      <c r="CT63" s="230">
        <v>1290</v>
      </c>
      <c r="CU63" s="228">
        <v>-10</v>
      </c>
      <c r="CV63" s="229">
        <v>-7.4999999999999997E-3</v>
      </c>
      <c r="CW63" s="230">
        <v>7815</v>
      </c>
      <c r="CX63" s="230">
        <v>7910</v>
      </c>
      <c r="CY63" s="228">
        <v>-95</v>
      </c>
      <c r="CZ63" s="229">
        <v>-1.21E-2</v>
      </c>
      <c r="DA63" s="228">
        <v>46.54</v>
      </c>
      <c r="DB63" s="228">
        <v>44.57</v>
      </c>
      <c r="DC63" s="228">
        <v>1.97</v>
      </c>
      <c r="DD63" s="228">
        <v>1.97</v>
      </c>
      <c r="DE63" s="228">
        <v>46.15</v>
      </c>
      <c r="DF63" s="228">
        <v>46.24</v>
      </c>
      <c r="DG63" s="228">
        <v>0.39</v>
      </c>
      <c r="DH63" s="228">
        <v>-0.09</v>
      </c>
      <c r="DI63" s="228">
        <v>44.06</v>
      </c>
      <c r="DJ63" s="228">
        <v>43.2</v>
      </c>
      <c r="DK63" s="228">
        <v>0.86</v>
      </c>
      <c r="DL63" s="228">
        <v>0.86</v>
      </c>
      <c r="DM63" s="228">
        <v>50.59</v>
      </c>
      <c r="DN63" s="228">
        <v>47.37</v>
      </c>
      <c r="DO63" s="228">
        <v>3.22</v>
      </c>
      <c r="DP63" s="228">
        <v>3.22</v>
      </c>
      <c r="DQ63" s="228">
        <v>0.8</v>
      </c>
      <c r="DR63" s="228">
        <v>0.78</v>
      </c>
      <c r="DS63" s="228">
        <v>0.02</v>
      </c>
      <c r="DT63" s="229">
        <v>2.5600000000000001E-2</v>
      </c>
      <c r="DU63" s="228">
        <v>250</v>
      </c>
      <c r="DV63" s="228">
        <v>230</v>
      </c>
      <c r="DW63" s="228">
        <v>0.61</v>
      </c>
      <c r="DX63" s="228">
        <v>0.49</v>
      </c>
      <c r="DY63" s="228">
        <v>0.12</v>
      </c>
      <c r="DZ63" s="229">
        <v>0.24490000000000001</v>
      </c>
      <c r="EA63" s="229">
        <v>0.105</v>
      </c>
      <c r="EB63" s="230">
        <v>18131725</v>
      </c>
      <c r="EC63" s="229">
        <v>4.1000000000000003E-3</v>
      </c>
      <c r="ED63" s="229">
        <v>0.105</v>
      </c>
      <c r="EE63" s="228">
        <v>0.79</v>
      </c>
      <c r="EF63" s="229">
        <v>3.0999999999999999E-3</v>
      </c>
      <c r="EG63" s="230">
        <v>21708921</v>
      </c>
      <c r="EH63" s="230">
        <v>18585012</v>
      </c>
      <c r="EI63" s="229">
        <v>0.1681</v>
      </c>
      <c r="EJ63" s="229">
        <v>0.52300000000000002</v>
      </c>
      <c r="EK63" s="231">
        <v>2119.04</v>
      </c>
      <c r="EL63" s="231">
        <v>1191.8399999999999</v>
      </c>
      <c r="EM63" s="228">
        <v>900.84</v>
      </c>
      <c r="EN63" s="228">
        <v>142.11000000000001</v>
      </c>
      <c r="EO63" s="231">
        <v>4211.72</v>
      </c>
      <c r="EP63" s="231">
        <v>4230.0600000000004</v>
      </c>
      <c r="EQ63" s="228">
        <v>-18.34</v>
      </c>
      <c r="ER63" s="229">
        <v>-4.3E-3</v>
      </c>
      <c r="ES63" s="231">
        <v>1609.43</v>
      </c>
      <c r="ET63" s="231">
        <v>1206.1400000000001</v>
      </c>
      <c r="EU63" s="231">
        <v>4933.67</v>
      </c>
      <c r="EV63" s="231">
        <v>1366821859</v>
      </c>
      <c r="EW63" s="231">
        <v>7749.24</v>
      </c>
      <c r="EX63" s="231">
        <v>7791.11</v>
      </c>
      <c r="EY63" s="228">
        <v>-41.87</v>
      </c>
      <c r="EZ63" s="229">
        <v>-5.4000000000000003E-3</v>
      </c>
      <c r="FA63" s="229">
        <v>0.22450000000000001</v>
      </c>
      <c r="FB63" s="227" t="s">
        <v>693</v>
      </c>
      <c r="FC63">
        <f t="shared" si="0"/>
        <v>518</v>
      </c>
    </row>
    <row r="64" spans="1:159" ht="17.25" thickBot="1" x14ac:dyDescent="0.3">
      <c r="A64" s="226">
        <v>46132</v>
      </c>
      <c r="B64" s="227" t="s">
        <v>162</v>
      </c>
      <c r="C64" s="227" t="s">
        <v>211</v>
      </c>
      <c r="D64" s="228">
        <v>1800</v>
      </c>
      <c r="E64" s="228">
        <v>8</v>
      </c>
      <c r="F64" s="228">
        <v>329.75</v>
      </c>
      <c r="G64" s="228">
        <v>330.25</v>
      </c>
      <c r="H64" s="228">
        <v>-0.5</v>
      </c>
      <c r="I64" s="229">
        <v>-1.5E-3</v>
      </c>
      <c r="J64" s="228">
        <v>329.7</v>
      </c>
      <c r="K64" s="228">
        <v>330</v>
      </c>
      <c r="L64" s="228">
        <v>-0.3</v>
      </c>
      <c r="M64" s="229">
        <v>-8.9999999999999998E-4</v>
      </c>
      <c r="N64" s="228">
        <v>329.75</v>
      </c>
      <c r="O64" s="228">
        <v>330.25</v>
      </c>
      <c r="P64" s="228">
        <v>-0.5</v>
      </c>
      <c r="Q64" s="229">
        <v>-1.5E-3</v>
      </c>
      <c r="R64" s="228">
        <v>331.75</v>
      </c>
      <c r="S64" s="228">
        <v>332.2</v>
      </c>
      <c r="T64" s="228">
        <v>-0.45</v>
      </c>
      <c r="U64" s="229">
        <v>-1.4E-3</v>
      </c>
      <c r="V64" s="228">
        <v>333.7</v>
      </c>
      <c r="W64" s="228">
        <v>335</v>
      </c>
      <c r="X64" s="228">
        <v>-1.3</v>
      </c>
      <c r="Y64" s="229">
        <v>-3.8999999999999998E-3</v>
      </c>
      <c r="Z64" s="228">
        <v>0.05</v>
      </c>
      <c r="AA64" s="228">
        <v>0.25</v>
      </c>
      <c r="AB64" s="228">
        <v>-0.2</v>
      </c>
      <c r="AC64" s="229">
        <v>2.0000000000000001E-4</v>
      </c>
      <c r="AD64" s="228">
        <v>0.05</v>
      </c>
      <c r="AE64" s="228">
        <v>0.25</v>
      </c>
      <c r="AF64" s="228">
        <v>-0.2</v>
      </c>
      <c r="AG64" s="229">
        <v>2.0000000000000001E-4</v>
      </c>
      <c r="AH64" s="228">
        <v>2.0499999999999998</v>
      </c>
      <c r="AI64" s="228">
        <v>2.2000000000000002</v>
      </c>
      <c r="AJ64" s="228">
        <v>-0.15</v>
      </c>
      <c r="AK64" s="229">
        <v>6.1999999999999998E-3</v>
      </c>
      <c r="AL64" s="228">
        <v>4</v>
      </c>
      <c r="AM64" s="228">
        <v>5</v>
      </c>
      <c r="AN64" s="228">
        <v>-1</v>
      </c>
      <c r="AO64" s="229">
        <v>1.21E-2</v>
      </c>
      <c r="AP64" s="228">
        <v>331.25</v>
      </c>
      <c r="AQ64" s="228">
        <v>332.79</v>
      </c>
      <c r="AR64" s="228">
        <v>0</v>
      </c>
      <c r="AS64" s="228">
        <v>142</v>
      </c>
      <c r="AT64" s="228">
        <v>144</v>
      </c>
      <c r="AU64" s="228">
        <v>-1</v>
      </c>
      <c r="AV64" s="229">
        <v>-1.03E-2</v>
      </c>
      <c r="AW64" s="228">
        <v>107</v>
      </c>
      <c r="AX64" s="228">
        <v>114</v>
      </c>
      <c r="AY64" s="228">
        <v>-7</v>
      </c>
      <c r="AZ64" s="229">
        <v>-6.3299999999999995E-2</v>
      </c>
      <c r="BA64" s="228">
        <v>33</v>
      </c>
      <c r="BB64" s="228">
        <v>25</v>
      </c>
      <c r="BC64" s="228">
        <v>8</v>
      </c>
      <c r="BD64" s="229">
        <v>0.32769999999999999</v>
      </c>
      <c r="BE64" s="228">
        <v>2</v>
      </c>
      <c r="BF64" s="228">
        <v>5</v>
      </c>
      <c r="BG64" s="228">
        <v>-2</v>
      </c>
      <c r="BH64" s="229">
        <v>-0.50649999999999995</v>
      </c>
      <c r="BI64" s="228">
        <v>273</v>
      </c>
      <c r="BJ64" s="228">
        <v>168</v>
      </c>
      <c r="BK64" s="228">
        <v>105</v>
      </c>
      <c r="BL64" s="229">
        <v>0.62719999999999998</v>
      </c>
      <c r="BM64" s="228">
        <v>131</v>
      </c>
      <c r="BN64" s="228">
        <v>88</v>
      </c>
      <c r="BO64" s="228">
        <v>44</v>
      </c>
      <c r="BP64" s="229">
        <v>0.49930000000000002</v>
      </c>
      <c r="BQ64" s="228">
        <v>547</v>
      </c>
      <c r="BR64" s="228">
        <v>399</v>
      </c>
      <c r="BS64" s="228">
        <v>148</v>
      </c>
      <c r="BT64" s="229">
        <v>0.36980000000000002</v>
      </c>
      <c r="BU64" s="230">
        <v>1894447</v>
      </c>
      <c r="BV64" s="230">
        <v>1571688</v>
      </c>
      <c r="BW64" s="230">
        <v>322759</v>
      </c>
      <c r="BX64" s="229">
        <v>0.2054</v>
      </c>
      <c r="BY64" s="228">
        <v>952</v>
      </c>
      <c r="BZ64" s="228">
        <v>948</v>
      </c>
      <c r="CA64" s="228">
        <v>4</v>
      </c>
      <c r="CB64" s="229">
        <v>4.4999999999999997E-3</v>
      </c>
      <c r="CC64" s="228">
        <v>861</v>
      </c>
      <c r="CD64" s="228">
        <v>867</v>
      </c>
      <c r="CE64" s="228">
        <v>-7</v>
      </c>
      <c r="CF64" s="229">
        <v>-7.4999999999999997E-3</v>
      </c>
      <c r="CG64" s="228">
        <v>79</v>
      </c>
      <c r="CH64" s="228">
        <v>69</v>
      </c>
      <c r="CI64" s="228">
        <v>10</v>
      </c>
      <c r="CJ64" s="229">
        <v>0.14940000000000001</v>
      </c>
      <c r="CK64" s="228">
        <v>12</v>
      </c>
      <c r="CL64" s="228">
        <v>11</v>
      </c>
      <c r="CM64" s="228">
        <v>0</v>
      </c>
      <c r="CN64" s="229">
        <v>4.2099999999999999E-2</v>
      </c>
      <c r="CO64" s="228">
        <v>425</v>
      </c>
      <c r="CP64" s="228">
        <v>427</v>
      </c>
      <c r="CQ64" s="228">
        <v>-2</v>
      </c>
      <c r="CR64" s="229">
        <v>-5.4000000000000003E-3</v>
      </c>
      <c r="CS64" s="228">
        <v>410</v>
      </c>
      <c r="CT64" s="228">
        <v>416</v>
      </c>
      <c r="CU64" s="228">
        <v>-6</v>
      </c>
      <c r="CV64" s="229">
        <v>-1.43E-2</v>
      </c>
      <c r="CW64" s="230">
        <v>1788</v>
      </c>
      <c r="CX64" s="230">
        <v>1792</v>
      </c>
      <c r="CY64" s="228">
        <v>-4</v>
      </c>
      <c r="CZ64" s="229">
        <v>-2.2000000000000001E-3</v>
      </c>
      <c r="DA64" s="228">
        <v>37.28</v>
      </c>
      <c r="DB64" s="228">
        <v>34.79</v>
      </c>
      <c r="DC64" s="228">
        <v>2.4900000000000002</v>
      </c>
      <c r="DD64" s="228">
        <v>2.4900000000000002</v>
      </c>
      <c r="DE64" s="228">
        <v>35.369999999999997</v>
      </c>
      <c r="DF64" s="228">
        <v>35.46</v>
      </c>
      <c r="DG64" s="228">
        <v>1.91</v>
      </c>
      <c r="DH64" s="228">
        <v>-0.09</v>
      </c>
      <c r="DI64" s="228">
        <v>36.340000000000003</v>
      </c>
      <c r="DJ64" s="228">
        <v>33.479999999999997</v>
      </c>
      <c r="DK64" s="228">
        <v>2.86</v>
      </c>
      <c r="DL64" s="228">
        <v>2.86</v>
      </c>
      <c r="DM64" s="228">
        <v>39.229999999999997</v>
      </c>
      <c r="DN64" s="228">
        <v>37.299999999999997</v>
      </c>
      <c r="DO64" s="228">
        <v>1.93</v>
      </c>
      <c r="DP64" s="228">
        <v>1.93</v>
      </c>
      <c r="DQ64" s="228">
        <v>0.96</v>
      </c>
      <c r="DR64" s="228">
        <v>0.97</v>
      </c>
      <c r="DS64" s="228">
        <v>-0.01</v>
      </c>
      <c r="DT64" s="229">
        <v>-1.03E-2</v>
      </c>
      <c r="DU64" s="228">
        <v>300</v>
      </c>
      <c r="DV64" s="228">
        <v>310</v>
      </c>
      <c r="DW64" s="228">
        <v>0.48</v>
      </c>
      <c r="DX64" s="228">
        <v>0.52</v>
      </c>
      <c r="DY64" s="228">
        <v>-0.04</v>
      </c>
      <c r="DZ64" s="229">
        <v>-7.6899999999999996E-2</v>
      </c>
      <c r="EA64" s="229">
        <v>9.5799999999999996E-2</v>
      </c>
      <c r="EB64" s="230">
        <v>2439000</v>
      </c>
      <c r="EC64" s="229">
        <v>6.1000000000000004E-3</v>
      </c>
      <c r="ED64" s="229">
        <v>9.5799999999999996E-2</v>
      </c>
      <c r="EE64" s="228">
        <v>1.54</v>
      </c>
      <c r="EF64" s="229">
        <v>4.5999999999999999E-3</v>
      </c>
      <c r="EG64" s="230">
        <v>681571</v>
      </c>
      <c r="EH64" s="230">
        <v>633737</v>
      </c>
      <c r="EI64" s="229">
        <v>7.5499999999999998E-2</v>
      </c>
      <c r="EJ64" s="229">
        <v>0.35980000000000001</v>
      </c>
      <c r="EK64" s="228">
        <v>286.13</v>
      </c>
      <c r="EL64" s="228">
        <v>128.69999999999999</v>
      </c>
      <c r="EM64" s="228">
        <v>142.91999999999999</v>
      </c>
      <c r="EN64" s="228">
        <v>23.86</v>
      </c>
      <c r="EO64" s="228">
        <v>557.75</v>
      </c>
      <c r="EP64" s="228">
        <v>406.02</v>
      </c>
      <c r="EQ64" s="228">
        <v>151.72999999999999</v>
      </c>
      <c r="ER64" s="229">
        <v>0.37369999999999998</v>
      </c>
      <c r="ES64" s="228">
        <v>424.52</v>
      </c>
      <c r="ET64" s="228">
        <v>387.88</v>
      </c>
      <c r="EU64" s="228">
        <v>952.74</v>
      </c>
      <c r="EV64" s="231">
        <v>50211048</v>
      </c>
      <c r="EW64" s="231">
        <v>1765.14</v>
      </c>
      <c r="EX64" s="231">
        <v>1769.6</v>
      </c>
      <c r="EY64" s="228">
        <v>-4.46</v>
      </c>
      <c r="EZ64" s="229">
        <v>-2.5000000000000001E-3</v>
      </c>
      <c r="FA64" s="229">
        <v>1.0795999999999999</v>
      </c>
      <c r="FB64" s="227" t="s">
        <v>566</v>
      </c>
      <c r="FC64">
        <f t="shared" si="0"/>
        <v>91</v>
      </c>
    </row>
    <row r="65" spans="1:159" ht="17.25" thickBot="1" x14ac:dyDescent="0.3">
      <c r="A65" s="226">
        <v>46132</v>
      </c>
      <c r="B65" s="227" t="s">
        <v>172</v>
      </c>
      <c r="C65" s="227" t="s">
        <v>212</v>
      </c>
      <c r="D65" s="228">
        <v>5000</v>
      </c>
      <c r="E65" s="228">
        <v>8</v>
      </c>
      <c r="F65" s="228">
        <v>294.75</v>
      </c>
      <c r="G65" s="228">
        <v>293.60000000000002</v>
      </c>
      <c r="H65" s="228">
        <v>1.1499999999999999</v>
      </c>
      <c r="I65" s="229">
        <v>3.8999999999999998E-3</v>
      </c>
      <c r="J65" s="228">
        <v>294.35000000000002</v>
      </c>
      <c r="K65" s="228">
        <v>293.75</v>
      </c>
      <c r="L65" s="228">
        <v>0.6</v>
      </c>
      <c r="M65" s="229">
        <v>2E-3</v>
      </c>
      <c r="N65" s="228">
        <v>294.75</v>
      </c>
      <c r="O65" s="228">
        <v>293.60000000000002</v>
      </c>
      <c r="P65" s="228">
        <v>1.1499999999999999</v>
      </c>
      <c r="Q65" s="229">
        <v>3.8999999999999998E-3</v>
      </c>
      <c r="R65" s="228">
        <v>296.35000000000002</v>
      </c>
      <c r="S65" s="228">
        <v>295.10000000000002</v>
      </c>
      <c r="T65" s="228">
        <v>1.25</v>
      </c>
      <c r="U65" s="229">
        <v>4.1999999999999997E-3</v>
      </c>
      <c r="V65" s="228">
        <v>298.05</v>
      </c>
      <c r="W65" s="228">
        <v>296.35000000000002</v>
      </c>
      <c r="X65" s="228">
        <v>1.7</v>
      </c>
      <c r="Y65" s="229">
        <v>5.7000000000000002E-3</v>
      </c>
      <c r="Z65" s="228">
        <v>0.4</v>
      </c>
      <c r="AA65" s="228">
        <v>-0.15</v>
      </c>
      <c r="AB65" s="228">
        <v>0.55000000000000004</v>
      </c>
      <c r="AC65" s="229">
        <v>1.4E-3</v>
      </c>
      <c r="AD65" s="228">
        <v>0.4</v>
      </c>
      <c r="AE65" s="228">
        <v>-0.15</v>
      </c>
      <c r="AF65" s="228">
        <v>0.55000000000000004</v>
      </c>
      <c r="AG65" s="229">
        <v>1.4E-3</v>
      </c>
      <c r="AH65" s="228">
        <v>2</v>
      </c>
      <c r="AI65" s="228">
        <v>1.35</v>
      </c>
      <c r="AJ65" s="228">
        <v>0.65</v>
      </c>
      <c r="AK65" s="229">
        <v>6.7999999999999996E-3</v>
      </c>
      <c r="AL65" s="228">
        <v>3.7</v>
      </c>
      <c r="AM65" s="228">
        <v>2.6</v>
      </c>
      <c r="AN65" s="228">
        <v>1.1000000000000001</v>
      </c>
      <c r="AO65" s="229">
        <v>1.26E-2</v>
      </c>
      <c r="AP65" s="228">
        <v>295.58</v>
      </c>
      <c r="AQ65" s="228">
        <v>297.19</v>
      </c>
      <c r="AR65" s="228">
        <v>0</v>
      </c>
      <c r="AS65" s="228">
        <v>622</v>
      </c>
      <c r="AT65" s="228">
        <v>569</v>
      </c>
      <c r="AU65" s="228">
        <v>52</v>
      </c>
      <c r="AV65" s="229">
        <v>9.2200000000000004E-2</v>
      </c>
      <c r="AW65" s="228">
        <v>520</v>
      </c>
      <c r="AX65" s="228">
        <v>480</v>
      </c>
      <c r="AY65" s="228">
        <v>40</v>
      </c>
      <c r="AZ65" s="229">
        <v>8.3500000000000005E-2</v>
      </c>
      <c r="BA65" s="228">
        <v>93</v>
      </c>
      <c r="BB65" s="228">
        <v>80</v>
      </c>
      <c r="BC65" s="228">
        <v>13</v>
      </c>
      <c r="BD65" s="229">
        <v>0.16120000000000001</v>
      </c>
      <c r="BE65" s="228">
        <v>8</v>
      </c>
      <c r="BF65" s="228">
        <v>9</v>
      </c>
      <c r="BG65" s="228">
        <v>-1</v>
      </c>
      <c r="BH65" s="229">
        <v>-6.5600000000000006E-2</v>
      </c>
      <c r="BI65" s="230">
        <v>1831</v>
      </c>
      <c r="BJ65" s="230">
        <v>1982</v>
      </c>
      <c r="BK65" s="228">
        <v>-151</v>
      </c>
      <c r="BL65" s="229">
        <v>-7.6399999999999996E-2</v>
      </c>
      <c r="BM65" s="228">
        <v>782</v>
      </c>
      <c r="BN65" s="230">
        <v>1096</v>
      </c>
      <c r="BO65" s="228">
        <v>-314</v>
      </c>
      <c r="BP65" s="229">
        <v>-0.28660000000000002</v>
      </c>
      <c r="BQ65" s="230">
        <v>3235</v>
      </c>
      <c r="BR65" s="230">
        <v>3648</v>
      </c>
      <c r="BS65" s="228">
        <v>-413</v>
      </c>
      <c r="BT65" s="229">
        <v>-0.1132</v>
      </c>
      <c r="BU65" s="230">
        <v>11670910</v>
      </c>
      <c r="BV65" s="230">
        <v>9698418</v>
      </c>
      <c r="BW65" s="230">
        <v>1972492</v>
      </c>
      <c r="BX65" s="229">
        <v>0.2034</v>
      </c>
      <c r="BY65" s="230">
        <v>2303</v>
      </c>
      <c r="BZ65" s="230">
        <v>2371</v>
      </c>
      <c r="CA65" s="228">
        <v>-68</v>
      </c>
      <c r="CB65" s="229">
        <v>-2.8799999999999999E-2</v>
      </c>
      <c r="CC65" s="230">
        <v>2074</v>
      </c>
      <c r="CD65" s="230">
        <v>2177</v>
      </c>
      <c r="CE65" s="228">
        <v>-103</v>
      </c>
      <c r="CF65" s="229">
        <v>-4.7399999999999998E-2</v>
      </c>
      <c r="CG65" s="228">
        <v>211</v>
      </c>
      <c r="CH65" s="228">
        <v>178</v>
      </c>
      <c r="CI65" s="228">
        <v>33</v>
      </c>
      <c r="CJ65" s="229">
        <v>0.18459999999999999</v>
      </c>
      <c r="CK65" s="228">
        <v>18</v>
      </c>
      <c r="CL65" s="228">
        <v>16</v>
      </c>
      <c r="CM65" s="228">
        <v>2</v>
      </c>
      <c r="CN65" s="229">
        <v>0.1182</v>
      </c>
      <c r="CO65" s="230">
        <v>1084</v>
      </c>
      <c r="CP65" s="230">
        <v>1078</v>
      </c>
      <c r="CQ65" s="228">
        <v>5</v>
      </c>
      <c r="CR65" s="229">
        <v>5.1000000000000004E-3</v>
      </c>
      <c r="CS65" s="228">
        <v>945</v>
      </c>
      <c r="CT65" s="228">
        <v>905</v>
      </c>
      <c r="CU65" s="228">
        <v>40</v>
      </c>
      <c r="CV65" s="229">
        <v>4.4299999999999999E-2</v>
      </c>
      <c r="CW65" s="230">
        <v>4332</v>
      </c>
      <c r="CX65" s="230">
        <v>4355</v>
      </c>
      <c r="CY65" s="228">
        <v>-23</v>
      </c>
      <c r="CZ65" s="229">
        <v>-5.1999999999999998E-3</v>
      </c>
      <c r="DA65" s="228">
        <v>31.18</v>
      </c>
      <c r="DB65" s="228">
        <v>30.25</v>
      </c>
      <c r="DC65" s="228">
        <v>0.93</v>
      </c>
      <c r="DD65" s="228">
        <v>0.93</v>
      </c>
      <c r="DE65" s="228">
        <v>32.33</v>
      </c>
      <c r="DF65" s="228">
        <v>32.409999999999997</v>
      </c>
      <c r="DG65" s="228">
        <v>-1.1499999999999999</v>
      </c>
      <c r="DH65" s="228">
        <v>-0.08</v>
      </c>
      <c r="DI65" s="228">
        <v>30.08</v>
      </c>
      <c r="DJ65" s="228">
        <v>28.39</v>
      </c>
      <c r="DK65" s="228">
        <v>1.69</v>
      </c>
      <c r="DL65" s="228">
        <v>1.69</v>
      </c>
      <c r="DM65" s="228">
        <v>33.75</v>
      </c>
      <c r="DN65" s="228">
        <v>33.6</v>
      </c>
      <c r="DO65" s="228">
        <v>0.15</v>
      </c>
      <c r="DP65" s="228">
        <v>0.15</v>
      </c>
      <c r="DQ65" s="228">
        <v>0.87</v>
      </c>
      <c r="DR65" s="228">
        <v>0.84</v>
      </c>
      <c r="DS65" s="228">
        <v>0.03</v>
      </c>
      <c r="DT65" s="229">
        <v>3.5700000000000003E-2</v>
      </c>
      <c r="DU65" s="228">
        <v>300</v>
      </c>
      <c r="DV65" s="228">
        <v>290</v>
      </c>
      <c r="DW65" s="228">
        <v>0.43</v>
      </c>
      <c r="DX65" s="228">
        <v>0.55000000000000004</v>
      </c>
      <c r="DY65" s="228">
        <v>-0.12</v>
      </c>
      <c r="DZ65" s="229">
        <v>-0.21820000000000001</v>
      </c>
      <c r="EA65" s="229">
        <v>9.9400000000000002E-2</v>
      </c>
      <c r="EB65" s="230">
        <v>6590000</v>
      </c>
      <c r="EC65" s="229">
        <v>5.4000000000000003E-3</v>
      </c>
      <c r="ED65" s="229">
        <v>9.9400000000000002E-2</v>
      </c>
      <c r="EE65" s="228">
        <v>1.61</v>
      </c>
      <c r="EF65" s="229">
        <v>5.4000000000000003E-3</v>
      </c>
      <c r="EG65" s="230">
        <v>6219948</v>
      </c>
      <c r="EH65" s="230">
        <v>5726696</v>
      </c>
      <c r="EI65" s="229">
        <v>8.6099999999999996E-2</v>
      </c>
      <c r="EJ65" s="229">
        <v>0.53290000000000004</v>
      </c>
      <c r="EK65" s="231">
        <v>1895.73</v>
      </c>
      <c r="EL65" s="228">
        <v>763.62</v>
      </c>
      <c r="EM65" s="228">
        <v>624.13</v>
      </c>
      <c r="EN65" s="228">
        <v>34.17</v>
      </c>
      <c r="EO65" s="231">
        <v>3283.48</v>
      </c>
      <c r="EP65" s="231">
        <v>3640.81</v>
      </c>
      <c r="EQ65" s="228">
        <v>-357.33</v>
      </c>
      <c r="ER65" s="229">
        <v>-9.8100000000000007E-2</v>
      </c>
      <c r="ES65" s="231">
        <v>1083.51</v>
      </c>
      <c r="ET65" s="228">
        <v>872.58</v>
      </c>
      <c r="EU65" s="231">
        <v>2304.38</v>
      </c>
      <c r="EV65" s="231">
        <v>359450597</v>
      </c>
      <c r="EW65" s="231">
        <v>4260.47</v>
      </c>
      <c r="EX65" s="231">
        <v>4271.0200000000004</v>
      </c>
      <c r="EY65" s="228">
        <v>-10.55</v>
      </c>
      <c r="EZ65" s="229">
        <v>-2.5000000000000001E-3</v>
      </c>
      <c r="FA65" s="229">
        <v>0.40889999999999999</v>
      </c>
      <c r="FB65" s="227" t="s">
        <v>693</v>
      </c>
      <c r="FC65">
        <f t="shared" si="0"/>
        <v>229</v>
      </c>
    </row>
    <row r="66" spans="1:159" ht="17.25" thickBot="1" x14ac:dyDescent="0.3">
      <c r="A66" s="226">
        <v>46132</v>
      </c>
      <c r="B66" s="227" t="s">
        <v>181</v>
      </c>
      <c r="C66" s="227" t="s">
        <v>480</v>
      </c>
      <c r="D66" s="228">
        <v>60</v>
      </c>
      <c r="E66" s="228">
        <v>8</v>
      </c>
      <c r="F66" s="231">
        <v>26511.9</v>
      </c>
      <c r="G66" s="231">
        <v>26566.3</v>
      </c>
      <c r="H66" s="228">
        <v>-54.4</v>
      </c>
      <c r="I66" s="229">
        <v>-2E-3</v>
      </c>
      <c r="J66" s="231">
        <v>26537.1</v>
      </c>
      <c r="K66" s="231">
        <v>26521.25</v>
      </c>
      <c r="L66" s="228">
        <v>15.85</v>
      </c>
      <c r="M66" s="229">
        <v>5.9999999999999995E-4</v>
      </c>
      <c r="N66" s="231">
        <v>26511.9</v>
      </c>
      <c r="O66" s="231">
        <v>26566.3</v>
      </c>
      <c r="P66" s="228">
        <v>-54.4</v>
      </c>
      <c r="Q66" s="229">
        <v>-2E-3</v>
      </c>
      <c r="R66" s="231">
        <v>26699.9</v>
      </c>
      <c r="S66" s="231">
        <v>26707.1</v>
      </c>
      <c r="T66" s="228">
        <v>-7.2</v>
      </c>
      <c r="U66" s="229">
        <v>-2.9999999999999997E-4</v>
      </c>
      <c r="V66" s="228">
        <v>0</v>
      </c>
      <c r="W66" s="228">
        <v>0</v>
      </c>
      <c r="X66" s="228">
        <v>0</v>
      </c>
      <c r="Y66" s="229">
        <v>0</v>
      </c>
      <c r="Z66" s="228">
        <v>-25.2</v>
      </c>
      <c r="AA66" s="228">
        <v>45.05</v>
      </c>
      <c r="AB66" s="228">
        <v>-70.25</v>
      </c>
      <c r="AC66" s="229">
        <v>-8.9999999999999998E-4</v>
      </c>
      <c r="AD66" s="228">
        <v>-25.2</v>
      </c>
      <c r="AE66" s="228">
        <v>45.05</v>
      </c>
      <c r="AF66" s="228">
        <v>-70.25</v>
      </c>
      <c r="AG66" s="229">
        <v>-8.9999999999999998E-4</v>
      </c>
      <c r="AH66" s="228">
        <v>162.80000000000001</v>
      </c>
      <c r="AI66" s="228">
        <v>185.85</v>
      </c>
      <c r="AJ66" s="228">
        <v>-23.05</v>
      </c>
      <c r="AK66" s="229">
        <v>6.1000000000000004E-3</v>
      </c>
      <c r="AL66" s="228">
        <v>0</v>
      </c>
      <c r="AM66" s="228">
        <v>0</v>
      </c>
      <c r="AN66" s="228">
        <v>0</v>
      </c>
      <c r="AO66" s="229">
        <v>0</v>
      </c>
      <c r="AP66" s="231">
        <v>26581.73</v>
      </c>
      <c r="AQ66" s="231">
        <v>26794.7</v>
      </c>
      <c r="AR66" s="228">
        <v>0</v>
      </c>
      <c r="AS66" s="228">
        <v>30</v>
      </c>
      <c r="AT66" s="228">
        <v>35</v>
      </c>
      <c r="AU66" s="228">
        <v>-5</v>
      </c>
      <c r="AV66" s="229">
        <v>-0.14549999999999999</v>
      </c>
      <c r="AW66" s="228">
        <v>26</v>
      </c>
      <c r="AX66" s="228">
        <v>30</v>
      </c>
      <c r="AY66" s="228">
        <v>-4</v>
      </c>
      <c r="AZ66" s="229">
        <v>-0.1217</v>
      </c>
      <c r="BA66" s="228">
        <v>3</v>
      </c>
      <c r="BB66" s="228">
        <v>5</v>
      </c>
      <c r="BC66" s="228">
        <v>-1</v>
      </c>
      <c r="BD66" s="229">
        <v>-0.2903</v>
      </c>
      <c r="BE66" s="228">
        <v>0</v>
      </c>
      <c r="BF66" s="228">
        <v>0</v>
      </c>
      <c r="BG66" s="228">
        <v>0</v>
      </c>
      <c r="BH66" s="229">
        <v>0</v>
      </c>
      <c r="BI66" s="230">
        <v>1508</v>
      </c>
      <c r="BJ66" s="230">
        <v>1625</v>
      </c>
      <c r="BK66" s="228">
        <v>-117</v>
      </c>
      <c r="BL66" s="229">
        <v>-7.1800000000000003E-2</v>
      </c>
      <c r="BM66" s="230">
        <v>1290</v>
      </c>
      <c r="BN66" s="228">
        <v>810</v>
      </c>
      <c r="BO66" s="228">
        <v>480</v>
      </c>
      <c r="BP66" s="229">
        <v>0.59309999999999996</v>
      </c>
      <c r="BQ66" s="230">
        <v>2828</v>
      </c>
      <c r="BR66" s="230">
        <v>2470</v>
      </c>
      <c r="BS66" s="228">
        <v>359</v>
      </c>
      <c r="BT66" s="229">
        <v>0.1452</v>
      </c>
      <c r="BU66" s="228">
        <v>0</v>
      </c>
      <c r="BV66" s="228">
        <v>0</v>
      </c>
      <c r="BW66" s="228">
        <v>0</v>
      </c>
      <c r="BX66" s="229">
        <v>0</v>
      </c>
      <c r="BY66" s="228">
        <v>69</v>
      </c>
      <c r="BZ66" s="228">
        <v>77</v>
      </c>
      <c r="CA66" s="228">
        <v>-7</v>
      </c>
      <c r="CB66" s="229">
        <v>-9.5399999999999999E-2</v>
      </c>
      <c r="CC66" s="228">
        <v>62</v>
      </c>
      <c r="CD66" s="228">
        <v>70</v>
      </c>
      <c r="CE66" s="228">
        <v>-8</v>
      </c>
      <c r="CF66" s="229">
        <v>-0.1134</v>
      </c>
      <c r="CG66" s="228">
        <v>7</v>
      </c>
      <c r="CH66" s="228">
        <v>7</v>
      </c>
      <c r="CI66" s="228">
        <v>1</v>
      </c>
      <c r="CJ66" s="229">
        <v>9.7600000000000006E-2</v>
      </c>
      <c r="CK66" s="228">
        <v>0</v>
      </c>
      <c r="CL66" s="228">
        <v>0</v>
      </c>
      <c r="CM66" s="228">
        <v>0</v>
      </c>
      <c r="CN66" s="229">
        <v>0</v>
      </c>
      <c r="CO66" s="228">
        <v>952</v>
      </c>
      <c r="CP66" s="230">
        <v>1047</v>
      </c>
      <c r="CQ66" s="228">
        <v>-96</v>
      </c>
      <c r="CR66" s="229">
        <v>-9.1300000000000006E-2</v>
      </c>
      <c r="CS66" s="228">
        <v>716</v>
      </c>
      <c r="CT66" s="228">
        <v>711</v>
      </c>
      <c r="CU66" s="228">
        <v>5</v>
      </c>
      <c r="CV66" s="229">
        <v>7.4000000000000003E-3</v>
      </c>
      <c r="CW66" s="230">
        <v>1737</v>
      </c>
      <c r="CX66" s="230">
        <v>1835</v>
      </c>
      <c r="CY66" s="228">
        <v>-98</v>
      </c>
      <c r="CZ66" s="229">
        <v>-5.3199999999999997E-2</v>
      </c>
      <c r="DA66" s="228">
        <v>25.45</v>
      </c>
      <c r="DB66" s="228">
        <v>21.34</v>
      </c>
      <c r="DC66" s="228">
        <v>4.1100000000000003</v>
      </c>
      <c r="DD66" s="228">
        <v>4.1100000000000003</v>
      </c>
      <c r="DE66" s="228">
        <v>21.71</v>
      </c>
      <c r="DF66" s="228">
        <v>21.76</v>
      </c>
      <c r="DG66" s="228">
        <v>3.74</v>
      </c>
      <c r="DH66" s="228">
        <v>-0.05</v>
      </c>
      <c r="DI66" s="228">
        <v>24.46</v>
      </c>
      <c r="DJ66" s="228">
        <v>19.96</v>
      </c>
      <c r="DK66" s="228">
        <v>4.5</v>
      </c>
      <c r="DL66" s="228">
        <v>4.5</v>
      </c>
      <c r="DM66" s="228">
        <v>26.61</v>
      </c>
      <c r="DN66" s="228">
        <v>24.12</v>
      </c>
      <c r="DO66" s="228">
        <v>2.4900000000000002</v>
      </c>
      <c r="DP66" s="228">
        <v>2.4900000000000002</v>
      </c>
      <c r="DQ66" s="228">
        <v>0.75</v>
      </c>
      <c r="DR66" s="228">
        <v>0.68</v>
      </c>
      <c r="DS66" s="228">
        <v>7.0000000000000007E-2</v>
      </c>
      <c r="DT66" s="229">
        <v>0.10290000000000001</v>
      </c>
      <c r="DU66" s="231">
        <v>28500</v>
      </c>
      <c r="DV66" s="231">
        <v>24000</v>
      </c>
      <c r="DW66" s="228">
        <v>0.86</v>
      </c>
      <c r="DX66" s="228">
        <v>0.5</v>
      </c>
      <c r="DY66" s="228">
        <v>0.36</v>
      </c>
      <c r="DZ66" s="229">
        <v>0.72</v>
      </c>
      <c r="EA66" s="229">
        <v>0.1032</v>
      </c>
      <c r="EB66" s="230">
        <v>2460</v>
      </c>
      <c r="EC66" s="229">
        <v>7.1000000000000004E-3</v>
      </c>
      <c r="ED66" s="229">
        <v>0.1032</v>
      </c>
      <c r="EE66" s="228">
        <v>212.97</v>
      </c>
      <c r="EF66" s="229">
        <v>8.0000000000000002E-3</v>
      </c>
      <c r="EG66" s="228">
        <v>0</v>
      </c>
      <c r="EH66" s="228">
        <v>0</v>
      </c>
      <c r="EI66" s="229">
        <v>0</v>
      </c>
      <c r="EJ66" s="229">
        <v>0</v>
      </c>
      <c r="EK66" s="231">
        <v>1564.06</v>
      </c>
      <c r="EL66" s="231">
        <v>1252.24</v>
      </c>
      <c r="EM66" s="228">
        <v>30.01</v>
      </c>
      <c r="EN66" s="228">
        <v>0</v>
      </c>
      <c r="EO66" s="231">
        <v>2846.32</v>
      </c>
      <c r="EP66" s="231">
        <v>2490.96</v>
      </c>
      <c r="EQ66" s="228">
        <v>355.35</v>
      </c>
      <c r="ER66" s="229">
        <v>0.14269999999999999</v>
      </c>
      <c r="ES66" s="228">
        <v>985.26</v>
      </c>
      <c r="ET66" s="228">
        <v>663.04</v>
      </c>
      <c r="EU66" s="228">
        <v>69.41</v>
      </c>
      <c r="EV66" s="228">
        <v>0</v>
      </c>
      <c r="EW66" s="231">
        <v>1717.7</v>
      </c>
      <c r="EX66" s="231">
        <v>1813.98</v>
      </c>
      <c r="EY66" s="228">
        <v>-96.28</v>
      </c>
      <c r="EZ66" s="229">
        <v>-5.3100000000000001E-2</v>
      </c>
      <c r="FA66" s="229">
        <v>0</v>
      </c>
      <c r="FB66" s="227" t="s">
        <v>567</v>
      </c>
      <c r="FC66">
        <f t="shared" si="0"/>
        <v>7</v>
      </c>
    </row>
    <row r="67" spans="1:159" ht="17.25" thickBot="1" x14ac:dyDescent="0.3">
      <c r="A67" s="226">
        <v>46132</v>
      </c>
      <c r="B67" s="227" t="s">
        <v>162</v>
      </c>
      <c r="C67" s="227" t="s">
        <v>700</v>
      </c>
      <c r="D67" s="228">
        <v>25</v>
      </c>
      <c r="E67" s="228">
        <v>8</v>
      </c>
      <c r="F67" s="231">
        <v>21860</v>
      </c>
      <c r="G67" s="231">
        <v>22371</v>
      </c>
      <c r="H67" s="228">
        <v>-511</v>
      </c>
      <c r="I67" s="229">
        <v>-2.2800000000000001E-2</v>
      </c>
      <c r="J67" s="231">
        <v>21925</v>
      </c>
      <c r="K67" s="231">
        <v>22378</v>
      </c>
      <c r="L67" s="228">
        <v>-453</v>
      </c>
      <c r="M67" s="229">
        <v>-2.0199999999999999E-2</v>
      </c>
      <c r="N67" s="231">
        <v>21860</v>
      </c>
      <c r="O67" s="231">
        <v>22371</v>
      </c>
      <c r="P67" s="228">
        <v>-511</v>
      </c>
      <c r="Q67" s="229">
        <v>-2.2800000000000001E-2</v>
      </c>
      <c r="R67" s="231">
        <v>21776</v>
      </c>
      <c r="S67" s="231">
        <v>22257</v>
      </c>
      <c r="T67" s="228">
        <v>-481</v>
      </c>
      <c r="U67" s="229">
        <v>-2.1600000000000001E-2</v>
      </c>
      <c r="V67" s="231">
        <v>21749</v>
      </c>
      <c r="W67" s="231">
        <v>22250</v>
      </c>
      <c r="X67" s="228">
        <v>-501</v>
      </c>
      <c r="Y67" s="229">
        <v>-2.2499999999999999E-2</v>
      </c>
      <c r="Z67" s="228">
        <v>-65</v>
      </c>
      <c r="AA67" s="228">
        <v>-7</v>
      </c>
      <c r="AB67" s="228">
        <v>-58</v>
      </c>
      <c r="AC67" s="229">
        <v>-3.0000000000000001E-3</v>
      </c>
      <c r="AD67" s="228">
        <v>-65</v>
      </c>
      <c r="AE67" s="228">
        <v>-7</v>
      </c>
      <c r="AF67" s="228">
        <v>-58</v>
      </c>
      <c r="AG67" s="229">
        <v>-3.0000000000000001E-3</v>
      </c>
      <c r="AH67" s="228">
        <v>-149</v>
      </c>
      <c r="AI67" s="228">
        <v>-121</v>
      </c>
      <c r="AJ67" s="228">
        <v>-28</v>
      </c>
      <c r="AK67" s="229">
        <v>-6.7999999999999996E-3</v>
      </c>
      <c r="AL67" s="228">
        <v>-176</v>
      </c>
      <c r="AM67" s="228">
        <v>-128</v>
      </c>
      <c r="AN67" s="228">
        <v>-48</v>
      </c>
      <c r="AO67" s="229">
        <v>-8.0000000000000002E-3</v>
      </c>
      <c r="AP67" s="231">
        <v>21993.56</v>
      </c>
      <c r="AQ67" s="231">
        <v>21914.67</v>
      </c>
      <c r="AR67" s="228">
        <v>0</v>
      </c>
      <c r="AS67" s="228">
        <v>59</v>
      </c>
      <c r="AT67" s="228">
        <v>74</v>
      </c>
      <c r="AU67" s="228">
        <v>-15</v>
      </c>
      <c r="AV67" s="229">
        <v>-0.2021</v>
      </c>
      <c r="AW67" s="228">
        <v>45</v>
      </c>
      <c r="AX67" s="228">
        <v>53</v>
      </c>
      <c r="AY67" s="228">
        <v>-8</v>
      </c>
      <c r="AZ67" s="229">
        <v>-0.1484</v>
      </c>
      <c r="BA67" s="228">
        <v>13</v>
      </c>
      <c r="BB67" s="228">
        <v>21</v>
      </c>
      <c r="BC67" s="228">
        <v>-7</v>
      </c>
      <c r="BD67" s="229">
        <v>-0.3634</v>
      </c>
      <c r="BE67" s="228">
        <v>1</v>
      </c>
      <c r="BF67" s="228">
        <v>0</v>
      </c>
      <c r="BG67" s="228">
        <v>0</v>
      </c>
      <c r="BH67" s="229">
        <v>4</v>
      </c>
      <c r="BI67" s="228">
        <v>196</v>
      </c>
      <c r="BJ67" s="228">
        <v>116</v>
      </c>
      <c r="BK67" s="228">
        <v>80</v>
      </c>
      <c r="BL67" s="229">
        <v>0.68320000000000003</v>
      </c>
      <c r="BM67" s="228">
        <v>52</v>
      </c>
      <c r="BN67" s="228">
        <v>27</v>
      </c>
      <c r="BO67" s="228">
        <v>24</v>
      </c>
      <c r="BP67" s="229">
        <v>0.88449999999999995</v>
      </c>
      <c r="BQ67" s="228">
        <v>307</v>
      </c>
      <c r="BR67" s="228">
        <v>218</v>
      </c>
      <c r="BS67" s="228">
        <v>89</v>
      </c>
      <c r="BT67" s="229">
        <v>0.40760000000000002</v>
      </c>
      <c r="BU67" s="230">
        <v>92739</v>
      </c>
      <c r="BV67" s="230">
        <v>101433</v>
      </c>
      <c r="BW67" s="230">
        <v>-8694</v>
      </c>
      <c r="BX67" s="229">
        <v>-8.5699999999999998E-2</v>
      </c>
      <c r="BY67" s="228">
        <v>308</v>
      </c>
      <c r="BZ67" s="228">
        <v>288</v>
      </c>
      <c r="CA67" s="228">
        <v>20</v>
      </c>
      <c r="CB67" s="229">
        <v>7.0099999999999996E-2</v>
      </c>
      <c r="CC67" s="228">
        <v>229</v>
      </c>
      <c r="CD67" s="228">
        <v>215</v>
      </c>
      <c r="CE67" s="228">
        <v>13</v>
      </c>
      <c r="CF67" s="229">
        <v>6.2700000000000006E-2</v>
      </c>
      <c r="CG67" s="228">
        <v>76</v>
      </c>
      <c r="CH67" s="228">
        <v>69</v>
      </c>
      <c r="CI67" s="228">
        <v>6</v>
      </c>
      <c r="CJ67" s="229">
        <v>9.2899999999999996E-2</v>
      </c>
      <c r="CK67" s="228">
        <v>3</v>
      </c>
      <c r="CL67" s="228">
        <v>3</v>
      </c>
      <c r="CM67" s="228">
        <v>0</v>
      </c>
      <c r="CN67" s="229">
        <v>7.2700000000000001E-2</v>
      </c>
      <c r="CO67" s="228">
        <v>189</v>
      </c>
      <c r="CP67" s="228">
        <v>172</v>
      </c>
      <c r="CQ67" s="228">
        <v>17</v>
      </c>
      <c r="CR67" s="229">
        <v>0.1009</v>
      </c>
      <c r="CS67" s="228">
        <v>64</v>
      </c>
      <c r="CT67" s="228">
        <v>58</v>
      </c>
      <c r="CU67" s="228">
        <v>6</v>
      </c>
      <c r="CV67" s="229">
        <v>0.108</v>
      </c>
      <c r="CW67" s="228">
        <v>561</v>
      </c>
      <c r="CX67" s="228">
        <v>517</v>
      </c>
      <c r="CY67" s="228">
        <v>44</v>
      </c>
      <c r="CZ67" s="229">
        <v>8.4599999999999995E-2</v>
      </c>
      <c r="DA67" s="228">
        <v>65</v>
      </c>
      <c r="DB67" s="228">
        <v>60.87</v>
      </c>
      <c r="DC67" s="228">
        <v>4.13</v>
      </c>
      <c r="DD67" s="228">
        <v>4.13</v>
      </c>
      <c r="DE67" s="228">
        <v>65.67</v>
      </c>
      <c r="DF67" s="228">
        <v>65.760000000000005</v>
      </c>
      <c r="DG67" s="228">
        <v>-0.67</v>
      </c>
      <c r="DH67" s="228">
        <v>-0.09</v>
      </c>
      <c r="DI67" s="228">
        <v>65.099999999999994</v>
      </c>
      <c r="DJ67" s="228">
        <v>60.25</v>
      </c>
      <c r="DK67" s="228">
        <v>4.8499999999999996</v>
      </c>
      <c r="DL67" s="228">
        <v>4.8499999999999996</v>
      </c>
      <c r="DM67" s="228">
        <v>64.64</v>
      </c>
      <c r="DN67" s="228">
        <v>63.53</v>
      </c>
      <c r="DO67" s="228">
        <v>1.1100000000000001</v>
      </c>
      <c r="DP67" s="228">
        <v>1.1100000000000001</v>
      </c>
      <c r="DQ67" s="228">
        <v>0.34</v>
      </c>
      <c r="DR67" s="228">
        <v>0.34</v>
      </c>
      <c r="DS67" s="228">
        <v>0</v>
      </c>
      <c r="DT67" s="229">
        <v>0</v>
      </c>
      <c r="DU67" s="231">
        <v>25000</v>
      </c>
      <c r="DV67" s="231">
        <v>20000</v>
      </c>
      <c r="DW67" s="228">
        <v>0.26</v>
      </c>
      <c r="DX67" s="228">
        <v>0.24</v>
      </c>
      <c r="DY67" s="228">
        <v>0.02</v>
      </c>
      <c r="DZ67" s="229">
        <v>8.3299999999999999E-2</v>
      </c>
      <c r="EA67" s="229">
        <v>0.25700000000000001</v>
      </c>
      <c r="EB67" s="230">
        <v>33125</v>
      </c>
      <c r="EC67" s="229">
        <v>-3.8E-3</v>
      </c>
      <c r="ED67" s="229">
        <v>0.25700000000000001</v>
      </c>
      <c r="EE67" s="228">
        <v>-78.89</v>
      </c>
      <c r="EF67" s="229">
        <v>-3.5999999999999999E-3</v>
      </c>
      <c r="EG67" s="230">
        <v>27568</v>
      </c>
      <c r="EH67" s="230">
        <v>30354</v>
      </c>
      <c r="EI67" s="229">
        <v>-9.1800000000000007E-2</v>
      </c>
      <c r="EJ67" s="229">
        <v>0.29730000000000001</v>
      </c>
      <c r="EK67" s="228">
        <v>217.71</v>
      </c>
      <c r="EL67" s="228">
        <v>50.04</v>
      </c>
      <c r="EM67" s="228">
        <v>59.44</v>
      </c>
      <c r="EN67" s="228">
        <v>19.88</v>
      </c>
      <c r="EO67" s="228">
        <v>327.2</v>
      </c>
      <c r="EP67" s="228">
        <v>232.81</v>
      </c>
      <c r="EQ67" s="228">
        <v>94.39</v>
      </c>
      <c r="ER67" s="229">
        <v>0.40539999999999998</v>
      </c>
      <c r="ES67" s="228">
        <v>204.32</v>
      </c>
      <c r="ET67" s="228">
        <v>59.75</v>
      </c>
      <c r="EU67" s="228">
        <v>307.43</v>
      </c>
      <c r="EV67" s="231">
        <v>736885</v>
      </c>
      <c r="EW67" s="228">
        <v>571.49</v>
      </c>
      <c r="EX67" s="228">
        <v>533.66999999999996</v>
      </c>
      <c r="EY67" s="228">
        <v>37.82</v>
      </c>
      <c r="EZ67" s="229">
        <v>7.0900000000000005E-2</v>
      </c>
      <c r="FA67" s="229">
        <v>0.34810000000000002</v>
      </c>
      <c r="FB67" s="227" t="s">
        <v>566</v>
      </c>
      <c r="FC67">
        <f t="shared" ref="FC67:FC130" si="1">BY67-CC67</f>
        <v>79</v>
      </c>
    </row>
    <row r="68" spans="1:159" ht="17.25" thickBot="1" x14ac:dyDescent="0.3">
      <c r="A68" s="226">
        <v>46132</v>
      </c>
      <c r="B68" s="227" t="s">
        <v>170</v>
      </c>
      <c r="C68" s="227" t="s">
        <v>675</v>
      </c>
      <c r="D68" s="228">
        <v>775</v>
      </c>
      <c r="E68" s="228">
        <v>8</v>
      </c>
      <c r="F68" s="228">
        <v>890.1</v>
      </c>
      <c r="G68" s="228">
        <v>890.9</v>
      </c>
      <c r="H68" s="228">
        <v>-0.8</v>
      </c>
      <c r="I68" s="229">
        <v>-8.9999999999999998E-4</v>
      </c>
      <c r="J68" s="228">
        <v>890.9</v>
      </c>
      <c r="K68" s="228">
        <v>890.2</v>
      </c>
      <c r="L68" s="228">
        <v>0.7</v>
      </c>
      <c r="M68" s="229">
        <v>8.0000000000000004E-4</v>
      </c>
      <c r="N68" s="228">
        <v>890.1</v>
      </c>
      <c r="O68" s="228">
        <v>890.9</v>
      </c>
      <c r="P68" s="228">
        <v>-0.8</v>
      </c>
      <c r="Q68" s="229">
        <v>-8.9999999999999998E-4</v>
      </c>
      <c r="R68" s="228">
        <v>894.85</v>
      </c>
      <c r="S68" s="228">
        <v>896.1</v>
      </c>
      <c r="T68" s="228">
        <v>-1.25</v>
      </c>
      <c r="U68" s="229">
        <v>-1.4E-3</v>
      </c>
      <c r="V68" s="228">
        <v>900.65</v>
      </c>
      <c r="W68" s="228">
        <v>901.15</v>
      </c>
      <c r="X68" s="228">
        <v>-0.5</v>
      </c>
      <c r="Y68" s="229">
        <v>-5.9999999999999995E-4</v>
      </c>
      <c r="Z68" s="228">
        <v>-0.8</v>
      </c>
      <c r="AA68" s="228">
        <v>0.7</v>
      </c>
      <c r="AB68" s="228">
        <v>-1.5</v>
      </c>
      <c r="AC68" s="229">
        <v>-8.9999999999999998E-4</v>
      </c>
      <c r="AD68" s="228">
        <v>-0.8</v>
      </c>
      <c r="AE68" s="228">
        <v>0.7</v>
      </c>
      <c r="AF68" s="228">
        <v>-1.5</v>
      </c>
      <c r="AG68" s="229">
        <v>-8.9999999999999998E-4</v>
      </c>
      <c r="AH68" s="228">
        <v>3.95</v>
      </c>
      <c r="AI68" s="228">
        <v>5.9</v>
      </c>
      <c r="AJ68" s="228">
        <v>-1.95</v>
      </c>
      <c r="AK68" s="229">
        <v>4.4000000000000003E-3</v>
      </c>
      <c r="AL68" s="228">
        <v>9.75</v>
      </c>
      <c r="AM68" s="228">
        <v>10.95</v>
      </c>
      <c r="AN68" s="228">
        <v>-1.2</v>
      </c>
      <c r="AO68" s="229">
        <v>1.09E-2</v>
      </c>
      <c r="AP68" s="228">
        <v>891.45</v>
      </c>
      <c r="AQ68" s="228">
        <v>896.47</v>
      </c>
      <c r="AR68" s="228">
        <v>0</v>
      </c>
      <c r="AS68" s="228">
        <v>113</v>
      </c>
      <c r="AT68" s="228">
        <v>168</v>
      </c>
      <c r="AU68" s="228">
        <v>-55</v>
      </c>
      <c r="AV68" s="229">
        <v>-0.3291</v>
      </c>
      <c r="AW68" s="228">
        <v>100</v>
      </c>
      <c r="AX68" s="228">
        <v>144</v>
      </c>
      <c r="AY68" s="228">
        <v>-44</v>
      </c>
      <c r="AZ68" s="229">
        <v>-0.30230000000000001</v>
      </c>
      <c r="BA68" s="228">
        <v>11</v>
      </c>
      <c r="BB68" s="228">
        <v>20</v>
      </c>
      <c r="BC68" s="228">
        <v>-9</v>
      </c>
      <c r="BD68" s="229">
        <v>-0.434</v>
      </c>
      <c r="BE68" s="228">
        <v>1</v>
      </c>
      <c r="BF68" s="228">
        <v>4</v>
      </c>
      <c r="BG68" s="228">
        <v>-3</v>
      </c>
      <c r="BH68" s="229">
        <v>-0.78569999999999995</v>
      </c>
      <c r="BI68" s="228">
        <v>186</v>
      </c>
      <c r="BJ68" s="228">
        <v>410</v>
      </c>
      <c r="BK68" s="228">
        <v>-224</v>
      </c>
      <c r="BL68" s="229">
        <v>-0.54710000000000003</v>
      </c>
      <c r="BM68" s="228">
        <v>106</v>
      </c>
      <c r="BN68" s="228">
        <v>187</v>
      </c>
      <c r="BO68" s="228">
        <v>-81</v>
      </c>
      <c r="BP68" s="229">
        <v>-0.43180000000000002</v>
      </c>
      <c r="BQ68" s="228">
        <v>405</v>
      </c>
      <c r="BR68" s="228">
        <v>765</v>
      </c>
      <c r="BS68" s="228">
        <v>-360</v>
      </c>
      <c r="BT68" s="229">
        <v>-0.47110000000000002</v>
      </c>
      <c r="BU68" s="230">
        <v>1405049</v>
      </c>
      <c r="BV68" s="230">
        <v>928662</v>
      </c>
      <c r="BW68" s="230">
        <v>476387</v>
      </c>
      <c r="BX68" s="229">
        <v>0.51300000000000001</v>
      </c>
      <c r="BY68" s="228">
        <v>979</v>
      </c>
      <c r="BZ68" s="228">
        <v>990</v>
      </c>
      <c r="CA68" s="228">
        <v>-11</v>
      </c>
      <c r="CB68" s="229">
        <v>-1.11E-2</v>
      </c>
      <c r="CC68" s="228">
        <v>880</v>
      </c>
      <c r="CD68" s="228">
        <v>894</v>
      </c>
      <c r="CE68" s="228">
        <v>-14</v>
      </c>
      <c r="CF68" s="229">
        <v>-1.6E-2</v>
      </c>
      <c r="CG68" s="228">
        <v>28</v>
      </c>
      <c r="CH68" s="228">
        <v>24</v>
      </c>
      <c r="CI68" s="228">
        <v>3</v>
      </c>
      <c r="CJ68" s="229">
        <v>0.1328</v>
      </c>
      <c r="CK68" s="228">
        <v>72</v>
      </c>
      <c r="CL68" s="228">
        <v>72</v>
      </c>
      <c r="CM68" s="228">
        <v>0</v>
      </c>
      <c r="CN68" s="229">
        <v>1E-3</v>
      </c>
      <c r="CO68" s="228">
        <v>243</v>
      </c>
      <c r="CP68" s="228">
        <v>222</v>
      </c>
      <c r="CQ68" s="228">
        <v>21</v>
      </c>
      <c r="CR68" s="229">
        <v>9.5100000000000004E-2</v>
      </c>
      <c r="CS68" s="228">
        <v>137</v>
      </c>
      <c r="CT68" s="228">
        <v>141</v>
      </c>
      <c r="CU68" s="228">
        <v>-4</v>
      </c>
      <c r="CV68" s="229">
        <v>-2.7400000000000001E-2</v>
      </c>
      <c r="CW68" s="230">
        <v>1359</v>
      </c>
      <c r="CX68" s="230">
        <v>1353</v>
      </c>
      <c r="CY68" s="228">
        <v>6</v>
      </c>
      <c r="CZ68" s="229">
        <v>4.5999999999999999E-3</v>
      </c>
      <c r="DA68" s="228">
        <v>32.93</v>
      </c>
      <c r="DB68" s="228">
        <v>28.96</v>
      </c>
      <c r="DC68" s="228">
        <v>3.97</v>
      </c>
      <c r="DD68" s="228">
        <v>3.97</v>
      </c>
      <c r="DE68" s="228">
        <v>35.31</v>
      </c>
      <c r="DF68" s="228">
        <v>35.4</v>
      </c>
      <c r="DG68" s="228">
        <v>-2.38</v>
      </c>
      <c r="DH68" s="228">
        <v>-0.09</v>
      </c>
      <c r="DI68" s="228">
        <v>31.8</v>
      </c>
      <c r="DJ68" s="228">
        <v>27.64</v>
      </c>
      <c r="DK68" s="228">
        <v>4.16</v>
      </c>
      <c r="DL68" s="228">
        <v>4.16</v>
      </c>
      <c r="DM68" s="228">
        <v>34.89</v>
      </c>
      <c r="DN68" s="228">
        <v>31.85</v>
      </c>
      <c r="DO68" s="228">
        <v>3.04</v>
      </c>
      <c r="DP68" s="228">
        <v>3.04</v>
      </c>
      <c r="DQ68" s="228">
        <v>0.56000000000000005</v>
      </c>
      <c r="DR68" s="228">
        <v>0.63</v>
      </c>
      <c r="DS68" s="228">
        <v>-7.0000000000000007E-2</v>
      </c>
      <c r="DT68" s="229">
        <v>-0.1111</v>
      </c>
      <c r="DU68" s="228">
        <v>940</v>
      </c>
      <c r="DV68" s="228">
        <v>850</v>
      </c>
      <c r="DW68" s="228">
        <v>0.56999999999999995</v>
      </c>
      <c r="DX68" s="228">
        <v>0.46</v>
      </c>
      <c r="DY68" s="228">
        <v>0.11</v>
      </c>
      <c r="DZ68" s="229">
        <v>0.23910000000000001</v>
      </c>
      <c r="EA68" s="229">
        <v>0.10150000000000001</v>
      </c>
      <c r="EB68" s="230">
        <v>1078800</v>
      </c>
      <c r="EC68" s="229">
        <v>5.3E-3</v>
      </c>
      <c r="ED68" s="229">
        <v>0.10150000000000001</v>
      </c>
      <c r="EE68" s="228">
        <v>5.0199999999999996</v>
      </c>
      <c r="EF68" s="229">
        <v>5.5999999999999999E-3</v>
      </c>
      <c r="EG68" s="230">
        <v>886819</v>
      </c>
      <c r="EH68" s="230">
        <v>410282</v>
      </c>
      <c r="EI68" s="229">
        <v>1.1615</v>
      </c>
      <c r="EJ68" s="229">
        <v>0.63119999999999998</v>
      </c>
      <c r="EK68" s="228">
        <v>192.36</v>
      </c>
      <c r="EL68" s="228">
        <v>105.44</v>
      </c>
      <c r="EM68" s="228">
        <v>112.76</v>
      </c>
      <c r="EN68" s="228">
        <v>27.57</v>
      </c>
      <c r="EO68" s="228">
        <v>410.56</v>
      </c>
      <c r="EP68" s="228">
        <v>771.88</v>
      </c>
      <c r="EQ68" s="228">
        <v>-361.32</v>
      </c>
      <c r="ER68" s="229">
        <v>-0.46810000000000002</v>
      </c>
      <c r="ES68" s="228">
        <v>243.01</v>
      </c>
      <c r="ET68" s="228">
        <v>128.4</v>
      </c>
      <c r="EU68" s="228">
        <v>979.86</v>
      </c>
      <c r="EV68" s="231">
        <v>70894446</v>
      </c>
      <c r="EW68" s="231">
        <v>1351.27</v>
      </c>
      <c r="EX68" s="231">
        <v>1345.06</v>
      </c>
      <c r="EY68" s="228">
        <v>6.21</v>
      </c>
      <c r="EZ68" s="229">
        <v>4.5999999999999999E-3</v>
      </c>
      <c r="FA68" s="229">
        <v>0.21529999999999999</v>
      </c>
      <c r="FB68" s="227" t="s">
        <v>567</v>
      </c>
      <c r="FC68">
        <f t="shared" si="1"/>
        <v>99</v>
      </c>
    </row>
    <row r="69" spans="1:159" ht="17.25" thickBot="1" x14ac:dyDescent="0.3">
      <c r="A69" s="226">
        <v>46132</v>
      </c>
      <c r="B69" s="227" t="s">
        <v>193</v>
      </c>
      <c r="C69" s="227" t="s">
        <v>213</v>
      </c>
      <c r="D69" s="228">
        <v>3150</v>
      </c>
      <c r="E69" s="228">
        <v>8</v>
      </c>
      <c r="F69" s="228">
        <v>157.66</v>
      </c>
      <c r="G69" s="228">
        <v>158.33000000000001</v>
      </c>
      <c r="H69" s="228">
        <v>-0.67</v>
      </c>
      <c r="I69" s="229">
        <v>-4.1999999999999997E-3</v>
      </c>
      <c r="J69" s="228">
        <v>157.69999999999999</v>
      </c>
      <c r="K69" s="228">
        <v>157.82</v>
      </c>
      <c r="L69" s="228">
        <v>-0.12</v>
      </c>
      <c r="M69" s="229">
        <v>-8.0000000000000004E-4</v>
      </c>
      <c r="N69" s="228">
        <v>157.66</v>
      </c>
      <c r="O69" s="228">
        <v>158.33000000000001</v>
      </c>
      <c r="P69" s="228">
        <v>-0.67</v>
      </c>
      <c r="Q69" s="229">
        <v>-4.1999999999999997E-3</v>
      </c>
      <c r="R69" s="228">
        <v>158.62</v>
      </c>
      <c r="S69" s="228">
        <v>159.13999999999999</v>
      </c>
      <c r="T69" s="228">
        <v>-0.52</v>
      </c>
      <c r="U69" s="229">
        <v>-3.3E-3</v>
      </c>
      <c r="V69" s="228">
        <v>159.26</v>
      </c>
      <c r="W69" s="228">
        <v>160.26</v>
      </c>
      <c r="X69" s="228">
        <v>-1</v>
      </c>
      <c r="Y69" s="229">
        <v>-6.1999999999999998E-3</v>
      </c>
      <c r="Z69" s="228">
        <v>-0.04</v>
      </c>
      <c r="AA69" s="228">
        <v>0.51</v>
      </c>
      <c r="AB69" s="228">
        <v>-0.55000000000000004</v>
      </c>
      <c r="AC69" s="229">
        <v>-2.9999999999999997E-4</v>
      </c>
      <c r="AD69" s="228">
        <v>-0.04</v>
      </c>
      <c r="AE69" s="228">
        <v>0.51</v>
      </c>
      <c r="AF69" s="228">
        <v>-0.55000000000000004</v>
      </c>
      <c r="AG69" s="229">
        <v>-2.9999999999999997E-4</v>
      </c>
      <c r="AH69" s="228">
        <v>0.92</v>
      </c>
      <c r="AI69" s="228">
        <v>1.32</v>
      </c>
      <c r="AJ69" s="228">
        <v>-0.4</v>
      </c>
      <c r="AK69" s="229">
        <v>5.7999999999999996E-3</v>
      </c>
      <c r="AL69" s="228">
        <v>1.56</v>
      </c>
      <c r="AM69" s="228">
        <v>2.44</v>
      </c>
      <c r="AN69" s="228">
        <v>-0.88</v>
      </c>
      <c r="AO69" s="229">
        <v>9.9000000000000008E-3</v>
      </c>
      <c r="AP69" s="228">
        <v>157.76</v>
      </c>
      <c r="AQ69" s="228">
        <v>158.74</v>
      </c>
      <c r="AR69" s="228">
        <v>0</v>
      </c>
      <c r="AS69" s="228">
        <v>103</v>
      </c>
      <c r="AT69" s="228">
        <v>176</v>
      </c>
      <c r="AU69" s="228">
        <v>-73</v>
      </c>
      <c r="AV69" s="229">
        <v>-0.41610000000000003</v>
      </c>
      <c r="AW69" s="228">
        <v>78</v>
      </c>
      <c r="AX69" s="228">
        <v>144</v>
      </c>
      <c r="AY69" s="228">
        <v>-66</v>
      </c>
      <c r="AZ69" s="229">
        <v>-0.45860000000000001</v>
      </c>
      <c r="BA69" s="228">
        <v>23</v>
      </c>
      <c r="BB69" s="228">
        <v>29</v>
      </c>
      <c r="BC69" s="228">
        <v>-7</v>
      </c>
      <c r="BD69" s="229">
        <v>-0.2293</v>
      </c>
      <c r="BE69" s="228">
        <v>2</v>
      </c>
      <c r="BF69" s="228">
        <v>2</v>
      </c>
      <c r="BG69" s="228">
        <v>0</v>
      </c>
      <c r="BH69" s="229">
        <v>-0.16</v>
      </c>
      <c r="BI69" s="228">
        <v>175</v>
      </c>
      <c r="BJ69" s="228">
        <v>207</v>
      </c>
      <c r="BK69" s="228">
        <v>-33</v>
      </c>
      <c r="BL69" s="229">
        <v>-0.15820000000000001</v>
      </c>
      <c r="BM69" s="228">
        <v>191</v>
      </c>
      <c r="BN69" s="228">
        <v>172</v>
      </c>
      <c r="BO69" s="228">
        <v>19</v>
      </c>
      <c r="BP69" s="229">
        <v>0.1132</v>
      </c>
      <c r="BQ69" s="228">
        <v>469</v>
      </c>
      <c r="BR69" s="228">
        <v>556</v>
      </c>
      <c r="BS69" s="228">
        <v>-87</v>
      </c>
      <c r="BT69" s="229">
        <v>-0.15609999999999999</v>
      </c>
      <c r="BU69" s="230">
        <v>6164748</v>
      </c>
      <c r="BV69" s="230">
        <v>13504644</v>
      </c>
      <c r="BW69" s="230">
        <v>-7339896</v>
      </c>
      <c r="BX69" s="229">
        <v>-0.54349999999999998</v>
      </c>
      <c r="BY69" s="230">
        <v>1241</v>
      </c>
      <c r="BZ69" s="230">
        <v>1242</v>
      </c>
      <c r="CA69" s="228">
        <v>-1</v>
      </c>
      <c r="CB69" s="229">
        <v>-1.1000000000000001E-3</v>
      </c>
      <c r="CC69" s="230">
        <v>1104</v>
      </c>
      <c r="CD69" s="230">
        <v>1117</v>
      </c>
      <c r="CE69" s="228">
        <v>-13</v>
      </c>
      <c r="CF69" s="229">
        <v>-1.18E-2</v>
      </c>
      <c r="CG69" s="228">
        <v>81</v>
      </c>
      <c r="CH69" s="228">
        <v>69</v>
      </c>
      <c r="CI69" s="228">
        <v>12</v>
      </c>
      <c r="CJ69" s="229">
        <v>0.16739999999999999</v>
      </c>
      <c r="CK69" s="228">
        <v>56</v>
      </c>
      <c r="CL69" s="228">
        <v>56</v>
      </c>
      <c r="CM69" s="228">
        <v>0</v>
      </c>
      <c r="CN69" s="229">
        <v>3.5000000000000001E-3</v>
      </c>
      <c r="CO69" s="228">
        <v>440</v>
      </c>
      <c r="CP69" s="228">
        <v>436</v>
      </c>
      <c r="CQ69" s="228">
        <v>4</v>
      </c>
      <c r="CR69" s="229">
        <v>0.01</v>
      </c>
      <c r="CS69" s="228">
        <v>521</v>
      </c>
      <c r="CT69" s="228">
        <v>513</v>
      </c>
      <c r="CU69" s="228">
        <v>8</v>
      </c>
      <c r="CV69" s="229">
        <v>1.6E-2</v>
      </c>
      <c r="CW69" s="230">
        <v>2202</v>
      </c>
      <c r="CX69" s="230">
        <v>2191</v>
      </c>
      <c r="CY69" s="228">
        <v>11</v>
      </c>
      <c r="CZ69" s="229">
        <v>5.1000000000000004E-3</v>
      </c>
      <c r="DA69" s="228">
        <v>33.04</v>
      </c>
      <c r="DB69" s="228">
        <v>30.16</v>
      </c>
      <c r="DC69" s="228">
        <v>2.88</v>
      </c>
      <c r="DD69" s="228">
        <v>2.88</v>
      </c>
      <c r="DE69" s="228">
        <v>35.5</v>
      </c>
      <c r="DF69" s="228">
        <v>35.58</v>
      </c>
      <c r="DG69" s="228">
        <v>-2.46</v>
      </c>
      <c r="DH69" s="228">
        <v>-0.08</v>
      </c>
      <c r="DI69" s="228">
        <v>31.12</v>
      </c>
      <c r="DJ69" s="228">
        <v>28.14</v>
      </c>
      <c r="DK69" s="228">
        <v>2.98</v>
      </c>
      <c r="DL69" s="228">
        <v>2.98</v>
      </c>
      <c r="DM69" s="228">
        <v>34.78</v>
      </c>
      <c r="DN69" s="228">
        <v>32.61</v>
      </c>
      <c r="DO69" s="228">
        <v>2.17</v>
      </c>
      <c r="DP69" s="228">
        <v>2.17</v>
      </c>
      <c r="DQ69" s="228">
        <v>1.18</v>
      </c>
      <c r="DR69" s="228">
        <v>1.18</v>
      </c>
      <c r="DS69" s="228">
        <v>0</v>
      </c>
      <c r="DT69" s="229">
        <v>0</v>
      </c>
      <c r="DU69" s="228">
        <v>144</v>
      </c>
      <c r="DV69" s="228">
        <v>130</v>
      </c>
      <c r="DW69" s="228">
        <v>1.1000000000000001</v>
      </c>
      <c r="DX69" s="228">
        <v>0.83</v>
      </c>
      <c r="DY69" s="228">
        <v>0.27</v>
      </c>
      <c r="DZ69" s="229">
        <v>0.32529999999999998</v>
      </c>
      <c r="EA69" s="229">
        <v>0.1104</v>
      </c>
      <c r="EB69" s="230">
        <v>7941150</v>
      </c>
      <c r="EC69" s="229">
        <v>6.1000000000000004E-3</v>
      </c>
      <c r="ED69" s="229">
        <v>0.1104</v>
      </c>
      <c r="EE69" s="228">
        <v>0.98</v>
      </c>
      <c r="EF69" s="229">
        <v>6.1999999999999998E-3</v>
      </c>
      <c r="EG69" s="230">
        <v>3141988</v>
      </c>
      <c r="EH69" s="230">
        <v>8258780</v>
      </c>
      <c r="EI69" s="229">
        <v>-0.61960000000000004</v>
      </c>
      <c r="EJ69" s="229">
        <v>0.50970000000000004</v>
      </c>
      <c r="EK69" s="228">
        <v>182.89</v>
      </c>
      <c r="EL69" s="228">
        <v>185.55</v>
      </c>
      <c r="EM69" s="228">
        <v>103.23</v>
      </c>
      <c r="EN69" s="228">
        <v>39.07</v>
      </c>
      <c r="EO69" s="228">
        <v>471.68</v>
      </c>
      <c r="EP69" s="228">
        <v>560.79999999999995</v>
      </c>
      <c r="EQ69" s="228">
        <v>-89.12</v>
      </c>
      <c r="ER69" s="229">
        <v>-0.15890000000000001</v>
      </c>
      <c r="ES69" s="228">
        <v>430.28</v>
      </c>
      <c r="ET69" s="228">
        <v>494.18</v>
      </c>
      <c r="EU69" s="231">
        <v>1241.5899999999999</v>
      </c>
      <c r="EV69" s="231">
        <v>471255857</v>
      </c>
      <c r="EW69" s="231">
        <v>2166.0500000000002</v>
      </c>
      <c r="EX69" s="231">
        <v>2159.48</v>
      </c>
      <c r="EY69" s="228">
        <v>6.57</v>
      </c>
      <c r="EZ69" s="229">
        <v>3.0000000000000001E-3</v>
      </c>
      <c r="FA69" s="229">
        <v>0.29630000000000001</v>
      </c>
      <c r="FB69" s="227" t="s">
        <v>567</v>
      </c>
      <c r="FC69">
        <f t="shared" si="1"/>
        <v>137</v>
      </c>
    </row>
    <row r="70" spans="1:159" ht="17.25" thickBot="1" x14ac:dyDescent="0.3">
      <c r="A70" s="226">
        <v>46132</v>
      </c>
      <c r="B70" s="227" t="s">
        <v>170</v>
      </c>
      <c r="C70" s="227" t="s">
        <v>214</v>
      </c>
      <c r="D70" s="228">
        <v>375</v>
      </c>
      <c r="E70" s="228">
        <v>8</v>
      </c>
      <c r="F70" s="231">
        <v>2229.1</v>
      </c>
      <c r="G70" s="231">
        <v>2253.8000000000002</v>
      </c>
      <c r="H70" s="228">
        <v>-24.7</v>
      </c>
      <c r="I70" s="229">
        <v>-1.0999999999999999E-2</v>
      </c>
      <c r="J70" s="231">
        <v>2230.6999999999998</v>
      </c>
      <c r="K70" s="231">
        <v>2249.5</v>
      </c>
      <c r="L70" s="228">
        <v>-18.8</v>
      </c>
      <c r="M70" s="229">
        <v>-8.3999999999999995E-3</v>
      </c>
      <c r="N70" s="231">
        <v>2229.1</v>
      </c>
      <c r="O70" s="231">
        <v>2253.8000000000002</v>
      </c>
      <c r="P70" s="228">
        <v>-24.7</v>
      </c>
      <c r="Q70" s="229">
        <v>-1.0999999999999999E-2</v>
      </c>
      <c r="R70" s="231">
        <v>2239.5</v>
      </c>
      <c r="S70" s="231">
        <v>2264.6999999999998</v>
      </c>
      <c r="T70" s="228">
        <v>-25.2</v>
      </c>
      <c r="U70" s="229">
        <v>-1.11E-2</v>
      </c>
      <c r="V70" s="231">
        <v>2251</v>
      </c>
      <c r="W70" s="231">
        <v>2278.9</v>
      </c>
      <c r="X70" s="228">
        <v>-27.9</v>
      </c>
      <c r="Y70" s="229">
        <v>-1.2200000000000001E-2</v>
      </c>
      <c r="Z70" s="228">
        <v>-1.6</v>
      </c>
      <c r="AA70" s="228">
        <v>4.3</v>
      </c>
      <c r="AB70" s="228">
        <v>-5.9</v>
      </c>
      <c r="AC70" s="229">
        <v>-6.9999999999999999E-4</v>
      </c>
      <c r="AD70" s="228">
        <v>-1.6</v>
      </c>
      <c r="AE70" s="228">
        <v>4.3</v>
      </c>
      <c r="AF70" s="228">
        <v>-5.9</v>
      </c>
      <c r="AG70" s="229">
        <v>-6.9999999999999999E-4</v>
      </c>
      <c r="AH70" s="228">
        <v>8.8000000000000007</v>
      </c>
      <c r="AI70" s="228">
        <v>15.2</v>
      </c>
      <c r="AJ70" s="228">
        <v>-6.4</v>
      </c>
      <c r="AK70" s="229">
        <v>3.8999999999999998E-3</v>
      </c>
      <c r="AL70" s="228">
        <v>20.3</v>
      </c>
      <c r="AM70" s="228">
        <v>29.4</v>
      </c>
      <c r="AN70" s="228">
        <v>-9.1</v>
      </c>
      <c r="AO70" s="229">
        <v>9.1000000000000004E-3</v>
      </c>
      <c r="AP70" s="231">
        <v>2232.63</v>
      </c>
      <c r="AQ70" s="231">
        <v>2246.13</v>
      </c>
      <c r="AR70" s="228">
        <v>0</v>
      </c>
      <c r="AS70" s="228">
        <v>149</v>
      </c>
      <c r="AT70" s="228">
        <v>173</v>
      </c>
      <c r="AU70" s="228">
        <v>-23</v>
      </c>
      <c r="AV70" s="229">
        <v>-0.13500000000000001</v>
      </c>
      <c r="AW70" s="228">
        <v>132</v>
      </c>
      <c r="AX70" s="228">
        <v>159</v>
      </c>
      <c r="AY70" s="228">
        <v>-27</v>
      </c>
      <c r="AZ70" s="229">
        <v>-0.1691</v>
      </c>
      <c r="BA70" s="228">
        <v>17</v>
      </c>
      <c r="BB70" s="228">
        <v>13</v>
      </c>
      <c r="BC70" s="228">
        <v>4</v>
      </c>
      <c r="BD70" s="229">
        <v>0.27329999999999999</v>
      </c>
      <c r="BE70" s="228">
        <v>0</v>
      </c>
      <c r="BF70" s="228">
        <v>1</v>
      </c>
      <c r="BG70" s="228">
        <v>0</v>
      </c>
      <c r="BH70" s="229">
        <v>-0.28570000000000001</v>
      </c>
      <c r="BI70" s="228">
        <v>646</v>
      </c>
      <c r="BJ70" s="228">
        <v>979</v>
      </c>
      <c r="BK70" s="228">
        <v>-332</v>
      </c>
      <c r="BL70" s="229">
        <v>-0.33960000000000001</v>
      </c>
      <c r="BM70" s="228">
        <v>500</v>
      </c>
      <c r="BN70" s="228">
        <v>314</v>
      </c>
      <c r="BO70" s="228">
        <v>186</v>
      </c>
      <c r="BP70" s="229">
        <v>0.59340000000000004</v>
      </c>
      <c r="BQ70" s="230">
        <v>1296</v>
      </c>
      <c r="BR70" s="230">
        <v>1465</v>
      </c>
      <c r="BS70" s="228">
        <v>-170</v>
      </c>
      <c r="BT70" s="229">
        <v>-0.1157</v>
      </c>
      <c r="BU70" s="230">
        <v>422289</v>
      </c>
      <c r="BV70" s="230">
        <v>383534</v>
      </c>
      <c r="BW70" s="230">
        <v>38755</v>
      </c>
      <c r="BX70" s="229">
        <v>0.10100000000000001</v>
      </c>
      <c r="BY70" s="230">
        <v>2255</v>
      </c>
      <c r="BZ70" s="230">
        <v>2282</v>
      </c>
      <c r="CA70" s="228">
        <v>-27</v>
      </c>
      <c r="CB70" s="229">
        <v>-1.18E-2</v>
      </c>
      <c r="CC70" s="230">
        <v>2223</v>
      </c>
      <c r="CD70" s="230">
        <v>2253</v>
      </c>
      <c r="CE70" s="228">
        <v>-30</v>
      </c>
      <c r="CF70" s="229">
        <v>-1.35E-2</v>
      </c>
      <c r="CG70" s="228">
        <v>29</v>
      </c>
      <c r="CH70" s="228">
        <v>26</v>
      </c>
      <c r="CI70" s="228">
        <v>3</v>
      </c>
      <c r="CJ70" s="229">
        <v>0.129</v>
      </c>
      <c r="CK70" s="228">
        <v>3</v>
      </c>
      <c r="CL70" s="228">
        <v>2</v>
      </c>
      <c r="CM70" s="228">
        <v>0</v>
      </c>
      <c r="CN70" s="229">
        <v>7.1400000000000005E-2</v>
      </c>
      <c r="CO70" s="228">
        <v>521</v>
      </c>
      <c r="CP70" s="228">
        <v>533</v>
      </c>
      <c r="CQ70" s="228">
        <v>-12</v>
      </c>
      <c r="CR70" s="229">
        <v>-2.23E-2</v>
      </c>
      <c r="CS70" s="228">
        <v>269</v>
      </c>
      <c r="CT70" s="228">
        <v>270</v>
      </c>
      <c r="CU70" s="228">
        <v>-1</v>
      </c>
      <c r="CV70" s="229">
        <v>-2.5000000000000001E-3</v>
      </c>
      <c r="CW70" s="230">
        <v>3045</v>
      </c>
      <c r="CX70" s="230">
        <v>3085</v>
      </c>
      <c r="CY70" s="228">
        <v>-39</v>
      </c>
      <c r="CZ70" s="229">
        <v>-1.2800000000000001E-2</v>
      </c>
      <c r="DA70" s="228">
        <v>40.69</v>
      </c>
      <c r="DB70" s="228">
        <v>34.18</v>
      </c>
      <c r="DC70" s="228">
        <v>6.51</v>
      </c>
      <c r="DD70" s="228">
        <v>6.51</v>
      </c>
      <c r="DE70" s="228">
        <v>35.979999999999997</v>
      </c>
      <c r="DF70" s="228">
        <v>36.049999999999997</v>
      </c>
      <c r="DG70" s="228">
        <v>4.71</v>
      </c>
      <c r="DH70" s="228">
        <v>-7.0000000000000007E-2</v>
      </c>
      <c r="DI70" s="228">
        <v>37.79</v>
      </c>
      <c r="DJ70" s="228">
        <v>33.979999999999997</v>
      </c>
      <c r="DK70" s="228">
        <v>3.81</v>
      </c>
      <c r="DL70" s="228">
        <v>3.81</v>
      </c>
      <c r="DM70" s="228">
        <v>44.45</v>
      </c>
      <c r="DN70" s="228">
        <v>34.79</v>
      </c>
      <c r="DO70" s="228">
        <v>9.66</v>
      </c>
      <c r="DP70" s="228">
        <v>9.66</v>
      </c>
      <c r="DQ70" s="228">
        <v>0.52</v>
      </c>
      <c r="DR70" s="228">
        <v>0.51</v>
      </c>
      <c r="DS70" s="228">
        <v>0.01</v>
      </c>
      <c r="DT70" s="229">
        <v>1.9599999999999999E-2</v>
      </c>
      <c r="DU70" s="231">
        <v>2400</v>
      </c>
      <c r="DV70" s="231">
        <v>2100</v>
      </c>
      <c r="DW70" s="228">
        <v>0.77</v>
      </c>
      <c r="DX70" s="228">
        <v>0.32</v>
      </c>
      <c r="DY70" s="228">
        <v>0.45</v>
      </c>
      <c r="DZ70" s="229">
        <v>1.4063000000000001</v>
      </c>
      <c r="EA70" s="229">
        <v>1.41E-2</v>
      </c>
      <c r="EB70" s="230">
        <v>126750</v>
      </c>
      <c r="EC70" s="229">
        <v>4.7000000000000002E-3</v>
      </c>
      <c r="ED70" s="229">
        <v>1.41E-2</v>
      </c>
      <c r="EE70" s="228">
        <v>13.5</v>
      </c>
      <c r="EF70" s="229">
        <v>6.0000000000000001E-3</v>
      </c>
      <c r="EG70" s="230">
        <v>243677</v>
      </c>
      <c r="EH70" s="230">
        <v>191009</v>
      </c>
      <c r="EI70" s="229">
        <v>0.2757</v>
      </c>
      <c r="EJ70" s="229">
        <v>0.57699999999999996</v>
      </c>
      <c r="EK70" s="228">
        <v>683.36</v>
      </c>
      <c r="EL70" s="228">
        <v>455.58</v>
      </c>
      <c r="EM70" s="228">
        <v>149.72</v>
      </c>
      <c r="EN70" s="228">
        <v>25.6</v>
      </c>
      <c r="EO70" s="231">
        <v>1288.6600000000001</v>
      </c>
      <c r="EP70" s="231">
        <v>1525.34</v>
      </c>
      <c r="EQ70" s="228">
        <v>-236.68</v>
      </c>
      <c r="ER70" s="229">
        <v>-0.1552</v>
      </c>
      <c r="ES70" s="228">
        <v>535.07000000000005</v>
      </c>
      <c r="ET70" s="228">
        <v>252.66</v>
      </c>
      <c r="EU70" s="231">
        <v>2255.04</v>
      </c>
      <c r="EV70" s="231">
        <v>15844372</v>
      </c>
      <c r="EW70" s="231">
        <v>3042.76</v>
      </c>
      <c r="EX70" s="231">
        <v>3108.11</v>
      </c>
      <c r="EY70" s="228">
        <v>-65.349999999999994</v>
      </c>
      <c r="EZ70" s="229">
        <v>-2.1000000000000001E-2</v>
      </c>
      <c r="FA70" s="229">
        <v>0.86219999999999997</v>
      </c>
      <c r="FB70" s="227" t="s">
        <v>567</v>
      </c>
      <c r="FC70">
        <f t="shared" si="1"/>
        <v>32</v>
      </c>
    </row>
    <row r="71" spans="1:159" ht="17.25" thickBot="1" x14ac:dyDescent="0.3">
      <c r="A71" s="226">
        <v>46132</v>
      </c>
      <c r="B71" s="227" t="s">
        <v>215</v>
      </c>
      <c r="C71" s="227" t="s">
        <v>630</v>
      </c>
      <c r="D71" s="228">
        <v>6975</v>
      </c>
      <c r="E71" s="228">
        <v>8</v>
      </c>
      <c r="F71" s="228">
        <v>97.39</v>
      </c>
      <c r="G71" s="228">
        <v>97.16</v>
      </c>
      <c r="H71" s="228">
        <v>0.23</v>
      </c>
      <c r="I71" s="229">
        <v>2.3999999999999998E-3</v>
      </c>
      <c r="J71" s="228">
        <v>97.45</v>
      </c>
      <c r="K71" s="228">
        <v>96.85</v>
      </c>
      <c r="L71" s="228">
        <v>0.6</v>
      </c>
      <c r="M71" s="229">
        <v>6.1999999999999998E-3</v>
      </c>
      <c r="N71" s="228">
        <v>97.39</v>
      </c>
      <c r="O71" s="228">
        <v>97.16</v>
      </c>
      <c r="P71" s="228">
        <v>0.23</v>
      </c>
      <c r="Q71" s="229">
        <v>2.3999999999999998E-3</v>
      </c>
      <c r="R71" s="228">
        <v>97.99</v>
      </c>
      <c r="S71" s="228">
        <v>97.64</v>
      </c>
      <c r="T71" s="228">
        <v>0.35</v>
      </c>
      <c r="U71" s="229">
        <v>3.5999999999999999E-3</v>
      </c>
      <c r="V71" s="228">
        <v>98.48</v>
      </c>
      <c r="W71" s="228">
        <v>98.29</v>
      </c>
      <c r="X71" s="228">
        <v>0.19</v>
      </c>
      <c r="Y71" s="229">
        <v>1.9E-3</v>
      </c>
      <c r="Z71" s="228">
        <v>-0.06</v>
      </c>
      <c r="AA71" s="228">
        <v>0.31</v>
      </c>
      <c r="AB71" s="228">
        <v>-0.37</v>
      </c>
      <c r="AC71" s="229">
        <v>-5.9999999999999995E-4</v>
      </c>
      <c r="AD71" s="228">
        <v>-0.06</v>
      </c>
      <c r="AE71" s="228">
        <v>0.31</v>
      </c>
      <c r="AF71" s="228">
        <v>-0.37</v>
      </c>
      <c r="AG71" s="229">
        <v>-5.9999999999999995E-4</v>
      </c>
      <c r="AH71" s="228">
        <v>0.54</v>
      </c>
      <c r="AI71" s="228">
        <v>0.79</v>
      </c>
      <c r="AJ71" s="228">
        <v>-0.25</v>
      </c>
      <c r="AK71" s="229">
        <v>5.4999999999999997E-3</v>
      </c>
      <c r="AL71" s="228">
        <v>1.03</v>
      </c>
      <c r="AM71" s="228">
        <v>1.44</v>
      </c>
      <c r="AN71" s="228">
        <v>-0.41</v>
      </c>
      <c r="AO71" s="229">
        <v>1.06E-2</v>
      </c>
      <c r="AP71" s="228">
        <v>97.58</v>
      </c>
      <c r="AQ71" s="228">
        <v>98.2</v>
      </c>
      <c r="AR71" s="228">
        <v>0</v>
      </c>
      <c r="AS71" s="228">
        <v>178</v>
      </c>
      <c r="AT71" s="228">
        <v>221</v>
      </c>
      <c r="AU71" s="228">
        <v>-43</v>
      </c>
      <c r="AV71" s="229">
        <v>-0.19489999999999999</v>
      </c>
      <c r="AW71" s="228">
        <v>138</v>
      </c>
      <c r="AX71" s="228">
        <v>150</v>
      </c>
      <c r="AY71" s="228">
        <v>-12</v>
      </c>
      <c r="AZ71" s="229">
        <v>-7.8399999999999997E-2</v>
      </c>
      <c r="BA71" s="228">
        <v>35</v>
      </c>
      <c r="BB71" s="228">
        <v>28</v>
      </c>
      <c r="BC71" s="228">
        <v>7</v>
      </c>
      <c r="BD71" s="229">
        <v>0.25729999999999997</v>
      </c>
      <c r="BE71" s="228">
        <v>5</v>
      </c>
      <c r="BF71" s="228">
        <v>43</v>
      </c>
      <c r="BG71" s="228">
        <v>-39</v>
      </c>
      <c r="BH71" s="229">
        <v>-0.89029999999999998</v>
      </c>
      <c r="BI71" s="228">
        <v>578</v>
      </c>
      <c r="BJ71" s="228">
        <v>252</v>
      </c>
      <c r="BK71" s="228">
        <v>326</v>
      </c>
      <c r="BL71" s="229">
        <v>1.2946</v>
      </c>
      <c r="BM71" s="228">
        <v>209</v>
      </c>
      <c r="BN71" s="228">
        <v>127</v>
      </c>
      <c r="BO71" s="228">
        <v>82</v>
      </c>
      <c r="BP71" s="229">
        <v>0.64970000000000006</v>
      </c>
      <c r="BQ71" s="228">
        <v>965</v>
      </c>
      <c r="BR71" s="228">
        <v>600</v>
      </c>
      <c r="BS71" s="228">
        <v>365</v>
      </c>
      <c r="BT71" s="229">
        <v>0.60880000000000001</v>
      </c>
      <c r="BU71" s="230">
        <v>10712271</v>
      </c>
      <c r="BV71" s="230">
        <v>11386763</v>
      </c>
      <c r="BW71" s="230">
        <v>-674492</v>
      </c>
      <c r="BX71" s="229">
        <v>-5.9200000000000003E-2</v>
      </c>
      <c r="BY71" s="230">
        <v>1314</v>
      </c>
      <c r="BZ71" s="230">
        <v>1310</v>
      </c>
      <c r="CA71" s="228">
        <v>4</v>
      </c>
      <c r="CB71" s="229">
        <v>2.8999999999999998E-3</v>
      </c>
      <c r="CC71" s="230">
        <v>1188</v>
      </c>
      <c r="CD71" s="230">
        <v>1200</v>
      </c>
      <c r="CE71" s="228">
        <v>-12</v>
      </c>
      <c r="CF71" s="229">
        <v>-9.7000000000000003E-3</v>
      </c>
      <c r="CG71" s="228">
        <v>75</v>
      </c>
      <c r="CH71" s="228">
        <v>62</v>
      </c>
      <c r="CI71" s="228">
        <v>13</v>
      </c>
      <c r="CJ71" s="229">
        <v>0.21740000000000001</v>
      </c>
      <c r="CK71" s="228">
        <v>51</v>
      </c>
      <c r="CL71" s="228">
        <v>49</v>
      </c>
      <c r="CM71" s="228">
        <v>2</v>
      </c>
      <c r="CN71" s="229">
        <v>4.3099999999999999E-2</v>
      </c>
      <c r="CO71" s="228">
        <v>450</v>
      </c>
      <c r="CP71" s="228">
        <v>380</v>
      </c>
      <c r="CQ71" s="228">
        <v>70</v>
      </c>
      <c r="CR71" s="229">
        <v>0.18379999999999999</v>
      </c>
      <c r="CS71" s="228">
        <v>300</v>
      </c>
      <c r="CT71" s="228">
        <v>284</v>
      </c>
      <c r="CU71" s="228">
        <v>16</v>
      </c>
      <c r="CV71" s="229">
        <v>5.5500000000000001E-2</v>
      </c>
      <c r="CW71" s="230">
        <v>2063</v>
      </c>
      <c r="CX71" s="230">
        <v>1974</v>
      </c>
      <c r="CY71" s="228">
        <v>89</v>
      </c>
      <c r="CZ71" s="229">
        <v>4.53E-2</v>
      </c>
      <c r="DA71" s="228">
        <v>42.42</v>
      </c>
      <c r="DB71" s="228">
        <v>37.369999999999997</v>
      </c>
      <c r="DC71" s="228">
        <v>5.05</v>
      </c>
      <c r="DD71" s="228">
        <v>5.05</v>
      </c>
      <c r="DE71" s="228">
        <v>41.42</v>
      </c>
      <c r="DF71" s="228">
        <v>41.52</v>
      </c>
      <c r="DG71" s="228">
        <v>1</v>
      </c>
      <c r="DH71" s="228">
        <v>-0.1</v>
      </c>
      <c r="DI71" s="228">
        <v>42.49</v>
      </c>
      <c r="DJ71" s="228">
        <v>36.799999999999997</v>
      </c>
      <c r="DK71" s="228">
        <v>5.69</v>
      </c>
      <c r="DL71" s="228">
        <v>5.69</v>
      </c>
      <c r="DM71" s="228">
        <v>42.24</v>
      </c>
      <c r="DN71" s="228">
        <v>38.5</v>
      </c>
      <c r="DO71" s="228">
        <v>3.74</v>
      </c>
      <c r="DP71" s="228">
        <v>3.74</v>
      </c>
      <c r="DQ71" s="228">
        <v>0.67</v>
      </c>
      <c r="DR71" s="228">
        <v>0.75</v>
      </c>
      <c r="DS71" s="228">
        <v>-0.08</v>
      </c>
      <c r="DT71" s="229">
        <v>-0.1067</v>
      </c>
      <c r="DU71" s="228">
        <v>100</v>
      </c>
      <c r="DV71" s="228">
        <v>95</v>
      </c>
      <c r="DW71" s="228">
        <v>0.36</v>
      </c>
      <c r="DX71" s="228">
        <v>0.5</v>
      </c>
      <c r="DY71" s="228">
        <v>-0.14000000000000001</v>
      </c>
      <c r="DZ71" s="229">
        <v>-0.28000000000000003</v>
      </c>
      <c r="EA71" s="229">
        <v>9.5799999999999996E-2</v>
      </c>
      <c r="EB71" s="230">
        <v>11334375</v>
      </c>
      <c r="EC71" s="229">
        <v>6.1999999999999998E-3</v>
      </c>
      <c r="ED71" s="229">
        <v>9.5799999999999996E-2</v>
      </c>
      <c r="EE71" s="228">
        <v>0.62</v>
      </c>
      <c r="EF71" s="229">
        <v>6.4000000000000003E-3</v>
      </c>
      <c r="EG71" s="230">
        <v>5255300</v>
      </c>
      <c r="EH71" s="230">
        <v>6716307</v>
      </c>
      <c r="EI71" s="229">
        <v>-0.2175</v>
      </c>
      <c r="EJ71" s="229">
        <v>0.49059999999999998</v>
      </c>
      <c r="EK71" s="228">
        <v>607.76</v>
      </c>
      <c r="EL71" s="228">
        <v>206.51</v>
      </c>
      <c r="EM71" s="228">
        <v>178.77</v>
      </c>
      <c r="EN71" s="228">
        <v>28.47</v>
      </c>
      <c r="EO71" s="228">
        <v>993.04</v>
      </c>
      <c r="EP71" s="228">
        <v>611.55999999999995</v>
      </c>
      <c r="EQ71" s="228">
        <v>381.48</v>
      </c>
      <c r="ER71" s="229">
        <v>0.62380000000000002</v>
      </c>
      <c r="ES71" s="228">
        <v>457.69</v>
      </c>
      <c r="ET71" s="228">
        <v>282.98</v>
      </c>
      <c r="EU71" s="231">
        <v>1314.99</v>
      </c>
      <c r="EV71" s="231">
        <v>534704421</v>
      </c>
      <c r="EW71" s="231">
        <v>2055.66</v>
      </c>
      <c r="EX71" s="231">
        <v>1960.6</v>
      </c>
      <c r="EY71" s="228">
        <v>95.06</v>
      </c>
      <c r="EZ71" s="229">
        <v>4.8500000000000001E-2</v>
      </c>
      <c r="FA71" s="229">
        <v>0.39629999999999999</v>
      </c>
      <c r="FB71" s="227" t="s">
        <v>555</v>
      </c>
      <c r="FC71">
        <f t="shared" si="1"/>
        <v>126</v>
      </c>
    </row>
    <row r="72" spans="1:159" ht="17.25" thickBot="1" x14ac:dyDescent="0.3">
      <c r="A72" s="226">
        <v>46132</v>
      </c>
      <c r="B72" s="227" t="s">
        <v>168</v>
      </c>
      <c r="C72" s="227" t="s">
        <v>699</v>
      </c>
      <c r="D72" s="228">
        <v>275</v>
      </c>
      <c r="E72" s="228">
        <v>8</v>
      </c>
      <c r="F72" s="231">
        <v>2130.8000000000002</v>
      </c>
      <c r="G72" s="231">
        <v>2184.1999999999998</v>
      </c>
      <c r="H72" s="228">
        <v>-53.4</v>
      </c>
      <c r="I72" s="229">
        <v>-2.4400000000000002E-2</v>
      </c>
      <c r="J72" s="231">
        <v>2137.8000000000002</v>
      </c>
      <c r="K72" s="231">
        <v>2207.6999999999998</v>
      </c>
      <c r="L72" s="228">
        <v>-69.900000000000006</v>
      </c>
      <c r="M72" s="229">
        <v>-3.1699999999999999E-2</v>
      </c>
      <c r="N72" s="231">
        <v>2130.8000000000002</v>
      </c>
      <c r="O72" s="231">
        <v>2184.1999999999998</v>
      </c>
      <c r="P72" s="228">
        <v>-53.4</v>
      </c>
      <c r="Q72" s="229">
        <v>-2.4400000000000002E-2</v>
      </c>
      <c r="R72" s="231">
        <v>2113.1999999999998</v>
      </c>
      <c r="S72" s="231">
        <v>2170.1999999999998</v>
      </c>
      <c r="T72" s="228">
        <v>-57</v>
      </c>
      <c r="U72" s="229">
        <v>-2.63E-2</v>
      </c>
      <c r="V72" s="231">
        <v>2106.8000000000002</v>
      </c>
      <c r="W72" s="231">
        <v>2164.4</v>
      </c>
      <c r="X72" s="228">
        <v>-57.6</v>
      </c>
      <c r="Y72" s="229">
        <v>-2.6599999999999999E-2</v>
      </c>
      <c r="Z72" s="228">
        <v>-7</v>
      </c>
      <c r="AA72" s="228">
        <v>-23.5</v>
      </c>
      <c r="AB72" s="228">
        <v>16.5</v>
      </c>
      <c r="AC72" s="229">
        <v>-3.3E-3</v>
      </c>
      <c r="AD72" s="228">
        <v>-7</v>
      </c>
      <c r="AE72" s="228">
        <v>-23.5</v>
      </c>
      <c r="AF72" s="228">
        <v>16.5</v>
      </c>
      <c r="AG72" s="229">
        <v>-3.3E-3</v>
      </c>
      <c r="AH72" s="228">
        <v>-24.6</v>
      </c>
      <c r="AI72" s="228">
        <v>-37.5</v>
      </c>
      <c r="AJ72" s="228">
        <v>12.9</v>
      </c>
      <c r="AK72" s="229">
        <v>-1.15E-2</v>
      </c>
      <c r="AL72" s="228">
        <v>-31</v>
      </c>
      <c r="AM72" s="228">
        <v>-43.3</v>
      </c>
      <c r="AN72" s="228">
        <v>12.3</v>
      </c>
      <c r="AO72" s="229">
        <v>-1.4500000000000001E-2</v>
      </c>
      <c r="AP72" s="231">
        <v>2158.61</v>
      </c>
      <c r="AQ72" s="231">
        <v>2129.87</v>
      </c>
      <c r="AR72" s="228">
        <v>0</v>
      </c>
      <c r="AS72" s="228">
        <v>108</v>
      </c>
      <c r="AT72" s="228">
        <v>349</v>
      </c>
      <c r="AU72" s="228">
        <v>-241</v>
      </c>
      <c r="AV72" s="229">
        <v>-0.68930000000000002</v>
      </c>
      <c r="AW72" s="228">
        <v>83</v>
      </c>
      <c r="AX72" s="228">
        <v>285</v>
      </c>
      <c r="AY72" s="228">
        <v>-202</v>
      </c>
      <c r="AZ72" s="229">
        <v>-0.70909999999999995</v>
      </c>
      <c r="BA72" s="228">
        <v>24</v>
      </c>
      <c r="BB72" s="228">
        <v>59</v>
      </c>
      <c r="BC72" s="228">
        <v>-35</v>
      </c>
      <c r="BD72" s="229">
        <v>-0.59050000000000002</v>
      </c>
      <c r="BE72" s="228">
        <v>1</v>
      </c>
      <c r="BF72" s="228">
        <v>5</v>
      </c>
      <c r="BG72" s="228">
        <v>-3</v>
      </c>
      <c r="BH72" s="229">
        <v>-0.72840000000000005</v>
      </c>
      <c r="BI72" s="228">
        <v>307</v>
      </c>
      <c r="BJ72" s="230">
        <v>1311</v>
      </c>
      <c r="BK72" s="230">
        <v>-1004</v>
      </c>
      <c r="BL72" s="229">
        <v>-0.76590000000000003</v>
      </c>
      <c r="BM72" s="228">
        <v>88</v>
      </c>
      <c r="BN72" s="228">
        <v>318</v>
      </c>
      <c r="BO72" s="228">
        <v>-229</v>
      </c>
      <c r="BP72" s="229">
        <v>-0.72160000000000002</v>
      </c>
      <c r="BQ72" s="228">
        <v>504</v>
      </c>
      <c r="BR72" s="230">
        <v>1978</v>
      </c>
      <c r="BS72" s="230">
        <v>-1474</v>
      </c>
      <c r="BT72" s="229">
        <v>-0.74529999999999996</v>
      </c>
      <c r="BU72" s="230">
        <v>997337</v>
      </c>
      <c r="BV72" s="230">
        <v>3764966</v>
      </c>
      <c r="BW72" s="230">
        <v>-2767629</v>
      </c>
      <c r="BX72" s="229">
        <v>-0.73509999999999998</v>
      </c>
      <c r="BY72" s="228">
        <v>291</v>
      </c>
      <c r="BZ72" s="228">
        <v>277</v>
      </c>
      <c r="CA72" s="228">
        <v>14</v>
      </c>
      <c r="CB72" s="229">
        <v>5.1900000000000002E-2</v>
      </c>
      <c r="CC72" s="228">
        <v>227</v>
      </c>
      <c r="CD72" s="228">
        <v>228</v>
      </c>
      <c r="CE72" s="228">
        <v>-1</v>
      </c>
      <c r="CF72" s="229">
        <v>-6.4000000000000003E-3</v>
      </c>
      <c r="CG72" s="228">
        <v>58</v>
      </c>
      <c r="CH72" s="228">
        <v>43</v>
      </c>
      <c r="CI72" s="228">
        <v>15</v>
      </c>
      <c r="CJ72" s="229">
        <v>0.35070000000000001</v>
      </c>
      <c r="CK72" s="228">
        <v>6</v>
      </c>
      <c r="CL72" s="228">
        <v>5</v>
      </c>
      <c r="CM72" s="228">
        <v>1</v>
      </c>
      <c r="CN72" s="229">
        <v>0.15049999999999999</v>
      </c>
      <c r="CO72" s="228">
        <v>199</v>
      </c>
      <c r="CP72" s="228">
        <v>196</v>
      </c>
      <c r="CQ72" s="228">
        <v>3</v>
      </c>
      <c r="CR72" s="229">
        <v>1.46E-2</v>
      </c>
      <c r="CS72" s="228">
        <v>80</v>
      </c>
      <c r="CT72" s="228">
        <v>84</v>
      </c>
      <c r="CU72" s="228">
        <v>-4</v>
      </c>
      <c r="CV72" s="229">
        <v>-5.2900000000000003E-2</v>
      </c>
      <c r="CW72" s="228">
        <v>570</v>
      </c>
      <c r="CX72" s="228">
        <v>557</v>
      </c>
      <c r="CY72" s="228">
        <v>13</v>
      </c>
      <c r="CZ72" s="229">
        <v>2.29E-2</v>
      </c>
      <c r="DA72" s="228">
        <v>60.21</v>
      </c>
      <c r="DB72" s="228">
        <v>58.05</v>
      </c>
      <c r="DC72" s="228">
        <v>2.16</v>
      </c>
      <c r="DD72" s="228">
        <v>2.16</v>
      </c>
      <c r="DE72" s="228">
        <v>71.23</v>
      </c>
      <c r="DF72" s="228">
        <v>71.28</v>
      </c>
      <c r="DG72" s="228">
        <v>-11.02</v>
      </c>
      <c r="DH72" s="228">
        <v>-0.05</v>
      </c>
      <c r="DI72" s="228">
        <v>60.17</v>
      </c>
      <c r="DJ72" s="228">
        <v>57.9</v>
      </c>
      <c r="DK72" s="228">
        <v>2.27</v>
      </c>
      <c r="DL72" s="228">
        <v>2.27</v>
      </c>
      <c r="DM72" s="228">
        <v>60.38</v>
      </c>
      <c r="DN72" s="228">
        <v>58.66</v>
      </c>
      <c r="DO72" s="228">
        <v>1.72</v>
      </c>
      <c r="DP72" s="228">
        <v>1.72</v>
      </c>
      <c r="DQ72" s="228">
        <v>0.4</v>
      </c>
      <c r="DR72" s="228">
        <v>0.43</v>
      </c>
      <c r="DS72" s="228">
        <v>-0.03</v>
      </c>
      <c r="DT72" s="229">
        <v>-6.9800000000000001E-2</v>
      </c>
      <c r="DU72" s="231">
        <v>2300</v>
      </c>
      <c r="DV72" s="231">
        <v>2100</v>
      </c>
      <c r="DW72" s="228">
        <v>0.28999999999999998</v>
      </c>
      <c r="DX72" s="228">
        <v>0.24</v>
      </c>
      <c r="DY72" s="228">
        <v>0.05</v>
      </c>
      <c r="DZ72" s="229">
        <v>0.20830000000000001</v>
      </c>
      <c r="EA72" s="229">
        <v>0.22009999999999999</v>
      </c>
      <c r="EB72" s="230">
        <v>226325</v>
      </c>
      <c r="EC72" s="229">
        <v>-8.3000000000000001E-3</v>
      </c>
      <c r="ED72" s="229">
        <v>0.22009999999999999</v>
      </c>
      <c r="EE72" s="228">
        <v>-28.74</v>
      </c>
      <c r="EF72" s="229">
        <v>-1.3299999999999999E-2</v>
      </c>
      <c r="EG72" s="230">
        <v>369555</v>
      </c>
      <c r="EH72" s="230">
        <v>782089</v>
      </c>
      <c r="EI72" s="229">
        <v>-0.52749999999999997</v>
      </c>
      <c r="EJ72" s="229">
        <v>0.3705</v>
      </c>
      <c r="EK72" s="228">
        <v>333.38</v>
      </c>
      <c r="EL72" s="228">
        <v>86.86</v>
      </c>
      <c r="EM72" s="228">
        <v>109.53</v>
      </c>
      <c r="EN72" s="228">
        <v>28.98</v>
      </c>
      <c r="EO72" s="228">
        <v>529.78</v>
      </c>
      <c r="EP72" s="231">
        <v>2122.79</v>
      </c>
      <c r="EQ72" s="231">
        <v>-1593.02</v>
      </c>
      <c r="ER72" s="229">
        <v>-0.75039999999999996</v>
      </c>
      <c r="ES72" s="228">
        <v>209.92</v>
      </c>
      <c r="ET72" s="228">
        <v>77.17</v>
      </c>
      <c r="EU72" s="228">
        <v>290.44</v>
      </c>
      <c r="EV72" s="231">
        <v>6329596</v>
      </c>
      <c r="EW72" s="228">
        <v>577.53</v>
      </c>
      <c r="EX72" s="228">
        <v>571.04999999999995</v>
      </c>
      <c r="EY72" s="228">
        <v>6.48</v>
      </c>
      <c r="EZ72" s="229">
        <v>1.1299999999999999E-2</v>
      </c>
      <c r="FA72" s="229">
        <v>0.42249999999999999</v>
      </c>
      <c r="FB72" s="227" t="s">
        <v>566</v>
      </c>
      <c r="FC72">
        <f t="shared" si="1"/>
        <v>64</v>
      </c>
    </row>
    <row r="73" spans="1:159" ht="17.25" thickBot="1" x14ac:dyDescent="0.3">
      <c r="A73" s="226">
        <v>46132</v>
      </c>
      <c r="B73" s="227" t="s">
        <v>168</v>
      </c>
      <c r="C73" s="227" t="s">
        <v>217</v>
      </c>
      <c r="D73" s="228">
        <v>500</v>
      </c>
      <c r="E73" s="228">
        <v>8</v>
      </c>
      <c r="F73" s="231">
        <v>1105.5999999999999</v>
      </c>
      <c r="G73" s="231">
        <v>1112.6500000000001</v>
      </c>
      <c r="H73" s="228">
        <v>-7.05</v>
      </c>
      <c r="I73" s="229">
        <v>-6.3E-3</v>
      </c>
      <c r="J73" s="231">
        <v>1104.8</v>
      </c>
      <c r="K73" s="231">
        <v>1109.4000000000001</v>
      </c>
      <c r="L73" s="228">
        <v>-4.5999999999999996</v>
      </c>
      <c r="M73" s="229">
        <v>-4.1000000000000003E-3</v>
      </c>
      <c r="N73" s="231">
        <v>1105.5999999999999</v>
      </c>
      <c r="O73" s="231">
        <v>1112.6500000000001</v>
      </c>
      <c r="P73" s="228">
        <v>-7.05</v>
      </c>
      <c r="Q73" s="229">
        <v>-6.3E-3</v>
      </c>
      <c r="R73" s="231">
        <v>1106.5999999999999</v>
      </c>
      <c r="S73" s="231">
        <v>1113.5999999999999</v>
      </c>
      <c r="T73" s="228">
        <v>-7</v>
      </c>
      <c r="U73" s="229">
        <v>-6.3E-3</v>
      </c>
      <c r="V73" s="231">
        <v>1113.2</v>
      </c>
      <c r="W73" s="231">
        <v>1120.9000000000001</v>
      </c>
      <c r="X73" s="228">
        <v>-7.7</v>
      </c>
      <c r="Y73" s="229">
        <v>-6.8999999999999999E-3</v>
      </c>
      <c r="Z73" s="228">
        <v>0.8</v>
      </c>
      <c r="AA73" s="228">
        <v>3.25</v>
      </c>
      <c r="AB73" s="228">
        <v>-2.4500000000000002</v>
      </c>
      <c r="AC73" s="229">
        <v>6.9999999999999999E-4</v>
      </c>
      <c r="AD73" s="228">
        <v>0.8</v>
      </c>
      <c r="AE73" s="228">
        <v>3.25</v>
      </c>
      <c r="AF73" s="228">
        <v>-2.4500000000000002</v>
      </c>
      <c r="AG73" s="229">
        <v>6.9999999999999999E-4</v>
      </c>
      <c r="AH73" s="228">
        <v>1.8</v>
      </c>
      <c r="AI73" s="228">
        <v>4.2</v>
      </c>
      <c r="AJ73" s="228">
        <v>-2.4</v>
      </c>
      <c r="AK73" s="229">
        <v>1.6000000000000001E-3</v>
      </c>
      <c r="AL73" s="228">
        <v>8.4</v>
      </c>
      <c r="AM73" s="228">
        <v>11.5</v>
      </c>
      <c r="AN73" s="228">
        <v>-3.1</v>
      </c>
      <c r="AO73" s="229">
        <v>7.6E-3</v>
      </c>
      <c r="AP73" s="231">
        <v>1110.42</v>
      </c>
      <c r="AQ73" s="231">
        <v>1111.48</v>
      </c>
      <c r="AR73" s="228">
        <v>0</v>
      </c>
      <c r="AS73" s="228">
        <v>112</v>
      </c>
      <c r="AT73" s="228">
        <v>426</v>
      </c>
      <c r="AU73" s="228">
        <v>-314</v>
      </c>
      <c r="AV73" s="229">
        <v>-0.73770000000000002</v>
      </c>
      <c r="AW73" s="228">
        <v>100</v>
      </c>
      <c r="AX73" s="228">
        <v>339</v>
      </c>
      <c r="AY73" s="228">
        <v>-239</v>
      </c>
      <c r="AZ73" s="229">
        <v>-0.70579999999999998</v>
      </c>
      <c r="BA73" s="228">
        <v>11</v>
      </c>
      <c r="BB73" s="228">
        <v>20</v>
      </c>
      <c r="BC73" s="228">
        <v>-9</v>
      </c>
      <c r="BD73" s="229">
        <v>-0.47089999999999999</v>
      </c>
      <c r="BE73" s="228">
        <v>1</v>
      </c>
      <c r="BF73" s="228">
        <v>67</v>
      </c>
      <c r="BG73" s="228">
        <v>-66</v>
      </c>
      <c r="BH73" s="229">
        <v>-0.9778</v>
      </c>
      <c r="BI73" s="228">
        <v>142</v>
      </c>
      <c r="BJ73" s="228">
        <v>495</v>
      </c>
      <c r="BK73" s="228">
        <v>-353</v>
      </c>
      <c r="BL73" s="229">
        <v>-0.71330000000000005</v>
      </c>
      <c r="BM73" s="228">
        <v>50</v>
      </c>
      <c r="BN73" s="228">
        <v>179</v>
      </c>
      <c r="BO73" s="228">
        <v>-129</v>
      </c>
      <c r="BP73" s="229">
        <v>-0.72260000000000002</v>
      </c>
      <c r="BQ73" s="228">
        <v>303</v>
      </c>
      <c r="BR73" s="230">
        <v>1100</v>
      </c>
      <c r="BS73" s="228">
        <v>-797</v>
      </c>
      <c r="BT73" s="229">
        <v>-0.72430000000000005</v>
      </c>
      <c r="BU73" s="230">
        <v>1180542</v>
      </c>
      <c r="BV73" s="230">
        <v>1788590</v>
      </c>
      <c r="BW73" s="230">
        <v>-608048</v>
      </c>
      <c r="BX73" s="229">
        <v>-0.34</v>
      </c>
      <c r="BY73" s="230">
        <v>1366</v>
      </c>
      <c r="BZ73" s="230">
        <v>1356</v>
      </c>
      <c r="CA73" s="228">
        <v>10</v>
      </c>
      <c r="CB73" s="229">
        <v>7.4000000000000003E-3</v>
      </c>
      <c r="CC73" s="230">
        <v>1272</v>
      </c>
      <c r="CD73" s="230">
        <v>1267</v>
      </c>
      <c r="CE73" s="228">
        <v>6</v>
      </c>
      <c r="CF73" s="229">
        <v>4.5999999999999999E-3</v>
      </c>
      <c r="CG73" s="228">
        <v>25</v>
      </c>
      <c r="CH73" s="228">
        <v>22</v>
      </c>
      <c r="CI73" s="228">
        <v>3</v>
      </c>
      <c r="CJ73" s="229">
        <v>0.15559999999999999</v>
      </c>
      <c r="CK73" s="228">
        <v>68</v>
      </c>
      <c r="CL73" s="228">
        <v>67</v>
      </c>
      <c r="CM73" s="228">
        <v>1</v>
      </c>
      <c r="CN73" s="229">
        <v>1.23E-2</v>
      </c>
      <c r="CO73" s="228">
        <v>186</v>
      </c>
      <c r="CP73" s="228">
        <v>186</v>
      </c>
      <c r="CQ73" s="228">
        <v>0</v>
      </c>
      <c r="CR73" s="229">
        <v>-2.3999999999999998E-3</v>
      </c>
      <c r="CS73" s="228">
        <v>140</v>
      </c>
      <c r="CT73" s="228">
        <v>142</v>
      </c>
      <c r="CU73" s="228">
        <v>-2</v>
      </c>
      <c r="CV73" s="229">
        <v>-1.2800000000000001E-2</v>
      </c>
      <c r="CW73" s="230">
        <v>1692</v>
      </c>
      <c r="CX73" s="230">
        <v>1684</v>
      </c>
      <c r="CY73" s="228">
        <v>8</v>
      </c>
      <c r="CZ73" s="229">
        <v>4.5999999999999999E-3</v>
      </c>
      <c r="DA73" s="228">
        <v>31.35</v>
      </c>
      <c r="DB73" s="228">
        <v>28.9</v>
      </c>
      <c r="DC73" s="228">
        <v>2.4500000000000002</v>
      </c>
      <c r="DD73" s="228">
        <v>2.4500000000000002</v>
      </c>
      <c r="DE73" s="228">
        <v>30.33</v>
      </c>
      <c r="DF73" s="228">
        <v>30.4</v>
      </c>
      <c r="DG73" s="228">
        <v>1.02</v>
      </c>
      <c r="DH73" s="228">
        <v>-7.0000000000000007E-2</v>
      </c>
      <c r="DI73" s="228">
        <v>30.41</v>
      </c>
      <c r="DJ73" s="228">
        <v>27.63</v>
      </c>
      <c r="DK73" s="228">
        <v>2.78</v>
      </c>
      <c r="DL73" s="228">
        <v>2.78</v>
      </c>
      <c r="DM73" s="228">
        <v>34.020000000000003</v>
      </c>
      <c r="DN73" s="228">
        <v>32.42</v>
      </c>
      <c r="DO73" s="228">
        <v>1.6</v>
      </c>
      <c r="DP73" s="228">
        <v>1.6</v>
      </c>
      <c r="DQ73" s="228">
        <v>0.76</v>
      </c>
      <c r="DR73" s="228">
        <v>0.76</v>
      </c>
      <c r="DS73" s="228">
        <v>0</v>
      </c>
      <c r="DT73" s="229">
        <v>0</v>
      </c>
      <c r="DU73" s="231">
        <v>1160</v>
      </c>
      <c r="DV73" s="231">
        <v>1100</v>
      </c>
      <c r="DW73" s="228">
        <v>0.35</v>
      </c>
      <c r="DX73" s="228">
        <v>0.36</v>
      </c>
      <c r="DY73" s="228">
        <v>-0.01</v>
      </c>
      <c r="DZ73" s="229">
        <v>-2.7799999999999998E-2</v>
      </c>
      <c r="EA73" s="229">
        <v>6.8199999999999997E-2</v>
      </c>
      <c r="EB73" s="230">
        <v>804500</v>
      </c>
      <c r="EC73" s="229">
        <v>8.9999999999999998E-4</v>
      </c>
      <c r="ED73" s="229">
        <v>6.8199999999999997E-2</v>
      </c>
      <c r="EE73" s="228">
        <v>1.06</v>
      </c>
      <c r="EF73" s="229">
        <v>1E-3</v>
      </c>
      <c r="EG73" s="230">
        <v>673779</v>
      </c>
      <c r="EH73" s="230">
        <v>1164476</v>
      </c>
      <c r="EI73" s="229">
        <v>-0.4214</v>
      </c>
      <c r="EJ73" s="229">
        <v>0.57069999999999999</v>
      </c>
      <c r="EK73" s="228">
        <v>146.54</v>
      </c>
      <c r="EL73" s="228">
        <v>48.51</v>
      </c>
      <c r="EM73" s="228">
        <v>112.23</v>
      </c>
      <c r="EN73" s="228">
        <v>33.69</v>
      </c>
      <c r="EO73" s="228">
        <v>307.27999999999997</v>
      </c>
      <c r="EP73" s="231">
        <v>1112.27</v>
      </c>
      <c r="EQ73" s="228">
        <v>-804.99</v>
      </c>
      <c r="ER73" s="229">
        <v>-0.72370000000000001</v>
      </c>
      <c r="ES73" s="228">
        <v>186.75</v>
      </c>
      <c r="ET73" s="228">
        <v>130.63999999999999</v>
      </c>
      <c r="EU73" s="231">
        <v>1366.02</v>
      </c>
      <c r="EV73" s="231">
        <v>53250524</v>
      </c>
      <c r="EW73" s="231">
        <v>1683.41</v>
      </c>
      <c r="EX73" s="231">
        <v>1683.63</v>
      </c>
      <c r="EY73" s="228">
        <v>-0.22</v>
      </c>
      <c r="EZ73" s="229">
        <v>-1E-4</v>
      </c>
      <c r="FA73" s="229">
        <v>0.2873</v>
      </c>
      <c r="FB73" s="227" t="s">
        <v>566</v>
      </c>
      <c r="FC73">
        <f t="shared" si="1"/>
        <v>94</v>
      </c>
    </row>
    <row r="74" spans="1:159" ht="17.25" thickBot="1" x14ac:dyDescent="0.3">
      <c r="A74" s="226">
        <v>46132</v>
      </c>
      <c r="B74" s="227" t="s">
        <v>206</v>
      </c>
      <c r="C74" s="227" t="s">
        <v>218</v>
      </c>
      <c r="D74" s="228">
        <v>275</v>
      </c>
      <c r="E74" s="228">
        <v>8</v>
      </c>
      <c r="F74" s="231">
        <v>1756.9</v>
      </c>
      <c r="G74" s="231">
        <v>1764</v>
      </c>
      <c r="H74" s="228">
        <v>-7.1</v>
      </c>
      <c r="I74" s="229">
        <v>-4.0000000000000001E-3</v>
      </c>
      <c r="J74" s="231">
        <v>1759.7</v>
      </c>
      <c r="K74" s="231">
        <v>1758.8</v>
      </c>
      <c r="L74" s="228">
        <v>0.9</v>
      </c>
      <c r="M74" s="229">
        <v>5.0000000000000001E-4</v>
      </c>
      <c r="N74" s="231">
        <v>1756.9</v>
      </c>
      <c r="O74" s="231">
        <v>1764</v>
      </c>
      <c r="P74" s="228">
        <v>-7.1</v>
      </c>
      <c r="Q74" s="229">
        <v>-4.0000000000000001E-3</v>
      </c>
      <c r="R74" s="231">
        <v>1765.5</v>
      </c>
      <c r="S74" s="231">
        <v>1774.2</v>
      </c>
      <c r="T74" s="228">
        <v>-8.6999999999999993</v>
      </c>
      <c r="U74" s="229">
        <v>-4.8999999999999998E-3</v>
      </c>
      <c r="V74" s="231">
        <v>1773.4</v>
      </c>
      <c r="W74" s="231">
        <v>1786</v>
      </c>
      <c r="X74" s="228">
        <v>-12.6</v>
      </c>
      <c r="Y74" s="229">
        <v>-7.1000000000000004E-3</v>
      </c>
      <c r="Z74" s="228">
        <v>-2.8</v>
      </c>
      <c r="AA74" s="228">
        <v>5.2</v>
      </c>
      <c r="AB74" s="228">
        <v>-8</v>
      </c>
      <c r="AC74" s="229">
        <v>-1.6000000000000001E-3</v>
      </c>
      <c r="AD74" s="228">
        <v>-2.8</v>
      </c>
      <c r="AE74" s="228">
        <v>5.2</v>
      </c>
      <c r="AF74" s="228">
        <v>-8</v>
      </c>
      <c r="AG74" s="229">
        <v>-1.6000000000000001E-3</v>
      </c>
      <c r="AH74" s="228">
        <v>5.8</v>
      </c>
      <c r="AI74" s="228">
        <v>15.4</v>
      </c>
      <c r="AJ74" s="228">
        <v>-9.6</v>
      </c>
      <c r="AK74" s="229">
        <v>3.3E-3</v>
      </c>
      <c r="AL74" s="228">
        <v>13.7</v>
      </c>
      <c r="AM74" s="228">
        <v>27.2</v>
      </c>
      <c r="AN74" s="228">
        <v>-13.5</v>
      </c>
      <c r="AO74" s="229">
        <v>7.7999999999999996E-3</v>
      </c>
      <c r="AP74" s="231">
        <v>1756</v>
      </c>
      <c r="AQ74" s="231">
        <v>1765.12</v>
      </c>
      <c r="AR74" s="228">
        <v>0</v>
      </c>
      <c r="AS74" s="228">
        <v>190</v>
      </c>
      <c r="AT74" s="228">
        <v>154</v>
      </c>
      <c r="AU74" s="228">
        <v>36</v>
      </c>
      <c r="AV74" s="229">
        <v>0.23699999999999999</v>
      </c>
      <c r="AW74" s="228">
        <v>152</v>
      </c>
      <c r="AX74" s="228">
        <v>137</v>
      </c>
      <c r="AY74" s="228">
        <v>15</v>
      </c>
      <c r="AZ74" s="229">
        <v>0.1105</v>
      </c>
      <c r="BA74" s="228">
        <v>36</v>
      </c>
      <c r="BB74" s="228">
        <v>15</v>
      </c>
      <c r="BC74" s="228">
        <v>20</v>
      </c>
      <c r="BD74" s="229">
        <v>1.3439000000000001</v>
      </c>
      <c r="BE74" s="228">
        <v>2</v>
      </c>
      <c r="BF74" s="228">
        <v>1</v>
      </c>
      <c r="BG74" s="228">
        <v>1</v>
      </c>
      <c r="BH74" s="229">
        <v>0.6552</v>
      </c>
      <c r="BI74" s="228">
        <v>521</v>
      </c>
      <c r="BJ74" s="228">
        <v>423</v>
      </c>
      <c r="BK74" s="228">
        <v>98</v>
      </c>
      <c r="BL74" s="229">
        <v>0.23250000000000001</v>
      </c>
      <c r="BM74" s="228">
        <v>393</v>
      </c>
      <c r="BN74" s="228">
        <v>348</v>
      </c>
      <c r="BO74" s="228">
        <v>45</v>
      </c>
      <c r="BP74" s="229">
        <v>0.13009999999999999</v>
      </c>
      <c r="BQ74" s="230">
        <v>1105</v>
      </c>
      <c r="BR74" s="228">
        <v>925</v>
      </c>
      <c r="BS74" s="228">
        <v>180</v>
      </c>
      <c r="BT74" s="229">
        <v>0.1948</v>
      </c>
      <c r="BU74" s="230">
        <v>794896</v>
      </c>
      <c r="BV74" s="230">
        <v>716707</v>
      </c>
      <c r="BW74" s="230">
        <v>78189</v>
      </c>
      <c r="BX74" s="229">
        <v>0.1091</v>
      </c>
      <c r="BY74" s="230">
        <v>1405</v>
      </c>
      <c r="BZ74" s="230">
        <v>1419</v>
      </c>
      <c r="CA74" s="228">
        <v>-14</v>
      </c>
      <c r="CB74" s="229">
        <v>-0.01</v>
      </c>
      <c r="CC74" s="230">
        <v>1325</v>
      </c>
      <c r="CD74" s="230">
        <v>1356</v>
      </c>
      <c r="CE74" s="228">
        <v>-31</v>
      </c>
      <c r="CF74" s="229">
        <v>-2.3E-2</v>
      </c>
      <c r="CG74" s="228">
        <v>73</v>
      </c>
      <c r="CH74" s="228">
        <v>57</v>
      </c>
      <c r="CI74" s="228">
        <v>16</v>
      </c>
      <c r="CJ74" s="229">
        <v>0.27410000000000001</v>
      </c>
      <c r="CK74" s="228">
        <v>7</v>
      </c>
      <c r="CL74" s="228">
        <v>6</v>
      </c>
      <c r="CM74" s="228">
        <v>1</v>
      </c>
      <c r="CN74" s="229">
        <v>0.22309999999999999</v>
      </c>
      <c r="CO74" s="228">
        <v>513</v>
      </c>
      <c r="CP74" s="228">
        <v>508</v>
      </c>
      <c r="CQ74" s="228">
        <v>5</v>
      </c>
      <c r="CR74" s="229">
        <v>1.0200000000000001E-2</v>
      </c>
      <c r="CS74" s="228">
        <v>530</v>
      </c>
      <c r="CT74" s="228">
        <v>476</v>
      </c>
      <c r="CU74" s="228">
        <v>54</v>
      </c>
      <c r="CV74" s="229">
        <v>0.1135</v>
      </c>
      <c r="CW74" s="230">
        <v>2448</v>
      </c>
      <c r="CX74" s="230">
        <v>2404</v>
      </c>
      <c r="CY74" s="228">
        <v>45</v>
      </c>
      <c r="CZ74" s="229">
        <v>1.8700000000000001E-2</v>
      </c>
      <c r="DA74" s="228">
        <v>41.89</v>
      </c>
      <c r="DB74" s="228">
        <v>39.5</v>
      </c>
      <c r="DC74" s="228">
        <v>2.39</v>
      </c>
      <c r="DD74" s="228">
        <v>2.39</v>
      </c>
      <c r="DE74" s="228">
        <v>45.67</v>
      </c>
      <c r="DF74" s="228">
        <v>45.79</v>
      </c>
      <c r="DG74" s="228">
        <v>-3.78</v>
      </c>
      <c r="DH74" s="228">
        <v>-0.12</v>
      </c>
      <c r="DI74" s="228">
        <v>38.9</v>
      </c>
      <c r="DJ74" s="228">
        <v>35.31</v>
      </c>
      <c r="DK74" s="228">
        <v>3.59</v>
      </c>
      <c r="DL74" s="228">
        <v>3.59</v>
      </c>
      <c r="DM74" s="228">
        <v>45.86</v>
      </c>
      <c r="DN74" s="228">
        <v>44.59</v>
      </c>
      <c r="DO74" s="228">
        <v>1.27</v>
      </c>
      <c r="DP74" s="228">
        <v>1.27</v>
      </c>
      <c r="DQ74" s="228">
        <v>1.03</v>
      </c>
      <c r="DR74" s="228">
        <v>0.94</v>
      </c>
      <c r="DS74" s="228">
        <v>0.09</v>
      </c>
      <c r="DT74" s="229">
        <v>9.5699999999999993E-2</v>
      </c>
      <c r="DU74" s="231">
        <v>1700</v>
      </c>
      <c r="DV74" s="231">
        <v>1700</v>
      </c>
      <c r="DW74" s="228">
        <v>0.75</v>
      </c>
      <c r="DX74" s="228">
        <v>0.82</v>
      </c>
      <c r="DY74" s="228">
        <v>-7.0000000000000007E-2</v>
      </c>
      <c r="DZ74" s="229">
        <v>-8.5400000000000004E-2</v>
      </c>
      <c r="EA74" s="229">
        <v>5.6899999999999999E-2</v>
      </c>
      <c r="EB74" s="230">
        <v>358325</v>
      </c>
      <c r="EC74" s="229">
        <v>4.8999999999999998E-3</v>
      </c>
      <c r="ED74" s="229">
        <v>5.6899999999999999E-2</v>
      </c>
      <c r="EE74" s="228">
        <v>9.1199999999999992</v>
      </c>
      <c r="EF74" s="229">
        <v>5.1999999999999998E-3</v>
      </c>
      <c r="EG74" s="230">
        <v>322144</v>
      </c>
      <c r="EH74" s="230">
        <v>298079</v>
      </c>
      <c r="EI74" s="229">
        <v>8.0699999999999994E-2</v>
      </c>
      <c r="EJ74" s="229">
        <v>0.40529999999999999</v>
      </c>
      <c r="EK74" s="228">
        <v>543.04999999999995</v>
      </c>
      <c r="EL74" s="228">
        <v>378.19</v>
      </c>
      <c r="EM74" s="228">
        <v>190.48</v>
      </c>
      <c r="EN74" s="228">
        <v>34.92</v>
      </c>
      <c r="EO74" s="231">
        <v>1111.72</v>
      </c>
      <c r="EP74" s="228">
        <v>923.41</v>
      </c>
      <c r="EQ74" s="228">
        <v>188.31</v>
      </c>
      <c r="ER74" s="229">
        <v>0.2039</v>
      </c>
      <c r="ES74" s="228">
        <v>507</v>
      </c>
      <c r="ET74" s="228">
        <v>481.46</v>
      </c>
      <c r="EU74" s="231">
        <v>1405.03</v>
      </c>
      <c r="EV74" s="231">
        <v>23870110</v>
      </c>
      <c r="EW74" s="231">
        <v>2393.4899999999998</v>
      </c>
      <c r="EX74" s="231">
        <v>2357.61</v>
      </c>
      <c r="EY74" s="228">
        <v>35.880000000000003</v>
      </c>
      <c r="EZ74" s="229">
        <v>1.52E-2</v>
      </c>
      <c r="FA74" s="229">
        <v>0.58379999999999999</v>
      </c>
      <c r="FB74" s="227" t="s">
        <v>567</v>
      </c>
      <c r="FC74">
        <f t="shared" si="1"/>
        <v>80</v>
      </c>
    </row>
    <row r="75" spans="1:159" ht="17.25" thickBot="1" x14ac:dyDescent="0.3">
      <c r="A75" s="226">
        <v>46132</v>
      </c>
      <c r="B75" s="227" t="s">
        <v>157</v>
      </c>
      <c r="C75" s="227" t="s">
        <v>219</v>
      </c>
      <c r="D75" s="228">
        <v>250</v>
      </c>
      <c r="E75" s="228">
        <v>8</v>
      </c>
      <c r="F75" s="231">
        <v>2757</v>
      </c>
      <c r="G75" s="231">
        <v>2726.6</v>
      </c>
      <c r="H75" s="228">
        <v>30.4</v>
      </c>
      <c r="I75" s="229">
        <v>1.11E-2</v>
      </c>
      <c r="J75" s="231">
        <v>2760.1</v>
      </c>
      <c r="K75" s="231">
        <v>2720.5</v>
      </c>
      <c r="L75" s="228">
        <v>39.6</v>
      </c>
      <c r="M75" s="229">
        <v>1.46E-2</v>
      </c>
      <c r="N75" s="231">
        <v>2757</v>
      </c>
      <c r="O75" s="231">
        <v>2726.6</v>
      </c>
      <c r="P75" s="228">
        <v>30.4</v>
      </c>
      <c r="Q75" s="229">
        <v>1.11E-2</v>
      </c>
      <c r="R75" s="231">
        <v>2775.8</v>
      </c>
      <c r="S75" s="231">
        <v>2739.8</v>
      </c>
      <c r="T75" s="228">
        <v>36</v>
      </c>
      <c r="U75" s="229">
        <v>1.3100000000000001E-2</v>
      </c>
      <c r="V75" s="231">
        <v>2790.2</v>
      </c>
      <c r="W75" s="231">
        <v>2753.7</v>
      </c>
      <c r="X75" s="228">
        <v>36.5</v>
      </c>
      <c r="Y75" s="229">
        <v>1.3299999999999999E-2</v>
      </c>
      <c r="Z75" s="228">
        <v>-3.1</v>
      </c>
      <c r="AA75" s="228">
        <v>6.1</v>
      </c>
      <c r="AB75" s="228">
        <v>-9.1999999999999993</v>
      </c>
      <c r="AC75" s="229">
        <v>-1.1000000000000001E-3</v>
      </c>
      <c r="AD75" s="228">
        <v>-3.1</v>
      </c>
      <c r="AE75" s="228">
        <v>6.1</v>
      </c>
      <c r="AF75" s="228">
        <v>-9.1999999999999993</v>
      </c>
      <c r="AG75" s="229">
        <v>-1.1000000000000001E-3</v>
      </c>
      <c r="AH75" s="228">
        <v>15.7</v>
      </c>
      <c r="AI75" s="228">
        <v>19.3</v>
      </c>
      <c r="AJ75" s="228">
        <v>-3.6</v>
      </c>
      <c r="AK75" s="229">
        <v>5.7000000000000002E-3</v>
      </c>
      <c r="AL75" s="228">
        <v>30.1</v>
      </c>
      <c r="AM75" s="228">
        <v>33.200000000000003</v>
      </c>
      <c r="AN75" s="228">
        <v>-3.1</v>
      </c>
      <c r="AO75" s="229">
        <v>1.09E-2</v>
      </c>
      <c r="AP75" s="231">
        <v>2752.19</v>
      </c>
      <c r="AQ75" s="231">
        <v>2770.73</v>
      </c>
      <c r="AR75" s="228">
        <v>0</v>
      </c>
      <c r="AS75" s="228">
        <v>785</v>
      </c>
      <c r="AT75" s="228">
        <v>137</v>
      </c>
      <c r="AU75" s="228">
        <v>648</v>
      </c>
      <c r="AV75" s="229">
        <v>4.7225999999999999</v>
      </c>
      <c r="AW75" s="228">
        <v>476</v>
      </c>
      <c r="AX75" s="228">
        <v>116</v>
      </c>
      <c r="AY75" s="228">
        <v>360</v>
      </c>
      <c r="AZ75" s="229">
        <v>3.1093999999999999</v>
      </c>
      <c r="BA75" s="228">
        <v>306</v>
      </c>
      <c r="BB75" s="228">
        <v>18</v>
      </c>
      <c r="BC75" s="228">
        <v>288</v>
      </c>
      <c r="BD75" s="229">
        <v>15.7698</v>
      </c>
      <c r="BE75" s="228">
        <v>2</v>
      </c>
      <c r="BF75" s="228">
        <v>3</v>
      </c>
      <c r="BG75" s="228">
        <v>-1</v>
      </c>
      <c r="BH75" s="229">
        <v>-0.25580000000000003</v>
      </c>
      <c r="BI75" s="228">
        <v>582</v>
      </c>
      <c r="BJ75" s="228">
        <v>345</v>
      </c>
      <c r="BK75" s="228">
        <v>238</v>
      </c>
      <c r="BL75" s="229">
        <v>0.69030000000000002</v>
      </c>
      <c r="BM75" s="228">
        <v>230</v>
      </c>
      <c r="BN75" s="228">
        <v>143</v>
      </c>
      <c r="BO75" s="228">
        <v>86</v>
      </c>
      <c r="BP75" s="229">
        <v>0.60189999999999999</v>
      </c>
      <c r="BQ75" s="230">
        <v>1597</v>
      </c>
      <c r="BR75" s="228">
        <v>625</v>
      </c>
      <c r="BS75" s="228">
        <v>972</v>
      </c>
      <c r="BT75" s="229">
        <v>1.5548999999999999</v>
      </c>
      <c r="BU75" s="230">
        <v>758516</v>
      </c>
      <c r="BV75" s="230">
        <v>442157</v>
      </c>
      <c r="BW75" s="230">
        <v>316359</v>
      </c>
      <c r="BX75" s="229">
        <v>0.71550000000000002</v>
      </c>
      <c r="BY75" s="230">
        <v>3895</v>
      </c>
      <c r="BZ75" s="230">
        <v>3901</v>
      </c>
      <c r="CA75" s="228">
        <v>-5</v>
      </c>
      <c r="CB75" s="229">
        <v>-1.4E-3</v>
      </c>
      <c r="CC75" s="230">
        <v>3078</v>
      </c>
      <c r="CD75" s="230">
        <v>3370</v>
      </c>
      <c r="CE75" s="228">
        <v>-292</v>
      </c>
      <c r="CF75" s="229">
        <v>-8.6499999999999994E-2</v>
      </c>
      <c r="CG75" s="228">
        <v>715</v>
      </c>
      <c r="CH75" s="228">
        <v>430</v>
      </c>
      <c r="CI75" s="228">
        <v>285</v>
      </c>
      <c r="CJ75" s="229">
        <v>0.66439999999999999</v>
      </c>
      <c r="CK75" s="228">
        <v>102</v>
      </c>
      <c r="CL75" s="228">
        <v>102</v>
      </c>
      <c r="CM75" s="228">
        <v>1</v>
      </c>
      <c r="CN75" s="229">
        <v>6.1000000000000004E-3</v>
      </c>
      <c r="CO75" s="228">
        <v>433</v>
      </c>
      <c r="CP75" s="228">
        <v>469</v>
      </c>
      <c r="CQ75" s="228">
        <v>-36</v>
      </c>
      <c r="CR75" s="229">
        <v>-7.6700000000000004E-2</v>
      </c>
      <c r="CS75" s="228">
        <v>334</v>
      </c>
      <c r="CT75" s="228">
        <v>340</v>
      </c>
      <c r="CU75" s="228">
        <v>-7</v>
      </c>
      <c r="CV75" s="229">
        <v>-1.9199999999999998E-2</v>
      </c>
      <c r="CW75" s="230">
        <v>4662</v>
      </c>
      <c r="CX75" s="230">
        <v>4710</v>
      </c>
      <c r="CY75" s="228">
        <v>-48</v>
      </c>
      <c r="CZ75" s="229">
        <v>-1.0200000000000001E-2</v>
      </c>
      <c r="DA75" s="228">
        <v>29.22</v>
      </c>
      <c r="DB75" s="228">
        <v>26.85</v>
      </c>
      <c r="DC75" s="228">
        <v>2.37</v>
      </c>
      <c r="DD75" s="228">
        <v>2.37</v>
      </c>
      <c r="DE75" s="228">
        <v>28.34</v>
      </c>
      <c r="DF75" s="228">
        <v>28.37</v>
      </c>
      <c r="DG75" s="228">
        <v>0.88</v>
      </c>
      <c r="DH75" s="228">
        <v>-0.03</v>
      </c>
      <c r="DI75" s="228">
        <v>28.58</v>
      </c>
      <c r="DJ75" s="228">
        <v>26.37</v>
      </c>
      <c r="DK75" s="228">
        <v>2.21</v>
      </c>
      <c r="DL75" s="228">
        <v>2.21</v>
      </c>
      <c r="DM75" s="228">
        <v>30.87</v>
      </c>
      <c r="DN75" s="228">
        <v>28</v>
      </c>
      <c r="DO75" s="228">
        <v>2.87</v>
      </c>
      <c r="DP75" s="228">
        <v>2.87</v>
      </c>
      <c r="DQ75" s="228">
        <v>0.77</v>
      </c>
      <c r="DR75" s="228">
        <v>0.73</v>
      </c>
      <c r="DS75" s="228">
        <v>0.04</v>
      </c>
      <c r="DT75" s="229">
        <v>5.4800000000000001E-2</v>
      </c>
      <c r="DU75" s="231">
        <v>2800</v>
      </c>
      <c r="DV75" s="231">
        <v>2600</v>
      </c>
      <c r="DW75" s="228">
        <v>0.39</v>
      </c>
      <c r="DX75" s="228">
        <v>0.42</v>
      </c>
      <c r="DY75" s="228">
        <v>-0.03</v>
      </c>
      <c r="DZ75" s="229">
        <v>-7.1400000000000005E-2</v>
      </c>
      <c r="EA75" s="229">
        <v>0.20979999999999999</v>
      </c>
      <c r="EB75" s="230">
        <v>1926750</v>
      </c>
      <c r="EC75" s="229">
        <v>6.7999999999999996E-3</v>
      </c>
      <c r="ED75" s="229">
        <v>0.20979999999999999</v>
      </c>
      <c r="EE75" s="228">
        <v>18.54</v>
      </c>
      <c r="EF75" s="229">
        <v>6.7000000000000002E-3</v>
      </c>
      <c r="EG75" s="230">
        <v>396654</v>
      </c>
      <c r="EH75" s="230">
        <v>248174</v>
      </c>
      <c r="EI75" s="229">
        <v>0.59830000000000005</v>
      </c>
      <c r="EJ75" s="229">
        <v>0.52290000000000003</v>
      </c>
      <c r="EK75" s="228">
        <v>596.67999999999995</v>
      </c>
      <c r="EL75" s="228">
        <v>224.27</v>
      </c>
      <c r="EM75" s="228">
        <v>785.64</v>
      </c>
      <c r="EN75" s="228">
        <v>54.5</v>
      </c>
      <c r="EO75" s="231">
        <v>1606.59</v>
      </c>
      <c r="EP75" s="228">
        <v>627.54</v>
      </c>
      <c r="EQ75" s="228">
        <v>979.06</v>
      </c>
      <c r="ER75" s="229">
        <v>1.5602</v>
      </c>
      <c r="ES75" s="228">
        <v>440.25</v>
      </c>
      <c r="ET75" s="228">
        <v>312.75</v>
      </c>
      <c r="EU75" s="231">
        <v>3901.4</v>
      </c>
      <c r="EV75" s="231">
        <v>38401443</v>
      </c>
      <c r="EW75" s="231">
        <v>4654.3999999999996</v>
      </c>
      <c r="EX75" s="231">
        <v>4655.12</v>
      </c>
      <c r="EY75" s="228">
        <v>-0.72</v>
      </c>
      <c r="EZ75" s="229">
        <v>-2.0000000000000001E-4</v>
      </c>
      <c r="FA75" s="229">
        <v>0.44030000000000002</v>
      </c>
      <c r="FB75" s="227" t="s">
        <v>693</v>
      </c>
      <c r="FC75">
        <f t="shared" si="1"/>
        <v>817</v>
      </c>
    </row>
    <row r="76" spans="1:159" ht="17.25" thickBot="1" x14ac:dyDescent="0.3">
      <c r="A76" s="226">
        <v>46132</v>
      </c>
      <c r="B76" s="227" t="s">
        <v>184</v>
      </c>
      <c r="C76" s="227" t="s">
        <v>513</v>
      </c>
      <c r="D76" s="228">
        <v>150</v>
      </c>
      <c r="E76" s="228">
        <v>8</v>
      </c>
      <c r="F76" s="231">
        <v>4343</v>
      </c>
      <c r="G76" s="231">
        <v>4393.3</v>
      </c>
      <c r="H76" s="228">
        <v>-50.3</v>
      </c>
      <c r="I76" s="229">
        <v>-1.14E-2</v>
      </c>
      <c r="J76" s="231">
        <v>4344.5</v>
      </c>
      <c r="K76" s="231">
        <v>4388.1000000000004</v>
      </c>
      <c r="L76" s="228">
        <v>-43.6</v>
      </c>
      <c r="M76" s="229">
        <v>-9.9000000000000008E-3</v>
      </c>
      <c r="N76" s="231">
        <v>4343</v>
      </c>
      <c r="O76" s="231">
        <v>4393.3</v>
      </c>
      <c r="P76" s="228">
        <v>-50.3</v>
      </c>
      <c r="Q76" s="229">
        <v>-1.14E-2</v>
      </c>
      <c r="R76" s="231">
        <v>4370.3999999999996</v>
      </c>
      <c r="S76" s="231">
        <v>4418.6000000000004</v>
      </c>
      <c r="T76" s="228">
        <v>-48.2</v>
      </c>
      <c r="U76" s="229">
        <v>-1.09E-2</v>
      </c>
      <c r="V76" s="231">
        <v>4398.3</v>
      </c>
      <c r="W76" s="231">
        <v>4445</v>
      </c>
      <c r="X76" s="228">
        <v>-46.7</v>
      </c>
      <c r="Y76" s="229">
        <v>-1.0500000000000001E-2</v>
      </c>
      <c r="Z76" s="228">
        <v>-1.5</v>
      </c>
      <c r="AA76" s="228">
        <v>5.2</v>
      </c>
      <c r="AB76" s="228">
        <v>-6.7</v>
      </c>
      <c r="AC76" s="229">
        <v>-2.9999999999999997E-4</v>
      </c>
      <c r="AD76" s="228">
        <v>-1.5</v>
      </c>
      <c r="AE76" s="228">
        <v>5.2</v>
      </c>
      <c r="AF76" s="228">
        <v>-6.7</v>
      </c>
      <c r="AG76" s="229">
        <v>-2.9999999999999997E-4</v>
      </c>
      <c r="AH76" s="228">
        <v>25.9</v>
      </c>
      <c r="AI76" s="228">
        <v>30.5</v>
      </c>
      <c r="AJ76" s="228">
        <v>-4.5999999999999996</v>
      </c>
      <c r="AK76" s="229">
        <v>6.0000000000000001E-3</v>
      </c>
      <c r="AL76" s="228">
        <v>53.8</v>
      </c>
      <c r="AM76" s="228">
        <v>56.9</v>
      </c>
      <c r="AN76" s="228">
        <v>-3.1</v>
      </c>
      <c r="AO76" s="229">
        <v>1.24E-2</v>
      </c>
      <c r="AP76" s="231">
        <v>4366.12</v>
      </c>
      <c r="AQ76" s="231">
        <v>4392.79</v>
      </c>
      <c r="AR76" s="228">
        <v>0</v>
      </c>
      <c r="AS76" s="228">
        <v>427</v>
      </c>
      <c r="AT76" s="228">
        <v>406</v>
      </c>
      <c r="AU76" s="228">
        <v>20</v>
      </c>
      <c r="AV76" s="229">
        <v>4.9500000000000002E-2</v>
      </c>
      <c r="AW76" s="228">
        <v>295</v>
      </c>
      <c r="AX76" s="228">
        <v>316</v>
      </c>
      <c r="AY76" s="228">
        <v>-21</v>
      </c>
      <c r="AZ76" s="229">
        <v>-6.6400000000000001E-2</v>
      </c>
      <c r="BA76" s="228">
        <v>115</v>
      </c>
      <c r="BB76" s="228">
        <v>81</v>
      </c>
      <c r="BC76" s="228">
        <v>34</v>
      </c>
      <c r="BD76" s="229">
        <v>0.41649999999999998</v>
      </c>
      <c r="BE76" s="228">
        <v>17</v>
      </c>
      <c r="BF76" s="228">
        <v>9</v>
      </c>
      <c r="BG76" s="228">
        <v>7</v>
      </c>
      <c r="BH76" s="229">
        <v>0.77780000000000005</v>
      </c>
      <c r="BI76" s="230">
        <v>1473</v>
      </c>
      <c r="BJ76" s="230">
        <v>2059</v>
      </c>
      <c r="BK76" s="228">
        <v>-586</v>
      </c>
      <c r="BL76" s="229">
        <v>-0.28460000000000002</v>
      </c>
      <c r="BM76" s="230">
        <v>1027</v>
      </c>
      <c r="BN76" s="230">
        <v>1335</v>
      </c>
      <c r="BO76" s="228">
        <v>-308</v>
      </c>
      <c r="BP76" s="229">
        <v>-0.23050000000000001</v>
      </c>
      <c r="BQ76" s="230">
        <v>2927</v>
      </c>
      <c r="BR76" s="230">
        <v>3800</v>
      </c>
      <c r="BS76" s="228">
        <v>-874</v>
      </c>
      <c r="BT76" s="229">
        <v>-0.22989999999999999</v>
      </c>
      <c r="BU76" s="230">
        <v>938506</v>
      </c>
      <c r="BV76" s="230">
        <v>1136732</v>
      </c>
      <c r="BW76" s="230">
        <v>-198226</v>
      </c>
      <c r="BX76" s="229">
        <v>-0.1744</v>
      </c>
      <c r="BY76" s="230">
        <v>3283</v>
      </c>
      <c r="BZ76" s="230">
        <v>3280</v>
      </c>
      <c r="CA76" s="228">
        <v>4</v>
      </c>
      <c r="CB76" s="229">
        <v>1.1999999999999999E-3</v>
      </c>
      <c r="CC76" s="230">
        <v>2844</v>
      </c>
      <c r="CD76" s="230">
        <v>2907</v>
      </c>
      <c r="CE76" s="228">
        <v>-63</v>
      </c>
      <c r="CF76" s="229">
        <v>-2.1600000000000001E-2</v>
      </c>
      <c r="CG76" s="228">
        <v>340</v>
      </c>
      <c r="CH76" s="228">
        <v>277</v>
      </c>
      <c r="CI76" s="228">
        <v>63</v>
      </c>
      <c r="CJ76" s="229">
        <v>0.22620000000000001</v>
      </c>
      <c r="CK76" s="228">
        <v>99</v>
      </c>
      <c r="CL76" s="228">
        <v>96</v>
      </c>
      <c r="CM76" s="228">
        <v>4</v>
      </c>
      <c r="CN76" s="229">
        <v>4.0899999999999999E-2</v>
      </c>
      <c r="CO76" s="230">
        <v>1519</v>
      </c>
      <c r="CP76" s="230">
        <v>1522</v>
      </c>
      <c r="CQ76" s="228">
        <v>-4</v>
      </c>
      <c r="CR76" s="229">
        <v>-2.5000000000000001E-3</v>
      </c>
      <c r="CS76" s="230">
        <v>1417</v>
      </c>
      <c r="CT76" s="230">
        <v>1445</v>
      </c>
      <c r="CU76" s="228">
        <v>-28</v>
      </c>
      <c r="CV76" s="229">
        <v>-1.95E-2</v>
      </c>
      <c r="CW76" s="230">
        <v>6219</v>
      </c>
      <c r="CX76" s="230">
        <v>6247</v>
      </c>
      <c r="CY76" s="228">
        <v>-28</v>
      </c>
      <c r="CZ76" s="229">
        <v>-4.4999999999999997E-3</v>
      </c>
      <c r="DA76" s="228">
        <v>34.82</v>
      </c>
      <c r="DB76" s="228">
        <v>32.08</v>
      </c>
      <c r="DC76" s="228">
        <v>2.74</v>
      </c>
      <c r="DD76" s="228">
        <v>2.74</v>
      </c>
      <c r="DE76" s="228">
        <v>39.11</v>
      </c>
      <c r="DF76" s="228">
        <v>39.18</v>
      </c>
      <c r="DG76" s="228">
        <v>-4.29</v>
      </c>
      <c r="DH76" s="228">
        <v>-7.0000000000000007E-2</v>
      </c>
      <c r="DI76" s="228">
        <v>33.450000000000003</v>
      </c>
      <c r="DJ76" s="228">
        <v>30.13</v>
      </c>
      <c r="DK76" s="228">
        <v>3.32</v>
      </c>
      <c r="DL76" s="228">
        <v>3.32</v>
      </c>
      <c r="DM76" s="228">
        <v>36.78</v>
      </c>
      <c r="DN76" s="228">
        <v>35.07</v>
      </c>
      <c r="DO76" s="228">
        <v>1.71</v>
      </c>
      <c r="DP76" s="228">
        <v>1.71</v>
      </c>
      <c r="DQ76" s="228">
        <v>0.93</v>
      </c>
      <c r="DR76" s="228">
        <v>0.95</v>
      </c>
      <c r="DS76" s="228">
        <v>-0.02</v>
      </c>
      <c r="DT76" s="229">
        <v>-2.1100000000000001E-2</v>
      </c>
      <c r="DU76" s="231">
        <v>4400</v>
      </c>
      <c r="DV76" s="231">
        <v>3600</v>
      </c>
      <c r="DW76" s="228">
        <v>0.7</v>
      </c>
      <c r="DX76" s="228">
        <v>0.65</v>
      </c>
      <c r="DY76" s="228">
        <v>0.05</v>
      </c>
      <c r="DZ76" s="229">
        <v>7.6899999999999996E-2</v>
      </c>
      <c r="EA76" s="229">
        <v>0.13389999999999999</v>
      </c>
      <c r="EB76" s="230">
        <v>858750</v>
      </c>
      <c r="EC76" s="229">
        <v>6.3E-3</v>
      </c>
      <c r="ED76" s="229">
        <v>0.13389999999999999</v>
      </c>
      <c r="EE76" s="228">
        <v>26.67</v>
      </c>
      <c r="EF76" s="229">
        <v>6.1000000000000004E-3</v>
      </c>
      <c r="EG76" s="230">
        <v>442397</v>
      </c>
      <c r="EH76" s="230">
        <v>493403</v>
      </c>
      <c r="EI76" s="229">
        <v>-0.10340000000000001</v>
      </c>
      <c r="EJ76" s="229">
        <v>0.47139999999999999</v>
      </c>
      <c r="EK76" s="231">
        <v>1537.9</v>
      </c>
      <c r="EL76" s="231">
        <v>1008.95</v>
      </c>
      <c r="EM76" s="228">
        <v>429.66</v>
      </c>
      <c r="EN76" s="228">
        <v>99.63</v>
      </c>
      <c r="EO76" s="231">
        <v>2976.51</v>
      </c>
      <c r="EP76" s="231">
        <v>3859.23</v>
      </c>
      <c r="EQ76" s="228">
        <v>-882.72</v>
      </c>
      <c r="ER76" s="229">
        <v>-0.22869999999999999</v>
      </c>
      <c r="ES76" s="231">
        <v>1476.21</v>
      </c>
      <c r="ET76" s="231">
        <v>1291</v>
      </c>
      <c r="EU76" s="231">
        <v>3286.79</v>
      </c>
      <c r="EV76" s="231">
        <v>28450886</v>
      </c>
      <c r="EW76" s="231">
        <v>6054</v>
      </c>
      <c r="EX76" s="231">
        <v>6107.95</v>
      </c>
      <c r="EY76" s="228">
        <v>-53.95</v>
      </c>
      <c r="EZ76" s="229">
        <v>-8.8000000000000005E-3</v>
      </c>
      <c r="FA76" s="229">
        <v>0.50329999999999997</v>
      </c>
      <c r="FB76" s="227" t="s">
        <v>566</v>
      </c>
      <c r="FC76">
        <f t="shared" si="1"/>
        <v>439</v>
      </c>
    </row>
    <row r="77" spans="1:159" ht="17.25" thickBot="1" x14ac:dyDescent="0.3">
      <c r="A77" s="226">
        <v>46132</v>
      </c>
      <c r="B77" s="227" t="s">
        <v>184</v>
      </c>
      <c r="C77" s="227" t="s">
        <v>220</v>
      </c>
      <c r="D77" s="228">
        <v>500</v>
      </c>
      <c r="E77" s="228">
        <v>8</v>
      </c>
      <c r="F77" s="231">
        <v>1305.7</v>
      </c>
      <c r="G77" s="231">
        <v>1309.8</v>
      </c>
      <c r="H77" s="228">
        <v>-4.0999999999999996</v>
      </c>
      <c r="I77" s="229">
        <v>-3.0999999999999999E-3</v>
      </c>
      <c r="J77" s="231">
        <v>1302.0999999999999</v>
      </c>
      <c r="K77" s="231">
        <v>1306.4000000000001</v>
      </c>
      <c r="L77" s="228">
        <v>-4.3</v>
      </c>
      <c r="M77" s="229">
        <v>-3.3E-3</v>
      </c>
      <c r="N77" s="231">
        <v>1305.7</v>
      </c>
      <c r="O77" s="231">
        <v>1309.8</v>
      </c>
      <c r="P77" s="228">
        <v>-4.0999999999999996</v>
      </c>
      <c r="Q77" s="229">
        <v>-3.0999999999999999E-3</v>
      </c>
      <c r="R77" s="231">
        <v>1307.7</v>
      </c>
      <c r="S77" s="231">
        <v>1311.9</v>
      </c>
      <c r="T77" s="228">
        <v>-4.2</v>
      </c>
      <c r="U77" s="229">
        <v>-3.2000000000000002E-3</v>
      </c>
      <c r="V77" s="231">
        <v>1310.5999999999999</v>
      </c>
      <c r="W77" s="231">
        <v>1318.1</v>
      </c>
      <c r="X77" s="228">
        <v>-7.5</v>
      </c>
      <c r="Y77" s="229">
        <v>-5.7000000000000002E-3</v>
      </c>
      <c r="Z77" s="228">
        <v>3.6</v>
      </c>
      <c r="AA77" s="228">
        <v>3.4</v>
      </c>
      <c r="AB77" s="228">
        <v>0.2</v>
      </c>
      <c r="AC77" s="229">
        <v>2.8E-3</v>
      </c>
      <c r="AD77" s="228">
        <v>3.6</v>
      </c>
      <c r="AE77" s="228">
        <v>3.4</v>
      </c>
      <c r="AF77" s="228">
        <v>0.2</v>
      </c>
      <c r="AG77" s="229">
        <v>2.8E-3</v>
      </c>
      <c r="AH77" s="228">
        <v>5.6</v>
      </c>
      <c r="AI77" s="228">
        <v>5.5</v>
      </c>
      <c r="AJ77" s="228">
        <v>0.1</v>
      </c>
      <c r="AK77" s="229">
        <v>4.3E-3</v>
      </c>
      <c r="AL77" s="228">
        <v>8.5</v>
      </c>
      <c r="AM77" s="228">
        <v>11.7</v>
      </c>
      <c r="AN77" s="228">
        <v>-3.2</v>
      </c>
      <c r="AO77" s="229">
        <v>6.4999999999999997E-3</v>
      </c>
      <c r="AP77" s="231">
        <v>1310.72</v>
      </c>
      <c r="AQ77" s="231">
        <v>1313.27</v>
      </c>
      <c r="AR77" s="228">
        <v>0</v>
      </c>
      <c r="AS77" s="228">
        <v>160</v>
      </c>
      <c r="AT77" s="228">
        <v>209</v>
      </c>
      <c r="AU77" s="228">
        <v>-49</v>
      </c>
      <c r="AV77" s="229">
        <v>-0.2329</v>
      </c>
      <c r="AW77" s="228">
        <v>135</v>
      </c>
      <c r="AX77" s="228">
        <v>173</v>
      </c>
      <c r="AY77" s="228">
        <v>-38</v>
      </c>
      <c r="AZ77" s="229">
        <v>-0.21990000000000001</v>
      </c>
      <c r="BA77" s="228">
        <v>23</v>
      </c>
      <c r="BB77" s="228">
        <v>33</v>
      </c>
      <c r="BC77" s="228">
        <v>-10</v>
      </c>
      <c r="BD77" s="229">
        <v>-0.31680000000000003</v>
      </c>
      <c r="BE77" s="228">
        <v>2</v>
      </c>
      <c r="BF77" s="228">
        <v>3</v>
      </c>
      <c r="BG77" s="228">
        <v>0</v>
      </c>
      <c r="BH77" s="229">
        <v>-2.5600000000000001E-2</v>
      </c>
      <c r="BI77" s="228">
        <v>301</v>
      </c>
      <c r="BJ77" s="228">
        <v>586</v>
      </c>
      <c r="BK77" s="228">
        <v>-285</v>
      </c>
      <c r="BL77" s="229">
        <v>-0.4859</v>
      </c>
      <c r="BM77" s="228">
        <v>139</v>
      </c>
      <c r="BN77" s="228">
        <v>196</v>
      </c>
      <c r="BO77" s="228">
        <v>-56</v>
      </c>
      <c r="BP77" s="229">
        <v>-0.28810000000000002</v>
      </c>
      <c r="BQ77" s="228">
        <v>601</v>
      </c>
      <c r="BR77" s="228">
        <v>991</v>
      </c>
      <c r="BS77" s="228">
        <v>-390</v>
      </c>
      <c r="BT77" s="229">
        <v>-0.39360000000000001</v>
      </c>
      <c r="BU77" s="230">
        <v>655876</v>
      </c>
      <c r="BV77" s="230">
        <v>793275</v>
      </c>
      <c r="BW77" s="230">
        <v>-137399</v>
      </c>
      <c r="BX77" s="229">
        <v>-0.17319999999999999</v>
      </c>
      <c r="BY77" s="230">
        <v>1166</v>
      </c>
      <c r="BZ77" s="230">
        <v>1165</v>
      </c>
      <c r="CA77" s="228">
        <v>1</v>
      </c>
      <c r="CB77" s="229">
        <v>8.0000000000000004E-4</v>
      </c>
      <c r="CC77" s="230">
        <v>1087</v>
      </c>
      <c r="CD77" s="230">
        <v>1092</v>
      </c>
      <c r="CE77" s="228">
        <v>-4</v>
      </c>
      <c r="CF77" s="229">
        <v>-3.8E-3</v>
      </c>
      <c r="CG77" s="228">
        <v>73</v>
      </c>
      <c r="CH77" s="228">
        <v>68</v>
      </c>
      <c r="CI77" s="228">
        <v>5</v>
      </c>
      <c r="CJ77" s="229">
        <v>7.51E-2</v>
      </c>
      <c r="CK77" s="228">
        <v>6</v>
      </c>
      <c r="CL77" s="228">
        <v>6</v>
      </c>
      <c r="CM77" s="228">
        <v>0</v>
      </c>
      <c r="CN77" s="229">
        <v>0</v>
      </c>
      <c r="CO77" s="228">
        <v>429</v>
      </c>
      <c r="CP77" s="228">
        <v>415</v>
      </c>
      <c r="CQ77" s="228">
        <v>15</v>
      </c>
      <c r="CR77" s="229">
        <v>3.5299999999999998E-2</v>
      </c>
      <c r="CS77" s="228">
        <v>315</v>
      </c>
      <c r="CT77" s="228">
        <v>307</v>
      </c>
      <c r="CU77" s="228">
        <v>9</v>
      </c>
      <c r="CV77" s="229">
        <v>2.8500000000000001E-2</v>
      </c>
      <c r="CW77" s="230">
        <v>1911</v>
      </c>
      <c r="CX77" s="230">
        <v>1886</v>
      </c>
      <c r="CY77" s="228">
        <v>24</v>
      </c>
      <c r="CZ77" s="229">
        <v>1.29E-2</v>
      </c>
      <c r="DA77" s="228">
        <v>40.68</v>
      </c>
      <c r="DB77" s="228">
        <v>37.03</v>
      </c>
      <c r="DC77" s="228">
        <v>3.65</v>
      </c>
      <c r="DD77" s="228">
        <v>3.65</v>
      </c>
      <c r="DE77" s="228">
        <v>29.51</v>
      </c>
      <c r="DF77" s="228">
        <v>29.58</v>
      </c>
      <c r="DG77" s="228">
        <v>11.17</v>
      </c>
      <c r="DH77" s="228">
        <v>-7.0000000000000007E-2</v>
      </c>
      <c r="DI77" s="228">
        <v>40.299999999999997</v>
      </c>
      <c r="DJ77" s="228">
        <v>36.479999999999997</v>
      </c>
      <c r="DK77" s="228">
        <v>3.82</v>
      </c>
      <c r="DL77" s="228">
        <v>3.82</v>
      </c>
      <c r="DM77" s="228">
        <v>41.51</v>
      </c>
      <c r="DN77" s="228">
        <v>38.69</v>
      </c>
      <c r="DO77" s="228">
        <v>2.82</v>
      </c>
      <c r="DP77" s="228">
        <v>2.82</v>
      </c>
      <c r="DQ77" s="228">
        <v>0.73</v>
      </c>
      <c r="DR77" s="228">
        <v>0.74</v>
      </c>
      <c r="DS77" s="228">
        <v>-0.01</v>
      </c>
      <c r="DT77" s="229">
        <v>-1.35E-2</v>
      </c>
      <c r="DU77" s="231">
        <v>1300</v>
      </c>
      <c r="DV77" s="231">
        <v>1200</v>
      </c>
      <c r="DW77" s="228">
        <v>0.46</v>
      </c>
      <c r="DX77" s="228">
        <v>0.33</v>
      </c>
      <c r="DY77" s="228">
        <v>0.13</v>
      </c>
      <c r="DZ77" s="229">
        <v>0.39389999999999997</v>
      </c>
      <c r="EA77" s="229">
        <v>6.7299999999999999E-2</v>
      </c>
      <c r="EB77" s="230">
        <v>561500</v>
      </c>
      <c r="EC77" s="229">
        <v>1.5E-3</v>
      </c>
      <c r="ED77" s="229">
        <v>6.7299999999999999E-2</v>
      </c>
      <c r="EE77" s="228">
        <v>2.5499999999999998</v>
      </c>
      <c r="EF77" s="229">
        <v>1.9E-3</v>
      </c>
      <c r="EG77" s="230">
        <v>364561</v>
      </c>
      <c r="EH77" s="230">
        <v>391368</v>
      </c>
      <c r="EI77" s="229">
        <v>-6.8500000000000005E-2</v>
      </c>
      <c r="EJ77" s="229">
        <v>0.55579999999999996</v>
      </c>
      <c r="EK77" s="228">
        <v>316.3</v>
      </c>
      <c r="EL77" s="228">
        <v>137.11000000000001</v>
      </c>
      <c r="EM77" s="228">
        <v>160.69</v>
      </c>
      <c r="EN77" s="228">
        <v>48.14</v>
      </c>
      <c r="EO77" s="228">
        <v>614.09</v>
      </c>
      <c r="EP77" s="231">
        <v>1014.27</v>
      </c>
      <c r="EQ77" s="228">
        <v>-400.18</v>
      </c>
      <c r="ER77" s="229">
        <v>-0.39450000000000002</v>
      </c>
      <c r="ES77" s="228">
        <v>437.77</v>
      </c>
      <c r="ET77" s="228">
        <v>298.75</v>
      </c>
      <c r="EU77" s="231">
        <v>1165.99</v>
      </c>
      <c r="EV77" s="231">
        <v>29751886</v>
      </c>
      <c r="EW77" s="231">
        <v>1902.51</v>
      </c>
      <c r="EX77" s="231">
        <v>1880</v>
      </c>
      <c r="EY77" s="228">
        <v>22.51</v>
      </c>
      <c r="EZ77" s="229">
        <v>1.2E-2</v>
      </c>
      <c r="FA77" s="229">
        <v>0.49180000000000001</v>
      </c>
      <c r="FB77" s="227" t="s">
        <v>566</v>
      </c>
      <c r="FC77">
        <f t="shared" si="1"/>
        <v>79</v>
      </c>
    </row>
    <row r="78" spans="1:159" ht="17.25" thickBot="1" x14ac:dyDescent="0.3">
      <c r="A78" s="226">
        <v>46132</v>
      </c>
      <c r="B78" s="227" t="s">
        <v>221</v>
      </c>
      <c r="C78" s="227" t="s">
        <v>222</v>
      </c>
      <c r="D78" s="228">
        <v>350</v>
      </c>
      <c r="E78" s="228">
        <v>8</v>
      </c>
      <c r="F78" s="231">
        <v>1407.1</v>
      </c>
      <c r="G78" s="231">
        <v>1415.3</v>
      </c>
      <c r="H78" s="228">
        <v>-8.1999999999999993</v>
      </c>
      <c r="I78" s="229">
        <v>-5.7999999999999996E-3</v>
      </c>
      <c r="J78" s="231">
        <v>1428.3</v>
      </c>
      <c r="K78" s="231">
        <v>1442.3</v>
      </c>
      <c r="L78" s="228">
        <v>-14</v>
      </c>
      <c r="M78" s="229">
        <v>-9.7000000000000003E-3</v>
      </c>
      <c r="N78" s="231">
        <v>1407.1</v>
      </c>
      <c r="O78" s="231">
        <v>1415.3</v>
      </c>
      <c r="P78" s="228">
        <v>-8.1999999999999993</v>
      </c>
      <c r="Q78" s="229">
        <v>-5.7999999999999996E-3</v>
      </c>
      <c r="R78" s="231">
        <v>1394.9</v>
      </c>
      <c r="S78" s="231">
        <v>1402.4</v>
      </c>
      <c r="T78" s="228">
        <v>-7.5</v>
      </c>
      <c r="U78" s="229">
        <v>-5.3E-3</v>
      </c>
      <c r="V78" s="231">
        <v>1391.8</v>
      </c>
      <c r="W78" s="231">
        <v>1398.2</v>
      </c>
      <c r="X78" s="228">
        <v>-6.4</v>
      </c>
      <c r="Y78" s="229">
        <v>-4.5999999999999999E-3</v>
      </c>
      <c r="Z78" s="228">
        <v>-21.2</v>
      </c>
      <c r="AA78" s="228">
        <v>-27</v>
      </c>
      <c r="AB78" s="228">
        <v>5.8</v>
      </c>
      <c r="AC78" s="229">
        <v>-1.4800000000000001E-2</v>
      </c>
      <c r="AD78" s="228">
        <v>-21.2</v>
      </c>
      <c r="AE78" s="228">
        <v>-27</v>
      </c>
      <c r="AF78" s="228">
        <v>5.8</v>
      </c>
      <c r="AG78" s="229">
        <v>-1.4800000000000001E-2</v>
      </c>
      <c r="AH78" s="228">
        <v>-33.4</v>
      </c>
      <c r="AI78" s="228">
        <v>-39.9</v>
      </c>
      <c r="AJ78" s="228">
        <v>6.5</v>
      </c>
      <c r="AK78" s="229">
        <v>-2.3400000000000001E-2</v>
      </c>
      <c r="AL78" s="228">
        <v>-36.5</v>
      </c>
      <c r="AM78" s="228">
        <v>-44.1</v>
      </c>
      <c r="AN78" s="228">
        <v>7.6</v>
      </c>
      <c r="AO78" s="229">
        <v>-2.5600000000000001E-2</v>
      </c>
      <c r="AP78" s="231">
        <v>1410.01</v>
      </c>
      <c r="AQ78" s="231">
        <v>1397.46</v>
      </c>
      <c r="AR78" s="228">
        <v>0</v>
      </c>
      <c r="AS78" s="228">
        <v>979</v>
      </c>
      <c r="AT78" s="228">
        <v>993</v>
      </c>
      <c r="AU78" s="228">
        <v>-14</v>
      </c>
      <c r="AV78" s="229">
        <v>-1.4E-2</v>
      </c>
      <c r="AW78" s="228">
        <v>729</v>
      </c>
      <c r="AX78" s="228">
        <v>779</v>
      </c>
      <c r="AY78" s="228">
        <v>-50</v>
      </c>
      <c r="AZ78" s="229">
        <v>-6.3700000000000007E-2</v>
      </c>
      <c r="BA78" s="228">
        <v>243</v>
      </c>
      <c r="BB78" s="228">
        <v>210</v>
      </c>
      <c r="BC78" s="228">
        <v>33</v>
      </c>
      <c r="BD78" s="229">
        <v>0.15509999999999999</v>
      </c>
      <c r="BE78" s="228">
        <v>7</v>
      </c>
      <c r="BF78" s="228">
        <v>4</v>
      </c>
      <c r="BG78" s="228">
        <v>3</v>
      </c>
      <c r="BH78" s="229">
        <v>0.74119999999999997</v>
      </c>
      <c r="BI78" s="230">
        <v>1253</v>
      </c>
      <c r="BJ78" s="230">
        <v>1446</v>
      </c>
      <c r="BK78" s="228">
        <v>-193</v>
      </c>
      <c r="BL78" s="229">
        <v>-0.13370000000000001</v>
      </c>
      <c r="BM78" s="228">
        <v>687</v>
      </c>
      <c r="BN78" s="228">
        <v>810</v>
      </c>
      <c r="BO78" s="228">
        <v>-123</v>
      </c>
      <c r="BP78" s="229">
        <v>-0.15160000000000001</v>
      </c>
      <c r="BQ78" s="230">
        <v>2919</v>
      </c>
      <c r="BR78" s="230">
        <v>3249</v>
      </c>
      <c r="BS78" s="228">
        <v>-330</v>
      </c>
      <c r="BT78" s="229">
        <v>-0.1016</v>
      </c>
      <c r="BU78" s="230">
        <v>2421112</v>
      </c>
      <c r="BV78" s="230">
        <v>3608781</v>
      </c>
      <c r="BW78" s="230">
        <v>-1187669</v>
      </c>
      <c r="BX78" s="229">
        <v>-0.3291</v>
      </c>
      <c r="BY78" s="230">
        <v>6251</v>
      </c>
      <c r="BZ78" s="230">
        <v>6032</v>
      </c>
      <c r="CA78" s="228">
        <v>219</v>
      </c>
      <c r="CB78" s="229">
        <v>3.6299999999999999E-2</v>
      </c>
      <c r="CC78" s="230">
        <v>5235</v>
      </c>
      <c r="CD78" s="230">
        <v>5165</v>
      </c>
      <c r="CE78" s="228">
        <v>70</v>
      </c>
      <c r="CF78" s="229">
        <v>1.35E-2</v>
      </c>
      <c r="CG78" s="228">
        <v>982</v>
      </c>
      <c r="CH78" s="228">
        <v>835</v>
      </c>
      <c r="CI78" s="228">
        <v>146</v>
      </c>
      <c r="CJ78" s="229">
        <v>0.1749</v>
      </c>
      <c r="CK78" s="228">
        <v>34</v>
      </c>
      <c r="CL78" s="228">
        <v>31</v>
      </c>
      <c r="CM78" s="228">
        <v>3</v>
      </c>
      <c r="CN78" s="229">
        <v>9.2499999999999999E-2</v>
      </c>
      <c r="CO78" s="230">
        <v>1069</v>
      </c>
      <c r="CP78" s="230">
        <v>1002</v>
      </c>
      <c r="CQ78" s="228">
        <v>67</v>
      </c>
      <c r="CR78" s="229">
        <v>6.6600000000000006E-2</v>
      </c>
      <c r="CS78" s="228">
        <v>897</v>
      </c>
      <c r="CT78" s="228">
        <v>834</v>
      </c>
      <c r="CU78" s="228">
        <v>64</v>
      </c>
      <c r="CV78" s="229">
        <v>7.6499999999999999E-2</v>
      </c>
      <c r="CW78" s="230">
        <v>8217</v>
      </c>
      <c r="CX78" s="230">
        <v>7868</v>
      </c>
      <c r="CY78" s="228">
        <v>349</v>
      </c>
      <c r="CZ78" s="229">
        <v>4.4400000000000002E-2</v>
      </c>
      <c r="DA78" s="228">
        <v>41.04</v>
      </c>
      <c r="DB78" s="228">
        <v>35.65</v>
      </c>
      <c r="DC78" s="228">
        <v>5.39</v>
      </c>
      <c r="DD78" s="228">
        <v>5.39</v>
      </c>
      <c r="DE78" s="228">
        <v>29.29</v>
      </c>
      <c r="DF78" s="228">
        <v>29.34</v>
      </c>
      <c r="DG78" s="228">
        <v>11.75</v>
      </c>
      <c r="DH78" s="228">
        <v>-0.05</v>
      </c>
      <c r="DI78" s="228">
        <v>40.83</v>
      </c>
      <c r="DJ78" s="228">
        <v>35.47</v>
      </c>
      <c r="DK78" s="228">
        <v>5.36</v>
      </c>
      <c r="DL78" s="228">
        <v>5.36</v>
      </c>
      <c r="DM78" s="228">
        <v>41.41</v>
      </c>
      <c r="DN78" s="228">
        <v>35.979999999999997</v>
      </c>
      <c r="DO78" s="228">
        <v>5.43</v>
      </c>
      <c r="DP78" s="228">
        <v>5.43</v>
      </c>
      <c r="DQ78" s="228">
        <v>0.84</v>
      </c>
      <c r="DR78" s="228">
        <v>0.83</v>
      </c>
      <c r="DS78" s="228">
        <v>0.01</v>
      </c>
      <c r="DT78" s="229">
        <v>1.2E-2</v>
      </c>
      <c r="DU78" s="231">
        <v>1440</v>
      </c>
      <c r="DV78" s="231">
        <v>1400</v>
      </c>
      <c r="DW78" s="228">
        <v>0.55000000000000004</v>
      </c>
      <c r="DX78" s="228">
        <v>0.56000000000000005</v>
      </c>
      <c r="DY78" s="228">
        <v>-0.01</v>
      </c>
      <c r="DZ78" s="229">
        <v>-1.7899999999999999E-2</v>
      </c>
      <c r="EA78" s="229">
        <v>0.16250000000000001</v>
      </c>
      <c r="EB78" s="230">
        <v>6160700</v>
      </c>
      <c r="EC78" s="229">
        <v>-8.6999999999999994E-3</v>
      </c>
      <c r="ED78" s="229">
        <v>0.16250000000000001</v>
      </c>
      <c r="EE78" s="228">
        <v>-12.55</v>
      </c>
      <c r="EF78" s="229">
        <v>-8.8999999999999999E-3</v>
      </c>
      <c r="EG78" s="230">
        <v>1276485</v>
      </c>
      <c r="EH78" s="230">
        <v>2104908</v>
      </c>
      <c r="EI78" s="229">
        <v>-0.39360000000000001</v>
      </c>
      <c r="EJ78" s="229">
        <v>0.5272</v>
      </c>
      <c r="EK78" s="231">
        <v>1322.56</v>
      </c>
      <c r="EL78" s="228">
        <v>693.72</v>
      </c>
      <c r="EM78" s="228">
        <v>978.94</v>
      </c>
      <c r="EN78" s="228">
        <v>213.12</v>
      </c>
      <c r="EO78" s="231">
        <v>2995.22</v>
      </c>
      <c r="EP78" s="231">
        <v>3336.23</v>
      </c>
      <c r="EQ78" s="228">
        <v>-341.01</v>
      </c>
      <c r="ER78" s="229">
        <v>-0.1022</v>
      </c>
      <c r="ES78" s="231">
        <v>1112.1400000000001</v>
      </c>
      <c r="ET78" s="228">
        <v>870.11</v>
      </c>
      <c r="EU78" s="231">
        <v>6241.83</v>
      </c>
      <c r="EV78" s="231">
        <v>145140505</v>
      </c>
      <c r="EW78" s="231">
        <v>8224.09</v>
      </c>
      <c r="EX78" s="231">
        <v>7907.68</v>
      </c>
      <c r="EY78" s="228">
        <v>316.41000000000003</v>
      </c>
      <c r="EZ78" s="229">
        <v>0.04</v>
      </c>
      <c r="FA78" s="229">
        <v>0.40239999999999998</v>
      </c>
      <c r="FB78" s="227" t="s">
        <v>566</v>
      </c>
      <c r="FC78">
        <f t="shared" si="1"/>
        <v>1016</v>
      </c>
    </row>
    <row r="79" spans="1:159" ht="17.25" thickBot="1" x14ac:dyDescent="0.3">
      <c r="A79" s="226">
        <v>46132</v>
      </c>
      <c r="B79" s="227" t="s">
        <v>175</v>
      </c>
      <c r="C79" s="227" t="s">
        <v>475</v>
      </c>
      <c r="D79" s="228">
        <v>300</v>
      </c>
      <c r="E79" s="228">
        <v>8</v>
      </c>
      <c r="F79" s="231">
        <v>2763.8</v>
      </c>
      <c r="G79" s="231">
        <v>2791.6</v>
      </c>
      <c r="H79" s="228">
        <v>-27.8</v>
      </c>
      <c r="I79" s="229">
        <v>-0.01</v>
      </c>
      <c r="J79" s="231">
        <v>2768.2</v>
      </c>
      <c r="K79" s="231">
        <v>2792.4</v>
      </c>
      <c r="L79" s="228">
        <v>-24.2</v>
      </c>
      <c r="M79" s="229">
        <v>-8.6999999999999994E-3</v>
      </c>
      <c r="N79" s="231">
        <v>2763.8</v>
      </c>
      <c r="O79" s="231">
        <v>2791.6</v>
      </c>
      <c r="P79" s="228">
        <v>-27.8</v>
      </c>
      <c r="Q79" s="229">
        <v>-0.01</v>
      </c>
      <c r="R79" s="231">
        <v>2775.8</v>
      </c>
      <c r="S79" s="231">
        <v>2803.1</v>
      </c>
      <c r="T79" s="228">
        <v>-27.3</v>
      </c>
      <c r="U79" s="229">
        <v>-9.7000000000000003E-3</v>
      </c>
      <c r="V79" s="231">
        <v>2780.7</v>
      </c>
      <c r="W79" s="231">
        <v>2810.8</v>
      </c>
      <c r="X79" s="228">
        <v>-30.1</v>
      </c>
      <c r="Y79" s="229">
        <v>-1.0699999999999999E-2</v>
      </c>
      <c r="Z79" s="228">
        <v>-4.4000000000000004</v>
      </c>
      <c r="AA79" s="228">
        <v>-0.8</v>
      </c>
      <c r="AB79" s="228">
        <v>-3.6</v>
      </c>
      <c r="AC79" s="229">
        <v>-1.6000000000000001E-3</v>
      </c>
      <c r="AD79" s="228">
        <v>-4.4000000000000004</v>
      </c>
      <c r="AE79" s="228">
        <v>-0.8</v>
      </c>
      <c r="AF79" s="228">
        <v>-3.6</v>
      </c>
      <c r="AG79" s="229">
        <v>-1.6000000000000001E-3</v>
      </c>
      <c r="AH79" s="228">
        <v>7.6</v>
      </c>
      <c r="AI79" s="228">
        <v>10.7</v>
      </c>
      <c r="AJ79" s="228">
        <v>-3.1</v>
      </c>
      <c r="AK79" s="229">
        <v>2.7000000000000001E-3</v>
      </c>
      <c r="AL79" s="228">
        <v>12.5</v>
      </c>
      <c r="AM79" s="228">
        <v>18.399999999999999</v>
      </c>
      <c r="AN79" s="228">
        <v>-5.9</v>
      </c>
      <c r="AO79" s="229">
        <v>4.4999999999999997E-3</v>
      </c>
      <c r="AP79" s="231">
        <v>2768.85</v>
      </c>
      <c r="AQ79" s="231">
        <v>2780.28</v>
      </c>
      <c r="AR79" s="228">
        <v>0</v>
      </c>
      <c r="AS79" s="228">
        <v>296</v>
      </c>
      <c r="AT79" s="228">
        <v>667</v>
      </c>
      <c r="AU79" s="228">
        <v>-371</v>
      </c>
      <c r="AV79" s="229">
        <v>-0.55640000000000001</v>
      </c>
      <c r="AW79" s="228">
        <v>264</v>
      </c>
      <c r="AX79" s="228">
        <v>608</v>
      </c>
      <c r="AY79" s="228">
        <v>-344</v>
      </c>
      <c r="AZ79" s="229">
        <v>-0.56620000000000004</v>
      </c>
      <c r="BA79" s="228">
        <v>31</v>
      </c>
      <c r="BB79" s="228">
        <v>54</v>
      </c>
      <c r="BC79" s="228">
        <v>-22</v>
      </c>
      <c r="BD79" s="229">
        <v>-0.4158</v>
      </c>
      <c r="BE79" s="228">
        <v>1</v>
      </c>
      <c r="BF79" s="228">
        <v>6</v>
      </c>
      <c r="BG79" s="228">
        <v>-5</v>
      </c>
      <c r="BH79" s="229">
        <v>-0.8286</v>
      </c>
      <c r="BI79" s="228">
        <v>879</v>
      </c>
      <c r="BJ79" s="230">
        <v>5694</v>
      </c>
      <c r="BK79" s="230">
        <v>-4815</v>
      </c>
      <c r="BL79" s="229">
        <v>-0.84570000000000001</v>
      </c>
      <c r="BM79" s="228">
        <v>705</v>
      </c>
      <c r="BN79" s="230">
        <v>2519</v>
      </c>
      <c r="BO79" s="230">
        <v>-1814</v>
      </c>
      <c r="BP79" s="229">
        <v>-0.72030000000000005</v>
      </c>
      <c r="BQ79" s="230">
        <v>1879</v>
      </c>
      <c r="BR79" s="230">
        <v>8880</v>
      </c>
      <c r="BS79" s="230">
        <v>-7001</v>
      </c>
      <c r="BT79" s="229">
        <v>-0.78839999999999999</v>
      </c>
      <c r="BU79" s="230">
        <v>1078886</v>
      </c>
      <c r="BV79" s="230">
        <v>2369564</v>
      </c>
      <c r="BW79" s="230">
        <v>-1290678</v>
      </c>
      <c r="BX79" s="229">
        <v>-0.54469999999999996</v>
      </c>
      <c r="BY79" s="230">
        <v>1510</v>
      </c>
      <c r="BZ79" s="230">
        <v>1583</v>
      </c>
      <c r="CA79" s="228">
        <v>-73</v>
      </c>
      <c r="CB79" s="229">
        <v>-4.6399999999999997E-2</v>
      </c>
      <c r="CC79" s="230">
        <v>1431</v>
      </c>
      <c r="CD79" s="230">
        <v>1510</v>
      </c>
      <c r="CE79" s="228">
        <v>-79</v>
      </c>
      <c r="CF79" s="229">
        <v>-5.2400000000000002E-2</v>
      </c>
      <c r="CG79" s="228">
        <v>61</v>
      </c>
      <c r="CH79" s="228">
        <v>56</v>
      </c>
      <c r="CI79" s="228">
        <v>5</v>
      </c>
      <c r="CJ79" s="229">
        <v>9.4E-2</v>
      </c>
      <c r="CK79" s="228">
        <v>17</v>
      </c>
      <c r="CL79" s="228">
        <v>17</v>
      </c>
      <c r="CM79" s="228">
        <v>0</v>
      </c>
      <c r="CN79" s="229">
        <v>2.4400000000000002E-2</v>
      </c>
      <c r="CO79" s="228">
        <v>643</v>
      </c>
      <c r="CP79" s="228">
        <v>700</v>
      </c>
      <c r="CQ79" s="228">
        <v>-58</v>
      </c>
      <c r="CR79" s="229">
        <v>-8.2100000000000006E-2</v>
      </c>
      <c r="CS79" s="228">
        <v>619</v>
      </c>
      <c r="CT79" s="228">
        <v>679</v>
      </c>
      <c r="CU79" s="228">
        <v>-60</v>
      </c>
      <c r="CV79" s="229">
        <v>-8.8599999999999998E-2</v>
      </c>
      <c r="CW79" s="230">
        <v>2771</v>
      </c>
      <c r="CX79" s="230">
        <v>2962</v>
      </c>
      <c r="CY79" s="228">
        <v>-191</v>
      </c>
      <c r="CZ79" s="229">
        <v>-6.4500000000000002E-2</v>
      </c>
      <c r="DA79" s="228">
        <v>36.33</v>
      </c>
      <c r="DB79" s="228">
        <v>33.130000000000003</v>
      </c>
      <c r="DC79" s="228">
        <v>3.2</v>
      </c>
      <c r="DD79" s="228">
        <v>3.2</v>
      </c>
      <c r="DE79" s="228">
        <v>39.340000000000003</v>
      </c>
      <c r="DF79" s="228">
        <v>39.42</v>
      </c>
      <c r="DG79" s="228">
        <v>-3.01</v>
      </c>
      <c r="DH79" s="228">
        <v>-0.08</v>
      </c>
      <c r="DI79" s="228">
        <v>33.549999999999997</v>
      </c>
      <c r="DJ79" s="228">
        <v>31.17</v>
      </c>
      <c r="DK79" s="228">
        <v>2.38</v>
      </c>
      <c r="DL79" s="228">
        <v>2.38</v>
      </c>
      <c r="DM79" s="228">
        <v>39.799999999999997</v>
      </c>
      <c r="DN79" s="228">
        <v>37.58</v>
      </c>
      <c r="DO79" s="228">
        <v>2.2200000000000002</v>
      </c>
      <c r="DP79" s="228">
        <v>2.2200000000000002</v>
      </c>
      <c r="DQ79" s="228">
        <v>0.96</v>
      </c>
      <c r="DR79" s="228">
        <v>0.97</v>
      </c>
      <c r="DS79" s="228">
        <v>-0.01</v>
      </c>
      <c r="DT79" s="229">
        <v>-1.03E-2</v>
      </c>
      <c r="DU79" s="231">
        <v>2800</v>
      </c>
      <c r="DV79" s="231">
        <v>2700</v>
      </c>
      <c r="DW79" s="228">
        <v>0.8</v>
      </c>
      <c r="DX79" s="228">
        <v>0.44</v>
      </c>
      <c r="DY79" s="228">
        <v>0.36</v>
      </c>
      <c r="DZ79" s="229">
        <v>0.81820000000000004</v>
      </c>
      <c r="EA79" s="229">
        <v>5.1799999999999999E-2</v>
      </c>
      <c r="EB79" s="230">
        <v>262500</v>
      </c>
      <c r="EC79" s="229">
        <v>4.3E-3</v>
      </c>
      <c r="ED79" s="229">
        <v>5.1799999999999999E-2</v>
      </c>
      <c r="EE79" s="228">
        <v>11.43</v>
      </c>
      <c r="EF79" s="229">
        <v>4.1000000000000003E-3</v>
      </c>
      <c r="EG79" s="230">
        <v>697583</v>
      </c>
      <c r="EH79" s="230">
        <v>1170540</v>
      </c>
      <c r="EI79" s="229">
        <v>-0.40410000000000001</v>
      </c>
      <c r="EJ79" s="229">
        <v>0.64659999999999995</v>
      </c>
      <c r="EK79" s="228">
        <v>914.87</v>
      </c>
      <c r="EL79" s="228">
        <v>689.77</v>
      </c>
      <c r="EM79" s="228">
        <v>296.68</v>
      </c>
      <c r="EN79" s="228">
        <v>81.400000000000006</v>
      </c>
      <c r="EO79" s="231">
        <v>1901.32</v>
      </c>
      <c r="EP79" s="231">
        <v>8998.1299999999992</v>
      </c>
      <c r="EQ79" s="231">
        <v>-7096.81</v>
      </c>
      <c r="ER79" s="229">
        <v>-0.78869999999999996</v>
      </c>
      <c r="ES79" s="228">
        <v>642.99</v>
      </c>
      <c r="ET79" s="228">
        <v>570.04999999999995</v>
      </c>
      <c r="EU79" s="231">
        <v>1509.9</v>
      </c>
      <c r="EV79" s="231">
        <v>30592324</v>
      </c>
      <c r="EW79" s="231">
        <v>2722.94</v>
      </c>
      <c r="EX79" s="231">
        <v>2929.02</v>
      </c>
      <c r="EY79" s="228">
        <v>-206.08</v>
      </c>
      <c r="EZ79" s="229">
        <v>-7.0400000000000004E-2</v>
      </c>
      <c r="FA79" s="229">
        <v>0.32769999999999999</v>
      </c>
      <c r="FB79" s="227" t="s">
        <v>567</v>
      </c>
      <c r="FC79">
        <f t="shared" si="1"/>
        <v>79</v>
      </c>
    </row>
    <row r="80" spans="1:159" ht="17.25" thickBot="1" x14ac:dyDescent="0.3">
      <c r="A80" s="226">
        <v>46132</v>
      </c>
      <c r="B80" s="227" t="s">
        <v>172</v>
      </c>
      <c r="C80" s="227" t="s">
        <v>224</v>
      </c>
      <c r="D80" s="228">
        <v>550</v>
      </c>
      <c r="E80" s="228">
        <v>8</v>
      </c>
      <c r="F80" s="228">
        <v>794.9</v>
      </c>
      <c r="G80" s="228">
        <v>801.6</v>
      </c>
      <c r="H80" s="228">
        <v>-6.7</v>
      </c>
      <c r="I80" s="229">
        <v>-8.3999999999999995E-3</v>
      </c>
      <c r="J80" s="228">
        <v>795.45</v>
      </c>
      <c r="K80" s="228">
        <v>799.9</v>
      </c>
      <c r="L80" s="228">
        <v>-4.45</v>
      </c>
      <c r="M80" s="229">
        <v>-5.5999999999999999E-3</v>
      </c>
      <c r="N80" s="228">
        <v>794.9</v>
      </c>
      <c r="O80" s="228">
        <v>801.6</v>
      </c>
      <c r="P80" s="228">
        <v>-6.7</v>
      </c>
      <c r="Q80" s="229">
        <v>-8.3999999999999995E-3</v>
      </c>
      <c r="R80" s="228">
        <v>799.7</v>
      </c>
      <c r="S80" s="228">
        <v>803.2</v>
      </c>
      <c r="T80" s="228">
        <v>-3.5</v>
      </c>
      <c r="U80" s="229">
        <v>-4.4000000000000003E-3</v>
      </c>
      <c r="V80" s="228">
        <v>791.25</v>
      </c>
      <c r="W80" s="228">
        <v>799.05</v>
      </c>
      <c r="X80" s="228">
        <v>-7.8</v>
      </c>
      <c r="Y80" s="229">
        <v>-9.7999999999999997E-3</v>
      </c>
      <c r="Z80" s="228">
        <v>-0.55000000000000004</v>
      </c>
      <c r="AA80" s="228">
        <v>1.7</v>
      </c>
      <c r="AB80" s="228">
        <v>-2.25</v>
      </c>
      <c r="AC80" s="229">
        <v>-6.9999999999999999E-4</v>
      </c>
      <c r="AD80" s="228">
        <v>-0.55000000000000004</v>
      </c>
      <c r="AE80" s="228">
        <v>1.7</v>
      </c>
      <c r="AF80" s="228">
        <v>-2.25</v>
      </c>
      <c r="AG80" s="229">
        <v>-6.9999999999999999E-4</v>
      </c>
      <c r="AH80" s="228">
        <v>4.25</v>
      </c>
      <c r="AI80" s="228">
        <v>3.3</v>
      </c>
      <c r="AJ80" s="228">
        <v>0.95</v>
      </c>
      <c r="AK80" s="229">
        <v>5.3E-3</v>
      </c>
      <c r="AL80" s="228">
        <v>-4.2</v>
      </c>
      <c r="AM80" s="228">
        <v>-0.85</v>
      </c>
      <c r="AN80" s="228">
        <v>-3.35</v>
      </c>
      <c r="AO80" s="229">
        <v>-5.3E-3</v>
      </c>
      <c r="AP80" s="228">
        <v>796.63</v>
      </c>
      <c r="AQ80" s="228">
        <v>801.08</v>
      </c>
      <c r="AR80" s="228">
        <v>0</v>
      </c>
      <c r="AS80" s="230">
        <v>5400</v>
      </c>
      <c r="AT80" s="230">
        <v>2632</v>
      </c>
      <c r="AU80" s="230">
        <v>2768</v>
      </c>
      <c r="AV80" s="229">
        <v>1.0517000000000001</v>
      </c>
      <c r="AW80" s="230">
        <v>3705</v>
      </c>
      <c r="AX80" s="230">
        <v>2095</v>
      </c>
      <c r="AY80" s="230">
        <v>1610</v>
      </c>
      <c r="AZ80" s="229">
        <v>0.76829999999999998</v>
      </c>
      <c r="BA80" s="228">
        <v>745</v>
      </c>
      <c r="BB80" s="228">
        <v>438</v>
      </c>
      <c r="BC80" s="228">
        <v>307</v>
      </c>
      <c r="BD80" s="229">
        <v>0.70120000000000005</v>
      </c>
      <c r="BE80" s="228">
        <v>950</v>
      </c>
      <c r="BF80" s="228">
        <v>99</v>
      </c>
      <c r="BG80" s="228">
        <v>851</v>
      </c>
      <c r="BH80" s="229">
        <v>8.6318999999999999</v>
      </c>
      <c r="BI80" s="230">
        <v>18460</v>
      </c>
      <c r="BJ80" s="230">
        <v>8411</v>
      </c>
      <c r="BK80" s="230">
        <v>10049</v>
      </c>
      <c r="BL80" s="229">
        <v>1.1948000000000001</v>
      </c>
      <c r="BM80" s="230">
        <v>8580</v>
      </c>
      <c r="BN80" s="230">
        <v>4606</v>
      </c>
      <c r="BO80" s="230">
        <v>3974</v>
      </c>
      <c r="BP80" s="229">
        <v>0.86280000000000001</v>
      </c>
      <c r="BQ80" s="230">
        <v>32439</v>
      </c>
      <c r="BR80" s="230">
        <v>15648</v>
      </c>
      <c r="BS80" s="230">
        <v>16791</v>
      </c>
      <c r="BT80" s="229">
        <v>1.073</v>
      </c>
      <c r="BU80" s="230">
        <v>54063314</v>
      </c>
      <c r="BV80" s="230">
        <v>38872616</v>
      </c>
      <c r="BW80" s="230">
        <v>15190698</v>
      </c>
      <c r="BX80" s="229">
        <v>0.39079999999999998</v>
      </c>
      <c r="BY80" s="230">
        <v>26081</v>
      </c>
      <c r="BZ80" s="230">
        <v>26275</v>
      </c>
      <c r="CA80" s="228">
        <v>-193</v>
      </c>
      <c r="CB80" s="229">
        <v>-7.4000000000000003E-3</v>
      </c>
      <c r="CC80" s="230">
        <v>21406</v>
      </c>
      <c r="CD80" s="230">
        <v>22894</v>
      </c>
      <c r="CE80" s="230">
        <v>-1488</v>
      </c>
      <c r="CF80" s="229">
        <v>-6.5000000000000002E-2</v>
      </c>
      <c r="CG80" s="230">
        <v>2323</v>
      </c>
      <c r="CH80" s="230">
        <v>1931</v>
      </c>
      <c r="CI80" s="228">
        <v>391</v>
      </c>
      <c r="CJ80" s="229">
        <v>0.2026</v>
      </c>
      <c r="CK80" s="230">
        <v>2353</v>
      </c>
      <c r="CL80" s="230">
        <v>1450</v>
      </c>
      <c r="CM80" s="228">
        <v>903</v>
      </c>
      <c r="CN80" s="229">
        <v>0.62329999999999997</v>
      </c>
      <c r="CO80" s="230">
        <v>8329</v>
      </c>
      <c r="CP80" s="230">
        <v>7789</v>
      </c>
      <c r="CQ80" s="228">
        <v>540</v>
      </c>
      <c r="CR80" s="229">
        <v>6.9400000000000003E-2</v>
      </c>
      <c r="CS80" s="230">
        <v>4414</v>
      </c>
      <c r="CT80" s="230">
        <v>4422</v>
      </c>
      <c r="CU80" s="228">
        <v>-9</v>
      </c>
      <c r="CV80" s="229">
        <v>-2E-3</v>
      </c>
      <c r="CW80" s="230">
        <v>38824</v>
      </c>
      <c r="CX80" s="230">
        <v>38486</v>
      </c>
      <c r="CY80" s="228">
        <v>338</v>
      </c>
      <c r="CZ80" s="229">
        <v>8.8000000000000005E-3</v>
      </c>
      <c r="DA80" s="228">
        <v>30.48</v>
      </c>
      <c r="DB80" s="228">
        <v>34.020000000000003</v>
      </c>
      <c r="DC80" s="228">
        <v>-3.54</v>
      </c>
      <c r="DD80" s="228">
        <v>-3.54</v>
      </c>
      <c r="DE80" s="228">
        <v>25.3</v>
      </c>
      <c r="DF80" s="228">
        <v>25.35</v>
      </c>
      <c r="DG80" s="228">
        <v>5.18</v>
      </c>
      <c r="DH80" s="228">
        <v>-0.05</v>
      </c>
      <c r="DI80" s="228">
        <v>30.6</v>
      </c>
      <c r="DJ80" s="228">
        <v>34.22</v>
      </c>
      <c r="DK80" s="228">
        <v>-3.62</v>
      </c>
      <c r="DL80" s="228">
        <v>-3.62</v>
      </c>
      <c r="DM80" s="228">
        <v>30.22</v>
      </c>
      <c r="DN80" s="228">
        <v>33.64</v>
      </c>
      <c r="DO80" s="228">
        <v>-3.42</v>
      </c>
      <c r="DP80" s="228">
        <v>-3.42</v>
      </c>
      <c r="DQ80" s="228">
        <v>0.53</v>
      </c>
      <c r="DR80" s="228">
        <v>0.56999999999999995</v>
      </c>
      <c r="DS80" s="228">
        <v>-0.04</v>
      </c>
      <c r="DT80" s="229">
        <v>-7.0199999999999999E-2</v>
      </c>
      <c r="DU80" s="228">
        <v>800</v>
      </c>
      <c r="DV80" s="228">
        <v>800</v>
      </c>
      <c r="DW80" s="228">
        <v>0.46</v>
      </c>
      <c r="DX80" s="228">
        <v>0.55000000000000004</v>
      </c>
      <c r="DY80" s="228">
        <v>-0.09</v>
      </c>
      <c r="DZ80" s="229">
        <v>-0.1636</v>
      </c>
      <c r="EA80" s="229">
        <v>0.17929999999999999</v>
      </c>
      <c r="EB80" s="230">
        <v>42530950</v>
      </c>
      <c r="EC80" s="229">
        <v>6.0000000000000001E-3</v>
      </c>
      <c r="ED80" s="229">
        <v>0.17929999999999999</v>
      </c>
      <c r="EE80" s="228">
        <v>4.45</v>
      </c>
      <c r="EF80" s="229">
        <v>5.5999999999999999E-3</v>
      </c>
      <c r="EG80" s="230">
        <v>28509334</v>
      </c>
      <c r="EH80" s="230">
        <v>24425141</v>
      </c>
      <c r="EI80" s="229">
        <v>0.16719999999999999</v>
      </c>
      <c r="EJ80" s="229">
        <v>0.52729999999999999</v>
      </c>
      <c r="EK80" s="231">
        <v>19368.509999999998</v>
      </c>
      <c r="EL80" s="231">
        <v>8472.2800000000007</v>
      </c>
      <c r="EM80" s="231">
        <v>5411.87</v>
      </c>
      <c r="EN80" s="228">
        <v>610.79999999999995</v>
      </c>
      <c r="EO80" s="231">
        <v>33252.67</v>
      </c>
      <c r="EP80" s="231">
        <v>16108.84</v>
      </c>
      <c r="EQ80" s="231">
        <v>17143.830000000002</v>
      </c>
      <c r="ER80" s="229">
        <v>1.0642</v>
      </c>
      <c r="ES80" s="231">
        <v>8781.49</v>
      </c>
      <c r="ET80" s="231">
        <v>4307.7700000000004</v>
      </c>
      <c r="EU80" s="231">
        <v>26084.48</v>
      </c>
      <c r="EV80" s="231">
        <v>1496665645</v>
      </c>
      <c r="EW80" s="231">
        <v>39173.74</v>
      </c>
      <c r="EX80" s="231">
        <v>39010.300000000003</v>
      </c>
      <c r="EY80" s="228">
        <v>163.44</v>
      </c>
      <c r="EZ80" s="229">
        <v>4.1999999999999997E-3</v>
      </c>
      <c r="FA80" s="229">
        <v>0.32629999999999998</v>
      </c>
      <c r="FB80" s="227" t="s">
        <v>567</v>
      </c>
      <c r="FC80">
        <f t="shared" si="1"/>
        <v>4675</v>
      </c>
    </row>
    <row r="81" spans="1:159" ht="17.25" thickBot="1" x14ac:dyDescent="0.3">
      <c r="A81" s="226">
        <v>46132</v>
      </c>
      <c r="B81" s="227" t="s">
        <v>175</v>
      </c>
      <c r="C81" s="227" t="s">
        <v>225</v>
      </c>
      <c r="D81" s="228">
        <v>1100</v>
      </c>
      <c r="E81" s="228">
        <v>8</v>
      </c>
      <c r="F81" s="228">
        <v>611</v>
      </c>
      <c r="G81" s="228">
        <v>616.29999999999995</v>
      </c>
      <c r="H81" s="228">
        <v>-5.3</v>
      </c>
      <c r="I81" s="229">
        <v>-8.6E-3</v>
      </c>
      <c r="J81" s="228">
        <v>609.75</v>
      </c>
      <c r="K81" s="228">
        <v>616.45000000000005</v>
      </c>
      <c r="L81" s="228">
        <v>-6.7</v>
      </c>
      <c r="M81" s="229">
        <v>-1.09E-2</v>
      </c>
      <c r="N81" s="228">
        <v>611</v>
      </c>
      <c r="O81" s="228">
        <v>616.29999999999995</v>
      </c>
      <c r="P81" s="228">
        <v>-5.3</v>
      </c>
      <c r="Q81" s="229">
        <v>-8.6E-3</v>
      </c>
      <c r="R81" s="228">
        <v>613.85</v>
      </c>
      <c r="S81" s="228">
        <v>619.6</v>
      </c>
      <c r="T81" s="228">
        <v>-5.75</v>
      </c>
      <c r="U81" s="229">
        <v>-9.2999999999999992E-3</v>
      </c>
      <c r="V81" s="228">
        <v>615.65</v>
      </c>
      <c r="W81" s="228">
        <v>621.1</v>
      </c>
      <c r="X81" s="228">
        <v>-5.45</v>
      </c>
      <c r="Y81" s="229">
        <v>-8.8000000000000005E-3</v>
      </c>
      <c r="Z81" s="228">
        <v>1.25</v>
      </c>
      <c r="AA81" s="228">
        <v>-0.15</v>
      </c>
      <c r="AB81" s="228">
        <v>1.4</v>
      </c>
      <c r="AC81" s="229">
        <v>2.0999999999999999E-3</v>
      </c>
      <c r="AD81" s="228">
        <v>1.25</v>
      </c>
      <c r="AE81" s="228">
        <v>-0.15</v>
      </c>
      <c r="AF81" s="228">
        <v>1.4</v>
      </c>
      <c r="AG81" s="229">
        <v>2.0999999999999999E-3</v>
      </c>
      <c r="AH81" s="228">
        <v>4.0999999999999996</v>
      </c>
      <c r="AI81" s="228">
        <v>3.15</v>
      </c>
      <c r="AJ81" s="228">
        <v>0.95</v>
      </c>
      <c r="AK81" s="229">
        <v>6.7000000000000002E-3</v>
      </c>
      <c r="AL81" s="228">
        <v>5.9</v>
      </c>
      <c r="AM81" s="228">
        <v>4.6500000000000004</v>
      </c>
      <c r="AN81" s="228">
        <v>1.25</v>
      </c>
      <c r="AO81" s="229">
        <v>9.7000000000000003E-3</v>
      </c>
      <c r="AP81" s="228">
        <v>611.51</v>
      </c>
      <c r="AQ81" s="228">
        <v>614.54999999999995</v>
      </c>
      <c r="AR81" s="228">
        <v>0</v>
      </c>
      <c r="AS81" s="228">
        <v>325</v>
      </c>
      <c r="AT81" s="228">
        <v>727</v>
      </c>
      <c r="AU81" s="228">
        <v>-402</v>
      </c>
      <c r="AV81" s="229">
        <v>-0.55279999999999996</v>
      </c>
      <c r="AW81" s="228">
        <v>224</v>
      </c>
      <c r="AX81" s="228">
        <v>633</v>
      </c>
      <c r="AY81" s="228">
        <v>-409</v>
      </c>
      <c r="AZ81" s="229">
        <v>-0.64639999999999997</v>
      </c>
      <c r="BA81" s="228">
        <v>91</v>
      </c>
      <c r="BB81" s="228">
        <v>82</v>
      </c>
      <c r="BC81" s="228">
        <v>9</v>
      </c>
      <c r="BD81" s="229">
        <v>0.1143</v>
      </c>
      <c r="BE81" s="228">
        <v>10</v>
      </c>
      <c r="BF81" s="228">
        <v>13</v>
      </c>
      <c r="BG81" s="228">
        <v>-2</v>
      </c>
      <c r="BH81" s="229">
        <v>-0.18090000000000001</v>
      </c>
      <c r="BI81" s="230">
        <v>1421</v>
      </c>
      <c r="BJ81" s="230">
        <v>3645</v>
      </c>
      <c r="BK81" s="230">
        <v>-2224</v>
      </c>
      <c r="BL81" s="229">
        <v>-0.61019999999999996</v>
      </c>
      <c r="BM81" s="228">
        <v>805</v>
      </c>
      <c r="BN81" s="230">
        <v>2525</v>
      </c>
      <c r="BO81" s="230">
        <v>-1720</v>
      </c>
      <c r="BP81" s="229">
        <v>-0.68130000000000002</v>
      </c>
      <c r="BQ81" s="230">
        <v>2551</v>
      </c>
      <c r="BR81" s="230">
        <v>6897</v>
      </c>
      <c r="BS81" s="230">
        <v>-4346</v>
      </c>
      <c r="BT81" s="229">
        <v>-0.63019999999999998</v>
      </c>
      <c r="BU81" s="230">
        <v>5401184</v>
      </c>
      <c r="BV81" s="230">
        <v>9166222</v>
      </c>
      <c r="BW81" s="230">
        <v>-3765038</v>
      </c>
      <c r="BX81" s="229">
        <v>-0.4108</v>
      </c>
      <c r="BY81" s="230">
        <v>2690</v>
      </c>
      <c r="BZ81" s="230">
        <v>2672</v>
      </c>
      <c r="CA81" s="228">
        <v>18</v>
      </c>
      <c r="CB81" s="229">
        <v>6.7999999999999996E-3</v>
      </c>
      <c r="CC81" s="230">
        <v>2468</v>
      </c>
      <c r="CD81" s="230">
        <v>2509</v>
      </c>
      <c r="CE81" s="228">
        <v>-41</v>
      </c>
      <c r="CF81" s="229">
        <v>-1.6199999999999999E-2</v>
      </c>
      <c r="CG81" s="228">
        <v>199</v>
      </c>
      <c r="CH81" s="228">
        <v>146</v>
      </c>
      <c r="CI81" s="228">
        <v>53</v>
      </c>
      <c r="CJ81" s="229">
        <v>0.36620000000000003</v>
      </c>
      <c r="CK81" s="228">
        <v>23</v>
      </c>
      <c r="CL81" s="228">
        <v>18</v>
      </c>
      <c r="CM81" s="228">
        <v>5</v>
      </c>
      <c r="CN81" s="229">
        <v>0.30680000000000002</v>
      </c>
      <c r="CO81" s="230">
        <v>1161</v>
      </c>
      <c r="CP81" s="230">
        <v>1215</v>
      </c>
      <c r="CQ81" s="228">
        <v>-54</v>
      </c>
      <c r="CR81" s="229">
        <v>-4.4400000000000002E-2</v>
      </c>
      <c r="CS81" s="228">
        <v>750</v>
      </c>
      <c r="CT81" s="228">
        <v>807</v>
      </c>
      <c r="CU81" s="228">
        <v>-57</v>
      </c>
      <c r="CV81" s="229">
        <v>-7.0400000000000004E-2</v>
      </c>
      <c r="CW81" s="230">
        <v>4602</v>
      </c>
      <c r="CX81" s="230">
        <v>4694</v>
      </c>
      <c r="CY81" s="228">
        <v>-93</v>
      </c>
      <c r="CZ81" s="229">
        <v>-1.9699999999999999E-2</v>
      </c>
      <c r="DA81" s="228">
        <v>29.85</v>
      </c>
      <c r="DB81" s="228">
        <v>27.44</v>
      </c>
      <c r="DC81" s="228">
        <v>2.41</v>
      </c>
      <c r="DD81" s="228">
        <v>2.41</v>
      </c>
      <c r="DE81" s="228">
        <v>27.75</v>
      </c>
      <c r="DF81" s="228">
        <v>27.78</v>
      </c>
      <c r="DG81" s="228">
        <v>2.1</v>
      </c>
      <c r="DH81" s="228">
        <v>-0.03</v>
      </c>
      <c r="DI81" s="228">
        <v>30.12</v>
      </c>
      <c r="DJ81" s="228">
        <v>27.56</v>
      </c>
      <c r="DK81" s="228">
        <v>2.56</v>
      </c>
      <c r="DL81" s="228">
        <v>2.56</v>
      </c>
      <c r="DM81" s="228">
        <v>29.38</v>
      </c>
      <c r="DN81" s="228">
        <v>27.27</v>
      </c>
      <c r="DO81" s="228">
        <v>2.11</v>
      </c>
      <c r="DP81" s="228">
        <v>2.11</v>
      </c>
      <c r="DQ81" s="228">
        <v>0.65</v>
      </c>
      <c r="DR81" s="228">
        <v>0.66</v>
      </c>
      <c r="DS81" s="228">
        <v>-0.01</v>
      </c>
      <c r="DT81" s="229">
        <v>-1.52E-2</v>
      </c>
      <c r="DU81" s="228">
        <v>600</v>
      </c>
      <c r="DV81" s="228">
        <v>600</v>
      </c>
      <c r="DW81" s="228">
        <v>0.56999999999999995</v>
      </c>
      <c r="DX81" s="228">
        <v>0.69</v>
      </c>
      <c r="DY81" s="228">
        <v>-0.12</v>
      </c>
      <c r="DZ81" s="229">
        <v>-0.1739</v>
      </c>
      <c r="EA81" s="229">
        <v>8.2600000000000007E-2</v>
      </c>
      <c r="EB81" s="230">
        <v>2675200</v>
      </c>
      <c r="EC81" s="229">
        <v>4.7000000000000002E-3</v>
      </c>
      <c r="ED81" s="229">
        <v>8.2600000000000007E-2</v>
      </c>
      <c r="EE81" s="228">
        <v>3.04</v>
      </c>
      <c r="EF81" s="229">
        <v>5.0000000000000001E-3</v>
      </c>
      <c r="EG81" s="230">
        <v>3550988</v>
      </c>
      <c r="EH81" s="230">
        <v>4018782</v>
      </c>
      <c r="EI81" s="229">
        <v>-0.1164</v>
      </c>
      <c r="EJ81" s="229">
        <v>0.65739999999999998</v>
      </c>
      <c r="EK81" s="231">
        <v>1491.99</v>
      </c>
      <c r="EL81" s="228">
        <v>802.56</v>
      </c>
      <c r="EM81" s="228">
        <v>325.97000000000003</v>
      </c>
      <c r="EN81" s="228">
        <v>74.56</v>
      </c>
      <c r="EO81" s="231">
        <v>2620.5100000000002</v>
      </c>
      <c r="EP81" s="231">
        <v>7109.7</v>
      </c>
      <c r="EQ81" s="231">
        <v>-4489.1899999999996</v>
      </c>
      <c r="ER81" s="229">
        <v>-0.63139999999999996</v>
      </c>
      <c r="ES81" s="231">
        <v>1215.8699999999999</v>
      </c>
      <c r="ET81" s="228">
        <v>725.35</v>
      </c>
      <c r="EU81" s="231">
        <v>2691.52</v>
      </c>
      <c r="EV81" s="231">
        <v>156090005</v>
      </c>
      <c r="EW81" s="231">
        <v>4632.74</v>
      </c>
      <c r="EX81" s="231">
        <v>4753.57</v>
      </c>
      <c r="EY81" s="228">
        <v>-120.83</v>
      </c>
      <c r="EZ81" s="229">
        <v>-2.5399999999999999E-2</v>
      </c>
      <c r="FA81" s="229">
        <v>0.48249999999999998</v>
      </c>
      <c r="FB81" s="227" t="s">
        <v>566</v>
      </c>
      <c r="FC81">
        <f t="shared" si="1"/>
        <v>222</v>
      </c>
    </row>
    <row r="82" spans="1:159" ht="17.25" thickBot="1" x14ac:dyDescent="0.3">
      <c r="A82" s="226">
        <v>46132</v>
      </c>
      <c r="B82" s="227" t="s">
        <v>162</v>
      </c>
      <c r="C82" s="227" t="s">
        <v>226</v>
      </c>
      <c r="D82" s="228">
        <v>150</v>
      </c>
      <c r="E82" s="228">
        <v>8</v>
      </c>
      <c r="F82" s="231">
        <v>5288</v>
      </c>
      <c r="G82" s="231">
        <v>5244.5</v>
      </c>
      <c r="H82" s="228">
        <v>43.5</v>
      </c>
      <c r="I82" s="229">
        <v>8.3000000000000001E-3</v>
      </c>
      <c r="J82" s="231">
        <v>5282.5</v>
      </c>
      <c r="K82" s="231">
        <v>5230.5</v>
      </c>
      <c r="L82" s="228">
        <v>52</v>
      </c>
      <c r="M82" s="229">
        <v>9.9000000000000008E-3</v>
      </c>
      <c r="N82" s="231">
        <v>5288</v>
      </c>
      <c r="O82" s="231">
        <v>5244.5</v>
      </c>
      <c r="P82" s="228">
        <v>43.5</v>
      </c>
      <c r="Q82" s="229">
        <v>8.3000000000000001E-3</v>
      </c>
      <c r="R82" s="231">
        <v>5314.5</v>
      </c>
      <c r="S82" s="231">
        <v>5269.5</v>
      </c>
      <c r="T82" s="228">
        <v>45</v>
      </c>
      <c r="U82" s="229">
        <v>8.5000000000000006E-3</v>
      </c>
      <c r="V82" s="231">
        <v>5337</v>
      </c>
      <c r="W82" s="231">
        <v>5300.5</v>
      </c>
      <c r="X82" s="228">
        <v>36.5</v>
      </c>
      <c r="Y82" s="229">
        <v>6.8999999999999999E-3</v>
      </c>
      <c r="Z82" s="228">
        <v>5.5</v>
      </c>
      <c r="AA82" s="228">
        <v>14</v>
      </c>
      <c r="AB82" s="228">
        <v>-8.5</v>
      </c>
      <c r="AC82" s="229">
        <v>1E-3</v>
      </c>
      <c r="AD82" s="228">
        <v>5.5</v>
      </c>
      <c r="AE82" s="228">
        <v>14</v>
      </c>
      <c r="AF82" s="228">
        <v>-8.5</v>
      </c>
      <c r="AG82" s="229">
        <v>1E-3</v>
      </c>
      <c r="AH82" s="228">
        <v>32</v>
      </c>
      <c r="AI82" s="228">
        <v>39</v>
      </c>
      <c r="AJ82" s="228">
        <v>-7</v>
      </c>
      <c r="AK82" s="229">
        <v>6.1000000000000004E-3</v>
      </c>
      <c r="AL82" s="228">
        <v>54.5</v>
      </c>
      <c r="AM82" s="228">
        <v>70</v>
      </c>
      <c r="AN82" s="228">
        <v>-15.5</v>
      </c>
      <c r="AO82" s="229">
        <v>1.03E-2</v>
      </c>
      <c r="AP82" s="231">
        <v>5289.53</v>
      </c>
      <c r="AQ82" s="231">
        <v>5317.67</v>
      </c>
      <c r="AR82" s="228">
        <v>0</v>
      </c>
      <c r="AS82" s="228">
        <v>362</v>
      </c>
      <c r="AT82" s="228">
        <v>525</v>
      </c>
      <c r="AU82" s="228">
        <v>-164</v>
      </c>
      <c r="AV82" s="229">
        <v>-0.31130000000000002</v>
      </c>
      <c r="AW82" s="228">
        <v>294</v>
      </c>
      <c r="AX82" s="228">
        <v>420</v>
      </c>
      <c r="AY82" s="228">
        <v>-126</v>
      </c>
      <c r="AZ82" s="229">
        <v>-0.29909999999999998</v>
      </c>
      <c r="BA82" s="228">
        <v>62</v>
      </c>
      <c r="BB82" s="228">
        <v>52</v>
      </c>
      <c r="BC82" s="228">
        <v>10</v>
      </c>
      <c r="BD82" s="229">
        <v>0.19789999999999999</v>
      </c>
      <c r="BE82" s="228">
        <v>5</v>
      </c>
      <c r="BF82" s="228">
        <v>53</v>
      </c>
      <c r="BG82" s="228">
        <v>-48</v>
      </c>
      <c r="BH82" s="229">
        <v>-0.90749999999999997</v>
      </c>
      <c r="BI82" s="230">
        <v>2401</v>
      </c>
      <c r="BJ82" s="230">
        <v>2476</v>
      </c>
      <c r="BK82" s="228">
        <v>-75</v>
      </c>
      <c r="BL82" s="229">
        <v>-3.0200000000000001E-2</v>
      </c>
      <c r="BM82" s="228">
        <v>879</v>
      </c>
      <c r="BN82" s="228">
        <v>957</v>
      </c>
      <c r="BO82" s="228">
        <v>-78</v>
      </c>
      <c r="BP82" s="229">
        <v>-8.1199999999999994E-2</v>
      </c>
      <c r="BQ82" s="230">
        <v>3642</v>
      </c>
      <c r="BR82" s="230">
        <v>3958</v>
      </c>
      <c r="BS82" s="228">
        <v>-316</v>
      </c>
      <c r="BT82" s="229">
        <v>-7.9899999999999999E-2</v>
      </c>
      <c r="BU82" s="230">
        <v>668296</v>
      </c>
      <c r="BV82" s="230">
        <v>584323</v>
      </c>
      <c r="BW82" s="230">
        <v>83973</v>
      </c>
      <c r="BX82" s="229">
        <v>0.14369999999999999</v>
      </c>
      <c r="BY82" s="230">
        <v>2271</v>
      </c>
      <c r="BZ82" s="230">
        <v>2314</v>
      </c>
      <c r="CA82" s="228">
        <v>-43</v>
      </c>
      <c r="CB82" s="229">
        <v>-1.8599999999999998E-2</v>
      </c>
      <c r="CC82" s="230">
        <v>2091</v>
      </c>
      <c r="CD82" s="230">
        <v>2151</v>
      </c>
      <c r="CE82" s="228">
        <v>-60</v>
      </c>
      <c r="CF82" s="229">
        <v>-2.81E-2</v>
      </c>
      <c r="CG82" s="228">
        <v>124</v>
      </c>
      <c r="CH82" s="228">
        <v>106</v>
      </c>
      <c r="CI82" s="228">
        <v>17</v>
      </c>
      <c r="CJ82" s="229">
        <v>0.16320000000000001</v>
      </c>
      <c r="CK82" s="228">
        <v>56</v>
      </c>
      <c r="CL82" s="228">
        <v>57</v>
      </c>
      <c r="CM82" s="228">
        <v>0</v>
      </c>
      <c r="CN82" s="229">
        <v>-1.4E-3</v>
      </c>
      <c r="CO82" s="230">
        <v>1153</v>
      </c>
      <c r="CP82" s="230">
        <v>1296</v>
      </c>
      <c r="CQ82" s="228">
        <v>-143</v>
      </c>
      <c r="CR82" s="229">
        <v>-0.1101</v>
      </c>
      <c r="CS82" s="228">
        <v>772</v>
      </c>
      <c r="CT82" s="228">
        <v>774</v>
      </c>
      <c r="CU82" s="228">
        <v>-2</v>
      </c>
      <c r="CV82" s="229">
        <v>-2.3999999999999998E-3</v>
      </c>
      <c r="CW82" s="230">
        <v>4197</v>
      </c>
      <c r="CX82" s="230">
        <v>4384</v>
      </c>
      <c r="CY82" s="228">
        <v>-188</v>
      </c>
      <c r="CZ82" s="229">
        <v>-4.2799999999999998E-2</v>
      </c>
      <c r="DA82" s="228">
        <v>33.58</v>
      </c>
      <c r="DB82" s="228">
        <v>31.96</v>
      </c>
      <c r="DC82" s="228">
        <v>1.62</v>
      </c>
      <c r="DD82" s="228">
        <v>1.62</v>
      </c>
      <c r="DE82" s="228">
        <v>33.54</v>
      </c>
      <c r="DF82" s="228">
        <v>33.6</v>
      </c>
      <c r="DG82" s="228">
        <v>0.04</v>
      </c>
      <c r="DH82" s="228">
        <v>-0.06</v>
      </c>
      <c r="DI82" s="228">
        <v>32.729999999999997</v>
      </c>
      <c r="DJ82" s="228">
        <v>31.35</v>
      </c>
      <c r="DK82" s="228">
        <v>1.38</v>
      </c>
      <c r="DL82" s="228">
        <v>1.38</v>
      </c>
      <c r="DM82" s="228">
        <v>35.909999999999997</v>
      </c>
      <c r="DN82" s="228">
        <v>33.53</v>
      </c>
      <c r="DO82" s="228">
        <v>2.38</v>
      </c>
      <c r="DP82" s="228">
        <v>2.38</v>
      </c>
      <c r="DQ82" s="228">
        <v>0.67</v>
      </c>
      <c r="DR82" s="228">
        <v>0.6</v>
      </c>
      <c r="DS82" s="228">
        <v>7.0000000000000007E-2</v>
      </c>
      <c r="DT82" s="229">
        <v>0.1167</v>
      </c>
      <c r="DU82" s="231">
        <v>5400</v>
      </c>
      <c r="DV82" s="231">
        <v>5200</v>
      </c>
      <c r="DW82" s="228">
        <v>0.37</v>
      </c>
      <c r="DX82" s="228">
        <v>0.39</v>
      </c>
      <c r="DY82" s="228">
        <v>-0.02</v>
      </c>
      <c r="DZ82" s="229">
        <v>-5.1299999999999998E-2</v>
      </c>
      <c r="EA82" s="229">
        <v>7.9399999999999998E-2</v>
      </c>
      <c r="EB82" s="230">
        <v>308250</v>
      </c>
      <c r="EC82" s="229">
        <v>5.0000000000000001E-3</v>
      </c>
      <c r="ED82" s="229">
        <v>7.9399999999999998E-2</v>
      </c>
      <c r="EE82" s="228">
        <v>28.14</v>
      </c>
      <c r="EF82" s="229">
        <v>5.3E-3</v>
      </c>
      <c r="EG82" s="230">
        <v>370768</v>
      </c>
      <c r="EH82" s="230">
        <v>282814</v>
      </c>
      <c r="EI82" s="229">
        <v>0.311</v>
      </c>
      <c r="EJ82" s="229">
        <v>0.55479999999999996</v>
      </c>
      <c r="EK82" s="231">
        <v>2488.5500000000002</v>
      </c>
      <c r="EL82" s="228">
        <v>868.62</v>
      </c>
      <c r="EM82" s="228">
        <v>362.27</v>
      </c>
      <c r="EN82" s="228">
        <v>59.52</v>
      </c>
      <c r="EO82" s="231">
        <v>3719.44</v>
      </c>
      <c r="EP82" s="231">
        <v>4017.39</v>
      </c>
      <c r="EQ82" s="228">
        <v>-297.95</v>
      </c>
      <c r="ER82" s="229">
        <v>-7.4200000000000002E-2</v>
      </c>
      <c r="ES82" s="231">
        <v>1194.6199999999999</v>
      </c>
      <c r="ET82" s="228">
        <v>742.74</v>
      </c>
      <c r="EU82" s="231">
        <v>2272.39</v>
      </c>
      <c r="EV82" s="231">
        <v>19589014</v>
      </c>
      <c r="EW82" s="231">
        <v>4209.75</v>
      </c>
      <c r="EX82" s="231">
        <v>4381.5200000000004</v>
      </c>
      <c r="EY82" s="228">
        <v>-171.77</v>
      </c>
      <c r="EZ82" s="229">
        <v>-3.9199999999999999E-2</v>
      </c>
      <c r="FA82" s="229">
        <v>0.4052</v>
      </c>
      <c r="FB82" s="227" t="s">
        <v>693</v>
      </c>
      <c r="FC82">
        <f t="shared" si="1"/>
        <v>180</v>
      </c>
    </row>
    <row r="83" spans="1:159" ht="17.25" thickBot="1" x14ac:dyDescent="0.3">
      <c r="A83" s="226">
        <v>46132</v>
      </c>
      <c r="B83" s="227" t="s">
        <v>227</v>
      </c>
      <c r="C83" s="227" t="s">
        <v>228</v>
      </c>
      <c r="D83" s="228">
        <v>700</v>
      </c>
      <c r="E83" s="228">
        <v>8</v>
      </c>
      <c r="F83" s="231">
        <v>1015.8</v>
      </c>
      <c r="G83" s="231">
        <v>1040.95</v>
      </c>
      <c r="H83" s="228">
        <v>-25.15</v>
      </c>
      <c r="I83" s="229">
        <v>-2.4199999999999999E-2</v>
      </c>
      <c r="J83" s="231">
        <v>1015.25</v>
      </c>
      <c r="K83" s="231">
        <v>1039</v>
      </c>
      <c r="L83" s="228">
        <v>-23.75</v>
      </c>
      <c r="M83" s="229">
        <v>-2.29E-2</v>
      </c>
      <c r="N83" s="231">
        <v>1015.8</v>
      </c>
      <c r="O83" s="231">
        <v>1040.95</v>
      </c>
      <c r="P83" s="228">
        <v>-25.15</v>
      </c>
      <c r="Q83" s="229">
        <v>-2.4199999999999999E-2</v>
      </c>
      <c r="R83" s="231">
        <v>1021.55</v>
      </c>
      <c r="S83" s="231">
        <v>1046.95</v>
      </c>
      <c r="T83" s="228">
        <v>-25.4</v>
      </c>
      <c r="U83" s="229">
        <v>-2.4299999999999999E-2</v>
      </c>
      <c r="V83" s="231">
        <v>1028.55</v>
      </c>
      <c r="W83" s="231">
        <v>1052.7</v>
      </c>
      <c r="X83" s="228">
        <v>-24.15</v>
      </c>
      <c r="Y83" s="229">
        <v>-2.29E-2</v>
      </c>
      <c r="Z83" s="228">
        <v>0.55000000000000004</v>
      </c>
      <c r="AA83" s="228">
        <v>1.95</v>
      </c>
      <c r="AB83" s="228">
        <v>-1.4</v>
      </c>
      <c r="AC83" s="229">
        <v>5.0000000000000001E-4</v>
      </c>
      <c r="AD83" s="228">
        <v>0.55000000000000004</v>
      </c>
      <c r="AE83" s="228">
        <v>1.95</v>
      </c>
      <c r="AF83" s="228">
        <v>-1.4</v>
      </c>
      <c r="AG83" s="229">
        <v>5.0000000000000001E-4</v>
      </c>
      <c r="AH83" s="228">
        <v>6.3</v>
      </c>
      <c r="AI83" s="228">
        <v>7.95</v>
      </c>
      <c r="AJ83" s="228">
        <v>-1.65</v>
      </c>
      <c r="AK83" s="229">
        <v>6.1999999999999998E-3</v>
      </c>
      <c r="AL83" s="228">
        <v>13.3</v>
      </c>
      <c r="AM83" s="228">
        <v>13.7</v>
      </c>
      <c r="AN83" s="228">
        <v>-0.4</v>
      </c>
      <c r="AO83" s="229">
        <v>1.3100000000000001E-2</v>
      </c>
      <c r="AP83" s="231">
        <v>1019.2</v>
      </c>
      <c r="AQ83" s="231">
        <v>1024.9100000000001</v>
      </c>
      <c r="AR83" s="228">
        <v>0</v>
      </c>
      <c r="AS83" s="228">
        <v>655</v>
      </c>
      <c r="AT83" s="228">
        <v>456</v>
      </c>
      <c r="AU83" s="228">
        <v>199</v>
      </c>
      <c r="AV83" s="229">
        <v>0.43559999999999999</v>
      </c>
      <c r="AW83" s="228">
        <v>537</v>
      </c>
      <c r="AX83" s="228">
        <v>397</v>
      </c>
      <c r="AY83" s="228">
        <v>140</v>
      </c>
      <c r="AZ83" s="229">
        <v>0.35360000000000003</v>
      </c>
      <c r="BA83" s="228">
        <v>104</v>
      </c>
      <c r="BB83" s="228">
        <v>55</v>
      </c>
      <c r="BC83" s="228">
        <v>49</v>
      </c>
      <c r="BD83" s="229">
        <v>0.88519999999999999</v>
      </c>
      <c r="BE83" s="228">
        <v>14</v>
      </c>
      <c r="BF83" s="228">
        <v>4</v>
      </c>
      <c r="BG83" s="228">
        <v>10</v>
      </c>
      <c r="BH83" s="229">
        <v>2.2881</v>
      </c>
      <c r="BI83" s="230">
        <v>2148</v>
      </c>
      <c r="BJ83" s="230">
        <v>2099</v>
      </c>
      <c r="BK83" s="228">
        <v>48</v>
      </c>
      <c r="BL83" s="229">
        <v>2.3099999999999999E-2</v>
      </c>
      <c r="BM83" s="230">
        <v>1597</v>
      </c>
      <c r="BN83" s="230">
        <v>1647</v>
      </c>
      <c r="BO83" s="228">
        <v>-49</v>
      </c>
      <c r="BP83" s="229">
        <v>-0.03</v>
      </c>
      <c r="BQ83" s="230">
        <v>4400</v>
      </c>
      <c r="BR83" s="230">
        <v>4202</v>
      </c>
      <c r="BS83" s="228">
        <v>198</v>
      </c>
      <c r="BT83" s="229">
        <v>4.7100000000000003E-2</v>
      </c>
      <c r="BU83" s="230">
        <v>4386376</v>
      </c>
      <c r="BV83" s="230">
        <v>4421270</v>
      </c>
      <c r="BW83" s="230">
        <v>-34894</v>
      </c>
      <c r="BX83" s="229">
        <v>-7.9000000000000008E-3</v>
      </c>
      <c r="BY83" s="230">
        <v>3720</v>
      </c>
      <c r="BZ83" s="230">
        <v>3732</v>
      </c>
      <c r="CA83" s="228">
        <v>-12</v>
      </c>
      <c r="CB83" s="229">
        <v>-3.3E-3</v>
      </c>
      <c r="CC83" s="230">
        <v>3185</v>
      </c>
      <c r="CD83" s="230">
        <v>3253</v>
      </c>
      <c r="CE83" s="228">
        <v>-68</v>
      </c>
      <c r="CF83" s="229">
        <v>-2.0899999999999998E-2</v>
      </c>
      <c r="CG83" s="228">
        <v>356</v>
      </c>
      <c r="CH83" s="228">
        <v>307</v>
      </c>
      <c r="CI83" s="228">
        <v>49</v>
      </c>
      <c r="CJ83" s="229">
        <v>0.1588</v>
      </c>
      <c r="CK83" s="228">
        <v>179</v>
      </c>
      <c r="CL83" s="228">
        <v>172</v>
      </c>
      <c r="CM83" s="228">
        <v>7</v>
      </c>
      <c r="CN83" s="229">
        <v>4.0899999999999999E-2</v>
      </c>
      <c r="CO83" s="230">
        <v>1604</v>
      </c>
      <c r="CP83" s="230">
        <v>1536</v>
      </c>
      <c r="CQ83" s="228">
        <v>68</v>
      </c>
      <c r="CR83" s="229">
        <v>4.4200000000000003E-2</v>
      </c>
      <c r="CS83" s="230">
        <v>1104</v>
      </c>
      <c r="CT83" s="230">
        <v>1214</v>
      </c>
      <c r="CU83" s="228">
        <v>-110</v>
      </c>
      <c r="CV83" s="229">
        <v>-9.0800000000000006E-2</v>
      </c>
      <c r="CW83" s="230">
        <v>6428</v>
      </c>
      <c r="CX83" s="230">
        <v>6482</v>
      </c>
      <c r="CY83" s="228">
        <v>-55</v>
      </c>
      <c r="CZ83" s="229">
        <v>-8.3999999999999995E-3</v>
      </c>
      <c r="DA83" s="228">
        <v>36.31</v>
      </c>
      <c r="DB83" s="228">
        <v>33.67</v>
      </c>
      <c r="DC83" s="228">
        <v>2.64</v>
      </c>
      <c r="DD83" s="228">
        <v>2.64</v>
      </c>
      <c r="DE83" s="228">
        <v>36.619999999999997</v>
      </c>
      <c r="DF83" s="228">
        <v>36.58</v>
      </c>
      <c r="DG83" s="228">
        <v>-0.31</v>
      </c>
      <c r="DH83" s="228">
        <v>0.04</v>
      </c>
      <c r="DI83" s="228">
        <v>36.4</v>
      </c>
      <c r="DJ83" s="228">
        <v>32.450000000000003</v>
      </c>
      <c r="DK83" s="228">
        <v>3.95</v>
      </c>
      <c r="DL83" s="228">
        <v>3.95</v>
      </c>
      <c r="DM83" s="228">
        <v>36.18</v>
      </c>
      <c r="DN83" s="228">
        <v>35.229999999999997</v>
      </c>
      <c r="DO83" s="228">
        <v>0.95</v>
      </c>
      <c r="DP83" s="228">
        <v>0.95</v>
      </c>
      <c r="DQ83" s="228">
        <v>0.69</v>
      </c>
      <c r="DR83" s="228">
        <v>0.79</v>
      </c>
      <c r="DS83" s="228">
        <v>-0.1</v>
      </c>
      <c r="DT83" s="229">
        <v>-0.12659999999999999</v>
      </c>
      <c r="DU83" s="228">
        <v>900</v>
      </c>
      <c r="DV83" s="228">
        <v>900</v>
      </c>
      <c r="DW83" s="228">
        <v>0.74</v>
      </c>
      <c r="DX83" s="228">
        <v>0.78</v>
      </c>
      <c r="DY83" s="228">
        <v>-0.04</v>
      </c>
      <c r="DZ83" s="229">
        <v>-5.1299999999999998E-2</v>
      </c>
      <c r="EA83" s="229">
        <v>0.14380000000000001</v>
      </c>
      <c r="EB83" s="230">
        <v>4716600</v>
      </c>
      <c r="EC83" s="229">
        <v>5.7000000000000002E-3</v>
      </c>
      <c r="ED83" s="229">
        <v>0.14380000000000001</v>
      </c>
      <c r="EE83" s="228">
        <v>5.71</v>
      </c>
      <c r="EF83" s="229">
        <v>5.5999999999999999E-3</v>
      </c>
      <c r="EG83" s="230">
        <v>2186566</v>
      </c>
      <c r="EH83" s="230">
        <v>2131443</v>
      </c>
      <c r="EI83" s="229">
        <v>2.5899999999999999E-2</v>
      </c>
      <c r="EJ83" s="229">
        <v>0.4985</v>
      </c>
      <c r="EK83" s="231">
        <v>2245.7600000000002</v>
      </c>
      <c r="EL83" s="231">
        <v>1596.37</v>
      </c>
      <c r="EM83" s="228">
        <v>657.96</v>
      </c>
      <c r="EN83" s="228">
        <v>123.8</v>
      </c>
      <c r="EO83" s="231">
        <v>4500.09</v>
      </c>
      <c r="EP83" s="231">
        <v>4340.28</v>
      </c>
      <c r="EQ83" s="228">
        <v>159.81</v>
      </c>
      <c r="ER83" s="229">
        <v>3.6799999999999999E-2</v>
      </c>
      <c r="ES83" s="231">
        <v>1583.88</v>
      </c>
      <c r="ET83" s="231">
        <v>1020.82</v>
      </c>
      <c r="EU83" s="231">
        <v>3724.31</v>
      </c>
      <c r="EV83" s="231">
        <v>218611634</v>
      </c>
      <c r="EW83" s="231">
        <v>6329.02</v>
      </c>
      <c r="EX83" s="231">
        <v>6471.22</v>
      </c>
      <c r="EY83" s="228">
        <v>-142.19999999999999</v>
      </c>
      <c r="EZ83" s="229">
        <v>-2.1999999999999999E-2</v>
      </c>
      <c r="FA83" s="229">
        <v>0.28949999999999998</v>
      </c>
      <c r="FB83" s="227" t="s">
        <v>567</v>
      </c>
      <c r="FC83">
        <f t="shared" si="1"/>
        <v>535</v>
      </c>
    </row>
    <row r="84" spans="1:159" ht="17.25" thickBot="1" x14ac:dyDescent="0.3">
      <c r="A84" s="226">
        <v>46132</v>
      </c>
      <c r="B84" s="227" t="s">
        <v>193</v>
      </c>
      <c r="C84" s="227" t="s">
        <v>229</v>
      </c>
      <c r="D84" s="228">
        <v>2025</v>
      </c>
      <c r="E84" s="228">
        <v>8</v>
      </c>
      <c r="F84" s="228">
        <v>378.8</v>
      </c>
      <c r="G84" s="228">
        <v>372.35</v>
      </c>
      <c r="H84" s="228">
        <v>6.45</v>
      </c>
      <c r="I84" s="229">
        <v>1.7299999999999999E-2</v>
      </c>
      <c r="J84" s="228">
        <v>379.5</v>
      </c>
      <c r="K84" s="228">
        <v>370.85</v>
      </c>
      <c r="L84" s="228">
        <v>8.65</v>
      </c>
      <c r="M84" s="229">
        <v>2.3300000000000001E-2</v>
      </c>
      <c r="N84" s="228">
        <v>378.8</v>
      </c>
      <c r="O84" s="228">
        <v>372.35</v>
      </c>
      <c r="P84" s="228">
        <v>6.45</v>
      </c>
      <c r="Q84" s="229">
        <v>1.7299999999999999E-2</v>
      </c>
      <c r="R84" s="228">
        <v>381</v>
      </c>
      <c r="S84" s="228">
        <v>374.15</v>
      </c>
      <c r="T84" s="228">
        <v>6.85</v>
      </c>
      <c r="U84" s="229">
        <v>1.83E-2</v>
      </c>
      <c r="V84" s="228">
        <v>381.95</v>
      </c>
      <c r="W84" s="228">
        <v>376.15</v>
      </c>
      <c r="X84" s="228">
        <v>5.8</v>
      </c>
      <c r="Y84" s="229">
        <v>1.54E-2</v>
      </c>
      <c r="Z84" s="228">
        <v>-0.7</v>
      </c>
      <c r="AA84" s="228">
        <v>1.5</v>
      </c>
      <c r="AB84" s="228">
        <v>-2.2000000000000002</v>
      </c>
      <c r="AC84" s="229">
        <v>-1.8E-3</v>
      </c>
      <c r="AD84" s="228">
        <v>-0.7</v>
      </c>
      <c r="AE84" s="228">
        <v>1.5</v>
      </c>
      <c r="AF84" s="228">
        <v>-2.2000000000000002</v>
      </c>
      <c r="AG84" s="229">
        <v>-1.8E-3</v>
      </c>
      <c r="AH84" s="228">
        <v>1.5</v>
      </c>
      <c r="AI84" s="228">
        <v>3.3</v>
      </c>
      <c r="AJ84" s="228">
        <v>-1.8</v>
      </c>
      <c r="AK84" s="229">
        <v>4.0000000000000001E-3</v>
      </c>
      <c r="AL84" s="228">
        <v>2.4500000000000002</v>
      </c>
      <c r="AM84" s="228">
        <v>5.3</v>
      </c>
      <c r="AN84" s="228">
        <v>-2.85</v>
      </c>
      <c r="AO84" s="229">
        <v>6.4999999999999997E-3</v>
      </c>
      <c r="AP84" s="228">
        <v>377.08</v>
      </c>
      <c r="AQ84" s="228">
        <v>379.14</v>
      </c>
      <c r="AR84" s="228">
        <v>0</v>
      </c>
      <c r="AS84" s="228">
        <v>562</v>
      </c>
      <c r="AT84" s="228">
        <v>282</v>
      </c>
      <c r="AU84" s="228">
        <v>279</v>
      </c>
      <c r="AV84" s="229">
        <v>0.98829999999999996</v>
      </c>
      <c r="AW84" s="228">
        <v>479</v>
      </c>
      <c r="AX84" s="228">
        <v>239</v>
      </c>
      <c r="AY84" s="228">
        <v>240</v>
      </c>
      <c r="AZ84" s="229">
        <v>1.0025999999999999</v>
      </c>
      <c r="BA84" s="228">
        <v>77</v>
      </c>
      <c r="BB84" s="228">
        <v>42</v>
      </c>
      <c r="BC84" s="228">
        <v>35</v>
      </c>
      <c r="BD84" s="229">
        <v>0.83789999999999998</v>
      </c>
      <c r="BE84" s="228">
        <v>6</v>
      </c>
      <c r="BF84" s="228">
        <v>1</v>
      </c>
      <c r="BG84" s="228">
        <v>4</v>
      </c>
      <c r="BH84" s="229">
        <v>2.9474</v>
      </c>
      <c r="BI84" s="230">
        <v>1395</v>
      </c>
      <c r="BJ84" s="228">
        <v>643</v>
      </c>
      <c r="BK84" s="228">
        <v>752</v>
      </c>
      <c r="BL84" s="229">
        <v>1.1702999999999999</v>
      </c>
      <c r="BM84" s="228">
        <v>822</v>
      </c>
      <c r="BN84" s="228">
        <v>507</v>
      </c>
      <c r="BO84" s="228">
        <v>315</v>
      </c>
      <c r="BP84" s="229">
        <v>0.62080000000000002</v>
      </c>
      <c r="BQ84" s="230">
        <v>2778</v>
      </c>
      <c r="BR84" s="230">
        <v>1432</v>
      </c>
      <c r="BS84" s="230">
        <v>1346</v>
      </c>
      <c r="BT84" s="229">
        <v>0.93989999999999996</v>
      </c>
      <c r="BU84" s="230">
        <v>10610293</v>
      </c>
      <c r="BV84" s="230">
        <v>6489310</v>
      </c>
      <c r="BW84" s="230">
        <v>4120983</v>
      </c>
      <c r="BX84" s="229">
        <v>0.63500000000000001</v>
      </c>
      <c r="BY84" s="230">
        <v>1551</v>
      </c>
      <c r="BZ84" s="230">
        <v>1567</v>
      </c>
      <c r="CA84" s="228">
        <v>-16</v>
      </c>
      <c r="CB84" s="229">
        <v>-9.9000000000000008E-3</v>
      </c>
      <c r="CC84" s="230">
        <v>1439</v>
      </c>
      <c r="CD84" s="230">
        <v>1482</v>
      </c>
      <c r="CE84" s="228">
        <v>-43</v>
      </c>
      <c r="CF84" s="229">
        <v>-2.9100000000000001E-2</v>
      </c>
      <c r="CG84" s="228">
        <v>105</v>
      </c>
      <c r="CH84" s="228">
        <v>78</v>
      </c>
      <c r="CI84" s="228">
        <v>27</v>
      </c>
      <c r="CJ84" s="229">
        <v>0.35010000000000002</v>
      </c>
      <c r="CK84" s="228">
        <v>8</v>
      </c>
      <c r="CL84" s="228">
        <v>7</v>
      </c>
      <c r="CM84" s="228">
        <v>0</v>
      </c>
      <c r="CN84" s="229">
        <v>5.3800000000000001E-2</v>
      </c>
      <c r="CO84" s="228">
        <v>726</v>
      </c>
      <c r="CP84" s="228">
        <v>751</v>
      </c>
      <c r="CQ84" s="228">
        <v>-25</v>
      </c>
      <c r="CR84" s="229">
        <v>-3.3099999999999997E-2</v>
      </c>
      <c r="CS84" s="228">
        <v>659</v>
      </c>
      <c r="CT84" s="228">
        <v>634</v>
      </c>
      <c r="CU84" s="228">
        <v>25</v>
      </c>
      <c r="CV84" s="229">
        <v>3.9699999999999999E-2</v>
      </c>
      <c r="CW84" s="230">
        <v>2936</v>
      </c>
      <c r="CX84" s="230">
        <v>2951</v>
      </c>
      <c r="CY84" s="228">
        <v>-15</v>
      </c>
      <c r="CZ84" s="229">
        <v>-5.1999999999999998E-3</v>
      </c>
      <c r="DA84" s="228">
        <v>46.92</v>
      </c>
      <c r="DB84" s="228">
        <v>42.16</v>
      </c>
      <c r="DC84" s="228">
        <v>4.76</v>
      </c>
      <c r="DD84" s="228">
        <v>4.76</v>
      </c>
      <c r="DE84" s="228">
        <v>44.29</v>
      </c>
      <c r="DF84" s="228">
        <v>44.29</v>
      </c>
      <c r="DG84" s="228">
        <v>2.63</v>
      </c>
      <c r="DH84" s="228">
        <v>0</v>
      </c>
      <c r="DI84" s="228">
        <v>45.94</v>
      </c>
      <c r="DJ84" s="228">
        <v>39.82</v>
      </c>
      <c r="DK84" s="228">
        <v>6.12</v>
      </c>
      <c r="DL84" s="228">
        <v>6.12</v>
      </c>
      <c r="DM84" s="228">
        <v>48.59</v>
      </c>
      <c r="DN84" s="228">
        <v>45.13</v>
      </c>
      <c r="DO84" s="228">
        <v>3.46</v>
      </c>
      <c r="DP84" s="228">
        <v>3.46</v>
      </c>
      <c r="DQ84" s="228">
        <v>0.91</v>
      </c>
      <c r="DR84" s="228">
        <v>0.84</v>
      </c>
      <c r="DS84" s="228">
        <v>7.0000000000000007E-2</v>
      </c>
      <c r="DT84" s="229">
        <v>8.3299999999999999E-2</v>
      </c>
      <c r="DU84" s="228">
        <v>400</v>
      </c>
      <c r="DV84" s="228">
        <v>350</v>
      </c>
      <c r="DW84" s="228">
        <v>0.59</v>
      </c>
      <c r="DX84" s="228">
        <v>0.79</v>
      </c>
      <c r="DY84" s="228">
        <v>-0.2</v>
      </c>
      <c r="DZ84" s="229">
        <v>-0.25319999999999998</v>
      </c>
      <c r="EA84" s="229">
        <v>7.2499999999999995E-2</v>
      </c>
      <c r="EB84" s="230">
        <v>2241675</v>
      </c>
      <c r="EC84" s="229">
        <v>5.7999999999999996E-3</v>
      </c>
      <c r="ED84" s="229">
        <v>7.2499999999999995E-2</v>
      </c>
      <c r="EE84" s="228">
        <v>2.06</v>
      </c>
      <c r="EF84" s="229">
        <v>5.4999999999999997E-3</v>
      </c>
      <c r="EG84" s="230">
        <v>4916587</v>
      </c>
      <c r="EH84" s="230">
        <v>2850536</v>
      </c>
      <c r="EI84" s="229">
        <v>0.7248</v>
      </c>
      <c r="EJ84" s="229">
        <v>0.46339999999999998</v>
      </c>
      <c r="EK84" s="231">
        <v>1465.28</v>
      </c>
      <c r="EL84" s="228">
        <v>793.49</v>
      </c>
      <c r="EM84" s="228">
        <v>559.49</v>
      </c>
      <c r="EN84" s="228">
        <v>47.03</v>
      </c>
      <c r="EO84" s="231">
        <v>2818.26</v>
      </c>
      <c r="EP84" s="231">
        <v>1416.99</v>
      </c>
      <c r="EQ84" s="231">
        <v>1401.28</v>
      </c>
      <c r="ER84" s="229">
        <v>0.9889</v>
      </c>
      <c r="ES84" s="228">
        <v>728.02</v>
      </c>
      <c r="ET84" s="228">
        <v>596.82000000000005</v>
      </c>
      <c r="EU84" s="231">
        <v>1551.92</v>
      </c>
      <c r="EV84" s="231">
        <v>143933168</v>
      </c>
      <c r="EW84" s="231">
        <v>2876.76</v>
      </c>
      <c r="EX84" s="231">
        <v>2858.78</v>
      </c>
      <c r="EY84" s="228">
        <v>17.98</v>
      </c>
      <c r="EZ84" s="229">
        <v>6.3E-3</v>
      </c>
      <c r="FA84" s="229">
        <v>0.53839999999999999</v>
      </c>
      <c r="FB84" s="227" t="s">
        <v>693</v>
      </c>
      <c r="FC84">
        <f t="shared" si="1"/>
        <v>112</v>
      </c>
    </row>
    <row r="85" spans="1:159" ht="17.25" thickBot="1" x14ac:dyDescent="0.3">
      <c r="A85" s="226">
        <v>46132</v>
      </c>
      <c r="B85" s="227" t="s">
        <v>168</v>
      </c>
      <c r="C85" s="227" t="s">
        <v>230</v>
      </c>
      <c r="D85" s="228">
        <v>300</v>
      </c>
      <c r="E85" s="228">
        <v>8</v>
      </c>
      <c r="F85" s="231">
        <v>2235.1999999999998</v>
      </c>
      <c r="G85" s="231">
        <v>2240.6999999999998</v>
      </c>
      <c r="H85" s="228">
        <v>-5.5</v>
      </c>
      <c r="I85" s="229">
        <v>-2.5000000000000001E-3</v>
      </c>
      <c r="J85" s="231">
        <v>2231.5</v>
      </c>
      <c r="K85" s="231">
        <v>2240.8000000000002</v>
      </c>
      <c r="L85" s="228">
        <v>-9.3000000000000007</v>
      </c>
      <c r="M85" s="229">
        <v>-4.1999999999999997E-3</v>
      </c>
      <c r="N85" s="231">
        <v>2235.1999999999998</v>
      </c>
      <c r="O85" s="231">
        <v>2240.6999999999998</v>
      </c>
      <c r="P85" s="228">
        <v>-5.5</v>
      </c>
      <c r="Q85" s="229">
        <v>-2.5000000000000001E-3</v>
      </c>
      <c r="R85" s="231">
        <v>2245.4</v>
      </c>
      <c r="S85" s="231">
        <v>2251.4</v>
      </c>
      <c r="T85" s="228">
        <v>-6</v>
      </c>
      <c r="U85" s="229">
        <v>-2.7000000000000001E-3</v>
      </c>
      <c r="V85" s="231">
        <v>2237.5</v>
      </c>
      <c r="W85" s="231">
        <v>2237.8000000000002</v>
      </c>
      <c r="X85" s="228">
        <v>-0.3</v>
      </c>
      <c r="Y85" s="229">
        <v>-1E-4</v>
      </c>
      <c r="Z85" s="228">
        <v>3.7</v>
      </c>
      <c r="AA85" s="228">
        <v>-0.1</v>
      </c>
      <c r="AB85" s="228">
        <v>3.8</v>
      </c>
      <c r="AC85" s="229">
        <v>1.6999999999999999E-3</v>
      </c>
      <c r="AD85" s="228">
        <v>3.7</v>
      </c>
      <c r="AE85" s="228">
        <v>-0.1</v>
      </c>
      <c r="AF85" s="228">
        <v>3.8</v>
      </c>
      <c r="AG85" s="229">
        <v>1.6999999999999999E-3</v>
      </c>
      <c r="AH85" s="228">
        <v>13.9</v>
      </c>
      <c r="AI85" s="228">
        <v>10.6</v>
      </c>
      <c r="AJ85" s="228">
        <v>3.3</v>
      </c>
      <c r="AK85" s="229">
        <v>6.1999999999999998E-3</v>
      </c>
      <c r="AL85" s="228">
        <v>6</v>
      </c>
      <c r="AM85" s="228">
        <v>-3</v>
      </c>
      <c r="AN85" s="228">
        <v>9</v>
      </c>
      <c r="AO85" s="229">
        <v>2.7000000000000001E-3</v>
      </c>
      <c r="AP85" s="231">
        <v>2240.6</v>
      </c>
      <c r="AQ85" s="231">
        <v>2251.3200000000002</v>
      </c>
      <c r="AR85" s="228">
        <v>0</v>
      </c>
      <c r="AS85" s="228">
        <v>304</v>
      </c>
      <c r="AT85" s="230">
        <v>1092</v>
      </c>
      <c r="AU85" s="228">
        <v>-788</v>
      </c>
      <c r="AV85" s="229">
        <v>-0.72160000000000002</v>
      </c>
      <c r="AW85" s="228">
        <v>241</v>
      </c>
      <c r="AX85" s="228">
        <v>970</v>
      </c>
      <c r="AY85" s="228">
        <v>-729</v>
      </c>
      <c r="AZ85" s="229">
        <v>-0.75170000000000003</v>
      </c>
      <c r="BA85" s="228">
        <v>57</v>
      </c>
      <c r="BB85" s="228">
        <v>100</v>
      </c>
      <c r="BC85" s="228">
        <v>-44</v>
      </c>
      <c r="BD85" s="229">
        <v>-0.43519999999999998</v>
      </c>
      <c r="BE85" s="228">
        <v>7</v>
      </c>
      <c r="BF85" s="228">
        <v>22</v>
      </c>
      <c r="BG85" s="228">
        <v>-15</v>
      </c>
      <c r="BH85" s="229">
        <v>-0.70250000000000001</v>
      </c>
      <c r="BI85" s="230">
        <v>1798</v>
      </c>
      <c r="BJ85" s="230">
        <v>8646</v>
      </c>
      <c r="BK85" s="230">
        <v>-6848</v>
      </c>
      <c r="BL85" s="229">
        <v>-0.79200000000000004</v>
      </c>
      <c r="BM85" s="230">
        <v>1176</v>
      </c>
      <c r="BN85" s="230">
        <v>3650</v>
      </c>
      <c r="BO85" s="230">
        <v>-2474</v>
      </c>
      <c r="BP85" s="229">
        <v>-0.67779999999999996</v>
      </c>
      <c r="BQ85" s="230">
        <v>3278</v>
      </c>
      <c r="BR85" s="230">
        <v>13388</v>
      </c>
      <c r="BS85" s="230">
        <v>-10110</v>
      </c>
      <c r="BT85" s="229">
        <v>-0.75509999999999999</v>
      </c>
      <c r="BU85" s="230">
        <v>1564228</v>
      </c>
      <c r="BV85" s="230">
        <v>5144290</v>
      </c>
      <c r="BW85" s="230">
        <v>-3580062</v>
      </c>
      <c r="BX85" s="229">
        <v>-0.69589999999999996</v>
      </c>
      <c r="BY85" s="230">
        <v>4032</v>
      </c>
      <c r="BZ85" s="230">
        <v>4018</v>
      </c>
      <c r="CA85" s="228">
        <v>14</v>
      </c>
      <c r="CB85" s="229">
        <v>3.5000000000000001E-3</v>
      </c>
      <c r="CC85" s="230">
        <v>3782</v>
      </c>
      <c r="CD85" s="230">
        <v>3789</v>
      </c>
      <c r="CE85" s="228">
        <v>-7</v>
      </c>
      <c r="CF85" s="229">
        <v>-2E-3</v>
      </c>
      <c r="CG85" s="228">
        <v>208</v>
      </c>
      <c r="CH85" s="228">
        <v>188</v>
      </c>
      <c r="CI85" s="228">
        <v>20</v>
      </c>
      <c r="CJ85" s="229">
        <v>0.1057</v>
      </c>
      <c r="CK85" s="228">
        <v>42</v>
      </c>
      <c r="CL85" s="228">
        <v>40</v>
      </c>
      <c r="CM85" s="228">
        <v>1</v>
      </c>
      <c r="CN85" s="229">
        <v>3.49E-2</v>
      </c>
      <c r="CO85" s="230">
        <v>1485</v>
      </c>
      <c r="CP85" s="230">
        <v>1574</v>
      </c>
      <c r="CQ85" s="228">
        <v>-89</v>
      </c>
      <c r="CR85" s="229">
        <v>-5.6800000000000003E-2</v>
      </c>
      <c r="CS85" s="230">
        <v>1095</v>
      </c>
      <c r="CT85" s="230">
        <v>1108</v>
      </c>
      <c r="CU85" s="228">
        <v>-14</v>
      </c>
      <c r="CV85" s="229">
        <v>-1.23E-2</v>
      </c>
      <c r="CW85" s="230">
        <v>6611</v>
      </c>
      <c r="CX85" s="230">
        <v>6701</v>
      </c>
      <c r="CY85" s="228">
        <v>-89</v>
      </c>
      <c r="CZ85" s="229">
        <v>-1.3299999999999999E-2</v>
      </c>
      <c r="DA85" s="228">
        <v>25.4</v>
      </c>
      <c r="DB85" s="228">
        <v>23.32</v>
      </c>
      <c r="DC85" s="228">
        <v>2.08</v>
      </c>
      <c r="DD85" s="228">
        <v>2.08</v>
      </c>
      <c r="DE85" s="228">
        <v>23.88</v>
      </c>
      <c r="DF85" s="228">
        <v>23.93</v>
      </c>
      <c r="DG85" s="228">
        <v>1.52</v>
      </c>
      <c r="DH85" s="228">
        <v>-0.05</v>
      </c>
      <c r="DI85" s="228">
        <v>24.8</v>
      </c>
      <c r="DJ85" s="228">
        <v>22.79</v>
      </c>
      <c r="DK85" s="228">
        <v>2.0099999999999998</v>
      </c>
      <c r="DL85" s="228">
        <v>2.0099999999999998</v>
      </c>
      <c r="DM85" s="228">
        <v>26.31</v>
      </c>
      <c r="DN85" s="228">
        <v>24.59</v>
      </c>
      <c r="DO85" s="228">
        <v>1.72</v>
      </c>
      <c r="DP85" s="228">
        <v>1.72</v>
      </c>
      <c r="DQ85" s="228">
        <v>0.74</v>
      </c>
      <c r="DR85" s="228">
        <v>0.7</v>
      </c>
      <c r="DS85" s="228">
        <v>0.04</v>
      </c>
      <c r="DT85" s="229">
        <v>5.7099999999999998E-2</v>
      </c>
      <c r="DU85" s="231">
        <v>2260</v>
      </c>
      <c r="DV85" s="231">
        <v>1900</v>
      </c>
      <c r="DW85" s="228">
        <v>0.65</v>
      </c>
      <c r="DX85" s="228">
        <v>0.42</v>
      </c>
      <c r="DY85" s="228">
        <v>0.23</v>
      </c>
      <c r="DZ85" s="229">
        <v>0.54759999999999998</v>
      </c>
      <c r="EA85" s="229">
        <v>6.2E-2</v>
      </c>
      <c r="EB85" s="230">
        <v>1023300</v>
      </c>
      <c r="EC85" s="229">
        <v>4.5999999999999999E-3</v>
      </c>
      <c r="ED85" s="229">
        <v>6.2E-2</v>
      </c>
      <c r="EE85" s="228">
        <v>10.72</v>
      </c>
      <c r="EF85" s="229">
        <v>4.7999999999999996E-3</v>
      </c>
      <c r="EG85" s="230">
        <v>895910</v>
      </c>
      <c r="EH85" s="230">
        <v>2985003</v>
      </c>
      <c r="EI85" s="229">
        <v>-0.69989999999999997</v>
      </c>
      <c r="EJ85" s="229">
        <v>0.57269999999999999</v>
      </c>
      <c r="EK85" s="231">
        <v>1856.67</v>
      </c>
      <c r="EL85" s="231">
        <v>1154.73</v>
      </c>
      <c r="EM85" s="228">
        <v>305.04000000000002</v>
      </c>
      <c r="EN85" s="228">
        <v>82.55</v>
      </c>
      <c r="EO85" s="231">
        <v>3316.43</v>
      </c>
      <c r="EP85" s="231">
        <v>13535.87</v>
      </c>
      <c r="EQ85" s="231">
        <v>-10219.44</v>
      </c>
      <c r="ER85" s="229">
        <v>-0.755</v>
      </c>
      <c r="ES85" s="231">
        <v>1491.08</v>
      </c>
      <c r="ET85" s="231">
        <v>1032.06</v>
      </c>
      <c r="EU85" s="231">
        <v>4032.6</v>
      </c>
      <c r="EV85" s="231">
        <v>89517840</v>
      </c>
      <c r="EW85" s="231">
        <v>6555.74</v>
      </c>
      <c r="EX85" s="231">
        <v>6652.4</v>
      </c>
      <c r="EY85" s="228">
        <v>-96.66</v>
      </c>
      <c r="EZ85" s="229">
        <v>-1.4500000000000001E-2</v>
      </c>
      <c r="FA85" s="229">
        <v>0.33040000000000003</v>
      </c>
      <c r="FB85" s="227" t="s">
        <v>566</v>
      </c>
      <c r="FC85">
        <f t="shared" si="1"/>
        <v>250</v>
      </c>
    </row>
    <row r="86" spans="1:159" ht="17.25" thickBot="1" x14ac:dyDescent="0.3">
      <c r="A86" s="226">
        <v>46132</v>
      </c>
      <c r="B86" s="227" t="s">
        <v>227</v>
      </c>
      <c r="C86" s="227" t="s">
        <v>666</v>
      </c>
      <c r="D86" s="228">
        <v>1225</v>
      </c>
      <c r="E86" s="228">
        <v>8</v>
      </c>
      <c r="F86" s="228">
        <v>590.29999999999995</v>
      </c>
      <c r="G86" s="228">
        <v>593.20000000000005</v>
      </c>
      <c r="H86" s="228">
        <v>-2.9</v>
      </c>
      <c r="I86" s="229">
        <v>-4.8999999999999998E-3</v>
      </c>
      <c r="J86" s="228">
        <v>590.29999999999995</v>
      </c>
      <c r="K86" s="228">
        <v>592.29999999999995</v>
      </c>
      <c r="L86" s="228">
        <v>-2</v>
      </c>
      <c r="M86" s="229">
        <v>-3.3999999999999998E-3</v>
      </c>
      <c r="N86" s="228">
        <v>590.29999999999995</v>
      </c>
      <c r="O86" s="228">
        <v>593.20000000000005</v>
      </c>
      <c r="P86" s="228">
        <v>-2.9</v>
      </c>
      <c r="Q86" s="229">
        <v>-4.8999999999999998E-3</v>
      </c>
      <c r="R86" s="228">
        <v>593.25</v>
      </c>
      <c r="S86" s="228">
        <v>596.95000000000005</v>
      </c>
      <c r="T86" s="228">
        <v>-3.7</v>
      </c>
      <c r="U86" s="229">
        <v>-6.1999999999999998E-3</v>
      </c>
      <c r="V86" s="228">
        <v>596.9</v>
      </c>
      <c r="W86" s="228">
        <v>598.65</v>
      </c>
      <c r="X86" s="228">
        <v>-1.75</v>
      </c>
      <c r="Y86" s="229">
        <v>-2.8999999999999998E-3</v>
      </c>
      <c r="Z86" s="228">
        <v>0</v>
      </c>
      <c r="AA86" s="228">
        <v>0.9</v>
      </c>
      <c r="AB86" s="228">
        <v>-0.9</v>
      </c>
      <c r="AC86" s="229">
        <v>0</v>
      </c>
      <c r="AD86" s="228">
        <v>0</v>
      </c>
      <c r="AE86" s="228">
        <v>0.9</v>
      </c>
      <c r="AF86" s="228">
        <v>-0.9</v>
      </c>
      <c r="AG86" s="229">
        <v>0</v>
      </c>
      <c r="AH86" s="228">
        <v>2.95</v>
      </c>
      <c r="AI86" s="228">
        <v>4.6500000000000004</v>
      </c>
      <c r="AJ86" s="228">
        <v>-1.7</v>
      </c>
      <c r="AK86" s="229">
        <v>5.0000000000000001E-3</v>
      </c>
      <c r="AL86" s="228">
        <v>6.6</v>
      </c>
      <c r="AM86" s="228">
        <v>6.35</v>
      </c>
      <c r="AN86" s="228">
        <v>0.25</v>
      </c>
      <c r="AO86" s="229">
        <v>1.12E-2</v>
      </c>
      <c r="AP86" s="228">
        <v>588.54</v>
      </c>
      <c r="AQ86" s="228">
        <v>592.84</v>
      </c>
      <c r="AR86" s="228">
        <v>0</v>
      </c>
      <c r="AS86" s="228">
        <v>276</v>
      </c>
      <c r="AT86" s="228">
        <v>327</v>
      </c>
      <c r="AU86" s="228">
        <v>-50</v>
      </c>
      <c r="AV86" s="229">
        <v>-0.15440000000000001</v>
      </c>
      <c r="AW86" s="228">
        <v>167</v>
      </c>
      <c r="AX86" s="228">
        <v>252</v>
      </c>
      <c r="AY86" s="228">
        <v>-85</v>
      </c>
      <c r="AZ86" s="229">
        <v>-0.33860000000000001</v>
      </c>
      <c r="BA86" s="228">
        <v>106</v>
      </c>
      <c r="BB86" s="228">
        <v>71</v>
      </c>
      <c r="BC86" s="228">
        <v>35</v>
      </c>
      <c r="BD86" s="229">
        <v>0.49590000000000001</v>
      </c>
      <c r="BE86" s="228">
        <v>3</v>
      </c>
      <c r="BF86" s="228">
        <v>4</v>
      </c>
      <c r="BG86" s="228">
        <v>-1</v>
      </c>
      <c r="BH86" s="229">
        <v>-0.1273</v>
      </c>
      <c r="BI86" s="230">
        <v>1072</v>
      </c>
      <c r="BJ86" s="228">
        <v>954</v>
      </c>
      <c r="BK86" s="228">
        <v>118</v>
      </c>
      <c r="BL86" s="229">
        <v>0.1242</v>
      </c>
      <c r="BM86" s="228">
        <v>621</v>
      </c>
      <c r="BN86" s="228">
        <v>569</v>
      </c>
      <c r="BO86" s="228">
        <v>52</v>
      </c>
      <c r="BP86" s="229">
        <v>9.1300000000000006E-2</v>
      </c>
      <c r="BQ86" s="230">
        <v>1970</v>
      </c>
      <c r="BR86" s="230">
        <v>1850</v>
      </c>
      <c r="BS86" s="228">
        <v>120</v>
      </c>
      <c r="BT86" s="229">
        <v>6.4799999999999996E-2</v>
      </c>
      <c r="BU86" s="230">
        <v>4427869</v>
      </c>
      <c r="BV86" s="230">
        <v>3168321</v>
      </c>
      <c r="BW86" s="230">
        <v>1259548</v>
      </c>
      <c r="BX86" s="229">
        <v>0.39750000000000002</v>
      </c>
      <c r="BY86" s="230">
        <v>2186</v>
      </c>
      <c r="BZ86" s="230">
        <v>2161</v>
      </c>
      <c r="CA86" s="228">
        <v>25</v>
      </c>
      <c r="CB86" s="229">
        <v>1.17E-2</v>
      </c>
      <c r="CC86" s="230">
        <v>1897</v>
      </c>
      <c r="CD86" s="230">
        <v>1922</v>
      </c>
      <c r="CE86" s="228">
        <v>-25</v>
      </c>
      <c r="CF86" s="229">
        <v>-1.32E-2</v>
      </c>
      <c r="CG86" s="228">
        <v>263</v>
      </c>
      <c r="CH86" s="228">
        <v>211</v>
      </c>
      <c r="CI86" s="228">
        <v>52</v>
      </c>
      <c r="CJ86" s="229">
        <v>0.2455</v>
      </c>
      <c r="CK86" s="228">
        <v>27</v>
      </c>
      <c r="CL86" s="228">
        <v>28</v>
      </c>
      <c r="CM86" s="228">
        <v>-1</v>
      </c>
      <c r="CN86" s="229">
        <v>-3.6299999999999999E-2</v>
      </c>
      <c r="CO86" s="230">
        <v>1252</v>
      </c>
      <c r="CP86" s="230">
        <v>1234</v>
      </c>
      <c r="CQ86" s="228">
        <v>18</v>
      </c>
      <c r="CR86" s="229">
        <v>1.43E-2</v>
      </c>
      <c r="CS86" s="228">
        <v>978</v>
      </c>
      <c r="CT86" s="228">
        <v>985</v>
      </c>
      <c r="CU86" s="228">
        <v>-7</v>
      </c>
      <c r="CV86" s="229">
        <v>-7.3000000000000001E-3</v>
      </c>
      <c r="CW86" s="230">
        <v>4416</v>
      </c>
      <c r="CX86" s="230">
        <v>4380</v>
      </c>
      <c r="CY86" s="228">
        <v>36</v>
      </c>
      <c r="CZ86" s="229">
        <v>8.2000000000000007E-3</v>
      </c>
      <c r="DA86" s="228">
        <v>46.37</v>
      </c>
      <c r="DB86" s="228">
        <v>43.38</v>
      </c>
      <c r="DC86" s="228">
        <v>2.99</v>
      </c>
      <c r="DD86" s="228">
        <v>2.99</v>
      </c>
      <c r="DE86" s="228">
        <v>50.43</v>
      </c>
      <c r="DF86" s="228">
        <v>50.55</v>
      </c>
      <c r="DG86" s="228">
        <v>-4.0599999999999996</v>
      </c>
      <c r="DH86" s="228">
        <v>-0.12</v>
      </c>
      <c r="DI86" s="228">
        <v>46.23</v>
      </c>
      <c r="DJ86" s="228">
        <v>42.34</v>
      </c>
      <c r="DK86" s="228">
        <v>3.89</v>
      </c>
      <c r="DL86" s="228">
        <v>3.89</v>
      </c>
      <c r="DM86" s="228">
        <v>46.62</v>
      </c>
      <c r="DN86" s="228">
        <v>45.13</v>
      </c>
      <c r="DO86" s="228">
        <v>1.49</v>
      </c>
      <c r="DP86" s="228">
        <v>1.49</v>
      </c>
      <c r="DQ86" s="228">
        <v>0.78</v>
      </c>
      <c r="DR86" s="228">
        <v>0.8</v>
      </c>
      <c r="DS86" s="228">
        <v>-0.02</v>
      </c>
      <c r="DT86" s="229">
        <v>-2.5000000000000001E-2</v>
      </c>
      <c r="DU86" s="228">
        <v>600</v>
      </c>
      <c r="DV86" s="228">
        <v>550</v>
      </c>
      <c r="DW86" s="228">
        <v>0.57999999999999996</v>
      </c>
      <c r="DX86" s="228">
        <v>0.6</v>
      </c>
      <c r="DY86" s="228">
        <v>-0.02</v>
      </c>
      <c r="DZ86" s="229">
        <v>-3.3300000000000003E-2</v>
      </c>
      <c r="EA86" s="229">
        <v>0.13250000000000001</v>
      </c>
      <c r="EB86" s="230">
        <v>4046175</v>
      </c>
      <c r="EC86" s="229">
        <v>5.0000000000000001E-3</v>
      </c>
      <c r="ED86" s="229">
        <v>0.13250000000000001</v>
      </c>
      <c r="EE86" s="228">
        <v>4.3</v>
      </c>
      <c r="EF86" s="229">
        <v>7.3000000000000001E-3</v>
      </c>
      <c r="EG86" s="230">
        <v>2027888</v>
      </c>
      <c r="EH86" s="230">
        <v>944338</v>
      </c>
      <c r="EI86" s="229">
        <v>1.1474</v>
      </c>
      <c r="EJ86" s="229">
        <v>0.45800000000000002</v>
      </c>
      <c r="EK86" s="231">
        <v>1132.4100000000001</v>
      </c>
      <c r="EL86" s="228">
        <v>614.92999999999995</v>
      </c>
      <c r="EM86" s="228">
        <v>276.45</v>
      </c>
      <c r="EN86" s="228">
        <v>50.17</v>
      </c>
      <c r="EO86" s="231">
        <v>2023.79</v>
      </c>
      <c r="EP86" s="231">
        <v>1888.95</v>
      </c>
      <c r="EQ86" s="228">
        <v>134.84</v>
      </c>
      <c r="ER86" s="229">
        <v>7.1400000000000005E-2</v>
      </c>
      <c r="ES86" s="231">
        <v>1251.1600000000001</v>
      </c>
      <c r="ET86" s="228">
        <v>904.23</v>
      </c>
      <c r="EU86" s="231">
        <v>2187.7399999999998</v>
      </c>
      <c r="EV86" s="231">
        <v>241870587</v>
      </c>
      <c r="EW86" s="231">
        <v>4343.13</v>
      </c>
      <c r="EX86" s="231">
        <v>4315.3</v>
      </c>
      <c r="EY86" s="228">
        <v>27.83</v>
      </c>
      <c r="EZ86" s="229">
        <v>6.4000000000000003E-3</v>
      </c>
      <c r="FA86" s="229">
        <v>0.30930000000000002</v>
      </c>
      <c r="FB86" s="227" t="s">
        <v>566</v>
      </c>
      <c r="FC86">
        <f t="shared" si="1"/>
        <v>289</v>
      </c>
    </row>
    <row r="87" spans="1:159" ht="17.25" thickBot="1" x14ac:dyDescent="0.3">
      <c r="A87" s="226">
        <v>46132</v>
      </c>
      <c r="B87" s="227" t="s">
        <v>206</v>
      </c>
      <c r="C87" s="227" t="s">
        <v>607</v>
      </c>
      <c r="D87" s="228">
        <v>2775</v>
      </c>
      <c r="E87" s="228">
        <v>8</v>
      </c>
      <c r="F87" s="228">
        <v>199.26</v>
      </c>
      <c r="G87" s="228">
        <v>197.6</v>
      </c>
      <c r="H87" s="228">
        <v>1.66</v>
      </c>
      <c r="I87" s="229">
        <v>8.3999999999999995E-3</v>
      </c>
      <c r="J87" s="228">
        <v>199.4</v>
      </c>
      <c r="K87" s="228">
        <v>196.91</v>
      </c>
      <c r="L87" s="228">
        <v>2.4900000000000002</v>
      </c>
      <c r="M87" s="229">
        <v>1.26E-2</v>
      </c>
      <c r="N87" s="228">
        <v>199.26</v>
      </c>
      <c r="O87" s="228">
        <v>197.6</v>
      </c>
      <c r="P87" s="228">
        <v>1.66</v>
      </c>
      <c r="Q87" s="229">
        <v>8.3999999999999995E-3</v>
      </c>
      <c r="R87" s="228">
        <v>0</v>
      </c>
      <c r="S87" s="228">
        <v>0</v>
      </c>
      <c r="T87" s="228">
        <v>0</v>
      </c>
      <c r="U87" s="229">
        <v>0</v>
      </c>
      <c r="V87" s="228">
        <v>0</v>
      </c>
      <c r="W87" s="228">
        <v>0</v>
      </c>
      <c r="X87" s="228">
        <v>0</v>
      </c>
      <c r="Y87" s="229">
        <v>0</v>
      </c>
      <c r="Z87" s="228">
        <v>-0.14000000000000001</v>
      </c>
      <c r="AA87" s="228">
        <v>0.69</v>
      </c>
      <c r="AB87" s="228">
        <v>-0.83</v>
      </c>
      <c r="AC87" s="229">
        <v>-6.9999999999999999E-4</v>
      </c>
      <c r="AD87" s="228">
        <v>-0.14000000000000001</v>
      </c>
      <c r="AE87" s="228">
        <v>0.69</v>
      </c>
      <c r="AF87" s="228">
        <v>-0.83</v>
      </c>
      <c r="AG87" s="229">
        <v>-6.9999999999999999E-4</v>
      </c>
      <c r="AH87" s="228">
        <v>0</v>
      </c>
      <c r="AI87" s="228">
        <v>0</v>
      </c>
      <c r="AJ87" s="228">
        <v>0</v>
      </c>
      <c r="AK87" s="229">
        <v>0</v>
      </c>
      <c r="AL87" s="228">
        <v>0</v>
      </c>
      <c r="AM87" s="228">
        <v>0</v>
      </c>
      <c r="AN87" s="228">
        <v>0</v>
      </c>
      <c r="AO87" s="229">
        <v>0</v>
      </c>
      <c r="AP87" s="228">
        <v>199.55</v>
      </c>
      <c r="AQ87" s="228">
        <v>0</v>
      </c>
      <c r="AR87" s="228">
        <v>0</v>
      </c>
      <c r="AS87" s="228">
        <v>131</v>
      </c>
      <c r="AT87" s="228">
        <v>154</v>
      </c>
      <c r="AU87" s="228">
        <v>-23</v>
      </c>
      <c r="AV87" s="229">
        <v>-0.14649999999999999</v>
      </c>
      <c r="AW87" s="228">
        <v>131</v>
      </c>
      <c r="AX87" s="228">
        <v>154</v>
      </c>
      <c r="AY87" s="228">
        <v>-23</v>
      </c>
      <c r="AZ87" s="229">
        <v>-0.14649999999999999</v>
      </c>
      <c r="BA87" s="228">
        <v>0</v>
      </c>
      <c r="BB87" s="228">
        <v>0</v>
      </c>
      <c r="BC87" s="228">
        <v>0</v>
      </c>
      <c r="BD87" s="229">
        <v>0</v>
      </c>
      <c r="BE87" s="228">
        <v>0</v>
      </c>
      <c r="BF87" s="228">
        <v>0</v>
      </c>
      <c r="BG87" s="228">
        <v>0</v>
      </c>
      <c r="BH87" s="229">
        <v>0</v>
      </c>
      <c r="BI87" s="228">
        <v>539</v>
      </c>
      <c r="BJ87" s="228">
        <v>481</v>
      </c>
      <c r="BK87" s="228">
        <v>58</v>
      </c>
      <c r="BL87" s="229">
        <v>0.1207</v>
      </c>
      <c r="BM87" s="228">
        <v>278</v>
      </c>
      <c r="BN87" s="228">
        <v>274</v>
      </c>
      <c r="BO87" s="228">
        <v>4</v>
      </c>
      <c r="BP87" s="229">
        <v>1.3899999999999999E-2</v>
      </c>
      <c r="BQ87" s="228">
        <v>948</v>
      </c>
      <c r="BR87" s="228">
        <v>908</v>
      </c>
      <c r="BS87" s="228">
        <v>39</v>
      </c>
      <c r="BT87" s="229">
        <v>4.3200000000000002E-2</v>
      </c>
      <c r="BU87" s="230">
        <v>8152717</v>
      </c>
      <c r="BV87" s="230">
        <v>6783178</v>
      </c>
      <c r="BW87" s="230">
        <v>1369539</v>
      </c>
      <c r="BX87" s="229">
        <v>0.2019</v>
      </c>
      <c r="BY87" s="228">
        <v>518</v>
      </c>
      <c r="BZ87" s="228">
        <v>552</v>
      </c>
      <c r="CA87" s="228">
        <v>-34</v>
      </c>
      <c r="CB87" s="229">
        <v>-6.08E-2</v>
      </c>
      <c r="CC87" s="228">
        <v>518</v>
      </c>
      <c r="CD87" s="228">
        <v>552</v>
      </c>
      <c r="CE87" s="228">
        <v>-34</v>
      </c>
      <c r="CF87" s="229">
        <v>-6.08E-2</v>
      </c>
      <c r="CG87" s="228">
        <v>0</v>
      </c>
      <c r="CH87" s="228">
        <v>0</v>
      </c>
      <c r="CI87" s="228">
        <v>0</v>
      </c>
      <c r="CJ87" s="229">
        <v>0</v>
      </c>
      <c r="CK87" s="228">
        <v>0</v>
      </c>
      <c r="CL87" s="228">
        <v>0</v>
      </c>
      <c r="CM87" s="228">
        <v>0</v>
      </c>
      <c r="CN87" s="229">
        <v>0</v>
      </c>
      <c r="CO87" s="228">
        <v>231</v>
      </c>
      <c r="CP87" s="228">
        <v>222</v>
      </c>
      <c r="CQ87" s="228">
        <v>9</v>
      </c>
      <c r="CR87" s="229">
        <v>3.9E-2</v>
      </c>
      <c r="CS87" s="228">
        <v>220</v>
      </c>
      <c r="CT87" s="228">
        <v>197</v>
      </c>
      <c r="CU87" s="228">
        <v>23</v>
      </c>
      <c r="CV87" s="229">
        <v>0.1183</v>
      </c>
      <c r="CW87" s="228">
        <v>970</v>
      </c>
      <c r="CX87" s="228">
        <v>971</v>
      </c>
      <c r="CY87" s="228">
        <v>-2</v>
      </c>
      <c r="CZ87" s="229">
        <v>-1.6999999999999999E-3</v>
      </c>
      <c r="DA87" s="228">
        <v>42.88</v>
      </c>
      <c r="DB87" s="228">
        <v>36.89</v>
      </c>
      <c r="DC87" s="228">
        <v>5.99</v>
      </c>
      <c r="DD87" s="228">
        <v>5.99</v>
      </c>
      <c r="DE87" s="228">
        <v>50.23</v>
      </c>
      <c r="DF87" s="228">
        <v>50.34</v>
      </c>
      <c r="DG87" s="228">
        <v>-7.35</v>
      </c>
      <c r="DH87" s="228">
        <v>-0.11</v>
      </c>
      <c r="DI87" s="228">
        <v>40.909999999999997</v>
      </c>
      <c r="DJ87" s="228">
        <v>35.39</v>
      </c>
      <c r="DK87" s="228">
        <v>5.52</v>
      </c>
      <c r="DL87" s="228">
        <v>5.52</v>
      </c>
      <c r="DM87" s="228">
        <v>46.71</v>
      </c>
      <c r="DN87" s="228">
        <v>39.520000000000003</v>
      </c>
      <c r="DO87" s="228">
        <v>7.19</v>
      </c>
      <c r="DP87" s="228">
        <v>7.19</v>
      </c>
      <c r="DQ87" s="228">
        <v>0.95</v>
      </c>
      <c r="DR87" s="228">
        <v>0.89</v>
      </c>
      <c r="DS87" s="228">
        <v>0.06</v>
      </c>
      <c r="DT87" s="229">
        <v>6.7400000000000002E-2</v>
      </c>
      <c r="DU87" s="228">
        <v>210</v>
      </c>
      <c r="DV87" s="228">
        <v>190</v>
      </c>
      <c r="DW87" s="228">
        <v>0.52</v>
      </c>
      <c r="DX87" s="228">
        <v>0.56999999999999995</v>
      </c>
      <c r="DY87" s="228">
        <v>-0.05</v>
      </c>
      <c r="DZ87" s="229">
        <v>-8.77E-2</v>
      </c>
      <c r="EA87" s="229">
        <v>0</v>
      </c>
      <c r="EB87" s="228">
        <v>0</v>
      </c>
      <c r="EC87" s="229">
        <v>0</v>
      </c>
      <c r="ED87" s="229">
        <v>0</v>
      </c>
      <c r="EE87" s="228">
        <v>0</v>
      </c>
      <c r="EF87" s="229">
        <v>0</v>
      </c>
      <c r="EG87" s="230">
        <v>3241486</v>
      </c>
      <c r="EH87" s="230">
        <v>1325856</v>
      </c>
      <c r="EI87" s="229">
        <v>1.4448000000000001</v>
      </c>
      <c r="EJ87" s="229">
        <v>0.39760000000000001</v>
      </c>
      <c r="EK87" s="228">
        <v>564.32000000000005</v>
      </c>
      <c r="EL87" s="228">
        <v>265.97000000000003</v>
      </c>
      <c r="EM87" s="228">
        <v>131.63</v>
      </c>
      <c r="EN87" s="228">
        <v>21.53</v>
      </c>
      <c r="EO87" s="228">
        <v>961.92</v>
      </c>
      <c r="EP87" s="228">
        <v>904.18</v>
      </c>
      <c r="EQ87" s="228">
        <v>57.74</v>
      </c>
      <c r="ER87" s="229">
        <v>6.3899999999999998E-2</v>
      </c>
      <c r="ES87" s="228">
        <v>226.05</v>
      </c>
      <c r="ET87" s="228">
        <v>200.3</v>
      </c>
      <c r="EU87" s="228">
        <v>518.5</v>
      </c>
      <c r="EV87" s="231">
        <v>75071250</v>
      </c>
      <c r="EW87" s="228">
        <v>944.84</v>
      </c>
      <c r="EX87" s="228">
        <v>938.27</v>
      </c>
      <c r="EY87" s="228">
        <v>6.57</v>
      </c>
      <c r="EZ87" s="229">
        <v>7.0000000000000001E-3</v>
      </c>
      <c r="FA87" s="229">
        <v>0.64829999999999999</v>
      </c>
      <c r="FB87" s="227" t="s">
        <v>693</v>
      </c>
      <c r="FC87">
        <f t="shared" si="1"/>
        <v>0</v>
      </c>
    </row>
    <row r="88" spans="1:159" ht="17.25" thickBot="1" x14ac:dyDescent="0.3">
      <c r="A88" s="226">
        <v>46132</v>
      </c>
      <c r="B88" s="227" t="s">
        <v>162</v>
      </c>
      <c r="C88" s="227" t="s">
        <v>694</v>
      </c>
      <c r="D88" s="228">
        <v>275</v>
      </c>
      <c r="E88" s="228">
        <v>8</v>
      </c>
      <c r="F88" s="231">
        <v>1868.7</v>
      </c>
      <c r="G88" s="231">
        <v>1869.4</v>
      </c>
      <c r="H88" s="228">
        <v>-0.7</v>
      </c>
      <c r="I88" s="229">
        <v>-4.0000000000000002E-4</v>
      </c>
      <c r="J88" s="231">
        <v>1886</v>
      </c>
      <c r="K88" s="231">
        <v>1902.8</v>
      </c>
      <c r="L88" s="228">
        <v>-16.8</v>
      </c>
      <c r="M88" s="229">
        <v>-8.8000000000000005E-3</v>
      </c>
      <c r="N88" s="231">
        <v>1868.7</v>
      </c>
      <c r="O88" s="231">
        <v>1869.4</v>
      </c>
      <c r="P88" s="228">
        <v>-0.7</v>
      </c>
      <c r="Q88" s="229">
        <v>-4.0000000000000002E-4</v>
      </c>
      <c r="R88" s="231">
        <v>1840.1</v>
      </c>
      <c r="S88" s="231">
        <v>1838</v>
      </c>
      <c r="T88" s="228">
        <v>2.1</v>
      </c>
      <c r="U88" s="229">
        <v>1.1000000000000001E-3</v>
      </c>
      <c r="V88" s="231">
        <v>1827.9</v>
      </c>
      <c r="W88" s="231">
        <v>1816.5</v>
      </c>
      <c r="X88" s="228">
        <v>11.4</v>
      </c>
      <c r="Y88" s="229">
        <v>6.3E-3</v>
      </c>
      <c r="Z88" s="228">
        <v>-17.3</v>
      </c>
      <c r="AA88" s="228">
        <v>-33.4</v>
      </c>
      <c r="AB88" s="228">
        <v>16.100000000000001</v>
      </c>
      <c r="AC88" s="229">
        <v>-9.1999999999999998E-3</v>
      </c>
      <c r="AD88" s="228">
        <v>-17.3</v>
      </c>
      <c r="AE88" s="228">
        <v>-33.4</v>
      </c>
      <c r="AF88" s="228">
        <v>16.100000000000001</v>
      </c>
      <c r="AG88" s="229">
        <v>-9.1999999999999998E-3</v>
      </c>
      <c r="AH88" s="228">
        <v>-45.9</v>
      </c>
      <c r="AI88" s="228">
        <v>-64.8</v>
      </c>
      <c r="AJ88" s="228">
        <v>18.899999999999999</v>
      </c>
      <c r="AK88" s="229">
        <v>-2.4299999999999999E-2</v>
      </c>
      <c r="AL88" s="228">
        <v>-58.1</v>
      </c>
      <c r="AM88" s="228">
        <v>-86.3</v>
      </c>
      <c r="AN88" s="228">
        <v>28.2</v>
      </c>
      <c r="AO88" s="229">
        <v>-3.0800000000000001E-2</v>
      </c>
      <c r="AP88" s="231">
        <v>1870.06</v>
      </c>
      <c r="AQ88" s="231">
        <v>1840.79</v>
      </c>
      <c r="AR88" s="228">
        <v>0</v>
      </c>
      <c r="AS88" s="228">
        <v>226</v>
      </c>
      <c r="AT88" s="228">
        <v>430</v>
      </c>
      <c r="AU88" s="228">
        <v>-203</v>
      </c>
      <c r="AV88" s="229">
        <v>-0.47320000000000001</v>
      </c>
      <c r="AW88" s="228">
        <v>142</v>
      </c>
      <c r="AX88" s="228">
        <v>316</v>
      </c>
      <c r="AY88" s="228">
        <v>-174</v>
      </c>
      <c r="AZ88" s="229">
        <v>-0.55000000000000004</v>
      </c>
      <c r="BA88" s="228">
        <v>81</v>
      </c>
      <c r="BB88" s="228">
        <v>105</v>
      </c>
      <c r="BC88" s="228">
        <v>-24</v>
      </c>
      <c r="BD88" s="229">
        <v>-0.23050000000000001</v>
      </c>
      <c r="BE88" s="228">
        <v>3</v>
      </c>
      <c r="BF88" s="228">
        <v>8</v>
      </c>
      <c r="BG88" s="228">
        <v>-5</v>
      </c>
      <c r="BH88" s="229">
        <v>-0.62580000000000002</v>
      </c>
      <c r="BI88" s="228">
        <v>294</v>
      </c>
      <c r="BJ88" s="228">
        <v>729</v>
      </c>
      <c r="BK88" s="228">
        <v>-435</v>
      </c>
      <c r="BL88" s="229">
        <v>-0.59630000000000005</v>
      </c>
      <c r="BM88" s="228">
        <v>65</v>
      </c>
      <c r="BN88" s="228">
        <v>179</v>
      </c>
      <c r="BO88" s="228">
        <v>-113</v>
      </c>
      <c r="BP88" s="229">
        <v>-0.63519999999999999</v>
      </c>
      <c r="BQ88" s="228">
        <v>586</v>
      </c>
      <c r="BR88" s="230">
        <v>1338</v>
      </c>
      <c r="BS88" s="228">
        <v>-752</v>
      </c>
      <c r="BT88" s="229">
        <v>-0.56200000000000006</v>
      </c>
      <c r="BU88" s="230">
        <v>778083</v>
      </c>
      <c r="BV88" s="230">
        <v>1667502</v>
      </c>
      <c r="BW88" s="230">
        <v>-889419</v>
      </c>
      <c r="BX88" s="229">
        <v>-0.53339999999999999</v>
      </c>
      <c r="BY88" s="230">
        <v>1577</v>
      </c>
      <c r="BZ88" s="230">
        <v>1527</v>
      </c>
      <c r="CA88" s="228">
        <v>50</v>
      </c>
      <c r="CB88" s="229">
        <v>3.2899999999999999E-2</v>
      </c>
      <c r="CC88" s="230">
        <v>1191</v>
      </c>
      <c r="CD88" s="230">
        <v>1179</v>
      </c>
      <c r="CE88" s="228">
        <v>12</v>
      </c>
      <c r="CF88" s="229">
        <v>1.06E-2</v>
      </c>
      <c r="CG88" s="228">
        <v>374</v>
      </c>
      <c r="CH88" s="228">
        <v>337</v>
      </c>
      <c r="CI88" s="228">
        <v>37</v>
      </c>
      <c r="CJ88" s="229">
        <v>0.1091</v>
      </c>
      <c r="CK88" s="228">
        <v>12</v>
      </c>
      <c r="CL88" s="228">
        <v>11</v>
      </c>
      <c r="CM88" s="228">
        <v>1</v>
      </c>
      <c r="CN88" s="229">
        <v>9.2700000000000005E-2</v>
      </c>
      <c r="CO88" s="228">
        <v>181</v>
      </c>
      <c r="CP88" s="228">
        <v>196</v>
      </c>
      <c r="CQ88" s="228">
        <v>-14</v>
      </c>
      <c r="CR88" s="229">
        <v>-7.2499999999999995E-2</v>
      </c>
      <c r="CS88" s="228">
        <v>127</v>
      </c>
      <c r="CT88" s="228">
        <v>129</v>
      </c>
      <c r="CU88" s="228">
        <v>-2</v>
      </c>
      <c r="CV88" s="229">
        <v>-1.72E-2</v>
      </c>
      <c r="CW88" s="230">
        <v>1885</v>
      </c>
      <c r="CX88" s="230">
        <v>1851</v>
      </c>
      <c r="CY88" s="228">
        <v>34</v>
      </c>
      <c r="CZ88" s="229">
        <v>1.83E-2</v>
      </c>
      <c r="DA88" s="228">
        <v>42.85</v>
      </c>
      <c r="DB88" s="228">
        <v>40.36</v>
      </c>
      <c r="DC88" s="228">
        <v>2.4900000000000002</v>
      </c>
      <c r="DD88" s="228">
        <v>2.4900000000000002</v>
      </c>
      <c r="DE88" s="228">
        <v>33.590000000000003</v>
      </c>
      <c r="DF88" s="228">
        <v>33.67</v>
      </c>
      <c r="DG88" s="228">
        <v>9.26</v>
      </c>
      <c r="DH88" s="228">
        <v>-0.08</v>
      </c>
      <c r="DI88" s="228">
        <v>43.32</v>
      </c>
      <c r="DJ88" s="228">
        <v>40.340000000000003</v>
      </c>
      <c r="DK88" s="228">
        <v>2.98</v>
      </c>
      <c r="DL88" s="228">
        <v>2.98</v>
      </c>
      <c r="DM88" s="228">
        <v>40.700000000000003</v>
      </c>
      <c r="DN88" s="228">
        <v>40.479999999999997</v>
      </c>
      <c r="DO88" s="228">
        <v>0.22</v>
      </c>
      <c r="DP88" s="228">
        <v>0.22</v>
      </c>
      <c r="DQ88" s="228">
        <v>0.7</v>
      </c>
      <c r="DR88" s="228">
        <v>0.66</v>
      </c>
      <c r="DS88" s="228">
        <v>0.04</v>
      </c>
      <c r="DT88" s="229">
        <v>6.0600000000000001E-2</v>
      </c>
      <c r="DU88" s="231">
        <v>1900</v>
      </c>
      <c r="DV88" s="231">
        <v>1800</v>
      </c>
      <c r="DW88" s="228">
        <v>0.22</v>
      </c>
      <c r="DX88" s="228">
        <v>0.24</v>
      </c>
      <c r="DY88" s="228">
        <v>-0.02</v>
      </c>
      <c r="DZ88" s="229">
        <v>-8.3299999999999999E-2</v>
      </c>
      <c r="EA88" s="229">
        <v>0.24460000000000001</v>
      </c>
      <c r="EB88" s="230">
        <v>1861750</v>
      </c>
      <c r="EC88" s="229">
        <v>-1.5299999999999999E-2</v>
      </c>
      <c r="ED88" s="229">
        <v>0.24460000000000001</v>
      </c>
      <c r="EE88" s="228">
        <v>-29.27</v>
      </c>
      <c r="EF88" s="229">
        <v>-1.5699999999999999E-2</v>
      </c>
      <c r="EG88" s="230">
        <v>331453</v>
      </c>
      <c r="EH88" s="230">
        <v>810116</v>
      </c>
      <c r="EI88" s="229">
        <v>-0.59089999999999998</v>
      </c>
      <c r="EJ88" s="229">
        <v>0.42599999999999999</v>
      </c>
      <c r="EK88" s="228">
        <v>312.13</v>
      </c>
      <c r="EL88" s="228">
        <v>64.040000000000006</v>
      </c>
      <c r="EM88" s="228">
        <v>225.29</v>
      </c>
      <c r="EN88" s="228">
        <v>77.44</v>
      </c>
      <c r="EO88" s="228">
        <v>601.46</v>
      </c>
      <c r="EP88" s="231">
        <v>1371.86</v>
      </c>
      <c r="EQ88" s="228">
        <v>-770.41</v>
      </c>
      <c r="ER88" s="229">
        <v>-0.56159999999999999</v>
      </c>
      <c r="ES88" s="228">
        <v>182.66</v>
      </c>
      <c r="ET88" s="228">
        <v>118.88</v>
      </c>
      <c r="EU88" s="231">
        <v>1570.85</v>
      </c>
      <c r="EV88" s="231">
        <v>21329205</v>
      </c>
      <c r="EW88" s="231">
        <v>1872.39</v>
      </c>
      <c r="EX88" s="231">
        <v>1839.34</v>
      </c>
      <c r="EY88" s="228">
        <v>33.049999999999997</v>
      </c>
      <c r="EZ88" s="229">
        <v>1.7999999999999999E-2</v>
      </c>
      <c r="FA88" s="229">
        <v>0.47289999999999999</v>
      </c>
      <c r="FB88" s="227" t="s">
        <v>566</v>
      </c>
      <c r="FC88">
        <f t="shared" si="1"/>
        <v>386</v>
      </c>
    </row>
    <row r="89" spans="1:159" ht="17.25" thickBot="1" x14ac:dyDescent="0.3">
      <c r="A89" s="226">
        <v>46132</v>
      </c>
      <c r="B89" s="227" t="s">
        <v>172</v>
      </c>
      <c r="C89" s="227" t="s">
        <v>232</v>
      </c>
      <c r="D89" s="228">
        <v>700</v>
      </c>
      <c r="E89" s="228">
        <v>8</v>
      </c>
      <c r="F89" s="231">
        <v>1357.3</v>
      </c>
      <c r="G89" s="231">
        <v>1351.6</v>
      </c>
      <c r="H89" s="228">
        <v>5.7</v>
      </c>
      <c r="I89" s="229">
        <v>4.1999999999999997E-3</v>
      </c>
      <c r="J89" s="231">
        <v>1356.2</v>
      </c>
      <c r="K89" s="231">
        <v>1346.8</v>
      </c>
      <c r="L89" s="228">
        <v>9.4</v>
      </c>
      <c r="M89" s="229">
        <v>7.0000000000000001E-3</v>
      </c>
      <c r="N89" s="231">
        <v>1357.3</v>
      </c>
      <c r="O89" s="231">
        <v>1351.6</v>
      </c>
      <c r="P89" s="228">
        <v>5.7</v>
      </c>
      <c r="Q89" s="229">
        <v>4.1999999999999997E-3</v>
      </c>
      <c r="R89" s="231">
        <v>1364.7</v>
      </c>
      <c r="S89" s="231">
        <v>1358.6</v>
      </c>
      <c r="T89" s="228">
        <v>6.1</v>
      </c>
      <c r="U89" s="229">
        <v>4.4999999999999997E-3</v>
      </c>
      <c r="V89" s="231">
        <v>1373.4</v>
      </c>
      <c r="W89" s="231">
        <v>1367.1</v>
      </c>
      <c r="X89" s="228">
        <v>6.3</v>
      </c>
      <c r="Y89" s="229">
        <v>4.5999999999999999E-3</v>
      </c>
      <c r="Z89" s="228">
        <v>1.1000000000000001</v>
      </c>
      <c r="AA89" s="228">
        <v>4.8</v>
      </c>
      <c r="AB89" s="228">
        <v>-3.7</v>
      </c>
      <c r="AC89" s="229">
        <v>8.0000000000000004E-4</v>
      </c>
      <c r="AD89" s="228">
        <v>1.1000000000000001</v>
      </c>
      <c r="AE89" s="228">
        <v>4.8</v>
      </c>
      <c r="AF89" s="228">
        <v>-3.7</v>
      </c>
      <c r="AG89" s="229">
        <v>8.0000000000000004E-4</v>
      </c>
      <c r="AH89" s="228">
        <v>8.5</v>
      </c>
      <c r="AI89" s="228">
        <v>11.8</v>
      </c>
      <c r="AJ89" s="228">
        <v>-3.3</v>
      </c>
      <c r="AK89" s="229">
        <v>6.3E-3</v>
      </c>
      <c r="AL89" s="228">
        <v>17.2</v>
      </c>
      <c r="AM89" s="228">
        <v>20.3</v>
      </c>
      <c r="AN89" s="228">
        <v>-3.1</v>
      </c>
      <c r="AO89" s="229">
        <v>1.2699999999999999E-2</v>
      </c>
      <c r="AP89" s="231">
        <v>1364.21</v>
      </c>
      <c r="AQ89" s="231">
        <v>1371.99</v>
      </c>
      <c r="AR89" s="228">
        <v>0</v>
      </c>
      <c r="AS89" s="230">
        <v>3210</v>
      </c>
      <c r="AT89" s="230">
        <v>2467</v>
      </c>
      <c r="AU89" s="228">
        <v>743</v>
      </c>
      <c r="AV89" s="229">
        <v>0.3009</v>
      </c>
      <c r="AW89" s="230">
        <v>2694</v>
      </c>
      <c r="AX89" s="230">
        <v>2106</v>
      </c>
      <c r="AY89" s="228">
        <v>589</v>
      </c>
      <c r="AZ89" s="229">
        <v>0.27960000000000002</v>
      </c>
      <c r="BA89" s="228">
        <v>439</v>
      </c>
      <c r="BB89" s="228">
        <v>340</v>
      </c>
      <c r="BC89" s="228">
        <v>99</v>
      </c>
      <c r="BD89" s="229">
        <v>0.28989999999999999</v>
      </c>
      <c r="BE89" s="228">
        <v>77</v>
      </c>
      <c r="BF89" s="228">
        <v>22</v>
      </c>
      <c r="BG89" s="228">
        <v>55</v>
      </c>
      <c r="BH89" s="229">
        <v>2.5594999999999999</v>
      </c>
      <c r="BI89" s="230">
        <v>18288</v>
      </c>
      <c r="BJ89" s="230">
        <v>7970</v>
      </c>
      <c r="BK89" s="230">
        <v>10318</v>
      </c>
      <c r="BL89" s="229">
        <v>1.2947</v>
      </c>
      <c r="BM89" s="230">
        <v>9553</v>
      </c>
      <c r="BN89" s="230">
        <v>5406</v>
      </c>
      <c r="BO89" s="230">
        <v>4147</v>
      </c>
      <c r="BP89" s="229">
        <v>0.7671</v>
      </c>
      <c r="BQ89" s="230">
        <v>31051</v>
      </c>
      <c r="BR89" s="230">
        <v>15843</v>
      </c>
      <c r="BS89" s="230">
        <v>15208</v>
      </c>
      <c r="BT89" s="229">
        <v>0.95989999999999998</v>
      </c>
      <c r="BU89" s="230">
        <v>22587556</v>
      </c>
      <c r="BV89" s="230">
        <v>18309513</v>
      </c>
      <c r="BW89" s="230">
        <v>4278043</v>
      </c>
      <c r="BX89" s="229">
        <v>0.23369999999999999</v>
      </c>
      <c r="BY89" s="230">
        <v>15296</v>
      </c>
      <c r="BZ89" s="230">
        <v>15726</v>
      </c>
      <c r="CA89" s="228">
        <v>-430</v>
      </c>
      <c r="CB89" s="229">
        <v>-2.7300000000000001E-2</v>
      </c>
      <c r="CC89" s="230">
        <v>10961</v>
      </c>
      <c r="CD89" s="230">
        <v>11646</v>
      </c>
      <c r="CE89" s="228">
        <v>-685</v>
      </c>
      <c r="CF89" s="229">
        <v>-5.8799999999999998E-2</v>
      </c>
      <c r="CG89" s="230">
        <v>3715</v>
      </c>
      <c r="CH89" s="230">
        <v>3510</v>
      </c>
      <c r="CI89" s="228">
        <v>205</v>
      </c>
      <c r="CJ89" s="229">
        <v>5.8299999999999998E-2</v>
      </c>
      <c r="CK89" s="228">
        <v>620</v>
      </c>
      <c r="CL89" s="228">
        <v>570</v>
      </c>
      <c r="CM89" s="228">
        <v>50</v>
      </c>
      <c r="CN89" s="229">
        <v>8.8200000000000001E-2</v>
      </c>
      <c r="CO89" s="230">
        <v>4902</v>
      </c>
      <c r="CP89" s="230">
        <v>4157</v>
      </c>
      <c r="CQ89" s="228">
        <v>745</v>
      </c>
      <c r="CR89" s="229">
        <v>0.1792</v>
      </c>
      <c r="CS89" s="230">
        <v>3293</v>
      </c>
      <c r="CT89" s="230">
        <v>3441</v>
      </c>
      <c r="CU89" s="228">
        <v>-149</v>
      </c>
      <c r="CV89" s="229">
        <v>-4.3200000000000002E-2</v>
      </c>
      <c r="CW89" s="230">
        <v>23491</v>
      </c>
      <c r="CX89" s="230">
        <v>23324</v>
      </c>
      <c r="CY89" s="228">
        <v>167</v>
      </c>
      <c r="CZ89" s="229">
        <v>7.1000000000000004E-3</v>
      </c>
      <c r="DA89" s="228">
        <v>25.72</v>
      </c>
      <c r="DB89" s="228">
        <v>28.99</v>
      </c>
      <c r="DC89" s="228">
        <v>-3.27</v>
      </c>
      <c r="DD89" s="228">
        <v>-3.27</v>
      </c>
      <c r="DE89" s="228">
        <v>23.84</v>
      </c>
      <c r="DF89" s="228">
        <v>23.88</v>
      </c>
      <c r="DG89" s="228">
        <v>1.88</v>
      </c>
      <c r="DH89" s="228">
        <v>-0.04</v>
      </c>
      <c r="DI89" s="228">
        <v>25.24</v>
      </c>
      <c r="DJ89" s="228">
        <v>28.26</v>
      </c>
      <c r="DK89" s="228">
        <v>-3.02</v>
      </c>
      <c r="DL89" s="228">
        <v>-3.02</v>
      </c>
      <c r="DM89" s="228">
        <v>26.64</v>
      </c>
      <c r="DN89" s="228">
        <v>30.06</v>
      </c>
      <c r="DO89" s="228">
        <v>-3.42</v>
      </c>
      <c r="DP89" s="228">
        <v>-3.42</v>
      </c>
      <c r="DQ89" s="228">
        <v>0.67</v>
      </c>
      <c r="DR89" s="228">
        <v>0.83</v>
      </c>
      <c r="DS89" s="228">
        <v>-0.16</v>
      </c>
      <c r="DT89" s="229">
        <v>-0.1928</v>
      </c>
      <c r="DU89" s="231">
        <v>1400</v>
      </c>
      <c r="DV89" s="231">
        <v>1300</v>
      </c>
      <c r="DW89" s="228">
        <v>0.52</v>
      </c>
      <c r="DX89" s="228">
        <v>0.68</v>
      </c>
      <c r="DY89" s="228">
        <v>-0.16</v>
      </c>
      <c r="DZ89" s="229">
        <v>-0.23530000000000001</v>
      </c>
      <c r="EA89" s="229">
        <v>0.28339999999999999</v>
      </c>
      <c r="EB89" s="230">
        <v>30058700</v>
      </c>
      <c r="EC89" s="229">
        <v>5.4999999999999997E-3</v>
      </c>
      <c r="ED89" s="229">
        <v>0.28339999999999999</v>
      </c>
      <c r="EE89" s="228">
        <v>7.78</v>
      </c>
      <c r="EF89" s="229">
        <v>5.7000000000000002E-3</v>
      </c>
      <c r="EG89" s="230">
        <v>11055823</v>
      </c>
      <c r="EH89" s="230">
        <v>10779112</v>
      </c>
      <c r="EI89" s="229">
        <v>2.5700000000000001E-2</v>
      </c>
      <c r="EJ89" s="229">
        <v>0.48949999999999999</v>
      </c>
      <c r="EK89" s="231">
        <v>18895</v>
      </c>
      <c r="EL89" s="231">
        <v>9385.69</v>
      </c>
      <c r="EM89" s="231">
        <v>3229.47</v>
      </c>
      <c r="EN89" s="228">
        <v>311.88</v>
      </c>
      <c r="EO89" s="231">
        <v>31510.17</v>
      </c>
      <c r="EP89" s="231">
        <v>15940.04</v>
      </c>
      <c r="EQ89" s="231">
        <v>15570.12</v>
      </c>
      <c r="ER89" s="229">
        <v>0.9768</v>
      </c>
      <c r="ES89" s="231">
        <v>4928.22</v>
      </c>
      <c r="ET89" s="231">
        <v>3128.84</v>
      </c>
      <c r="EU89" s="231">
        <v>15323.52</v>
      </c>
      <c r="EV89" s="231">
        <v>668616020</v>
      </c>
      <c r="EW89" s="231">
        <v>23380.59</v>
      </c>
      <c r="EX89" s="231">
        <v>23068.93</v>
      </c>
      <c r="EY89" s="228">
        <v>311.66000000000003</v>
      </c>
      <c r="EZ89" s="229">
        <v>1.35E-2</v>
      </c>
      <c r="FA89" s="229">
        <v>0.25890000000000002</v>
      </c>
      <c r="FB89" s="227" t="s">
        <v>693</v>
      </c>
      <c r="FC89">
        <f t="shared" si="1"/>
        <v>4335</v>
      </c>
    </row>
    <row r="90" spans="1:159" ht="17.25" thickBot="1" x14ac:dyDescent="0.3">
      <c r="A90" s="226">
        <v>46132</v>
      </c>
      <c r="B90" s="227" t="s">
        <v>175</v>
      </c>
      <c r="C90" s="227" t="s">
        <v>472</v>
      </c>
      <c r="D90" s="228">
        <v>325</v>
      </c>
      <c r="E90" s="228">
        <v>8</v>
      </c>
      <c r="F90" s="231">
        <v>1872.3</v>
      </c>
      <c r="G90" s="231">
        <v>1890.9</v>
      </c>
      <c r="H90" s="228">
        <v>-18.600000000000001</v>
      </c>
      <c r="I90" s="229">
        <v>-9.7999999999999997E-3</v>
      </c>
      <c r="J90" s="231">
        <v>1876.5</v>
      </c>
      <c r="K90" s="231">
        <v>1891.6</v>
      </c>
      <c r="L90" s="228">
        <v>-15.1</v>
      </c>
      <c r="M90" s="229">
        <v>-8.0000000000000002E-3</v>
      </c>
      <c r="N90" s="231">
        <v>1872.3</v>
      </c>
      <c r="O90" s="231">
        <v>1890.9</v>
      </c>
      <c r="P90" s="228">
        <v>-18.600000000000001</v>
      </c>
      <c r="Q90" s="229">
        <v>-9.7999999999999997E-3</v>
      </c>
      <c r="R90" s="231">
        <v>1880.7</v>
      </c>
      <c r="S90" s="231">
        <v>1900.3</v>
      </c>
      <c r="T90" s="228">
        <v>-19.600000000000001</v>
      </c>
      <c r="U90" s="229">
        <v>-1.03E-2</v>
      </c>
      <c r="V90" s="231">
        <v>1884.9</v>
      </c>
      <c r="W90" s="231">
        <v>1883.8</v>
      </c>
      <c r="X90" s="228">
        <v>1.1000000000000001</v>
      </c>
      <c r="Y90" s="229">
        <v>5.9999999999999995E-4</v>
      </c>
      <c r="Z90" s="228">
        <v>-4.2</v>
      </c>
      <c r="AA90" s="228">
        <v>-0.7</v>
      </c>
      <c r="AB90" s="228">
        <v>-3.5</v>
      </c>
      <c r="AC90" s="229">
        <v>-2.2000000000000001E-3</v>
      </c>
      <c r="AD90" s="228">
        <v>-4.2</v>
      </c>
      <c r="AE90" s="228">
        <v>-0.7</v>
      </c>
      <c r="AF90" s="228">
        <v>-3.5</v>
      </c>
      <c r="AG90" s="229">
        <v>-2.2000000000000001E-3</v>
      </c>
      <c r="AH90" s="228">
        <v>4.2</v>
      </c>
      <c r="AI90" s="228">
        <v>8.6999999999999993</v>
      </c>
      <c r="AJ90" s="228">
        <v>-4.5</v>
      </c>
      <c r="AK90" s="229">
        <v>2.2000000000000001E-3</v>
      </c>
      <c r="AL90" s="228">
        <v>8.4</v>
      </c>
      <c r="AM90" s="228">
        <v>-7.8</v>
      </c>
      <c r="AN90" s="228">
        <v>16.2</v>
      </c>
      <c r="AO90" s="229">
        <v>4.4999999999999997E-3</v>
      </c>
      <c r="AP90" s="231">
        <v>1879.98</v>
      </c>
      <c r="AQ90" s="231">
        <v>1888.54</v>
      </c>
      <c r="AR90" s="228">
        <v>0</v>
      </c>
      <c r="AS90" s="228">
        <v>72</v>
      </c>
      <c r="AT90" s="228">
        <v>140</v>
      </c>
      <c r="AU90" s="228">
        <v>-68</v>
      </c>
      <c r="AV90" s="229">
        <v>-0.4839</v>
      </c>
      <c r="AW90" s="228">
        <v>69</v>
      </c>
      <c r="AX90" s="228">
        <v>134</v>
      </c>
      <c r="AY90" s="228">
        <v>-65</v>
      </c>
      <c r="AZ90" s="229">
        <v>-0.48630000000000001</v>
      </c>
      <c r="BA90" s="228">
        <v>4</v>
      </c>
      <c r="BB90" s="228">
        <v>6</v>
      </c>
      <c r="BC90" s="228">
        <v>-2</v>
      </c>
      <c r="BD90" s="229">
        <v>-0.38950000000000001</v>
      </c>
      <c r="BE90" s="228">
        <v>0</v>
      </c>
      <c r="BF90" s="228">
        <v>1</v>
      </c>
      <c r="BG90" s="228">
        <v>0</v>
      </c>
      <c r="BH90" s="229">
        <v>-0.88890000000000002</v>
      </c>
      <c r="BI90" s="228">
        <v>195</v>
      </c>
      <c r="BJ90" s="228">
        <v>468</v>
      </c>
      <c r="BK90" s="228">
        <v>-273</v>
      </c>
      <c r="BL90" s="229">
        <v>-0.58309999999999995</v>
      </c>
      <c r="BM90" s="228">
        <v>118</v>
      </c>
      <c r="BN90" s="228">
        <v>307</v>
      </c>
      <c r="BO90" s="228">
        <v>-189</v>
      </c>
      <c r="BP90" s="229">
        <v>-0.6159</v>
      </c>
      <c r="BQ90" s="228">
        <v>385</v>
      </c>
      <c r="BR90" s="228">
        <v>915</v>
      </c>
      <c r="BS90" s="228">
        <v>-530</v>
      </c>
      <c r="BT90" s="229">
        <v>-0.57889999999999997</v>
      </c>
      <c r="BU90" s="230">
        <v>329236</v>
      </c>
      <c r="BV90" s="230">
        <v>436337</v>
      </c>
      <c r="BW90" s="230">
        <v>-107101</v>
      </c>
      <c r="BX90" s="229">
        <v>-0.2455</v>
      </c>
      <c r="BY90" s="230">
        <v>1031</v>
      </c>
      <c r="BZ90" s="230">
        <v>1044</v>
      </c>
      <c r="CA90" s="228">
        <v>-13</v>
      </c>
      <c r="CB90" s="229">
        <v>-1.21E-2</v>
      </c>
      <c r="CC90" s="230">
        <v>1016</v>
      </c>
      <c r="CD90" s="230">
        <v>1029</v>
      </c>
      <c r="CE90" s="228">
        <v>-13</v>
      </c>
      <c r="CF90" s="229">
        <v>-1.2699999999999999E-2</v>
      </c>
      <c r="CG90" s="228">
        <v>15</v>
      </c>
      <c r="CH90" s="228">
        <v>14</v>
      </c>
      <c r="CI90" s="228">
        <v>0</v>
      </c>
      <c r="CJ90" s="229">
        <v>3.4599999999999999E-2</v>
      </c>
      <c r="CK90" s="228">
        <v>1</v>
      </c>
      <c r="CL90" s="228">
        <v>1</v>
      </c>
      <c r="CM90" s="228">
        <v>0</v>
      </c>
      <c r="CN90" s="229">
        <v>0</v>
      </c>
      <c r="CO90" s="228">
        <v>274</v>
      </c>
      <c r="CP90" s="228">
        <v>281</v>
      </c>
      <c r="CQ90" s="228">
        <v>-7</v>
      </c>
      <c r="CR90" s="229">
        <v>-2.6599999999999999E-2</v>
      </c>
      <c r="CS90" s="228">
        <v>225</v>
      </c>
      <c r="CT90" s="228">
        <v>249</v>
      </c>
      <c r="CU90" s="228">
        <v>-24</v>
      </c>
      <c r="CV90" s="229">
        <v>-9.4700000000000006E-2</v>
      </c>
      <c r="CW90" s="230">
        <v>1530</v>
      </c>
      <c r="CX90" s="230">
        <v>1573</v>
      </c>
      <c r="CY90" s="228">
        <v>-44</v>
      </c>
      <c r="CZ90" s="229">
        <v>-2.7699999999999999E-2</v>
      </c>
      <c r="DA90" s="228">
        <v>27.53</v>
      </c>
      <c r="DB90" s="228">
        <v>24.67</v>
      </c>
      <c r="DC90" s="228">
        <v>2.86</v>
      </c>
      <c r="DD90" s="228">
        <v>2.86</v>
      </c>
      <c r="DE90" s="228">
        <v>27.13</v>
      </c>
      <c r="DF90" s="228">
        <v>27.17</v>
      </c>
      <c r="DG90" s="228">
        <v>0.4</v>
      </c>
      <c r="DH90" s="228">
        <v>-0.04</v>
      </c>
      <c r="DI90" s="228">
        <v>27.11</v>
      </c>
      <c r="DJ90" s="228">
        <v>24.16</v>
      </c>
      <c r="DK90" s="228">
        <v>2.95</v>
      </c>
      <c r="DL90" s="228">
        <v>2.95</v>
      </c>
      <c r="DM90" s="228">
        <v>28.22</v>
      </c>
      <c r="DN90" s="228">
        <v>25.44</v>
      </c>
      <c r="DO90" s="228">
        <v>2.78</v>
      </c>
      <c r="DP90" s="228">
        <v>2.78</v>
      </c>
      <c r="DQ90" s="228">
        <v>0.82</v>
      </c>
      <c r="DR90" s="228">
        <v>0.88</v>
      </c>
      <c r="DS90" s="228">
        <v>-0.06</v>
      </c>
      <c r="DT90" s="229">
        <v>-6.8199999999999997E-2</v>
      </c>
      <c r="DU90" s="231">
        <v>2000</v>
      </c>
      <c r="DV90" s="231">
        <v>1800</v>
      </c>
      <c r="DW90" s="228">
        <v>0.6</v>
      </c>
      <c r="DX90" s="228">
        <v>0.65</v>
      </c>
      <c r="DY90" s="228">
        <v>-0.05</v>
      </c>
      <c r="DZ90" s="229">
        <v>-7.6899999999999996E-2</v>
      </c>
      <c r="EA90" s="229">
        <v>1.4999999999999999E-2</v>
      </c>
      <c r="EB90" s="230">
        <v>80275</v>
      </c>
      <c r="EC90" s="229">
        <v>4.4999999999999997E-3</v>
      </c>
      <c r="ED90" s="229">
        <v>1.4999999999999999E-2</v>
      </c>
      <c r="EE90" s="228">
        <v>8.56</v>
      </c>
      <c r="EF90" s="229">
        <v>4.5999999999999999E-3</v>
      </c>
      <c r="EG90" s="230">
        <v>143125</v>
      </c>
      <c r="EH90" s="230">
        <v>180589</v>
      </c>
      <c r="EI90" s="229">
        <v>-0.20749999999999999</v>
      </c>
      <c r="EJ90" s="229">
        <v>0.43469999999999998</v>
      </c>
      <c r="EK90" s="228">
        <v>203.08</v>
      </c>
      <c r="EL90" s="228">
        <v>116.05</v>
      </c>
      <c r="EM90" s="228">
        <v>72.48</v>
      </c>
      <c r="EN90" s="228">
        <v>33.31</v>
      </c>
      <c r="EO90" s="228">
        <v>391.61</v>
      </c>
      <c r="EP90" s="228">
        <v>931.15</v>
      </c>
      <c r="EQ90" s="228">
        <v>-539.54999999999995</v>
      </c>
      <c r="ER90" s="229">
        <v>-0.57940000000000003</v>
      </c>
      <c r="ES90" s="228">
        <v>278.57</v>
      </c>
      <c r="ET90" s="228">
        <v>213.13</v>
      </c>
      <c r="EU90" s="231">
        <v>1031.1099999999999</v>
      </c>
      <c r="EV90" s="231">
        <v>27086521</v>
      </c>
      <c r="EW90" s="231">
        <v>1522.81</v>
      </c>
      <c r="EX90" s="231">
        <v>1576.06</v>
      </c>
      <c r="EY90" s="228">
        <v>-53.25</v>
      </c>
      <c r="EZ90" s="229">
        <v>-3.3799999999999997E-2</v>
      </c>
      <c r="FA90" s="229">
        <v>0.30159999999999998</v>
      </c>
      <c r="FB90" s="227" t="s">
        <v>567</v>
      </c>
      <c r="FC90">
        <f t="shared" si="1"/>
        <v>15</v>
      </c>
    </row>
    <row r="91" spans="1:159" ht="17.25" thickBot="1" x14ac:dyDescent="0.3">
      <c r="A91" s="226">
        <v>46132</v>
      </c>
      <c r="B91" s="227" t="s">
        <v>175</v>
      </c>
      <c r="C91" s="227" t="s">
        <v>233</v>
      </c>
      <c r="D91" s="228">
        <v>925</v>
      </c>
      <c r="E91" s="228">
        <v>8</v>
      </c>
      <c r="F91" s="228">
        <v>559.20000000000005</v>
      </c>
      <c r="G91" s="228">
        <v>562.75</v>
      </c>
      <c r="H91" s="228">
        <v>-3.55</v>
      </c>
      <c r="I91" s="229">
        <v>-6.3E-3</v>
      </c>
      <c r="J91" s="228">
        <v>557.9</v>
      </c>
      <c r="K91" s="228">
        <v>562</v>
      </c>
      <c r="L91" s="228">
        <v>-4.0999999999999996</v>
      </c>
      <c r="M91" s="229">
        <v>-7.3000000000000001E-3</v>
      </c>
      <c r="N91" s="228">
        <v>559.20000000000005</v>
      </c>
      <c r="O91" s="228">
        <v>562.75</v>
      </c>
      <c r="P91" s="228">
        <v>-3.55</v>
      </c>
      <c r="Q91" s="229">
        <v>-6.3E-3</v>
      </c>
      <c r="R91" s="228">
        <v>561.9</v>
      </c>
      <c r="S91" s="228">
        <v>565.45000000000005</v>
      </c>
      <c r="T91" s="228">
        <v>-3.55</v>
      </c>
      <c r="U91" s="229">
        <v>-6.3E-3</v>
      </c>
      <c r="V91" s="228">
        <v>561.4</v>
      </c>
      <c r="W91" s="228">
        <v>567.54999999999995</v>
      </c>
      <c r="X91" s="228">
        <v>-6.15</v>
      </c>
      <c r="Y91" s="229">
        <v>-1.0800000000000001E-2</v>
      </c>
      <c r="Z91" s="228">
        <v>1.3</v>
      </c>
      <c r="AA91" s="228">
        <v>0.75</v>
      </c>
      <c r="AB91" s="228">
        <v>0.55000000000000004</v>
      </c>
      <c r="AC91" s="229">
        <v>2.3E-3</v>
      </c>
      <c r="AD91" s="228">
        <v>1.3</v>
      </c>
      <c r="AE91" s="228">
        <v>0.75</v>
      </c>
      <c r="AF91" s="228">
        <v>0.55000000000000004</v>
      </c>
      <c r="AG91" s="229">
        <v>2.3E-3</v>
      </c>
      <c r="AH91" s="228">
        <v>4</v>
      </c>
      <c r="AI91" s="228">
        <v>3.45</v>
      </c>
      <c r="AJ91" s="228">
        <v>0.55000000000000004</v>
      </c>
      <c r="AK91" s="229">
        <v>7.1999999999999998E-3</v>
      </c>
      <c r="AL91" s="228">
        <v>3.5</v>
      </c>
      <c r="AM91" s="228">
        <v>5.55</v>
      </c>
      <c r="AN91" s="228">
        <v>-2.0499999999999998</v>
      </c>
      <c r="AO91" s="229">
        <v>6.3E-3</v>
      </c>
      <c r="AP91" s="228">
        <v>557.32000000000005</v>
      </c>
      <c r="AQ91" s="228">
        <v>559.84</v>
      </c>
      <c r="AR91" s="228">
        <v>0</v>
      </c>
      <c r="AS91" s="228">
        <v>138</v>
      </c>
      <c r="AT91" s="228">
        <v>179</v>
      </c>
      <c r="AU91" s="228">
        <v>-41</v>
      </c>
      <c r="AV91" s="229">
        <v>-0.2286</v>
      </c>
      <c r="AW91" s="228">
        <v>115</v>
      </c>
      <c r="AX91" s="228">
        <v>159</v>
      </c>
      <c r="AY91" s="228">
        <v>-44</v>
      </c>
      <c r="AZ91" s="229">
        <v>-0.2772</v>
      </c>
      <c r="BA91" s="228">
        <v>23</v>
      </c>
      <c r="BB91" s="228">
        <v>20</v>
      </c>
      <c r="BC91" s="228">
        <v>3</v>
      </c>
      <c r="BD91" s="229">
        <v>0.15340000000000001</v>
      </c>
      <c r="BE91" s="228">
        <v>1</v>
      </c>
      <c r="BF91" s="228">
        <v>1</v>
      </c>
      <c r="BG91" s="228">
        <v>0</v>
      </c>
      <c r="BH91" s="229">
        <v>0.1429</v>
      </c>
      <c r="BI91" s="228">
        <v>308</v>
      </c>
      <c r="BJ91" s="228">
        <v>540</v>
      </c>
      <c r="BK91" s="228">
        <v>-232</v>
      </c>
      <c r="BL91" s="229">
        <v>-0.42970000000000003</v>
      </c>
      <c r="BM91" s="228">
        <v>204</v>
      </c>
      <c r="BN91" s="228">
        <v>299</v>
      </c>
      <c r="BO91" s="228">
        <v>-95</v>
      </c>
      <c r="BP91" s="229">
        <v>-0.31900000000000001</v>
      </c>
      <c r="BQ91" s="228">
        <v>650</v>
      </c>
      <c r="BR91" s="230">
        <v>1018</v>
      </c>
      <c r="BS91" s="228">
        <v>-368</v>
      </c>
      <c r="BT91" s="229">
        <v>-0.36170000000000002</v>
      </c>
      <c r="BU91" s="230">
        <v>1679578</v>
      </c>
      <c r="BV91" s="230">
        <v>4646397</v>
      </c>
      <c r="BW91" s="230">
        <v>-2966819</v>
      </c>
      <c r="BX91" s="229">
        <v>-0.63849999999999996</v>
      </c>
      <c r="BY91" s="230">
        <v>1156</v>
      </c>
      <c r="BZ91" s="230">
        <v>1132</v>
      </c>
      <c r="CA91" s="228">
        <v>24</v>
      </c>
      <c r="CB91" s="229">
        <v>2.0899999999999998E-2</v>
      </c>
      <c r="CC91" s="230">
        <v>1115</v>
      </c>
      <c r="CD91" s="230">
        <v>1105</v>
      </c>
      <c r="CE91" s="228">
        <v>10</v>
      </c>
      <c r="CF91" s="229">
        <v>9.2999999999999992E-3</v>
      </c>
      <c r="CG91" s="228">
        <v>38</v>
      </c>
      <c r="CH91" s="228">
        <v>25</v>
      </c>
      <c r="CI91" s="228">
        <v>13</v>
      </c>
      <c r="CJ91" s="229">
        <v>0.53849999999999998</v>
      </c>
      <c r="CK91" s="228">
        <v>2</v>
      </c>
      <c r="CL91" s="228">
        <v>2</v>
      </c>
      <c r="CM91" s="228">
        <v>0</v>
      </c>
      <c r="CN91" s="229">
        <v>0</v>
      </c>
      <c r="CO91" s="228">
        <v>392</v>
      </c>
      <c r="CP91" s="228">
        <v>404</v>
      </c>
      <c r="CQ91" s="228">
        <v>-12</v>
      </c>
      <c r="CR91" s="229">
        <v>-0.03</v>
      </c>
      <c r="CS91" s="228">
        <v>256</v>
      </c>
      <c r="CT91" s="228">
        <v>287</v>
      </c>
      <c r="CU91" s="228">
        <v>-30</v>
      </c>
      <c r="CV91" s="229">
        <v>-0.1062</v>
      </c>
      <c r="CW91" s="230">
        <v>1804</v>
      </c>
      <c r="CX91" s="230">
        <v>1823</v>
      </c>
      <c r="CY91" s="228">
        <v>-19</v>
      </c>
      <c r="CZ91" s="229">
        <v>-1.04E-2</v>
      </c>
      <c r="DA91" s="228">
        <v>32.840000000000003</v>
      </c>
      <c r="DB91" s="228">
        <v>30.07</v>
      </c>
      <c r="DC91" s="228">
        <v>2.77</v>
      </c>
      <c r="DD91" s="228">
        <v>2.77</v>
      </c>
      <c r="DE91" s="228">
        <v>28.84</v>
      </c>
      <c r="DF91" s="228">
        <v>28.9</v>
      </c>
      <c r="DG91" s="228">
        <v>4</v>
      </c>
      <c r="DH91" s="228">
        <v>-0.06</v>
      </c>
      <c r="DI91" s="228">
        <v>32.630000000000003</v>
      </c>
      <c r="DJ91" s="228">
        <v>30.33</v>
      </c>
      <c r="DK91" s="228">
        <v>2.2999999999999998</v>
      </c>
      <c r="DL91" s="228">
        <v>2.2999999999999998</v>
      </c>
      <c r="DM91" s="228">
        <v>33.14</v>
      </c>
      <c r="DN91" s="228">
        <v>29.62</v>
      </c>
      <c r="DO91" s="228">
        <v>3.52</v>
      </c>
      <c r="DP91" s="228">
        <v>3.52</v>
      </c>
      <c r="DQ91" s="228">
        <v>0.65</v>
      </c>
      <c r="DR91" s="228">
        <v>0.71</v>
      </c>
      <c r="DS91" s="228">
        <v>-0.06</v>
      </c>
      <c r="DT91" s="229">
        <v>-8.4500000000000006E-2</v>
      </c>
      <c r="DU91" s="228">
        <v>600</v>
      </c>
      <c r="DV91" s="228">
        <v>550</v>
      </c>
      <c r="DW91" s="228">
        <v>0.66</v>
      </c>
      <c r="DX91" s="228">
        <v>0.55000000000000004</v>
      </c>
      <c r="DY91" s="228">
        <v>0.11</v>
      </c>
      <c r="DZ91" s="229">
        <v>0.2</v>
      </c>
      <c r="EA91" s="229">
        <v>3.5000000000000003E-2</v>
      </c>
      <c r="EB91" s="230">
        <v>483775</v>
      </c>
      <c r="EC91" s="229">
        <v>4.7999999999999996E-3</v>
      </c>
      <c r="ED91" s="229">
        <v>3.5000000000000003E-2</v>
      </c>
      <c r="EE91" s="228">
        <v>2.52</v>
      </c>
      <c r="EF91" s="229">
        <v>4.4999999999999997E-3</v>
      </c>
      <c r="EG91" s="230">
        <v>932743</v>
      </c>
      <c r="EH91" s="230">
        <v>3389336</v>
      </c>
      <c r="EI91" s="229">
        <v>-0.7248</v>
      </c>
      <c r="EJ91" s="229">
        <v>0.55530000000000002</v>
      </c>
      <c r="EK91" s="228">
        <v>319.89999999999998</v>
      </c>
      <c r="EL91" s="228">
        <v>200.56</v>
      </c>
      <c r="EM91" s="228">
        <v>138.06</v>
      </c>
      <c r="EN91" s="228">
        <v>49.38</v>
      </c>
      <c r="EO91" s="228">
        <v>658.51</v>
      </c>
      <c r="EP91" s="231">
        <v>1039.1600000000001</v>
      </c>
      <c r="EQ91" s="228">
        <v>-380.65</v>
      </c>
      <c r="ER91" s="229">
        <v>-0.36630000000000001</v>
      </c>
      <c r="ES91" s="228">
        <v>408.61</v>
      </c>
      <c r="ET91" s="228">
        <v>245.11</v>
      </c>
      <c r="EU91" s="231">
        <v>1156.01</v>
      </c>
      <c r="EV91" s="231">
        <v>58892926</v>
      </c>
      <c r="EW91" s="231">
        <v>1809.73</v>
      </c>
      <c r="EX91" s="231">
        <v>1835.3</v>
      </c>
      <c r="EY91" s="228">
        <v>-25.57</v>
      </c>
      <c r="EZ91" s="229">
        <v>-1.3899999999999999E-2</v>
      </c>
      <c r="FA91" s="229">
        <v>0.54769999999999996</v>
      </c>
      <c r="FB91" s="227" t="s">
        <v>566</v>
      </c>
      <c r="FC91">
        <f t="shared" si="1"/>
        <v>41</v>
      </c>
    </row>
    <row r="92" spans="1:159" ht="17.25" thickBot="1" x14ac:dyDescent="0.3">
      <c r="A92" s="226">
        <v>46132</v>
      </c>
      <c r="B92" s="227" t="s">
        <v>188</v>
      </c>
      <c r="C92" s="227" t="s">
        <v>234</v>
      </c>
      <c r="D92" s="228">
        <v>71475</v>
      </c>
      <c r="E92" s="228">
        <v>8</v>
      </c>
      <c r="F92" s="228">
        <v>9.4499999999999993</v>
      </c>
      <c r="G92" s="228">
        <v>9.61</v>
      </c>
      <c r="H92" s="228">
        <v>-0.16</v>
      </c>
      <c r="I92" s="229">
        <v>-1.66E-2</v>
      </c>
      <c r="J92" s="228">
        <v>9.4700000000000006</v>
      </c>
      <c r="K92" s="228">
        <v>9.61</v>
      </c>
      <c r="L92" s="228">
        <v>-0.14000000000000001</v>
      </c>
      <c r="M92" s="229">
        <v>-1.46E-2</v>
      </c>
      <c r="N92" s="228">
        <v>9.4499999999999993</v>
      </c>
      <c r="O92" s="228">
        <v>9.61</v>
      </c>
      <c r="P92" s="228">
        <v>-0.16</v>
      </c>
      <c r="Q92" s="229">
        <v>-1.66E-2</v>
      </c>
      <c r="R92" s="228">
        <v>9.5</v>
      </c>
      <c r="S92" s="228">
        <v>9.67</v>
      </c>
      <c r="T92" s="228">
        <v>-0.17</v>
      </c>
      <c r="U92" s="229">
        <v>-1.7600000000000001E-2</v>
      </c>
      <c r="V92" s="228">
        <v>9.58</v>
      </c>
      <c r="W92" s="228">
        <v>9.74</v>
      </c>
      <c r="X92" s="228">
        <v>-0.16</v>
      </c>
      <c r="Y92" s="229">
        <v>-1.6400000000000001E-2</v>
      </c>
      <c r="Z92" s="228">
        <v>-0.02</v>
      </c>
      <c r="AA92" s="228">
        <v>0</v>
      </c>
      <c r="AB92" s="228">
        <v>-0.02</v>
      </c>
      <c r="AC92" s="229">
        <v>-2.0999999999999999E-3</v>
      </c>
      <c r="AD92" s="228">
        <v>-0.02</v>
      </c>
      <c r="AE92" s="228">
        <v>0</v>
      </c>
      <c r="AF92" s="228">
        <v>-0.02</v>
      </c>
      <c r="AG92" s="229">
        <v>-2.0999999999999999E-3</v>
      </c>
      <c r="AH92" s="228">
        <v>0.03</v>
      </c>
      <c r="AI92" s="228">
        <v>0.06</v>
      </c>
      <c r="AJ92" s="228">
        <v>-0.03</v>
      </c>
      <c r="AK92" s="229">
        <v>3.2000000000000002E-3</v>
      </c>
      <c r="AL92" s="228">
        <v>0.11</v>
      </c>
      <c r="AM92" s="228">
        <v>0.13</v>
      </c>
      <c r="AN92" s="228">
        <v>-0.02</v>
      </c>
      <c r="AO92" s="229">
        <v>1.1599999999999999E-2</v>
      </c>
      <c r="AP92" s="228">
        <v>9.58</v>
      </c>
      <c r="AQ92" s="228">
        <v>9.65</v>
      </c>
      <c r="AR92" s="228">
        <v>0</v>
      </c>
      <c r="AS92" s="228">
        <v>987</v>
      </c>
      <c r="AT92" s="228">
        <v>743</v>
      </c>
      <c r="AU92" s="228">
        <v>244</v>
      </c>
      <c r="AV92" s="229">
        <v>0.32819999999999999</v>
      </c>
      <c r="AW92" s="228">
        <v>613</v>
      </c>
      <c r="AX92" s="228">
        <v>493</v>
      </c>
      <c r="AY92" s="228">
        <v>119</v>
      </c>
      <c r="AZ92" s="229">
        <v>0.2422</v>
      </c>
      <c r="BA92" s="228">
        <v>362</v>
      </c>
      <c r="BB92" s="228">
        <v>239</v>
      </c>
      <c r="BC92" s="228">
        <v>123</v>
      </c>
      <c r="BD92" s="229">
        <v>0.51259999999999994</v>
      </c>
      <c r="BE92" s="228">
        <v>12</v>
      </c>
      <c r="BF92" s="228">
        <v>10</v>
      </c>
      <c r="BG92" s="228">
        <v>2</v>
      </c>
      <c r="BH92" s="229">
        <v>0.15690000000000001</v>
      </c>
      <c r="BI92" s="228">
        <v>762</v>
      </c>
      <c r="BJ92" s="228">
        <v>811</v>
      </c>
      <c r="BK92" s="228">
        <v>-49</v>
      </c>
      <c r="BL92" s="229">
        <v>-5.9900000000000002E-2</v>
      </c>
      <c r="BM92" s="228">
        <v>279</v>
      </c>
      <c r="BN92" s="228">
        <v>311</v>
      </c>
      <c r="BO92" s="228">
        <v>-31</v>
      </c>
      <c r="BP92" s="229">
        <v>-0.1011</v>
      </c>
      <c r="BQ92" s="230">
        <v>2028</v>
      </c>
      <c r="BR92" s="230">
        <v>1865</v>
      </c>
      <c r="BS92" s="228">
        <v>164</v>
      </c>
      <c r="BT92" s="229">
        <v>8.7900000000000006E-2</v>
      </c>
      <c r="BU92" s="230">
        <v>413395990</v>
      </c>
      <c r="BV92" s="230">
        <v>402607670</v>
      </c>
      <c r="BW92" s="230">
        <v>10788320</v>
      </c>
      <c r="BX92" s="229">
        <v>2.6800000000000001E-2</v>
      </c>
      <c r="BY92" s="230">
        <v>6249</v>
      </c>
      <c r="BZ92" s="230">
        <v>6214</v>
      </c>
      <c r="CA92" s="228">
        <v>35</v>
      </c>
      <c r="CB92" s="229">
        <v>5.5999999999999999E-3</v>
      </c>
      <c r="CC92" s="230">
        <v>5333</v>
      </c>
      <c r="CD92" s="230">
        <v>5609</v>
      </c>
      <c r="CE92" s="228">
        <v>-277</v>
      </c>
      <c r="CF92" s="229">
        <v>-4.9299999999999997E-2</v>
      </c>
      <c r="CG92" s="228">
        <v>868</v>
      </c>
      <c r="CH92" s="228">
        <v>561</v>
      </c>
      <c r="CI92" s="228">
        <v>307</v>
      </c>
      <c r="CJ92" s="229">
        <v>0.54669999999999996</v>
      </c>
      <c r="CK92" s="228">
        <v>49</v>
      </c>
      <c r="CL92" s="228">
        <v>44</v>
      </c>
      <c r="CM92" s="228">
        <v>5</v>
      </c>
      <c r="CN92" s="229">
        <v>0.1062</v>
      </c>
      <c r="CO92" s="230">
        <v>1402</v>
      </c>
      <c r="CP92" s="230">
        <v>1351</v>
      </c>
      <c r="CQ92" s="228">
        <v>51</v>
      </c>
      <c r="CR92" s="229">
        <v>3.7600000000000001E-2</v>
      </c>
      <c r="CS92" s="228">
        <v>728</v>
      </c>
      <c r="CT92" s="228">
        <v>709</v>
      </c>
      <c r="CU92" s="228">
        <v>19</v>
      </c>
      <c r="CV92" s="229">
        <v>2.6100000000000002E-2</v>
      </c>
      <c r="CW92" s="230">
        <v>8379</v>
      </c>
      <c r="CX92" s="230">
        <v>8274</v>
      </c>
      <c r="CY92" s="228">
        <v>104</v>
      </c>
      <c r="CZ92" s="229">
        <v>1.26E-2</v>
      </c>
      <c r="DA92" s="228">
        <v>55.75</v>
      </c>
      <c r="DB92" s="228">
        <v>51.61</v>
      </c>
      <c r="DC92" s="228">
        <v>4.1399999999999997</v>
      </c>
      <c r="DD92" s="228">
        <v>4.1399999999999997</v>
      </c>
      <c r="DE92" s="228">
        <v>64.53</v>
      </c>
      <c r="DF92" s="228">
        <v>64.650000000000006</v>
      </c>
      <c r="DG92" s="228">
        <v>-8.7799999999999994</v>
      </c>
      <c r="DH92" s="228">
        <v>-0.12</v>
      </c>
      <c r="DI92" s="228">
        <v>57.91</v>
      </c>
      <c r="DJ92" s="228">
        <v>53.08</v>
      </c>
      <c r="DK92" s="228">
        <v>4.83</v>
      </c>
      <c r="DL92" s="228">
        <v>4.83</v>
      </c>
      <c r="DM92" s="228">
        <v>49.83</v>
      </c>
      <c r="DN92" s="228">
        <v>47.79</v>
      </c>
      <c r="DO92" s="228">
        <v>2.04</v>
      </c>
      <c r="DP92" s="228">
        <v>2.04</v>
      </c>
      <c r="DQ92" s="228">
        <v>0.52</v>
      </c>
      <c r="DR92" s="228">
        <v>0.52</v>
      </c>
      <c r="DS92" s="228">
        <v>0</v>
      </c>
      <c r="DT92" s="229">
        <v>0</v>
      </c>
      <c r="DU92" s="228">
        <v>10</v>
      </c>
      <c r="DV92" s="228">
        <v>9</v>
      </c>
      <c r="DW92" s="228">
        <v>0.37</v>
      </c>
      <c r="DX92" s="228">
        <v>0.38</v>
      </c>
      <c r="DY92" s="228">
        <v>-0.01</v>
      </c>
      <c r="DZ92" s="229">
        <v>-2.63E-2</v>
      </c>
      <c r="EA92" s="229">
        <v>0.14660000000000001</v>
      </c>
      <c r="EB92" s="230">
        <v>640058625</v>
      </c>
      <c r="EC92" s="229">
        <v>5.3E-3</v>
      </c>
      <c r="ED92" s="229">
        <v>0.14660000000000001</v>
      </c>
      <c r="EE92" s="228">
        <v>7.0000000000000007E-2</v>
      </c>
      <c r="EF92" s="229">
        <v>7.3000000000000001E-3</v>
      </c>
      <c r="EG92" s="230">
        <v>122236379</v>
      </c>
      <c r="EH92" s="230">
        <v>122343752</v>
      </c>
      <c r="EI92" s="229">
        <v>-8.9999999999999998E-4</v>
      </c>
      <c r="EJ92" s="229">
        <v>0.29570000000000002</v>
      </c>
      <c r="EK92" s="228">
        <v>845.76</v>
      </c>
      <c r="EL92" s="228">
        <v>285.16000000000003</v>
      </c>
      <c r="EM92" s="231">
        <v>1003.14</v>
      </c>
      <c r="EN92" s="228">
        <v>72.680000000000007</v>
      </c>
      <c r="EO92" s="231">
        <v>2134.06</v>
      </c>
      <c r="EP92" s="231">
        <v>1980.99</v>
      </c>
      <c r="EQ92" s="228">
        <v>153.07</v>
      </c>
      <c r="ER92" s="229">
        <v>7.7299999999999994E-2</v>
      </c>
      <c r="ES92" s="231">
        <v>1595.49</v>
      </c>
      <c r="ET92" s="228">
        <v>707.27</v>
      </c>
      <c r="EU92" s="231">
        <v>6253.95</v>
      </c>
      <c r="EV92" s="231">
        <v>12096038468</v>
      </c>
      <c r="EW92" s="231">
        <v>8556.7099999999991</v>
      </c>
      <c r="EX92" s="231">
        <v>8549.56</v>
      </c>
      <c r="EY92" s="228">
        <v>7.15</v>
      </c>
      <c r="EZ92" s="229">
        <v>8.0000000000000004E-4</v>
      </c>
      <c r="FA92" s="229">
        <v>0.73299999999999998</v>
      </c>
      <c r="FB92" s="227" t="s">
        <v>566</v>
      </c>
      <c r="FC92">
        <f t="shared" si="1"/>
        <v>916</v>
      </c>
    </row>
    <row r="93" spans="1:159" ht="17.25" thickBot="1" x14ac:dyDescent="0.3">
      <c r="A93" s="226">
        <v>46132</v>
      </c>
      <c r="B93" s="227" t="s">
        <v>172</v>
      </c>
      <c r="C93" s="227" t="s">
        <v>235</v>
      </c>
      <c r="D93" s="228">
        <v>9275</v>
      </c>
      <c r="E93" s="228">
        <v>8</v>
      </c>
      <c r="F93" s="228">
        <v>67.599999999999994</v>
      </c>
      <c r="G93" s="228">
        <v>68.55</v>
      </c>
      <c r="H93" s="228">
        <v>-0.95</v>
      </c>
      <c r="I93" s="229">
        <v>-1.3899999999999999E-2</v>
      </c>
      <c r="J93" s="228">
        <v>67.5</v>
      </c>
      <c r="K93" s="228">
        <v>68.53</v>
      </c>
      <c r="L93" s="228">
        <v>-1.03</v>
      </c>
      <c r="M93" s="229">
        <v>-1.4999999999999999E-2</v>
      </c>
      <c r="N93" s="228">
        <v>67.599999999999994</v>
      </c>
      <c r="O93" s="228">
        <v>68.55</v>
      </c>
      <c r="P93" s="228">
        <v>-0.95</v>
      </c>
      <c r="Q93" s="229">
        <v>-1.3899999999999999E-2</v>
      </c>
      <c r="R93" s="228">
        <v>67.989999999999995</v>
      </c>
      <c r="S93" s="228">
        <v>68.94</v>
      </c>
      <c r="T93" s="228">
        <v>-0.95</v>
      </c>
      <c r="U93" s="229">
        <v>-1.38E-2</v>
      </c>
      <c r="V93" s="228">
        <v>68.28</v>
      </c>
      <c r="W93" s="228">
        <v>69.34</v>
      </c>
      <c r="X93" s="228">
        <v>-1.06</v>
      </c>
      <c r="Y93" s="229">
        <v>-1.5299999999999999E-2</v>
      </c>
      <c r="Z93" s="228">
        <v>0.1</v>
      </c>
      <c r="AA93" s="228">
        <v>0.02</v>
      </c>
      <c r="AB93" s="228">
        <v>0.08</v>
      </c>
      <c r="AC93" s="229">
        <v>1.5E-3</v>
      </c>
      <c r="AD93" s="228">
        <v>0.1</v>
      </c>
      <c r="AE93" s="228">
        <v>0.02</v>
      </c>
      <c r="AF93" s="228">
        <v>0.08</v>
      </c>
      <c r="AG93" s="229">
        <v>1.5E-3</v>
      </c>
      <c r="AH93" s="228">
        <v>0.49</v>
      </c>
      <c r="AI93" s="228">
        <v>0.41</v>
      </c>
      <c r="AJ93" s="228">
        <v>0.08</v>
      </c>
      <c r="AK93" s="229">
        <v>7.3000000000000001E-3</v>
      </c>
      <c r="AL93" s="228">
        <v>0.78</v>
      </c>
      <c r="AM93" s="228">
        <v>0.81</v>
      </c>
      <c r="AN93" s="228">
        <v>-0.03</v>
      </c>
      <c r="AO93" s="229">
        <v>1.1599999999999999E-2</v>
      </c>
      <c r="AP93" s="228">
        <v>67.900000000000006</v>
      </c>
      <c r="AQ93" s="228">
        <v>68.2</v>
      </c>
      <c r="AR93" s="228">
        <v>0</v>
      </c>
      <c r="AS93" s="228">
        <v>609</v>
      </c>
      <c r="AT93" s="228">
        <v>475</v>
      </c>
      <c r="AU93" s="228">
        <v>135</v>
      </c>
      <c r="AV93" s="229">
        <v>0.28370000000000001</v>
      </c>
      <c r="AW93" s="228">
        <v>411</v>
      </c>
      <c r="AX93" s="228">
        <v>319</v>
      </c>
      <c r="AY93" s="228">
        <v>92</v>
      </c>
      <c r="AZ93" s="229">
        <v>0.28720000000000001</v>
      </c>
      <c r="BA93" s="228">
        <v>188</v>
      </c>
      <c r="BB93" s="228">
        <v>62</v>
      </c>
      <c r="BC93" s="228">
        <v>126</v>
      </c>
      <c r="BD93" s="229">
        <v>2.0242</v>
      </c>
      <c r="BE93" s="228">
        <v>10</v>
      </c>
      <c r="BF93" s="228">
        <v>93</v>
      </c>
      <c r="BG93" s="228">
        <v>-83</v>
      </c>
      <c r="BH93" s="229">
        <v>-0.89090000000000003</v>
      </c>
      <c r="BI93" s="228">
        <v>411</v>
      </c>
      <c r="BJ93" s="228">
        <v>523</v>
      </c>
      <c r="BK93" s="228">
        <v>-112</v>
      </c>
      <c r="BL93" s="229">
        <v>-0.21429999999999999</v>
      </c>
      <c r="BM93" s="228">
        <v>352</v>
      </c>
      <c r="BN93" s="228">
        <v>460</v>
      </c>
      <c r="BO93" s="228">
        <v>-108</v>
      </c>
      <c r="BP93" s="229">
        <v>-0.2346</v>
      </c>
      <c r="BQ93" s="230">
        <v>1372</v>
      </c>
      <c r="BR93" s="230">
        <v>1458</v>
      </c>
      <c r="BS93" s="228">
        <v>-85</v>
      </c>
      <c r="BT93" s="229">
        <v>-5.8500000000000003E-2</v>
      </c>
      <c r="BU93" s="230">
        <v>16871691</v>
      </c>
      <c r="BV93" s="230">
        <v>17556404</v>
      </c>
      <c r="BW93" s="230">
        <v>-684713</v>
      </c>
      <c r="BX93" s="229">
        <v>-3.9E-2</v>
      </c>
      <c r="BY93" s="230">
        <v>2751</v>
      </c>
      <c r="BZ93" s="230">
        <v>2755</v>
      </c>
      <c r="CA93" s="228">
        <v>-3</v>
      </c>
      <c r="CB93" s="229">
        <v>-1.1000000000000001E-3</v>
      </c>
      <c r="CC93" s="230">
        <v>2108</v>
      </c>
      <c r="CD93" s="230">
        <v>2271</v>
      </c>
      <c r="CE93" s="228">
        <v>-163</v>
      </c>
      <c r="CF93" s="229">
        <v>-7.17E-2</v>
      </c>
      <c r="CG93" s="228">
        <v>464</v>
      </c>
      <c r="CH93" s="228">
        <v>307</v>
      </c>
      <c r="CI93" s="228">
        <v>156</v>
      </c>
      <c r="CJ93" s="229">
        <v>0.50800000000000001</v>
      </c>
      <c r="CK93" s="228">
        <v>180</v>
      </c>
      <c r="CL93" s="228">
        <v>176</v>
      </c>
      <c r="CM93" s="228">
        <v>4</v>
      </c>
      <c r="CN93" s="229">
        <v>2.06E-2</v>
      </c>
      <c r="CO93" s="228">
        <v>854</v>
      </c>
      <c r="CP93" s="228">
        <v>852</v>
      </c>
      <c r="CQ93" s="228">
        <v>2</v>
      </c>
      <c r="CR93" s="229">
        <v>2.0999999999999999E-3</v>
      </c>
      <c r="CS93" s="228">
        <v>776</v>
      </c>
      <c r="CT93" s="228">
        <v>794</v>
      </c>
      <c r="CU93" s="228">
        <v>-18</v>
      </c>
      <c r="CV93" s="229">
        <v>-2.2700000000000001E-2</v>
      </c>
      <c r="CW93" s="230">
        <v>4382</v>
      </c>
      <c r="CX93" s="230">
        <v>4401</v>
      </c>
      <c r="CY93" s="228">
        <v>-19</v>
      </c>
      <c r="CZ93" s="229">
        <v>-4.4000000000000003E-3</v>
      </c>
      <c r="DA93" s="228">
        <v>48.98</v>
      </c>
      <c r="DB93" s="228">
        <v>42.45</v>
      </c>
      <c r="DC93" s="228">
        <v>6.53</v>
      </c>
      <c r="DD93" s="228">
        <v>6.53</v>
      </c>
      <c r="DE93" s="228">
        <v>41.52</v>
      </c>
      <c r="DF93" s="228">
        <v>41.58</v>
      </c>
      <c r="DG93" s="228">
        <v>7.46</v>
      </c>
      <c r="DH93" s="228">
        <v>-0.06</v>
      </c>
      <c r="DI93" s="228">
        <v>45.4</v>
      </c>
      <c r="DJ93" s="228">
        <v>39.07</v>
      </c>
      <c r="DK93" s="228">
        <v>6.33</v>
      </c>
      <c r="DL93" s="228">
        <v>6.33</v>
      </c>
      <c r="DM93" s="228">
        <v>53.16</v>
      </c>
      <c r="DN93" s="228">
        <v>46.29</v>
      </c>
      <c r="DO93" s="228">
        <v>6.87</v>
      </c>
      <c r="DP93" s="228">
        <v>6.87</v>
      </c>
      <c r="DQ93" s="228">
        <v>0.91</v>
      </c>
      <c r="DR93" s="228">
        <v>0.93</v>
      </c>
      <c r="DS93" s="228">
        <v>-0.02</v>
      </c>
      <c r="DT93" s="229">
        <v>-2.1499999999999998E-2</v>
      </c>
      <c r="DU93" s="228">
        <v>65</v>
      </c>
      <c r="DV93" s="228">
        <v>60</v>
      </c>
      <c r="DW93" s="228">
        <v>0.86</v>
      </c>
      <c r="DX93" s="228">
        <v>0.88</v>
      </c>
      <c r="DY93" s="228">
        <v>-0.02</v>
      </c>
      <c r="DZ93" s="229">
        <v>-2.2700000000000001E-2</v>
      </c>
      <c r="EA93" s="229">
        <v>0.23400000000000001</v>
      </c>
      <c r="EB93" s="230">
        <v>71584450</v>
      </c>
      <c r="EC93" s="229">
        <v>5.7999999999999996E-3</v>
      </c>
      <c r="ED93" s="229">
        <v>0.23400000000000001</v>
      </c>
      <c r="EE93" s="228">
        <v>0.3</v>
      </c>
      <c r="EF93" s="229">
        <v>4.4000000000000003E-3</v>
      </c>
      <c r="EG93" s="230">
        <v>6652042</v>
      </c>
      <c r="EH93" s="230">
        <v>6983103</v>
      </c>
      <c r="EI93" s="229">
        <v>-4.7399999999999998E-2</v>
      </c>
      <c r="EJ93" s="229">
        <v>0.39429999999999998</v>
      </c>
      <c r="EK93" s="228">
        <v>434.93</v>
      </c>
      <c r="EL93" s="228">
        <v>334.61</v>
      </c>
      <c r="EM93" s="228">
        <v>613</v>
      </c>
      <c r="EN93" s="228">
        <v>65.930000000000007</v>
      </c>
      <c r="EO93" s="231">
        <v>1382.55</v>
      </c>
      <c r="EP93" s="231">
        <v>1483.91</v>
      </c>
      <c r="EQ93" s="228">
        <v>-101.37</v>
      </c>
      <c r="ER93" s="229">
        <v>-6.83E-2</v>
      </c>
      <c r="ES93" s="228">
        <v>867.69</v>
      </c>
      <c r="ET93" s="228">
        <v>733.85</v>
      </c>
      <c r="EU93" s="231">
        <v>2755.97</v>
      </c>
      <c r="EV93" s="231">
        <v>1101871266</v>
      </c>
      <c r="EW93" s="231">
        <v>4357.5200000000004</v>
      </c>
      <c r="EX93" s="231">
        <v>4411.95</v>
      </c>
      <c r="EY93" s="228">
        <v>-54.43</v>
      </c>
      <c r="EZ93" s="229">
        <v>-1.23E-2</v>
      </c>
      <c r="FA93" s="229">
        <v>0.58819999999999995</v>
      </c>
      <c r="FB93" s="227" t="s">
        <v>567</v>
      </c>
      <c r="FC93">
        <f t="shared" si="1"/>
        <v>643</v>
      </c>
    </row>
    <row r="94" spans="1:159" ht="17.25" thickBot="1" x14ac:dyDescent="0.3">
      <c r="A94" s="226">
        <v>46132</v>
      </c>
      <c r="B94" s="227" t="s">
        <v>161</v>
      </c>
      <c r="C94" s="227" t="s">
        <v>514</v>
      </c>
      <c r="D94" s="228">
        <v>3750</v>
      </c>
      <c r="E94" s="228">
        <v>8</v>
      </c>
      <c r="F94" s="228">
        <v>124.98</v>
      </c>
      <c r="G94" s="228">
        <v>135.82</v>
      </c>
      <c r="H94" s="228">
        <v>-10.84</v>
      </c>
      <c r="I94" s="229">
        <v>-7.9799999999999996E-2</v>
      </c>
      <c r="J94" s="228">
        <v>124.99</v>
      </c>
      <c r="K94" s="228">
        <v>135.81</v>
      </c>
      <c r="L94" s="228">
        <v>-10.82</v>
      </c>
      <c r="M94" s="229">
        <v>-7.9699999999999993E-2</v>
      </c>
      <c r="N94" s="228">
        <v>124.98</v>
      </c>
      <c r="O94" s="228">
        <v>135.82</v>
      </c>
      <c r="P94" s="228">
        <v>-10.84</v>
      </c>
      <c r="Q94" s="229">
        <v>-7.9799999999999996E-2</v>
      </c>
      <c r="R94" s="228">
        <v>124.79</v>
      </c>
      <c r="S94" s="228">
        <v>135.72</v>
      </c>
      <c r="T94" s="228">
        <v>-10.93</v>
      </c>
      <c r="U94" s="229">
        <v>-8.0500000000000002E-2</v>
      </c>
      <c r="V94" s="228">
        <v>124.93</v>
      </c>
      <c r="W94" s="228">
        <v>135.87</v>
      </c>
      <c r="X94" s="228">
        <v>-10.94</v>
      </c>
      <c r="Y94" s="229">
        <v>-8.0500000000000002E-2</v>
      </c>
      <c r="Z94" s="228">
        <v>-0.01</v>
      </c>
      <c r="AA94" s="228">
        <v>0.01</v>
      </c>
      <c r="AB94" s="228">
        <v>-0.02</v>
      </c>
      <c r="AC94" s="229">
        <v>-1E-4</v>
      </c>
      <c r="AD94" s="228">
        <v>-0.01</v>
      </c>
      <c r="AE94" s="228">
        <v>0.01</v>
      </c>
      <c r="AF94" s="228">
        <v>-0.02</v>
      </c>
      <c r="AG94" s="229">
        <v>-1E-4</v>
      </c>
      <c r="AH94" s="228">
        <v>-0.2</v>
      </c>
      <c r="AI94" s="228">
        <v>-0.09</v>
      </c>
      <c r="AJ94" s="228">
        <v>-0.11</v>
      </c>
      <c r="AK94" s="229">
        <v>-1.6000000000000001E-3</v>
      </c>
      <c r="AL94" s="228">
        <v>-0.06</v>
      </c>
      <c r="AM94" s="228">
        <v>0.06</v>
      </c>
      <c r="AN94" s="228">
        <v>-0.12</v>
      </c>
      <c r="AO94" s="229">
        <v>-5.0000000000000001E-4</v>
      </c>
      <c r="AP94" s="228">
        <v>126.71</v>
      </c>
      <c r="AQ94" s="228">
        <v>126.37</v>
      </c>
      <c r="AR94" s="228">
        <v>0</v>
      </c>
      <c r="AS94" s="228">
        <v>643</v>
      </c>
      <c r="AT94" s="228">
        <v>108</v>
      </c>
      <c r="AU94" s="228">
        <v>535</v>
      </c>
      <c r="AV94" s="229">
        <v>4.9725999999999999</v>
      </c>
      <c r="AW94" s="228">
        <v>483</v>
      </c>
      <c r="AX94" s="228">
        <v>80</v>
      </c>
      <c r="AY94" s="228">
        <v>403</v>
      </c>
      <c r="AZ94" s="229">
        <v>5.0487000000000002</v>
      </c>
      <c r="BA94" s="228">
        <v>139</v>
      </c>
      <c r="BB94" s="228">
        <v>23</v>
      </c>
      <c r="BC94" s="228">
        <v>116</v>
      </c>
      <c r="BD94" s="229">
        <v>5</v>
      </c>
      <c r="BE94" s="228">
        <v>21</v>
      </c>
      <c r="BF94" s="228">
        <v>5</v>
      </c>
      <c r="BG94" s="228">
        <v>16</v>
      </c>
      <c r="BH94" s="229">
        <v>3.5102000000000002</v>
      </c>
      <c r="BI94" s="230">
        <v>1457</v>
      </c>
      <c r="BJ94" s="228">
        <v>496</v>
      </c>
      <c r="BK94" s="228">
        <v>962</v>
      </c>
      <c r="BL94" s="229">
        <v>1.9402999999999999</v>
      </c>
      <c r="BM94" s="230">
        <v>1550</v>
      </c>
      <c r="BN94" s="228">
        <v>218</v>
      </c>
      <c r="BO94" s="230">
        <v>1333</v>
      </c>
      <c r="BP94" s="229">
        <v>6.1234000000000002</v>
      </c>
      <c r="BQ94" s="230">
        <v>3650</v>
      </c>
      <c r="BR94" s="228">
        <v>821</v>
      </c>
      <c r="BS94" s="230">
        <v>2829</v>
      </c>
      <c r="BT94" s="229">
        <v>3.4470000000000001</v>
      </c>
      <c r="BU94" s="230">
        <v>38948416</v>
      </c>
      <c r="BV94" s="230">
        <v>5458012</v>
      </c>
      <c r="BW94" s="230">
        <v>33490404</v>
      </c>
      <c r="BX94" s="229">
        <v>6.1360000000000001</v>
      </c>
      <c r="BY94" s="230">
        <v>1013</v>
      </c>
      <c r="BZ94" s="228">
        <v>883</v>
      </c>
      <c r="CA94" s="228">
        <v>129</v>
      </c>
      <c r="CB94" s="229">
        <v>0.14660000000000001</v>
      </c>
      <c r="CC94" s="228">
        <v>805</v>
      </c>
      <c r="CD94" s="228">
        <v>774</v>
      </c>
      <c r="CE94" s="228">
        <v>32</v>
      </c>
      <c r="CF94" s="229">
        <v>4.1000000000000002E-2</v>
      </c>
      <c r="CG94" s="228">
        <v>181</v>
      </c>
      <c r="CH94" s="228">
        <v>97</v>
      </c>
      <c r="CI94" s="228">
        <v>84</v>
      </c>
      <c r="CJ94" s="229">
        <v>0.86680000000000001</v>
      </c>
      <c r="CK94" s="228">
        <v>26</v>
      </c>
      <c r="CL94" s="228">
        <v>13</v>
      </c>
      <c r="CM94" s="228">
        <v>14</v>
      </c>
      <c r="CN94" s="229">
        <v>1.0861000000000001</v>
      </c>
      <c r="CO94" s="228">
        <v>668</v>
      </c>
      <c r="CP94" s="228">
        <v>439</v>
      </c>
      <c r="CQ94" s="228">
        <v>229</v>
      </c>
      <c r="CR94" s="229">
        <v>0.52200000000000002</v>
      </c>
      <c r="CS94" s="228">
        <v>527</v>
      </c>
      <c r="CT94" s="228">
        <v>408</v>
      </c>
      <c r="CU94" s="228">
        <v>119</v>
      </c>
      <c r="CV94" s="229">
        <v>0.29070000000000001</v>
      </c>
      <c r="CW94" s="230">
        <v>2208</v>
      </c>
      <c r="CX94" s="230">
        <v>1730</v>
      </c>
      <c r="CY94" s="228">
        <v>477</v>
      </c>
      <c r="CZ94" s="229">
        <v>0.27579999999999999</v>
      </c>
      <c r="DA94" s="228">
        <v>47.28</v>
      </c>
      <c r="DB94" s="228">
        <v>34.590000000000003</v>
      </c>
      <c r="DC94" s="228">
        <v>12.69</v>
      </c>
      <c r="DD94" s="228">
        <v>12.69</v>
      </c>
      <c r="DE94" s="228">
        <v>52.72</v>
      </c>
      <c r="DF94" s="228">
        <v>51.64</v>
      </c>
      <c r="DG94" s="228">
        <v>-5.44</v>
      </c>
      <c r="DH94" s="228">
        <v>1.08</v>
      </c>
      <c r="DI94" s="228">
        <v>46.88</v>
      </c>
      <c r="DJ94" s="228">
        <v>33.21</v>
      </c>
      <c r="DK94" s="228">
        <v>13.67</v>
      </c>
      <c r="DL94" s="228">
        <v>13.67</v>
      </c>
      <c r="DM94" s="228">
        <v>47.65</v>
      </c>
      <c r="DN94" s="228">
        <v>37.75</v>
      </c>
      <c r="DO94" s="228">
        <v>9.9</v>
      </c>
      <c r="DP94" s="228">
        <v>9.9</v>
      </c>
      <c r="DQ94" s="228">
        <v>0.79</v>
      </c>
      <c r="DR94" s="228">
        <v>0.93</v>
      </c>
      <c r="DS94" s="228">
        <v>-0.14000000000000001</v>
      </c>
      <c r="DT94" s="229">
        <v>-0.15049999999999999</v>
      </c>
      <c r="DU94" s="228">
        <v>130</v>
      </c>
      <c r="DV94" s="228">
        <v>125</v>
      </c>
      <c r="DW94" s="228">
        <v>1.06</v>
      </c>
      <c r="DX94" s="228">
        <v>0.44</v>
      </c>
      <c r="DY94" s="228">
        <v>0.62</v>
      </c>
      <c r="DZ94" s="229">
        <v>1.4091</v>
      </c>
      <c r="EA94" s="229">
        <v>0.20480000000000001</v>
      </c>
      <c r="EB94" s="230">
        <v>8771250</v>
      </c>
      <c r="EC94" s="229">
        <v>-1.5E-3</v>
      </c>
      <c r="ED94" s="229">
        <v>0.20480000000000001</v>
      </c>
      <c r="EE94" s="228">
        <v>-0.34</v>
      </c>
      <c r="EF94" s="229">
        <v>-2.7000000000000001E-3</v>
      </c>
      <c r="EG94" s="230">
        <v>15866025</v>
      </c>
      <c r="EH94" s="230">
        <v>2505152</v>
      </c>
      <c r="EI94" s="229">
        <v>5.3334000000000001</v>
      </c>
      <c r="EJ94" s="229">
        <v>0.40739999999999998</v>
      </c>
      <c r="EK94" s="231">
        <v>1568.26</v>
      </c>
      <c r="EL94" s="231">
        <v>1573.66</v>
      </c>
      <c r="EM94" s="228">
        <v>651.17999999999995</v>
      </c>
      <c r="EN94" s="228">
        <v>21.01</v>
      </c>
      <c r="EO94" s="231">
        <v>3793.09</v>
      </c>
      <c r="EP94" s="228">
        <v>907.45</v>
      </c>
      <c r="EQ94" s="231">
        <v>2885.65</v>
      </c>
      <c r="ER94" s="229">
        <v>3.18</v>
      </c>
      <c r="ES94" s="228">
        <v>704.12</v>
      </c>
      <c r="ET94" s="228">
        <v>527.74</v>
      </c>
      <c r="EU94" s="231">
        <v>1012.47</v>
      </c>
      <c r="EV94" s="231">
        <v>133395043</v>
      </c>
      <c r="EW94" s="231">
        <v>2244.33</v>
      </c>
      <c r="EX94" s="231">
        <v>1837.1</v>
      </c>
      <c r="EY94" s="228">
        <v>407.23</v>
      </c>
      <c r="EZ94" s="229">
        <v>0.22170000000000001</v>
      </c>
      <c r="FA94" s="229">
        <v>1.3242</v>
      </c>
      <c r="FB94" s="227" t="s">
        <v>566</v>
      </c>
      <c r="FC94">
        <f t="shared" si="1"/>
        <v>208</v>
      </c>
    </row>
    <row r="95" spans="1:159" ht="17.25" thickBot="1" x14ac:dyDescent="0.3">
      <c r="A95" s="226">
        <v>46132</v>
      </c>
      <c r="B95" s="227" t="s">
        <v>206</v>
      </c>
      <c r="C95" s="227" t="s">
        <v>501</v>
      </c>
      <c r="D95" s="228">
        <v>1000</v>
      </c>
      <c r="E95" s="228">
        <v>8</v>
      </c>
      <c r="F95" s="228">
        <v>657.95</v>
      </c>
      <c r="G95" s="228">
        <v>659.55</v>
      </c>
      <c r="H95" s="228">
        <v>-1.6</v>
      </c>
      <c r="I95" s="229">
        <v>-2.3999999999999998E-3</v>
      </c>
      <c r="J95" s="228">
        <v>659.5</v>
      </c>
      <c r="K95" s="228">
        <v>659.3</v>
      </c>
      <c r="L95" s="228">
        <v>0.2</v>
      </c>
      <c r="M95" s="229">
        <v>2.9999999999999997E-4</v>
      </c>
      <c r="N95" s="228">
        <v>657.95</v>
      </c>
      <c r="O95" s="228">
        <v>659.55</v>
      </c>
      <c r="P95" s="228">
        <v>-1.6</v>
      </c>
      <c r="Q95" s="229">
        <v>-2.3999999999999998E-3</v>
      </c>
      <c r="R95" s="228">
        <v>660.15</v>
      </c>
      <c r="S95" s="228">
        <v>663.05</v>
      </c>
      <c r="T95" s="228">
        <v>-2.9</v>
      </c>
      <c r="U95" s="229">
        <v>-4.4000000000000003E-3</v>
      </c>
      <c r="V95" s="228">
        <v>663.35</v>
      </c>
      <c r="W95" s="228">
        <v>667.3</v>
      </c>
      <c r="X95" s="228">
        <v>-3.95</v>
      </c>
      <c r="Y95" s="229">
        <v>-5.8999999999999999E-3</v>
      </c>
      <c r="Z95" s="228">
        <v>-1.55</v>
      </c>
      <c r="AA95" s="228">
        <v>0.25</v>
      </c>
      <c r="AB95" s="228">
        <v>-1.8</v>
      </c>
      <c r="AC95" s="229">
        <v>-2.3999999999999998E-3</v>
      </c>
      <c r="AD95" s="228">
        <v>-1.55</v>
      </c>
      <c r="AE95" s="228">
        <v>0.25</v>
      </c>
      <c r="AF95" s="228">
        <v>-1.8</v>
      </c>
      <c r="AG95" s="229">
        <v>-2.3999999999999998E-3</v>
      </c>
      <c r="AH95" s="228">
        <v>0.65</v>
      </c>
      <c r="AI95" s="228">
        <v>3.75</v>
      </c>
      <c r="AJ95" s="228">
        <v>-3.1</v>
      </c>
      <c r="AK95" s="229">
        <v>1E-3</v>
      </c>
      <c r="AL95" s="228">
        <v>3.85</v>
      </c>
      <c r="AM95" s="228">
        <v>8</v>
      </c>
      <c r="AN95" s="228">
        <v>-4.1500000000000004</v>
      </c>
      <c r="AO95" s="229">
        <v>5.7999999999999996E-3</v>
      </c>
      <c r="AP95" s="228">
        <v>660.32</v>
      </c>
      <c r="AQ95" s="228">
        <v>662.91</v>
      </c>
      <c r="AR95" s="228">
        <v>0</v>
      </c>
      <c r="AS95" s="228">
        <v>222</v>
      </c>
      <c r="AT95" s="228">
        <v>409</v>
      </c>
      <c r="AU95" s="228">
        <v>-188</v>
      </c>
      <c r="AV95" s="229">
        <v>-0.45860000000000001</v>
      </c>
      <c r="AW95" s="228">
        <v>192</v>
      </c>
      <c r="AX95" s="228">
        <v>296</v>
      </c>
      <c r="AY95" s="228">
        <v>-104</v>
      </c>
      <c r="AZ95" s="229">
        <v>-0.3523</v>
      </c>
      <c r="BA95" s="228">
        <v>26</v>
      </c>
      <c r="BB95" s="228">
        <v>19</v>
      </c>
      <c r="BC95" s="228">
        <v>7</v>
      </c>
      <c r="BD95" s="229">
        <v>0.34360000000000002</v>
      </c>
      <c r="BE95" s="228">
        <v>4</v>
      </c>
      <c r="BF95" s="228">
        <v>94</v>
      </c>
      <c r="BG95" s="228">
        <v>-90</v>
      </c>
      <c r="BH95" s="229">
        <v>-0.95799999999999996</v>
      </c>
      <c r="BI95" s="228">
        <v>303</v>
      </c>
      <c r="BJ95" s="228">
        <v>349</v>
      </c>
      <c r="BK95" s="228">
        <v>-46</v>
      </c>
      <c r="BL95" s="229">
        <v>-0.13250000000000001</v>
      </c>
      <c r="BM95" s="228">
        <v>222</v>
      </c>
      <c r="BN95" s="228">
        <v>237</v>
      </c>
      <c r="BO95" s="228">
        <v>-15</v>
      </c>
      <c r="BP95" s="229">
        <v>-6.4399999999999999E-2</v>
      </c>
      <c r="BQ95" s="228">
        <v>746</v>
      </c>
      <c r="BR95" s="228">
        <v>995</v>
      </c>
      <c r="BS95" s="228">
        <v>-249</v>
      </c>
      <c r="BT95" s="229">
        <v>-0.25040000000000001</v>
      </c>
      <c r="BU95" s="230">
        <v>2809856</v>
      </c>
      <c r="BV95" s="230">
        <v>2783985</v>
      </c>
      <c r="BW95" s="230">
        <v>25871</v>
      </c>
      <c r="BX95" s="229">
        <v>9.2999999999999992E-3</v>
      </c>
      <c r="BY95" s="230">
        <v>1433</v>
      </c>
      <c r="BZ95" s="230">
        <v>1458</v>
      </c>
      <c r="CA95" s="228">
        <v>-24</v>
      </c>
      <c r="CB95" s="229">
        <v>-1.67E-2</v>
      </c>
      <c r="CC95" s="230">
        <v>1276</v>
      </c>
      <c r="CD95" s="230">
        <v>1311</v>
      </c>
      <c r="CE95" s="228">
        <v>-35</v>
      </c>
      <c r="CF95" s="229">
        <v>-2.6499999999999999E-2</v>
      </c>
      <c r="CG95" s="228">
        <v>67</v>
      </c>
      <c r="CH95" s="228">
        <v>56</v>
      </c>
      <c r="CI95" s="228">
        <v>11</v>
      </c>
      <c r="CJ95" s="229">
        <v>0.18779999999999999</v>
      </c>
      <c r="CK95" s="228">
        <v>90</v>
      </c>
      <c r="CL95" s="228">
        <v>90</v>
      </c>
      <c r="CM95" s="228">
        <v>0</v>
      </c>
      <c r="CN95" s="229">
        <v>0</v>
      </c>
      <c r="CO95" s="228">
        <v>400</v>
      </c>
      <c r="CP95" s="228">
        <v>400</v>
      </c>
      <c r="CQ95" s="228">
        <v>0</v>
      </c>
      <c r="CR95" s="229">
        <v>-5.0000000000000001E-4</v>
      </c>
      <c r="CS95" s="228">
        <v>392</v>
      </c>
      <c r="CT95" s="228">
        <v>387</v>
      </c>
      <c r="CU95" s="228">
        <v>5</v>
      </c>
      <c r="CV95" s="229">
        <v>1.2200000000000001E-2</v>
      </c>
      <c r="CW95" s="230">
        <v>2225</v>
      </c>
      <c r="CX95" s="230">
        <v>2245</v>
      </c>
      <c r="CY95" s="228">
        <v>-20</v>
      </c>
      <c r="CZ95" s="229">
        <v>-8.8000000000000005E-3</v>
      </c>
      <c r="DA95" s="228">
        <v>33.17</v>
      </c>
      <c r="DB95" s="228">
        <v>30.1</v>
      </c>
      <c r="DC95" s="228">
        <v>3.07</v>
      </c>
      <c r="DD95" s="228">
        <v>3.07</v>
      </c>
      <c r="DE95" s="228">
        <v>35.090000000000003</v>
      </c>
      <c r="DF95" s="228">
        <v>35.18</v>
      </c>
      <c r="DG95" s="228">
        <v>-1.92</v>
      </c>
      <c r="DH95" s="228">
        <v>-0.09</v>
      </c>
      <c r="DI95" s="228">
        <v>30.79</v>
      </c>
      <c r="DJ95" s="228">
        <v>28.25</v>
      </c>
      <c r="DK95" s="228">
        <v>2.54</v>
      </c>
      <c r="DL95" s="228">
        <v>2.54</v>
      </c>
      <c r="DM95" s="228">
        <v>36.42</v>
      </c>
      <c r="DN95" s="228">
        <v>32.840000000000003</v>
      </c>
      <c r="DO95" s="228">
        <v>3.58</v>
      </c>
      <c r="DP95" s="228">
        <v>3.58</v>
      </c>
      <c r="DQ95" s="228">
        <v>0.98</v>
      </c>
      <c r="DR95" s="228">
        <v>0.97</v>
      </c>
      <c r="DS95" s="228">
        <v>0.01</v>
      </c>
      <c r="DT95" s="229">
        <v>1.03E-2</v>
      </c>
      <c r="DU95" s="228">
        <v>700</v>
      </c>
      <c r="DV95" s="228">
        <v>600</v>
      </c>
      <c r="DW95" s="228">
        <v>0.73</v>
      </c>
      <c r="DX95" s="228">
        <v>0.68</v>
      </c>
      <c r="DY95" s="228">
        <v>0.05</v>
      </c>
      <c r="DZ95" s="229">
        <v>7.3499999999999996E-2</v>
      </c>
      <c r="EA95" s="229">
        <v>0.1095</v>
      </c>
      <c r="EB95" s="230">
        <v>2226000</v>
      </c>
      <c r="EC95" s="229">
        <v>3.3E-3</v>
      </c>
      <c r="ED95" s="229">
        <v>0.1095</v>
      </c>
      <c r="EE95" s="228">
        <v>2.59</v>
      </c>
      <c r="EF95" s="229">
        <v>3.8999999999999998E-3</v>
      </c>
      <c r="EG95" s="230">
        <v>1521467</v>
      </c>
      <c r="EH95" s="230">
        <v>1765215</v>
      </c>
      <c r="EI95" s="229">
        <v>-0.1381</v>
      </c>
      <c r="EJ95" s="229">
        <v>0.54149999999999998</v>
      </c>
      <c r="EK95" s="228">
        <v>315.07</v>
      </c>
      <c r="EL95" s="228">
        <v>218.54</v>
      </c>
      <c r="EM95" s="228">
        <v>222.61</v>
      </c>
      <c r="EN95" s="228">
        <v>38.159999999999997</v>
      </c>
      <c r="EO95" s="228">
        <v>756.21</v>
      </c>
      <c r="EP95" s="231">
        <v>1002.68</v>
      </c>
      <c r="EQ95" s="228">
        <v>-246.47</v>
      </c>
      <c r="ER95" s="229">
        <v>-0.24579999999999999</v>
      </c>
      <c r="ES95" s="228">
        <v>393.12</v>
      </c>
      <c r="ET95" s="228">
        <v>373.66</v>
      </c>
      <c r="EU95" s="231">
        <v>1434.24</v>
      </c>
      <c r="EV95" s="231">
        <v>123332004</v>
      </c>
      <c r="EW95" s="231">
        <v>2201.0300000000002</v>
      </c>
      <c r="EX95" s="231">
        <v>2222.88</v>
      </c>
      <c r="EY95" s="228">
        <v>-21.85</v>
      </c>
      <c r="EZ95" s="229">
        <v>-9.7999999999999997E-3</v>
      </c>
      <c r="FA95" s="229">
        <v>0.2742</v>
      </c>
      <c r="FB95" s="227" t="s">
        <v>567</v>
      </c>
      <c r="FC95">
        <f t="shared" si="1"/>
        <v>157</v>
      </c>
    </row>
    <row r="96" spans="1:159" ht="17.25" thickBot="1" x14ac:dyDescent="0.3">
      <c r="A96" s="226">
        <v>46132</v>
      </c>
      <c r="B96" s="227" t="s">
        <v>172</v>
      </c>
      <c r="C96" s="227" t="s">
        <v>577</v>
      </c>
      <c r="D96" s="228">
        <v>1000</v>
      </c>
      <c r="E96" s="228">
        <v>8</v>
      </c>
      <c r="F96" s="228">
        <v>931.2</v>
      </c>
      <c r="G96" s="228">
        <v>942.25</v>
      </c>
      <c r="H96" s="228">
        <v>-11.05</v>
      </c>
      <c r="I96" s="229">
        <v>-1.17E-2</v>
      </c>
      <c r="J96" s="228">
        <v>928.3</v>
      </c>
      <c r="K96" s="228">
        <v>939.45</v>
      </c>
      <c r="L96" s="228">
        <v>-11.15</v>
      </c>
      <c r="M96" s="229">
        <v>-1.1900000000000001E-2</v>
      </c>
      <c r="N96" s="228">
        <v>931.2</v>
      </c>
      <c r="O96" s="228">
        <v>942.25</v>
      </c>
      <c r="P96" s="228">
        <v>-11.05</v>
      </c>
      <c r="Q96" s="229">
        <v>-1.17E-2</v>
      </c>
      <c r="R96" s="228">
        <v>933.25</v>
      </c>
      <c r="S96" s="228">
        <v>944.05</v>
      </c>
      <c r="T96" s="228">
        <v>-10.8</v>
      </c>
      <c r="U96" s="229">
        <v>-1.14E-2</v>
      </c>
      <c r="V96" s="228">
        <v>930.45</v>
      </c>
      <c r="W96" s="228">
        <v>941</v>
      </c>
      <c r="X96" s="228">
        <v>-10.55</v>
      </c>
      <c r="Y96" s="229">
        <v>-1.12E-2</v>
      </c>
      <c r="Z96" s="228">
        <v>2.9</v>
      </c>
      <c r="AA96" s="228">
        <v>2.8</v>
      </c>
      <c r="AB96" s="228">
        <v>0.1</v>
      </c>
      <c r="AC96" s="229">
        <v>3.0999999999999999E-3</v>
      </c>
      <c r="AD96" s="228">
        <v>2.9</v>
      </c>
      <c r="AE96" s="228">
        <v>2.8</v>
      </c>
      <c r="AF96" s="228">
        <v>0.1</v>
      </c>
      <c r="AG96" s="229">
        <v>3.0999999999999999E-3</v>
      </c>
      <c r="AH96" s="228">
        <v>4.95</v>
      </c>
      <c r="AI96" s="228">
        <v>4.5999999999999996</v>
      </c>
      <c r="AJ96" s="228">
        <v>0.35</v>
      </c>
      <c r="AK96" s="229">
        <v>5.3E-3</v>
      </c>
      <c r="AL96" s="228">
        <v>2.15</v>
      </c>
      <c r="AM96" s="228">
        <v>1.55</v>
      </c>
      <c r="AN96" s="228">
        <v>0.6</v>
      </c>
      <c r="AO96" s="229">
        <v>2.3E-3</v>
      </c>
      <c r="AP96" s="228">
        <v>943.22</v>
      </c>
      <c r="AQ96" s="228">
        <v>947.12</v>
      </c>
      <c r="AR96" s="228">
        <v>0</v>
      </c>
      <c r="AS96" s="228">
        <v>347</v>
      </c>
      <c r="AT96" s="228">
        <v>208</v>
      </c>
      <c r="AU96" s="228">
        <v>139</v>
      </c>
      <c r="AV96" s="229">
        <v>0.66949999999999998</v>
      </c>
      <c r="AW96" s="228">
        <v>292</v>
      </c>
      <c r="AX96" s="228">
        <v>189</v>
      </c>
      <c r="AY96" s="228">
        <v>104</v>
      </c>
      <c r="AZ96" s="229">
        <v>0.54830000000000001</v>
      </c>
      <c r="BA96" s="228">
        <v>50</v>
      </c>
      <c r="BB96" s="228">
        <v>18</v>
      </c>
      <c r="BC96" s="228">
        <v>32</v>
      </c>
      <c r="BD96" s="229">
        <v>1.768</v>
      </c>
      <c r="BE96" s="228">
        <v>4</v>
      </c>
      <c r="BF96" s="228">
        <v>1</v>
      </c>
      <c r="BG96" s="228">
        <v>4</v>
      </c>
      <c r="BH96" s="229">
        <v>4.75</v>
      </c>
      <c r="BI96" s="228">
        <v>922</v>
      </c>
      <c r="BJ96" s="228">
        <v>526</v>
      </c>
      <c r="BK96" s="228">
        <v>396</v>
      </c>
      <c r="BL96" s="229">
        <v>0.75329999999999997</v>
      </c>
      <c r="BM96" s="228">
        <v>306</v>
      </c>
      <c r="BN96" s="228">
        <v>185</v>
      </c>
      <c r="BO96" s="228">
        <v>121</v>
      </c>
      <c r="BP96" s="229">
        <v>0.65410000000000001</v>
      </c>
      <c r="BQ96" s="230">
        <v>1575</v>
      </c>
      <c r="BR96" s="228">
        <v>919</v>
      </c>
      <c r="BS96" s="228">
        <v>656</v>
      </c>
      <c r="BT96" s="229">
        <v>0.71440000000000003</v>
      </c>
      <c r="BU96" s="230">
        <v>2601045</v>
      </c>
      <c r="BV96" s="230">
        <v>2255731</v>
      </c>
      <c r="BW96" s="230">
        <v>345314</v>
      </c>
      <c r="BX96" s="229">
        <v>0.15310000000000001</v>
      </c>
      <c r="BY96" s="228">
        <v>977</v>
      </c>
      <c r="BZ96" s="228">
        <v>918</v>
      </c>
      <c r="CA96" s="228">
        <v>58</v>
      </c>
      <c r="CB96" s="229">
        <v>6.3299999999999995E-2</v>
      </c>
      <c r="CC96" s="228">
        <v>912</v>
      </c>
      <c r="CD96" s="228">
        <v>873</v>
      </c>
      <c r="CE96" s="228">
        <v>39</v>
      </c>
      <c r="CF96" s="229">
        <v>4.5100000000000001E-2</v>
      </c>
      <c r="CG96" s="228">
        <v>57</v>
      </c>
      <c r="CH96" s="228">
        <v>39</v>
      </c>
      <c r="CI96" s="228">
        <v>18</v>
      </c>
      <c r="CJ96" s="229">
        <v>0.4758</v>
      </c>
      <c r="CK96" s="228">
        <v>8</v>
      </c>
      <c r="CL96" s="228">
        <v>7</v>
      </c>
      <c r="CM96" s="228">
        <v>0</v>
      </c>
      <c r="CN96" s="229">
        <v>5.0599999999999999E-2</v>
      </c>
      <c r="CO96" s="228">
        <v>673</v>
      </c>
      <c r="CP96" s="228">
        <v>592</v>
      </c>
      <c r="CQ96" s="228">
        <v>81</v>
      </c>
      <c r="CR96" s="229">
        <v>0.13719999999999999</v>
      </c>
      <c r="CS96" s="228">
        <v>337</v>
      </c>
      <c r="CT96" s="228">
        <v>316</v>
      </c>
      <c r="CU96" s="228">
        <v>21</v>
      </c>
      <c r="CV96" s="229">
        <v>6.6000000000000003E-2</v>
      </c>
      <c r="CW96" s="230">
        <v>1987</v>
      </c>
      <c r="CX96" s="230">
        <v>1826</v>
      </c>
      <c r="CY96" s="228">
        <v>160</v>
      </c>
      <c r="CZ96" s="229">
        <v>8.77E-2</v>
      </c>
      <c r="DA96" s="228">
        <v>43.54</v>
      </c>
      <c r="DB96" s="228">
        <v>38.6</v>
      </c>
      <c r="DC96" s="228">
        <v>4.9400000000000004</v>
      </c>
      <c r="DD96" s="228">
        <v>4.9400000000000004</v>
      </c>
      <c r="DE96" s="228">
        <v>41.73</v>
      </c>
      <c r="DF96" s="228">
        <v>41.8</v>
      </c>
      <c r="DG96" s="228">
        <v>1.81</v>
      </c>
      <c r="DH96" s="228">
        <v>-7.0000000000000007E-2</v>
      </c>
      <c r="DI96" s="228">
        <v>43.46</v>
      </c>
      <c r="DJ96" s="228">
        <v>38.57</v>
      </c>
      <c r="DK96" s="228">
        <v>4.8899999999999997</v>
      </c>
      <c r="DL96" s="228">
        <v>4.8899999999999997</v>
      </c>
      <c r="DM96" s="228">
        <v>43.79</v>
      </c>
      <c r="DN96" s="228">
        <v>38.68</v>
      </c>
      <c r="DO96" s="228">
        <v>5.1100000000000003</v>
      </c>
      <c r="DP96" s="228">
        <v>5.1100000000000003</v>
      </c>
      <c r="DQ96" s="228">
        <v>0.5</v>
      </c>
      <c r="DR96" s="228">
        <v>0.53</v>
      </c>
      <c r="DS96" s="228">
        <v>-0.03</v>
      </c>
      <c r="DT96" s="229">
        <v>-5.6599999999999998E-2</v>
      </c>
      <c r="DU96" s="231">
        <v>1000</v>
      </c>
      <c r="DV96" s="228">
        <v>900</v>
      </c>
      <c r="DW96" s="228">
        <v>0.33</v>
      </c>
      <c r="DX96" s="228">
        <v>0.35</v>
      </c>
      <c r="DY96" s="228">
        <v>-0.02</v>
      </c>
      <c r="DZ96" s="229">
        <v>-5.7099999999999998E-2</v>
      </c>
      <c r="EA96" s="229">
        <v>6.6199999999999995E-2</v>
      </c>
      <c r="EB96" s="230">
        <v>493000</v>
      </c>
      <c r="EC96" s="229">
        <v>2.2000000000000001E-3</v>
      </c>
      <c r="ED96" s="229">
        <v>6.6199999999999995E-2</v>
      </c>
      <c r="EE96" s="228">
        <v>3.9</v>
      </c>
      <c r="EF96" s="229">
        <v>4.1000000000000003E-3</v>
      </c>
      <c r="EG96" s="230">
        <v>1028219</v>
      </c>
      <c r="EH96" s="230">
        <v>1020605</v>
      </c>
      <c r="EI96" s="229">
        <v>7.4999999999999997E-3</v>
      </c>
      <c r="EJ96" s="229">
        <v>0.39529999999999998</v>
      </c>
      <c r="EK96" s="228">
        <v>979.42</v>
      </c>
      <c r="EL96" s="228">
        <v>307.89</v>
      </c>
      <c r="EM96" s="228">
        <v>351.38</v>
      </c>
      <c r="EN96" s="228">
        <v>34.270000000000003</v>
      </c>
      <c r="EO96" s="231">
        <v>1638.68</v>
      </c>
      <c r="EP96" s="228">
        <v>960.26</v>
      </c>
      <c r="EQ96" s="228">
        <v>678.42</v>
      </c>
      <c r="ER96" s="229">
        <v>0.70650000000000002</v>
      </c>
      <c r="ES96" s="228">
        <v>707.57</v>
      </c>
      <c r="ET96" s="228">
        <v>324.27999999999997</v>
      </c>
      <c r="EU96" s="228">
        <v>976.67</v>
      </c>
      <c r="EV96" s="231">
        <v>52862157</v>
      </c>
      <c r="EW96" s="231">
        <v>2008.51</v>
      </c>
      <c r="EX96" s="231">
        <v>1856.34</v>
      </c>
      <c r="EY96" s="228">
        <v>152.16999999999999</v>
      </c>
      <c r="EZ96" s="229">
        <v>8.2000000000000003E-2</v>
      </c>
      <c r="FA96" s="229">
        <v>0.40360000000000001</v>
      </c>
      <c r="FB96" s="227" t="s">
        <v>566</v>
      </c>
      <c r="FC96">
        <f t="shared" si="1"/>
        <v>65</v>
      </c>
    </row>
    <row r="97" spans="1:159" ht="17.25" thickBot="1" x14ac:dyDescent="0.3">
      <c r="A97" s="226">
        <v>46132</v>
      </c>
      <c r="B97" s="227" t="s">
        <v>181</v>
      </c>
      <c r="C97" s="227" t="s">
        <v>686</v>
      </c>
      <c r="D97" s="228">
        <v>1</v>
      </c>
      <c r="E97" s="228">
        <v>8</v>
      </c>
      <c r="F97" s="228">
        <v>18.79</v>
      </c>
      <c r="G97" s="228">
        <v>17.2</v>
      </c>
      <c r="H97" s="228">
        <v>1.59</v>
      </c>
      <c r="I97" s="229">
        <v>9.2399999999999996E-2</v>
      </c>
      <c r="J97" s="228">
        <v>18.79</v>
      </c>
      <c r="K97" s="228">
        <v>17.2</v>
      </c>
      <c r="L97" s="228">
        <v>1.59</v>
      </c>
      <c r="M97" s="229">
        <v>9.2399999999999996E-2</v>
      </c>
      <c r="N97" s="228">
        <v>0</v>
      </c>
      <c r="O97" s="228">
        <v>0</v>
      </c>
      <c r="P97" s="228">
        <v>0</v>
      </c>
      <c r="Q97" s="229">
        <v>0</v>
      </c>
      <c r="R97" s="228">
        <v>0</v>
      </c>
      <c r="S97" s="228">
        <v>0</v>
      </c>
      <c r="T97" s="228">
        <v>0</v>
      </c>
      <c r="U97" s="229">
        <v>0</v>
      </c>
      <c r="V97" s="228">
        <v>0</v>
      </c>
      <c r="W97" s="228">
        <v>0</v>
      </c>
      <c r="X97" s="228">
        <v>0</v>
      </c>
      <c r="Y97" s="229">
        <v>0</v>
      </c>
      <c r="Z97" s="228">
        <v>0</v>
      </c>
      <c r="AA97" s="228">
        <v>0</v>
      </c>
      <c r="AB97" s="228">
        <v>0</v>
      </c>
      <c r="AC97" s="229">
        <v>0</v>
      </c>
      <c r="AD97" s="228">
        <v>0</v>
      </c>
      <c r="AE97" s="228">
        <v>0</v>
      </c>
      <c r="AF97" s="228">
        <v>0</v>
      </c>
      <c r="AG97" s="229">
        <v>0</v>
      </c>
      <c r="AH97" s="228">
        <v>0</v>
      </c>
      <c r="AI97" s="228">
        <v>0</v>
      </c>
      <c r="AJ97" s="228">
        <v>0</v>
      </c>
      <c r="AK97" s="229">
        <v>0</v>
      </c>
      <c r="AL97" s="228">
        <v>0</v>
      </c>
      <c r="AM97" s="228">
        <v>0</v>
      </c>
      <c r="AN97" s="228">
        <v>0</v>
      </c>
      <c r="AO97" s="229">
        <v>0</v>
      </c>
      <c r="AP97" s="228">
        <v>0</v>
      </c>
      <c r="AQ97" s="228">
        <v>0</v>
      </c>
      <c r="AR97" s="228">
        <v>0</v>
      </c>
      <c r="AS97" s="228">
        <v>0</v>
      </c>
      <c r="AT97" s="228">
        <v>0</v>
      </c>
      <c r="AU97" s="228">
        <v>0</v>
      </c>
      <c r="AV97" s="229">
        <v>0</v>
      </c>
      <c r="AW97" s="228">
        <v>0</v>
      </c>
      <c r="AX97" s="228">
        <v>0</v>
      </c>
      <c r="AY97" s="228">
        <v>0</v>
      </c>
      <c r="AZ97" s="229">
        <v>0</v>
      </c>
      <c r="BA97" s="228">
        <v>0</v>
      </c>
      <c r="BB97" s="228">
        <v>0</v>
      </c>
      <c r="BC97" s="228">
        <v>0</v>
      </c>
      <c r="BD97" s="229">
        <v>0</v>
      </c>
      <c r="BE97" s="228">
        <v>0</v>
      </c>
      <c r="BF97" s="228">
        <v>0</v>
      </c>
      <c r="BG97" s="228">
        <v>0</v>
      </c>
      <c r="BH97" s="229">
        <v>0</v>
      </c>
      <c r="BI97" s="228">
        <v>0</v>
      </c>
      <c r="BJ97" s="228">
        <v>0</v>
      </c>
      <c r="BK97" s="228">
        <v>0</v>
      </c>
      <c r="BL97" s="229">
        <v>0</v>
      </c>
      <c r="BM97" s="228">
        <v>0</v>
      </c>
      <c r="BN97" s="228">
        <v>0</v>
      </c>
      <c r="BO97" s="228">
        <v>0</v>
      </c>
      <c r="BP97" s="229">
        <v>0</v>
      </c>
      <c r="BQ97" s="228">
        <v>0</v>
      </c>
      <c r="BR97" s="228">
        <v>0</v>
      </c>
      <c r="BS97" s="228">
        <v>0</v>
      </c>
      <c r="BT97" s="229">
        <v>0</v>
      </c>
      <c r="BU97" s="228">
        <v>0</v>
      </c>
      <c r="BV97" s="228">
        <v>0</v>
      </c>
      <c r="BW97" s="228">
        <v>0</v>
      </c>
      <c r="BX97" s="229">
        <v>0</v>
      </c>
      <c r="BY97" s="228">
        <v>0</v>
      </c>
      <c r="BZ97" s="228">
        <v>0</v>
      </c>
      <c r="CA97" s="228">
        <v>0</v>
      </c>
      <c r="CB97" s="229">
        <v>0</v>
      </c>
      <c r="CC97" s="228">
        <v>0</v>
      </c>
      <c r="CD97" s="228">
        <v>0</v>
      </c>
      <c r="CE97" s="228">
        <v>0</v>
      </c>
      <c r="CF97" s="229">
        <v>0</v>
      </c>
      <c r="CG97" s="228">
        <v>0</v>
      </c>
      <c r="CH97" s="228">
        <v>0</v>
      </c>
      <c r="CI97" s="228">
        <v>0</v>
      </c>
      <c r="CJ97" s="229">
        <v>0</v>
      </c>
      <c r="CK97" s="228">
        <v>0</v>
      </c>
      <c r="CL97" s="228">
        <v>0</v>
      </c>
      <c r="CM97" s="228">
        <v>0</v>
      </c>
      <c r="CN97" s="229">
        <v>0</v>
      </c>
      <c r="CO97" s="228">
        <v>0</v>
      </c>
      <c r="CP97" s="228">
        <v>0</v>
      </c>
      <c r="CQ97" s="228">
        <v>0</v>
      </c>
      <c r="CR97" s="229">
        <v>0</v>
      </c>
      <c r="CS97" s="228">
        <v>0</v>
      </c>
      <c r="CT97" s="228">
        <v>0</v>
      </c>
      <c r="CU97" s="228">
        <v>0</v>
      </c>
      <c r="CV97" s="229">
        <v>0</v>
      </c>
      <c r="CW97" s="228">
        <v>0</v>
      </c>
      <c r="CX97" s="228">
        <v>0</v>
      </c>
      <c r="CY97" s="228">
        <v>0</v>
      </c>
      <c r="CZ97" s="229">
        <v>0</v>
      </c>
      <c r="DA97" s="228">
        <v>0</v>
      </c>
      <c r="DB97" s="228">
        <v>0</v>
      </c>
      <c r="DC97" s="228">
        <v>0</v>
      </c>
      <c r="DD97" s="228">
        <v>0</v>
      </c>
      <c r="DE97" s="228">
        <v>0</v>
      </c>
      <c r="DF97" s="228">
        <v>0</v>
      </c>
      <c r="DG97" s="228">
        <v>0</v>
      </c>
      <c r="DH97" s="228">
        <v>0</v>
      </c>
      <c r="DI97" s="228">
        <v>0</v>
      </c>
      <c r="DJ97" s="228">
        <v>0</v>
      </c>
      <c r="DK97" s="228">
        <v>0</v>
      </c>
      <c r="DL97" s="228">
        <v>0</v>
      </c>
      <c r="DM97" s="228">
        <v>0</v>
      </c>
      <c r="DN97" s="228">
        <v>0</v>
      </c>
      <c r="DO97" s="228">
        <v>0</v>
      </c>
      <c r="DP97" s="228">
        <v>0</v>
      </c>
      <c r="DQ97" s="228">
        <v>0</v>
      </c>
      <c r="DR97" s="228">
        <v>0</v>
      </c>
      <c r="DS97" s="228">
        <v>0</v>
      </c>
      <c r="DT97" s="229">
        <v>0</v>
      </c>
      <c r="DU97" s="228">
        <v>0</v>
      </c>
      <c r="DV97" s="228">
        <v>0</v>
      </c>
      <c r="DW97" s="228">
        <v>0</v>
      </c>
      <c r="DX97" s="228">
        <v>0</v>
      </c>
      <c r="DY97" s="228">
        <v>0</v>
      </c>
      <c r="DZ97" s="229">
        <v>0</v>
      </c>
      <c r="EA97" s="229">
        <v>0</v>
      </c>
      <c r="EB97" s="228">
        <v>0</v>
      </c>
      <c r="EC97" s="229">
        <v>0</v>
      </c>
      <c r="ED97" s="229">
        <v>0</v>
      </c>
      <c r="EE97" s="228">
        <v>0</v>
      </c>
      <c r="EF97" s="229">
        <v>0</v>
      </c>
      <c r="EG97" s="228">
        <v>0</v>
      </c>
      <c r="EH97" s="228">
        <v>0</v>
      </c>
      <c r="EI97" s="229">
        <v>0</v>
      </c>
      <c r="EJ97" s="229">
        <v>0</v>
      </c>
      <c r="EK97" s="228">
        <v>0</v>
      </c>
      <c r="EL97" s="228">
        <v>0</v>
      </c>
      <c r="EM97" s="228">
        <v>0</v>
      </c>
      <c r="EN97" s="228">
        <v>0</v>
      </c>
      <c r="EO97" s="228">
        <v>0</v>
      </c>
      <c r="EP97" s="228">
        <v>0</v>
      </c>
      <c r="EQ97" s="228">
        <v>0</v>
      </c>
      <c r="ER97" s="229">
        <v>0</v>
      </c>
      <c r="ES97" s="228">
        <v>0</v>
      </c>
      <c r="ET97" s="228">
        <v>0</v>
      </c>
      <c r="EU97" s="228">
        <v>0</v>
      </c>
      <c r="EV97" s="228">
        <v>0</v>
      </c>
      <c r="EW97" s="228">
        <v>0</v>
      </c>
      <c r="EX97" s="228">
        <v>0</v>
      </c>
      <c r="EY97" s="228">
        <v>0</v>
      </c>
      <c r="EZ97" s="229">
        <v>0</v>
      </c>
      <c r="FA97" s="229">
        <v>0</v>
      </c>
      <c r="FB97" s="227" t="s">
        <v>237</v>
      </c>
      <c r="FC97">
        <f t="shared" si="1"/>
        <v>0</v>
      </c>
    </row>
    <row r="98" spans="1:159" ht="17.25" thickBot="1" x14ac:dyDescent="0.3">
      <c r="A98" s="226">
        <v>46132</v>
      </c>
      <c r="B98" s="227" t="s">
        <v>215</v>
      </c>
      <c r="C98" s="227" t="s">
        <v>238</v>
      </c>
      <c r="D98" s="228">
        <v>150</v>
      </c>
      <c r="E98" s="228">
        <v>8</v>
      </c>
      <c r="F98" s="231">
        <v>4672.3</v>
      </c>
      <c r="G98" s="231">
        <v>4647.8999999999996</v>
      </c>
      <c r="H98" s="228">
        <v>24.4</v>
      </c>
      <c r="I98" s="229">
        <v>5.1999999999999998E-3</v>
      </c>
      <c r="J98" s="231">
        <v>4678.2</v>
      </c>
      <c r="K98" s="231">
        <v>4638.3999999999996</v>
      </c>
      <c r="L98" s="228">
        <v>39.799999999999997</v>
      </c>
      <c r="M98" s="229">
        <v>8.6E-3</v>
      </c>
      <c r="N98" s="231">
        <v>4672.3</v>
      </c>
      <c r="O98" s="231">
        <v>4647.8999999999996</v>
      </c>
      <c r="P98" s="228">
        <v>24.4</v>
      </c>
      <c r="Q98" s="229">
        <v>5.1999999999999998E-3</v>
      </c>
      <c r="R98" s="231">
        <v>4684.8999999999996</v>
      </c>
      <c r="S98" s="231">
        <v>4656.2</v>
      </c>
      <c r="T98" s="228">
        <v>28.7</v>
      </c>
      <c r="U98" s="229">
        <v>6.1999999999999998E-3</v>
      </c>
      <c r="V98" s="231">
        <v>4697</v>
      </c>
      <c r="W98" s="231">
        <v>4670.8</v>
      </c>
      <c r="X98" s="228">
        <v>26.2</v>
      </c>
      <c r="Y98" s="229">
        <v>5.5999999999999999E-3</v>
      </c>
      <c r="Z98" s="228">
        <v>-5.9</v>
      </c>
      <c r="AA98" s="228">
        <v>9.5</v>
      </c>
      <c r="AB98" s="228">
        <v>-15.4</v>
      </c>
      <c r="AC98" s="229">
        <v>-1.2999999999999999E-3</v>
      </c>
      <c r="AD98" s="228">
        <v>-5.9</v>
      </c>
      <c r="AE98" s="228">
        <v>9.5</v>
      </c>
      <c r="AF98" s="228">
        <v>-15.4</v>
      </c>
      <c r="AG98" s="229">
        <v>-1.2999999999999999E-3</v>
      </c>
      <c r="AH98" s="228">
        <v>6.7</v>
      </c>
      <c r="AI98" s="228">
        <v>17.8</v>
      </c>
      <c r="AJ98" s="228">
        <v>-11.1</v>
      </c>
      <c r="AK98" s="229">
        <v>1.4E-3</v>
      </c>
      <c r="AL98" s="228">
        <v>18.8</v>
      </c>
      <c r="AM98" s="228">
        <v>32.4</v>
      </c>
      <c r="AN98" s="228">
        <v>-13.6</v>
      </c>
      <c r="AO98" s="229">
        <v>4.0000000000000001E-3</v>
      </c>
      <c r="AP98" s="231">
        <v>4649.66</v>
      </c>
      <c r="AQ98" s="231">
        <v>4663.2700000000004</v>
      </c>
      <c r="AR98" s="228">
        <v>0</v>
      </c>
      <c r="AS98" s="228">
        <v>575</v>
      </c>
      <c r="AT98" s="228">
        <v>413</v>
      </c>
      <c r="AU98" s="228">
        <v>162</v>
      </c>
      <c r="AV98" s="229">
        <v>0.3921</v>
      </c>
      <c r="AW98" s="228">
        <v>493</v>
      </c>
      <c r="AX98" s="228">
        <v>369</v>
      </c>
      <c r="AY98" s="228">
        <v>124</v>
      </c>
      <c r="AZ98" s="229">
        <v>0.33650000000000002</v>
      </c>
      <c r="BA98" s="228">
        <v>75</v>
      </c>
      <c r="BB98" s="228">
        <v>40</v>
      </c>
      <c r="BC98" s="228">
        <v>35</v>
      </c>
      <c r="BD98" s="229">
        <v>0.87739999999999996</v>
      </c>
      <c r="BE98" s="228">
        <v>6</v>
      </c>
      <c r="BF98" s="228">
        <v>4</v>
      </c>
      <c r="BG98" s="228">
        <v>3</v>
      </c>
      <c r="BH98" s="229">
        <v>0.67269999999999996</v>
      </c>
      <c r="BI98" s="230">
        <v>2468</v>
      </c>
      <c r="BJ98" s="230">
        <v>1992</v>
      </c>
      <c r="BK98" s="228">
        <v>475</v>
      </c>
      <c r="BL98" s="229">
        <v>0.23849999999999999</v>
      </c>
      <c r="BM98" s="230">
        <v>2373</v>
      </c>
      <c r="BN98" s="230">
        <v>1773</v>
      </c>
      <c r="BO98" s="228">
        <v>600</v>
      </c>
      <c r="BP98" s="229">
        <v>0.33839999999999998</v>
      </c>
      <c r="BQ98" s="230">
        <v>5416</v>
      </c>
      <c r="BR98" s="230">
        <v>4178</v>
      </c>
      <c r="BS98" s="230">
        <v>1237</v>
      </c>
      <c r="BT98" s="229">
        <v>0.29609999999999997</v>
      </c>
      <c r="BU98" s="230">
        <v>1085104</v>
      </c>
      <c r="BV98" s="230">
        <v>794960</v>
      </c>
      <c r="BW98" s="230">
        <v>290144</v>
      </c>
      <c r="BX98" s="229">
        <v>0.36499999999999999</v>
      </c>
      <c r="BY98" s="230">
        <v>3253</v>
      </c>
      <c r="BZ98" s="230">
        <v>3276</v>
      </c>
      <c r="CA98" s="228">
        <v>-23</v>
      </c>
      <c r="CB98" s="229">
        <v>-7.1000000000000004E-3</v>
      </c>
      <c r="CC98" s="230">
        <v>3074</v>
      </c>
      <c r="CD98" s="230">
        <v>3115</v>
      </c>
      <c r="CE98" s="228">
        <v>-41</v>
      </c>
      <c r="CF98" s="229">
        <v>-1.32E-2</v>
      </c>
      <c r="CG98" s="228">
        <v>156</v>
      </c>
      <c r="CH98" s="228">
        <v>138</v>
      </c>
      <c r="CI98" s="228">
        <v>18</v>
      </c>
      <c r="CJ98" s="229">
        <v>0.129</v>
      </c>
      <c r="CK98" s="228">
        <v>22</v>
      </c>
      <c r="CL98" s="228">
        <v>23</v>
      </c>
      <c r="CM98" s="228">
        <v>0</v>
      </c>
      <c r="CN98" s="229">
        <v>-6.1999999999999998E-3</v>
      </c>
      <c r="CO98" s="230">
        <v>2939</v>
      </c>
      <c r="CP98" s="230">
        <v>2945</v>
      </c>
      <c r="CQ98" s="228">
        <v>-5</v>
      </c>
      <c r="CR98" s="229">
        <v>-1.6999999999999999E-3</v>
      </c>
      <c r="CS98" s="230">
        <v>2162</v>
      </c>
      <c r="CT98" s="230">
        <v>2036</v>
      </c>
      <c r="CU98" s="228">
        <v>126</v>
      </c>
      <c r="CV98" s="229">
        <v>6.2100000000000002E-2</v>
      </c>
      <c r="CW98" s="230">
        <v>8355</v>
      </c>
      <c r="CX98" s="230">
        <v>8257</v>
      </c>
      <c r="CY98" s="228">
        <v>98</v>
      </c>
      <c r="CZ98" s="229">
        <v>1.1900000000000001E-2</v>
      </c>
      <c r="DA98" s="228">
        <v>41.35</v>
      </c>
      <c r="DB98" s="228">
        <v>38.86</v>
      </c>
      <c r="DC98" s="228">
        <v>2.4900000000000002</v>
      </c>
      <c r="DD98" s="228">
        <v>2.4900000000000002</v>
      </c>
      <c r="DE98" s="228">
        <v>40.159999999999997</v>
      </c>
      <c r="DF98" s="228">
        <v>40.24</v>
      </c>
      <c r="DG98" s="228">
        <v>1.19</v>
      </c>
      <c r="DH98" s="228">
        <v>-0.08</v>
      </c>
      <c r="DI98" s="228">
        <v>37.32</v>
      </c>
      <c r="DJ98" s="228">
        <v>34.979999999999997</v>
      </c>
      <c r="DK98" s="228">
        <v>2.34</v>
      </c>
      <c r="DL98" s="228">
        <v>2.34</v>
      </c>
      <c r="DM98" s="228">
        <v>45.53</v>
      </c>
      <c r="DN98" s="228">
        <v>43.22</v>
      </c>
      <c r="DO98" s="228">
        <v>2.31</v>
      </c>
      <c r="DP98" s="228">
        <v>2.31</v>
      </c>
      <c r="DQ98" s="228">
        <v>0.74</v>
      </c>
      <c r="DR98" s="228">
        <v>0.69</v>
      </c>
      <c r="DS98" s="228">
        <v>0.05</v>
      </c>
      <c r="DT98" s="229">
        <v>7.2499999999999995E-2</v>
      </c>
      <c r="DU98" s="231">
        <v>4700</v>
      </c>
      <c r="DV98" s="231">
        <v>4700</v>
      </c>
      <c r="DW98" s="228">
        <v>0.96</v>
      </c>
      <c r="DX98" s="228">
        <v>0.89</v>
      </c>
      <c r="DY98" s="228">
        <v>7.0000000000000007E-2</v>
      </c>
      <c r="DZ98" s="229">
        <v>7.8700000000000006E-2</v>
      </c>
      <c r="EA98" s="229">
        <v>5.5E-2</v>
      </c>
      <c r="EB98" s="230">
        <v>344700</v>
      </c>
      <c r="EC98" s="229">
        <v>2.7000000000000001E-3</v>
      </c>
      <c r="ED98" s="229">
        <v>5.5E-2</v>
      </c>
      <c r="EE98" s="228">
        <v>13.61</v>
      </c>
      <c r="EF98" s="229">
        <v>2.8999999999999998E-3</v>
      </c>
      <c r="EG98" s="230">
        <v>535349</v>
      </c>
      <c r="EH98" s="230">
        <v>338886</v>
      </c>
      <c r="EI98" s="229">
        <v>0.57969999999999999</v>
      </c>
      <c r="EJ98" s="229">
        <v>0.49340000000000001</v>
      </c>
      <c r="EK98" s="231">
        <v>2572.92</v>
      </c>
      <c r="EL98" s="231">
        <v>2298.27</v>
      </c>
      <c r="EM98" s="228">
        <v>572.30999999999995</v>
      </c>
      <c r="EN98" s="228">
        <v>94.54</v>
      </c>
      <c r="EO98" s="231">
        <v>5443.49</v>
      </c>
      <c r="EP98" s="231">
        <v>4155.1899999999996</v>
      </c>
      <c r="EQ98" s="231">
        <v>1288.3</v>
      </c>
      <c r="ER98" s="229">
        <v>0.31</v>
      </c>
      <c r="ES98" s="231">
        <v>2964.8</v>
      </c>
      <c r="ET98" s="231">
        <v>1993.72</v>
      </c>
      <c r="EU98" s="231">
        <v>3253.58</v>
      </c>
      <c r="EV98" s="231">
        <v>33878797</v>
      </c>
      <c r="EW98" s="231">
        <v>8212.11</v>
      </c>
      <c r="EX98" s="231">
        <v>8095.18</v>
      </c>
      <c r="EY98" s="228">
        <v>116.93</v>
      </c>
      <c r="EZ98" s="229">
        <v>1.44E-2</v>
      </c>
      <c r="FA98" s="229">
        <v>0.52780000000000005</v>
      </c>
      <c r="FB98" s="227" t="s">
        <v>693</v>
      </c>
      <c r="FC98">
        <f t="shared" si="1"/>
        <v>179</v>
      </c>
    </row>
    <row r="99" spans="1:159" ht="17.25" thickBot="1" x14ac:dyDescent="0.3">
      <c r="A99" s="226">
        <v>46132</v>
      </c>
      <c r="B99" s="227" t="s">
        <v>172</v>
      </c>
      <c r="C99" s="227" t="s">
        <v>239</v>
      </c>
      <c r="D99" s="228">
        <v>700</v>
      </c>
      <c r="E99" s="228">
        <v>8</v>
      </c>
      <c r="F99" s="228">
        <v>850.2</v>
      </c>
      <c r="G99" s="228">
        <v>852.35</v>
      </c>
      <c r="H99" s="228">
        <v>-2.15</v>
      </c>
      <c r="I99" s="229">
        <v>-2.5000000000000001E-3</v>
      </c>
      <c r="J99" s="228">
        <v>851.95</v>
      </c>
      <c r="K99" s="228">
        <v>853.9</v>
      </c>
      <c r="L99" s="228">
        <v>-1.95</v>
      </c>
      <c r="M99" s="229">
        <v>-2.3E-3</v>
      </c>
      <c r="N99" s="228">
        <v>850.2</v>
      </c>
      <c r="O99" s="228">
        <v>852.35</v>
      </c>
      <c r="P99" s="228">
        <v>-2.15</v>
      </c>
      <c r="Q99" s="229">
        <v>-2.5000000000000001E-3</v>
      </c>
      <c r="R99" s="228">
        <v>854.7</v>
      </c>
      <c r="S99" s="228">
        <v>857.05</v>
      </c>
      <c r="T99" s="228">
        <v>-2.35</v>
      </c>
      <c r="U99" s="229">
        <v>-2.7000000000000001E-3</v>
      </c>
      <c r="V99" s="228">
        <v>856.2</v>
      </c>
      <c r="W99" s="228">
        <v>857.55</v>
      </c>
      <c r="X99" s="228">
        <v>-1.35</v>
      </c>
      <c r="Y99" s="229">
        <v>-1.6000000000000001E-3</v>
      </c>
      <c r="Z99" s="228">
        <v>-1.75</v>
      </c>
      <c r="AA99" s="228">
        <v>-1.55</v>
      </c>
      <c r="AB99" s="228">
        <v>-0.2</v>
      </c>
      <c r="AC99" s="229">
        <v>-2.0999999999999999E-3</v>
      </c>
      <c r="AD99" s="228">
        <v>-1.75</v>
      </c>
      <c r="AE99" s="228">
        <v>-1.55</v>
      </c>
      <c r="AF99" s="228">
        <v>-0.2</v>
      </c>
      <c r="AG99" s="229">
        <v>-2.0999999999999999E-3</v>
      </c>
      <c r="AH99" s="228">
        <v>2.75</v>
      </c>
      <c r="AI99" s="228">
        <v>3.15</v>
      </c>
      <c r="AJ99" s="228">
        <v>-0.4</v>
      </c>
      <c r="AK99" s="229">
        <v>3.2000000000000002E-3</v>
      </c>
      <c r="AL99" s="228">
        <v>4.25</v>
      </c>
      <c r="AM99" s="228">
        <v>3.65</v>
      </c>
      <c r="AN99" s="228">
        <v>0.6</v>
      </c>
      <c r="AO99" s="229">
        <v>5.0000000000000001E-3</v>
      </c>
      <c r="AP99" s="228">
        <v>849.52</v>
      </c>
      <c r="AQ99" s="228">
        <v>855.76</v>
      </c>
      <c r="AR99" s="228">
        <v>0</v>
      </c>
      <c r="AS99" s="228">
        <v>370</v>
      </c>
      <c r="AT99" s="228">
        <v>314</v>
      </c>
      <c r="AU99" s="228">
        <v>56</v>
      </c>
      <c r="AV99" s="229">
        <v>0.1792</v>
      </c>
      <c r="AW99" s="228">
        <v>304</v>
      </c>
      <c r="AX99" s="228">
        <v>264</v>
      </c>
      <c r="AY99" s="228">
        <v>40</v>
      </c>
      <c r="AZ99" s="229">
        <v>0.14979999999999999</v>
      </c>
      <c r="BA99" s="228">
        <v>62</v>
      </c>
      <c r="BB99" s="228">
        <v>46</v>
      </c>
      <c r="BC99" s="228">
        <v>16</v>
      </c>
      <c r="BD99" s="229">
        <v>0.34670000000000001</v>
      </c>
      <c r="BE99" s="228">
        <v>4</v>
      </c>
      <c r="BF99" s="228">
        <v>3</v>
      </c>
      <c r="BG99" s="228">
        <v>1</v>
      </c>
      <c r="BH99" s="229">
        <v>0.19639999999999999</v>
      </c>
      <c r="BI99" s="228">
        <v>571</v>
      </c>
      <c r="BJ99" s="228">
        <v>712</v>
      </c>
      <c r="BK99" s="228">
        <v>-141</v>
      </c>
      <c r="BL99" s="229">
        <v>-0.1978</v>
      </c>
      <c r="BM99" s="228">
        <v>430</v>
      </c>
      <c r="BN99" s="228">
        <v>413</v>
      </c>
      <c r="BO99" s="228">
        <v>18</v>
      </c>
      <c r="BP99" s="229">
        <v>4.3099999999999999E-2</v>
      </c>
      <c r="BQ99" s="230">
        <v>1371</v>
      </c>
      <c r="BR99" s="230">
        <v>1438</v>
      </c>
      <c r="BS99" s="228">
        <v>-67</v>
      </c>
      <c r="BT99" s="229">
        <v>-4.65E-2</v>
      </c>
      <c r="BU99" s="230">
        <v>2490621</v>
      </c>
      <c r="BV99" s="230">
        <v>1900991</v>
      </c>
      <c r="BW99" s="230">
        <v>589630</v>
      </c>
      <c r="BX99" s="229">
        <v>0.31019999999999998</v>
      </c>
      <c r="BY99" s="230">
        <v>3213</v>
      </c>
      <c r="BZ99" s="230">
        <v>3280</v>
      </c>
      <c r="CA99" s="228">
        <v>-67</v>
      </c>
      <c r="CB99" s="229">
        <v>-2.0400000000000001E-2</v>
      </c>
      <c r="CC99" s="230">
        <v>2911</v>
      </c>
      <c r="CD99" s="230">
        <v>3010</v>
      </c>
      <c r="CE99" s="228">
        <v>-99</v>
      </c>
      <c r="CF99" s="229">
        <v>-3.2899999999999999E-2</v>
      </c>
      <c r="CG99" s="228">
        <v>269</v>
      </c>
      <c r="CH99" s="228">
        <v>237</v>
      </c>
      <c r="CI99" s="228">
        <v>31</v>
      </c>
      <c r="CJ99" s="229">
        <v>0.13170000000000001</v>
      </c>
      <c r="CK99" s="228">
        <v>34</v>
      </c>
      <c r="CL99" s="228">
        <v>34</v>
      </c>
      <c r="CM99" s="228">
        <v>1</v>
      </c>
      <c r="CN99" s="229">
        <v>2.4799999999999999E-2</v>
      </c>
      <c r="CO99" s="228">
        <v>667</v>
      </c>
      <c r="CP99" s="228">
        <v>680</v>
      </c>
      <c r="CQ99" s="228">
        <v>-13</v>
      </c>
      <c r="CR99" s="229">
        <v>-1.9400000000000001E-2</v>
      </c>
      <c r="CS99" s="228">
        <v>515</v>
      </c>
      <c r="CT99" s="228">
        <v>521</v>
      </c>
      <c r="CU99" s="228">
        <v>-6</v>
      </c>
      <c r="CV99" s="229">
        <v>-1.09E-2</v>
      </c>
      <c r="CW99" s="230">
        <v>4395</v>
      </c>
      <c r="CX99" s="230">
        <v>4481</v>
      </c>
      <c r="CY99" s="228">
        <v>-86</v>
      </c>
      <c r="CZ99" s="229">
        <v>-1.9099999999999999E-2</v>
      </c>
      <c r="DA99" s="228">
        <v>43.52</v>
      </c>
      <c r="DB99" s="228">
        <v>39.17</v>
      </c>
      <c r="DC99" s="228">
        <v>4.3499999999999996</v>
      </c>
      <c r="DD99" s="228">
        <v>4.3499999999999996</v>
      </c>
      <c r="DE99" s="228">
        <v>43.26</v>
      </c>
      <c r="DF99" s="228">
        <v>43.37</v>
      </c>
      <c r="DG99" s="228">
        <v>0.26</v>
      </c>
      <c r="DH99" s="228">
        <v>-0.11</v>
      </c>
      <c r="DI99" s="228">
        <v>41.86</v>
      </c>
      <c r="DJ99" s="228">
        <v>37.69</v>
      </c>
      <c r="DK99" s="228">
        <v>4.17</v>
      </c>
      <c r="DL99" s="228">
        <v>4.17</v>
      </c>
      <c r="DM99" s="228">
        <v>45.74</v>
      </c>
      <c r="DN99" s="228">
        <v>41.73</v>
      </c>
      <c r="DO99" s="228">
        <v>4.01</v>
      </c>
      <c r="DP99" s="228">
        <v>4.01</v>
      </c>
      <c r="DQ99" s="228">
        <v>0.77</v>
      </c>
      <c r="DR99" s="228">
        <v>0.77</v>
      </c>
      <c r="DS99" s="228">
        <v>0</v>
      </c>
      <c r="DT99" s="229">
        <v>0</v>
      </c>
      <c r="DU99" s="228">
        <v>900</v>
      </c>
      <c r="DV99" s="228">
        <v>800</v>
      </c>
      <c r="DW99" s="228">
        <v>0.75</v>
      </c>
      <c r="DX99" s="228">
        <v>0.57999999999999996</v>
      </c>
      <c r="DY99" s="228">
        <v>0.17</v>
      </c>
      <c r="DZ99" s="229">
        <v>0.29310000000000003</v>
      </c>
      <c r="EA99" s="229">
        <v>9.4299999999999995E-2</v>
      </c>
      <c r="EB99" s="230">
        <v>3185700</v>
      </c>
      <c r="EC99" s="229">
        <v>5.3E-3</v>
      </c>
      <c r="ED99" s="229">
        <v>9.4299999999999995E-2</v>
      </c>
      <c r="EE99" s="228">
        <v>6.24</v>
      </c>
      <c r="EF99" s="229">
        <v>7.3000000000000001E-3</v>
      </c>
      <c r="EG99" s="230">
        <v>1234051</v>
      </c>
      <c r="EH99" s="230">
        <v>828447</v>
      </c>
      <c r="EI99" s="229">
        <v>0.48959999999999998</v>
      </c>
      <c r="EJ99" s="229">
        <v>0.4955</v>
      </c>
      <c r="EK99" s="228">
        <v>595</v>
      </c>
      <c r="EL99" s="228">
        <v>422.7</v>
      </c>
      <c r="EM99" s="228">
        <v>369.95</v>
      </c>
      <c r="EN99" s="228">
        <v>63</v>
      </c>
      <c r="EO99" s="231">
        <v>1387.65</v>
      </c>
      <c r="EP99" s="231">
        <v>1460.26</v>
      </c>
      <c r="EQ99" s="228">
        <v>-72.61</v>
      </c>
      <c r="ER99" s="229">
        <v>-4.9700000000000001E-2</v>
      </c>
      <c r="ES99" s="228">
        <v>670.78</v>
      </c>
      <c r="ET99" s="228">
        <v>486.77</v>
      </c>
      <c r="EU99" s="231">
        <v>3215.12</v>
      </c>
      <c r="EV99" s="231">
        <v>93808799</v>
      </c>
      <c r="EW99" s="231">
        <v>4372.68</v>
      </c>
      <c r="EX99" s="231">
        <v>4463.54</v>
      </c>
      <c r="EY99" s="228">
        <v>-90.86</v>
      </c>
      <c r="EZ99" s="229">
        <v>-2.0400000000000001E-2</v>
      </c>
      <c r="FA99" s="229">
        <v>0.55110000000000003</v>
      </c>
      <c r="FB99" s="227" t="s">
        <v>567</v>
      </c>
      <c r="FC99">
        <f t="shared" si="1"/>
        <v>302</v>
      </c>
    </row>
    <row r="100" spans="1:159" ht="17.25" thickBot="1" x14ac:dyDescent="0.3">
      <c r="A100" s="226">
        <v>46132</v>
      </c>
      <c r="B100" s="227" t="s">
        <v>188</v>
      </c>
      <c r="C100" s="227" t="s">
        <v>473</v>
      </c>
      <c r="D100" s="228">
        <v>1700</v>
      </c>
      <c r="E100" s="228">
        <v>8</v>
      </c>
      <c r="F100" s="228">
        <v>406.95</v>
      </c>
      <c r="G100" s="228">
        <v>413.35</v>
      </c>
      <c r="H100" s="228">
        <v>-6.4</v>
      </c>
      <c r="I100" s="229">
        <v>-1.55E-2</v>
      </c>
      <c r="J100" s="228">
        <v>405.8</v>
      </c>
      <c r="K100" s="228">
        <v>412.25</v>
      </c>
      <c r="L100" s="228">
        <v>-6.45</v>
      </c>
      <c r="M100" s="229">
        <v>-1.5599999999999999E-2</v>
      </c>
      <c r="N100" s="228">
        <v>406.95</v>
      </c>
      <c r="O100" s="228">
        <v>413.35</v>
      </c>
      <c r="P100" s="228">
        <v>-6.4</v>
      </c>
      <c r="Q100" s="229">
        <v>-1.55E-2</v>
      </c>
      <c r="R100" s="228">
        <v>409.15</v>
      </c>
      <c r="S100" s="228">
        <v>415.6</v>
      </c>
      <c r="T100" s="228">
        <v>-6.45</v>
      </c>
      <c r="U100" s="229">
        <v>-1.55E-2</v>
      </c>
      <c r="V100" s="228">
        <v>411.45</v>
      </c>
      <c r="W100" s="228">
        <v>418</v>
      </c>
      <c r="X100" s="228">
        <v>-6.55</v>
      </c>
      <c r="Y100" s="229">
        <v>-1.5699999999999999E-2</v>
      </c>
      <c r="Z100" s="228">
        <v>1.1499999999999999</v>
      </c>
      <c r="AA100" s="228">
        <v>1.1000000000000001</v>
      </c>
      <c r="AB100" s="228">
        <v>0.05</v>
      </c>
      <c r="AC100" s="229">
        <v>2.8E-3</v>
      </c>
      <c r="AD100" s="228">
        <v>1.1499999999999999</v>
      </c>
      <c r="AE100" s="228">
        <v>1.1000000000000001</v>
      </c>
      <c r="AF100" s="228">
        <v>0.05</v>
      </c>
      <c r="AG100" s="229">
        <v>2.8E-3</v>
      </c>
      <c r="AH100" s="228">
        <v>3.35</v>
      </c>
      <c r="AI100" s="228">
        <v>3.35</v>
      </c>
      <c r="AJ100" s="228">
        <v>0</v>
      </c>
      <c r="AK100" s="229">
        <v>8.3000000000000001E-3</v>
      </c>
      <c r="AL100" s="228">
        <v>5.65</v>
      </c>
      <c r="AM100" s="228">
        <v>5.75</v>
      </c>
      <c r="AN100" s="228">
        <v>-0.1</v>
      </c>
      <c r="AO100" s="229">
        <v>1.3899999999999999E-2</v>
      </c>
      <c r="AP100" s="228">
        <v>407.41</v>
      </c>
      <c r="AQ100" s="228">
        <v>409.05</v>
      </c>
      <c r="AR100" s="228">
        <v>0</v>
      </c>
      <c r="AS100" s="228">
        <v>551</v>
      </c>
      <c r="AT100" s="228">
        <v>805</v>
      </c>
      <c r="AU100" s="228">
        <v>-254</v>
      </c>
      <c r="AV100" s="229">
        <v>-0.31590000000000001</v>
      </c>
      <c r="AW100" s="228">
        <v>345</v>
      </c>
      <c r="AX100" s="228">
        <v>612</v>
      </c>
      <c r="AY100" s="228">
        <v>-267</v>
      </c>
      <c r="AZ100" s="229">
        <v>-0.43590000000000001</v>
      </c>
      <c r="BA100" s="228">
        <v>202</v>
      </c>
      <c r="BB100" s="228">
        <v>96</v>
      </c>
      <c r="BC100" s="228">
        <v>106</v>
      </c>
      <c r="BD100" s="229">
        <v>1.1015999999999999</v>
      </c>
      <c r="BE100" s="228">
        <v>4</v>
      </c>
      <c r="BF100" s="228">
        <v>97</v>
      </c>
      <c r="BG100" s="228">
        <v>-93</v>
      </c>
      <c r="BH100" s="229">
        <v>-0.96020000000000005</v>
      </c>
      <c r="BI100" s="228">
        <v>838</v>
      </c>
      <c r="BJ100" s="230">
        <v>1436</v>
      </c>
      <c r="BK100" s="228">
        <v>-599</v>
      </c>
      <c r="BL100" s="229">
        <v>-0.4168</v>
      </c>
      <c r="BM100" s="228">
        <v>327</v>
      </c>
      <c r="BN100" s="228">
        <v>750</v>
      </c>
      <c r="BO100" s="228">
        <v>-423</v>
      </c>
      <c r="BP100" s="229">
        <v>-0.56359999999999999</v>
      </c>
      <c r="BQ100" s="230">
        <v>1716</v>
      </c>
      <c r="BR100" s="230">
        <v>2991</v>
      </c>
      <c r="BS100" s="230">
        <v>-1275</v>
      </c>
      <c r="BT100" s="229">
        <v>-0.4264</v>
      </c>
      <c r="BU100" s="230">
        <v>8981644</v>
      </c>
      <c r="BV100" s="230">
        <v>10739860</v>
      </c>
      <c r="BW100" s="230">
        <v>-1758216</v>
      </c>
      <c r="BX100" s="229">
        <v>-0.16370000000000001</v>
      </c>
      <c r="BY100" s="230">
        <v>3056</v>
      </c>
      <c r="BZ100" s="230">
        <v>2971</v>
      </c>
      <c r="CA100" s="228">
        <v>85</v>
      </c>
      <c r="CB100" s="229">
        <v>2.87E-2</v>
      </c>
      <c r="CC100" s="230">
        <v>2616</v>
      </c>
      <c r="CD100" s="230">
        <v>2706</v>
      </c>
      <c r="CE100" s="228">
        <v>-90</v>
      </c>
      <c r="CF100" s="229">
        <v>-3.3399999999999999E-2</v>
      </c>
      <c r="CG100" s="228">
        <v>331</v>
      </c>
      <c r="CH100" s="228">
        <v>157</v>
      </c>
      <c r="CI100" s="228">
        <v>174</v>
      </c>
      <c r="CJ100" s="229">
        <v>1.1075999999999999</v>
      </c>
      <c r="CK100" s="228">
        <v>110</v>
      </c>
      <c r="CL100" s="228">
        <v>108</v>
      </c>
      <c r="CM100" s="228">
        <v>2</v>
      </c>
      <c r="CN100" s="229">
        <v>1.7299999999999999E-2</v>
      </c>
      <c r="CO100" s="230">
        <v>1084</v>
      </c>
      <c r="CP100" s="230">
        <v>1032</v>
      </c>
      <c r="CQ100" s="228">
        <v>52</v>
      </c>
      <c r="CR100" s="229">
        <v>5.0299999999999997E-2</v>
      </c>
      <c r="CS100" s="228">
        <v>578</v>
      </c>
      <c r="CT100" s="228">
        <v>598</v>
      </c>
      <c r="CU100" s="228">
        <v>-21</v>
      </c>
      <c r="CV100" s="229">
        <v>-3.4500000000000003E-2</v>
      </c>
      <c r="CW100" s="230">
        <v>4718</v>
      </c>
      <c r="CX100" s="230">
        <v>4602</v>
      </c>
      <c r="CY100" s="228">
        <v>117</v>
      </c>
      <c r="CZ100" s="229">
        <v>2.53E-2</v>
      </c>
      <c r="DA100" s="228">
        <v>35.119999999999997</v>
      </c>
      <c r="DB100" s="228">
        <v>31.37</v>
      </c>
      <c r="DC100" s="228">
        <v>3.75</v>
      </c>
      <c r="DD100" s="228">
        <v>3.75</v>
      </c>
      <c r="DE100" s="228">
        <v>37.72</v>
      </c>
      <c r="DF100" s="228">
        <v>37.75</v>
      </c>
      <c r="DG100" s="228">
        <v>-2.6</v>
      </c>
      <c r="DH100" s="228">
        <v>-0.03</v>
      </c>
      <c r="DI100" s="228">
        <v>35.369999999999997</v>
      </c>
      <c r="DJ100" s="228">
        <v>31.12</v>
      </c>
      <c r="DK100" s="228">
        <v>4.25</v>
      </c>
      <c r="DL100" s="228">
        <v>4.25</v>
      </c>
      <c r="DM100" s="228">
        <v>34.479999999999997</v>
      </c>
      <c r="DN100" s="228">
        <v>31.85</v>
      </c>
      <c r="DO100" s="228">
        <v>2.63</v>
      </c>
      <c r="DP100" s="228">
        <v>2.63</v>
      </c>
      <c r="DQ100" s="228">
        <v>0.53</v>
      </c>
      <c r="DR100" s="228">
        <v>0.57999999999999996</v>
      </c>
      <c r="DS100" s="228">
        <v>-0.05</v>
      </c>
      <c r="DT100" s="229">
        <v>-8.6199999999999999E-2</v>
      </c>
      <c r="DU100" s="228">
        <v>430</v>
      </c>
      <c r="DV100" s="228">
        <v>430</v>
      </c>
      <c r="DW100" s="228">
        <v>0.39</v>
      </c>
      <c r="DX100" s="228">
        <v>0.52</v>
      </c>
      <c r="DY100" s="228">
        <v>-0.13</v>
      </c>
      <c r="DZ100" s="229">
        <v>-0.25</v>
      </c>
      <c r="EA100" s="229">
        <v>0.14419999999999999</v>
      </c>
      <c r="EB100" s="230">
        <v>6514400</v>
      </c>
      <c r="EC100" s="229">
        <v>5.4000000000000003E-3</v>
      </c>
      <c r="ED100" s="229">
        <v>0.14419999999999999</v>
      </c>
      <c r="EE100" s="228">
        <v>1.64</v>
      </c>
      <c r="EF100" s="229">
        <v>4.0000000000000001E-3</v>
      </c>
      <c r="EG100" s="230">
        <v>6026866</v>
      </c>
      <c r="EH100" s="230">
        <v>7250849</v>
      </c>
      <c r="EI100" s="229">
        <v>-0.16880000000000001</v>
      </c>
      <c r="EJ100" s="229">
        <v>0.67100000000000004</v>
      </c>
      <c r="EK100" s="228">
        <v>895.37</v>
      </c>
      <c r="EL100" s="228">
        <v>328.87</v>
      </c>
      <c r="EM100" s="228">
        <v>552.45000000000005</v>
      </c>
      <c r="EN100" s="228">
        <v>82.8</v>
      </c>
      <c r="EO100" s="231">
        <v>1776.69</v>
      </c>
      <c r="EP100" s="231">
        <v>3110.94</v>
      </c>
      <c r="EQ100" s="231">
        <v>-1334.25</v>
      </c>
      <c r="ER100" s="229">
        <v>-0.4289</v>
      </c>
      <c r="ES100" s="231">
        <v>1176.29</v>
      </c>
      <c r="ET100" s="228">
        <v>585.27</v>
      </c>
      <c r="EU100" s="231">
        <v>3059.24</v>
      </c>
      <c r="EV100" s="231">
        <v>193625858</v>
      </c>
      <c r="EW100" s="231">
        <v>4820.8</v>
      </c>
      <c r="EX100" s="231">
        <v>4754.03</v>
      </c>
      <c r="EY100" s="228">
        <v>66.77</v>
      </c>
      <c r="EZ100" s="229">
        <v>1.4E-2</v>
      </c>
      <c r="FA100" s="229">
        <v>0.5988</v>
      </c>
      <c r="FB100" s="227" t="s">
        <v>566</v>
      </c>
      <c r="FC100">
        <f t="shared" si="1"/>
        <v>440</v>
      </c>
    </row>
    <row r="101" spans="1:159" ht="17.25" thickBot="1" x14ac:dyDescent="0.3">
      <c r="A101" s="226">
        <v>46132</v>
      </c>
      <c r="B101" s="227" t="s">
        <v>221</v>
      </c>
      <c r="C101" s="227" t="s">
        <v>240</v>
      </c>
      <c r="D101" s="228">
        <v>400</v>
      </c>
      <c r="E101" s="228">
        <v>8</v>
      </c>
      <c r="F101" s="231">
        <v>1309.3</v>
      </c>
      <c r="G101" s="231">
        <v>1321</v>
      </c>
      <c r="H101" s="228">
        <v>-11.7</v>
      </c>
      <c r="I101" s="229">
        <v>-8.8999999999999999E-3</v>
      </c>
      <c r="J101" s="231">
        <v>1312.6</v>
      </c>
      <c r="K101" s="231">
        <v>1318.7</v>
      </c>
      <c r="L101" s="228">
        <v>-6.1</v>
      </c>
      <c r="M101" s="229">
        <v>-4.5999999999999999E-3</v>
      </c>
      <c r="N101" s="231">
        <v>1309.3</v>
      </c>
      <c r="O101" s="231">
        <v>1321</v>
      </c>
      <c r="P101" s="228">
        <v>-11.7</v>
      </c>
      <c r="Q101" s="229">
        <v>-8.8999999999999999E-3</v>
      </c>
      <c r="R101" s="231">
        <v>1307.9000000000001</v>
      </c>
      <c r="S101" s="231">
        <v>1319.1</v>
      </c>
      <c r="T101" s="228">
        <v>-11.2</v>
      </c>
      <c r="U101" s="229">
        <v>-8.5000000000000006E-3</v>
      </c>
      <c r="V101" s="231">
        <v>1302.5999999999999</v>
      </c>
      <c r="W101" s="231">
        <v>1311.7</v>
      </c>
      <c r="X101" s="228">
        <v>-9.1</v>
      </c>
      <c r="Y101" s="229">
        <v>-6.8999999999999999E-3</v>
      </c>
      <c r="Z101" s="228">
        <v>-3.3</v>
      </c>
      <c r="AA101" s="228">
        <v>2.2999999999999998</v>
      </c>
      <c r="AB101" s="228">
        <v>-5.6</v>
      </c>
      <c r="AC101" s="229">
        <v>-2.5000000000000001E-3</v>
      </c>
      <c r="AD101" s="228">
        <v>-3.3</v>
      </c>
      <c r="AE101" s="228">
        <v>2.2999999999999998</v>
      </c>
      <c r="AF101" s="228">
        <v>-5.6</v>
      </c>
      <c r="AG101" s="229">
        <v>-2.5000000000000001E-3</v>
      </c>
      <c r="AH101" s="228">
        <v>-4.7</v>
      </c>
      <c r="AI101" s="228">
        <v>0.4</v>
      </c>
      <c r="AJ101" s="228">
        <v>-5.0999999999999996</v>
      </c>
      <c r="AK101" s="229">
        <v>-3.5999999999999999E-3</v>
      </c>
      <c r="AL101" s="228">
        <v>-10</v>
      </c>
      <c r="AM101" s="228">
        <v>-7</v>
      </c>
      <c r="AN101" s="228">
        <v>-3</v>
      </c>
      <c r="AO101" s="229">
        <v>-7.6E-3</v>
      </c>
      <c r="AP101" s="231">
        <v>1313.53</v>
      </c>
      <c r="AQ101" s="231">
        <v>1311.83</v>
      </c>
      <c r="AR101" s="228">
        <v>0</v>
      </c>
      <c r="AS101" s="230">
        <v>1107</v>
      </c>
      <c r="AT101" s="230">
        <v>1449</v>
      </c>
      <c r="AU101" s="228">
        <v>-342</v>
      </c>
      <c r="AV101" s="229">
        <v>-0.23569999999999999</v>
      </c>
      <c r="AW101" s="228">
        <v>903</v>
      </c>
      <c r="AX101" s="230">
        <v>1267</v>
      </c>
      <c r="AY101" s="228">
        <v>-365</v>
      </c>
      <c r="AZ101" s="229">
        <v>-0.28770000000000001</v>
      </c>
      <c r="BA101" s="228">
        <v>178</v>
      </c>
      <c r="BB101" s="228">
        <v>161</v>
      </c>
      <c r="BC101" s="228">
        <v>16</v>
      </c>
      <c r="BD101" s="229">
        <v>0.1022</v>
      </c>
      <c r="BE101" s="228">
        <v>27</v>
      </c>
      <c r="BF101" s="228">
        <v>20</v>
      </c>
      <c r="BG101" s="228">
        <v>6</v>
      </c>
      <c r="BH101" s="229">
        <v>0.31540000000000001</v>
      </c>
      <c r="BI101" s="230">
        <v>2022</v>
      </c>
      <c r="BJ101" s="230">
        <v>2373</v>
      </c>
      <c r="BK101" s="228">
        <v>-351</v>
      </c>
      <c r="BL101" s="229">
        <v>-0.14799999999999999</v>
      </c>
      <c r="BM101" s="230">
        <v>1176</v>
      </c>
      <c r="BN101" s="230">
        <v>1740</v>
      </c>
      <c r="BO101" s="228">
        <v>-564</v>
      </c>
      <c r="BP101" s="229">
        <v>-0.32429999999999998</v>
      </c>
      <c r="BQ101" s="230">
        <v>4306</v>
      </c>
      <c r="BR101" s="230">
        <v>5563</v>
      </c>
      <c r="BS101" s="230">
        <v>-1257</v>
      </c>
      <c r="BT101" s="229">
        <v>-0.22600000000000001</v>
      </c>
      <c r="BU101" s="230">
        <v>7326848</v>
      </c>
      <c r="BV101" s="230">
        <v>12443945</v>
      </c>
      <c r="BW101" s="230">
        <v>-5117097</v>
      </c>
      <c r="BX101" s="229">
        <v>-0.41120000000000001</v>
      </c>
      <c r="BY101" s="230">
        <v>10479</v>
      </c>
      <c r="BZ101" s="230">
        <v>10425</v>
      </c>
      <c r="CA101" s="228">
        <v>55</v>
      </c>
      <c r="CB101" s="229">
        <v>5.3E-3</v>
      </c>
      <c r="CC101" s="230">
        <v>9794</v>
      </c>
      <c r="CD101" s="230">
        <v>9824</v>
      </c>
      <c r="CE101" s="228">
        <v>-30</v>
      </c>
      <c r="CF101" s="229">
        <v>-3.0000000000000001E-3</v>
      </c>
      <c r="CG101" s="228">
        <v>553</v>
      </c>
      <c r="CH101" s="228">
        <v>483</v>
      </c>
      <c r="CI101" s="228">
        <v>70</v>
      </c>
      <c r="CJ101" s="229">
        <v>0.14549999999999999</v>
      </c>
      <c r="CK101" s="228">
        <v>132</v>
      </c>
      <c r="CL101" s="228">
        <v>118</v>
      </c>
      <c r="CM101" s="228">
        <v>14</v>
      </c>
      <c r="CN101" s="229">
        <v>0.12189999999999999</v>
      </c>
      <c r="CO101" s="230">
        <v>3779</v>
      </c>
      <c r="CP101" s="230">
        <v>3727</v>
      </c>
      <c r="CQ101" s="228">
        <v>52</v>
      </c>
      <c r="CR101" s="229">
        <v>1.38E-2</v>
      </c>
      <c r="CS101" s="230">
        <v>2682</v>
      </c>
      <c r="CT101" s="230">
        <v>2657</v>
      </c>
      <c r="CU101" s="228">
        <v>25</v>
      </c>
      <c r="CV101" s="229">
        <v>9.2999999999999992E-3</v>
      </c>
      <c r="CW101" s="230">
        <v>16940</v>
      </c>
      <c r="CX101" s="230">
        <v>16809</v>
      </c>
      <c r="CY101" s="228">
        <v>131</v>
      </c>
      <c r="CZ101" s="229">
        <v>7.7999999999999996E-3</v>
      </c>
      <c r="DA101" s="228">
        <v>39.44</v>
      </c>
      <c r="DB101" s="228">
        <v>34.840000000000003</v>
      </c>
      <c r="DC101" s="228">
        <v>4.5999999999999996</v>
      </c>
      <c r="DD101" s="228">
        <v>4.5999999999999996</v>
      </c>
      <c r="DE101" s="228">
        <v>30.88</v>
      </c>
      <c r="DF101" s="228">
        <v>30.95</v>
      </c>
      <c r="DG101" s="228">
        <v>8.56</v>
      </c>
      <c r="DH101" s="228">
        <v>-7.0000000000000007E-2</v>
      </c>
      <c r="DI101" s="228">
        <v>38.44</v>
      </c>
      <c r="DJ101" s="228">
        <v>33.47</v>
      </c>
      <c r="DK101" s="228">
        <v>4.97</v>
      </c>
      <c r="DL101" s="228">
        <v>4.97</v>
      </c>
      <c r="DM101" s="228">
        <v>41.17</v>
      </c>
      <c r="DN101" s="228">
        <v>36.72</v>
      </c>
      <c r="DO101" s="228">
        <v>4.45</v>
      </c>
      <c r="DP101" s="228">
        <v>4.45</v>
      </c>
      <c r="DQ101" s="228">
        <v>0.71</v>
      </c>
      <c r="DR101" s="228">
        <v>0.71</v>
      </c>
      <c r="DS101" s="228">
        <v>0</v>
      </c>
      <c r="DT101" s="229">
        <v>0</v>
      </c>
      <c r="DU101" s="231">
        <v>1340</v>
      </c>
      <c r="DV101" s="231">
        <v>1280</v>
      </c>
      <c r="DW101" s="228">
        <v>0.57999999999999996</v>
      </c>
      <c r="DX101" s="228">
        <v>0.73</v>
      </c>
      <c r="DY101" s="228">
        <v>-0.15</v>
      </c>
      <c r="DZ101" s="229">
        <v>-0.20549999999999999</v>
      </c>
      <c r="EA101" s="229">
        <v>6.54E-2</v>
      </c>
      <c r="EB101" s="230">
        <v>4588400</v>
      </c>
      <c r="EC101" s="229">
        <v>-1.1000000000000001E-3</v>
      </c>
      <c r="ED101" s="229">
        <v>6.54E-2</v>
      </c>
      <c r="EE101" s="228">
        <v>-1.7</v>
      </c>
      <c r="EF101" s="229">
        <v>-1.2999999999999999E-3</v>
      </c>
      <c r="EG101" s="230">
        <v>3845951</v>
      </c>
      <c r="EH101" s="230">
        <v>7412894</v>
      </c>
      <c r="EI101" s="229">
        <v>-0.48120000000000002</v>
      </c>
      <c r="EJ101" s="229">
        <v>0.52490000000000003</v>
      </c>
      <c r="EK101" s="231">
        <v>2126.75</v>
      </c>
      <c r="EL101" s="231">
        <v>1159.99</v>
      </c>
      <c r="EM101" s="231">
        <v>1110.5899999999999</v>
      </c>
      <c r="EN101" s="228">
        <v>334.95</v>
      </c>
      <c r="EO101" s="231">
        <v>4397.33</v>
      </c>
      <c r="EP101" s="231">
        <v>5672.11</v>
      </c>
      <c r="EQ101" s="231">
        <v>-1274.78</v>
      </c>
      <c r="ER101" s="229">
        <v>-0.22470000000000001</v>
      </c>
      <c r="ES101" s="231">
        <v>3924.15</v>
      </c>
      <c r="ET101" s="231">
        <v>2621.6</v>
      </c>
      <c r="EU101" s="231">
        <v>10478.06</v>
      </c>
      <c r="EV101" s="231">
        <v>475237614</v>
      </c>
      <c r="EW101" s="231">
        <v>17023.8</v>
      </c>
      <c r="EX101" s="231">
        <v>16982.72</v>
      </c>
      <c r="EY101" s="228">
        <v>41.08</v>
      </c>
      <c r="EZ101" s="229">
        <v>2.3999999999999998E-3</v>
      </c>
      <c r="FA101" s="229">
        <v>0.2722</v>
      </c>
      <c r="FB101" s="227" t="s">
        <v>566</v>
      </c>
      <c r="FC101">
        <f t="shared" si="1"/>
        <v>685</v>
      </c>
    </row>
    <row r="102" spans="1:159" ht="17.25" thickBot="1" x14ac:dyDescent="0.3">
      <c r="A102" s="226">
        <v>46132</v>
      </c>
      <c r="B102" s="227" t="s">
        <v>161</v>
      </c>
      <c r="C102" s="227" t="s">
        <v>667</v>
      </c>
      <c r="D102" s="228">
        <v>3575</v>
      </c>
      <c r="E102" s="228">
        <v>8</v>
      </c>
      <c r="F102" s="228">
        <v>97.14</v>
      </c>
      <c r="G102" s="228">
        <v>97.82</v>
      </c>
      <c r="H102" s="228">
        <v>-0.68</v>
      </c>
      <c r="I102" s="229">
        <v>-7.0000000000000001E-3</v>
      </c>
      <c r="J102" s="228">
        <v>97.35</v>
      </c>
      <c r="K102" s="228">
        <v>97.9</v>
      </c>
      <c r="L102" s="228">
        <v>-0.55000000000000004</v>
      </c>
      <c r="M102" s="229">
        <v>-5.5999999999999999E-3</v>
      </c>
      <c r="N102" s="228">
        <v>97.14</v>
      </c>
      <c r="O102" s="228">
        <v>97.82</v>
      </c>
      <c r="P102" s="228">
        <v>-0.68</v>
      </c>
      <c r="Q102" s="229">
        <v>-7.0000000000000001E-3</v>
      </c>
      <c r="R102" s="228">
        <v>97.72</v>
      </c>
      <c r="S102" s="228">
        <v>98.22</v>
      </c>
      <c r="T102" s="228">
        <v>-0.5</v>
      </c>
      <c r="U102" s="229">
        <v>-5.1000000000000004E-3</v>
      </c>
      <c r="V102" s="228">
        <v>98.25</v>
      </c>
      <c r="W102" s="228">
        <v>98.83</v>
      </c>
      <c r="X102" s="228">
        <v>-0.57999999999999996</v>
      </c>
      <c r="Y102" s="229">
        <v>-5.8999999999999999E-3</v>
      </c>
      <c r="Z102" s="228">
        <v>-0.21</v>
      </c>
      <c r="AA102" s="228">
        <v>-0.08</v>
      </c>
      <c r="AB102" s="228">
        <v>-0.13</v>
      </c>
      <c r="AC102" s="229">
        <v>-2.2000000000000001E-3</v>
      </c>
      <c r="AD102" s="228">
        <v>-0.21</v>
      </c>
      <c r="AE102" s="228">
        <v>-0.08</v>
      </c>
      <c r="AF102" s="228">
        <v>-0.13</v>
      </c>
      <c r="AG102" s="229">
        <v>-2.2000000000000001E-3</v>
      </c>
      <c r="AH102" s="228">
        <v>0.37</v>
      </c>
      <c r="AI102" s="228">
        <v>0.32</v>
      </c>
      <c r="AJ102" s="228">
        <v>0.05</v>
      </c>
      <c r="AK102" s="229">
        <v>3.8E-3</v>
      </c>
      <c r="AL102" s="228">
        <v>0.9</v>
      </c>
      <c r="AM102" s="228">
        <v>0.93</v>
      </c>
      <c r="AN102" s="228">
        <v>-0.03</v>
      </c>
      <c r="AO102" s="229">
        <v>9.1999999999999998E-3</v>
      </c>
      <c r="AP102" s="228">
        <v>97.74</v>
      </c>
      <c r="AQ102" s="228">
        <v>98.33</v>
      </c>
      <c r="AR102" s="228">
        <v>0</v>
      </c>
      <c r="AS102" s="228">
        <v>160</v>
      </c>
      <c r="AT102" s="228">
        <v>333</v>
      </c>
      <c r="AU102" s="228">
        <v>-172</v>
      </c>
      <c r="AV102" s="229">
        <v>-0.51819999999999999</v>
      </c>
      <c r="AW102" s="228">
        <v>111</v>
      </c>
      <c r="AX102" s="228">
        <v>287</v>
      </c>
      <c r="AY102" s="228">
        <v>-176</v>
      </c>
      <c r="AZ102" s="229">
        <v>-0.61370000000000002</v>
      </c>
      <c r="BA102" s="228">
        <v>47</v>
      </c>
      <c r="BB102" s="228">
        <v>43</v>
      </c>
      <c r="BC102" s="228">
        <v>5</v>
      </c>
      <c r="BD102" s="229">
        <v>0.11269999999999999</v>
      </c>
      <c r="BE102" s="228">
        <v>2</v>
      </c>
      <c r="BF102" s="228">
        <v>3</v>
      </c>
      <c r="BG102" s="228">
        <v>-1</v>
      </c>
      <c r="BH102" s="229">
        <v>-0.35349999999999998</v>
      </c>
      <c r="BI102" s="228">
        <v>204</v>
      </c>
      <c r="BJ102" s="228">
        <v>557</v>
      </c>
      <c r="BK102" s="228">
        <v>-353</v>
      </c>
      <c r="BL102" s="229">
        <v>-0.63360000000000005</v>
      </c>
      <c r="BM102" s="228">
        <v>65</v>
      </c>
      <c r="BN102" s="228">
        <v>195</v>
      </c>
      <c r="BO102" s="228">
        <v>-131</v>
      </c>
      <c r="BP102" s="229">
        <v>-0.66890000000000005</v>
      </c>
      <c r="BQ102" s="228">
        <v>429</v>
      </c>
      <c r="BR102" s="230">
        <v>1085</v>
      </c>
      <c r="BS102" s="228">
        <v>-656</v>
      </c>
      <c r="BT102" s="229">
        <v>-0.60460000000000003</v>
      </c>
      <c r="BU102" s="230">
        <v>16743342</v>
      </c>
      <c r="BV102" s="230">
        <v>49566096</v>
      </c>
      <c r="BW102" s="230">
        <v>-32822754</v>
      </c>
      <c r="BX102" s="229">
        <v>-0.66220000000000001</v>
      </c>
      <c r="BY102" s="228">
        <v>958</v>
      </c>
      <c r="BZ102" s="228">
        <v>972</v>
      </c>
      <c r="CA102" s="228">
        <v>-14</v>
      </c>
      <c r="CB102" s="229">
        <v>-1.43E-2</v>
      </c>
      <c r="CC102" s="228">
        <v>839</v>
      </c>
      <c r="CD102" s="228">
        <v>876</v>
      </c>
      <c r="CE102" s="228">
        <v>-37</v>
      </c>
      <c r="CF102" s="229">
        <v>-4.2000000000000003E-2</v>
      </c>
      <c r="CG102" s="228">
        <v>111</v>
      </c>
      <c r="CH102" s="228">
        <v>90</v>
      </c>
      <c r="CI102" s="228">
        <v>22</v>
      </c>
      <c r="CJ102" s="229">
        <v>0.24049999999999999</v>
      </c>
      <c r="CK102" s="228">
        <v>7</v>
      </c>
      <c r="CL102" s="228">
        <v>6</v>
      </c>
      <c r="CM102" s="228">
        <v>1</v>
      </c>
      <c r="CN102" s="229">
        <v>0.22539999999999999</v>
      </c>
      <c r="CO102" s="228">
        <v>276</v>
      </c>
      <c r="CP102" s="228">
        <v>272</v>
      </c>
      <c r="CQ102" s="228">
        <v>4</v>
      </c>
      <c r="CR102" s="229">
        <v>1.44E-2</v>
      </c>
      <c r="CS102" s="228">
        <v>225</v>
      </c>
      <c r="CT102" s="228">
        <v>224</v>
      </c>
      <c r="CU102" s="228">
        <v>1</v>
      </c>
      <c r="CV102" s="229">
        <v>5.3E-3</v>
      </c>
      <c r="CW102" s="230">
        <v>1459</v>
      </c>
      <c r="CX102" s="230">
        <v>1467</v>
      </c>
      <c r="CY102" s="228">
        <v>-9</v>
      </c>
      <c r="CZ102" s="229">
        <v>-6.0000000000000001E-3</v>
      </c>
      <c r="DA102" s="228">
        <v>52.78</v>
      </c>
      <c r="DB102" s="228">
        <v>52.46</v>
      </c>
      <c r="DC102" s="228">
        <v>0.32</v>
      </c>
      <c r="DD102" s="228">
        <v>0.32</v>
      </c>
      <c r="DE102" s="228">
        <v>54.06</v>
      </c>
      <c r="DF102" s="228">
        <v>54.19</v>
      </c>
      <c r="DG102" s="228">
        <v>-1.28</v>
      </c>
      <c r="DH102" s="228">
        <v>-0.13</v>
      </c>
      <c r="DI102" s="228">
        <v>52.4</v>
      </c>
      <c r="DJ102" s="228">
        <v>51.26</v>
      </c>
      <c r="DK102" s="228">
        <v>1.1399999999999999</v>
      </c>
      <c r="DL102" s="228">
        <v>1.1399999999999999</v>
      </c>
      <c r="DM102" s="228">
        <v>54</v>
      </c>
      <c r="DN102" s="228">
        <v>55.88</v>
      </c>
      <c r="DO102" s="228">
        <v>-1.88</v>
      </c>
      <c r="DP102" s="228">
        <v>-1.88</v>
      </c>
      <c r="DQ102" s="228">
        <v>0.82</v>
      </c>
      <c r="DR102" s="228">
        <v>0.82</v>
      </c>
      <c r="DS102" s="228">
        <v>0</v>
      </c>
      <c r="DT102" s="229">
        <v>0</v>
      </c>
      <c r="DU102" s="228">
        <v>100</v>
      </c>
      <c r="DV102" s="228">
        <v>90</v>
      </c>
      <c r="DW102" s="228">
        <v>0.32</v>
      </c>
      <c r="DX102" s="228">
        <v>0.35</v>
      </c>
      <c r="DY102" s="228">
        <v>-0.03</v>
      </c>
      <c r="DZ102" s="229">
        <v>-8.5699999999999998E-2</v>
      </c>
      <c r="EA102" s="229">
        <v>0.1237</v>
      </c>
      <c r="EB102" s="230">
        <v>9834825</v>
      </c>
      <c r="EC102" s="229">
        <v>6.0000000000000001E-3</v>
      </c>
      <c r="ED102" s="229">
        <v>0.1237</v>
      </c>
      <c r="EE102" s="228">
        <v>0.59</v>
      </c>
      <c r="EF102" s="229">
        <v>6.0000000000000001E-3</v>
      </c>
      <c r="EG102" s="230">
        <v>5579159</v>
      </c>
      <c r="EH102" s="230">
        <v>26054836</v>
      </c>
      <c r="EI102" s="229">
        <v>-0.78590000000000004</v>
      </c>
      <c r="EJ102" s="229">
        <v>0.3332</v>
      </c>
      <c r="EK102" s="228">
        <v>216.83</v>
      </c>
      <c r="EL102" s="228">
        <v>64.2</v>
      </c>
      <c r="EM102" s="228">
        <v>161.62</v>
      </c>
      <c r="EN102" s="228">
        <v>75.86</v>
      </c>
      <c r="EO102" s="228">
        <v>442.65</v>
      </c>
      <c r="EP102" s="231">
        <v>1125.5999999999999</v>
      </c>
      <c r="EQ102" s="228">
        <v>-682.95</v>
      </c>
      <c r="ER102" s="229">
        <v>-0.60670000000000002</v>
      </c>
      <c r="ES102" s="228">
        <v>266.69</v>
      </c>
      <c r="ET102" s="228">
        <v>204.21</v>
      </c>
      <c r="EU102" s="228">
        <v>958.36</v>
      </c>
      <c r="EV102" s="231">
        <v>144708707</v>
      </c>
      <c r="EW102" s="231">
        <v>1429.26</v>
      </c>
      <c r="EX102" s="231">
        <v>1443.06</v>
      </c>
      <c r="EY102" s="228">
        <v>-13.8</v>
      </c>
      <c r="EZ102" s="229">
        <v>-9.5999999999999992E-3</v>
      </c>
      <c r="FA102" s="229">
        <v>1.0377000000000001</v>
      </c>
      <c r="FB102" s="227" t="s">
        <v>567</v>
      </c>
      <c r="FC102">
        <f t="shared" si="1"/>
        <v>119</v>
      </c>
    </row>
    <row r="103" spans="1:159" ht="17.25" thickBot="1" x14ac:dyDescent="0.3">
      <c r="A103" s="226">
        <v>46132</v>
      </c>
      <c r="B103" s="227" t="s">
        <v>193</v>
      </c>
      <c r="C103" s="227" t="s">
        <v>241</v>
      </c>
      <c r="D103" s="228">
        <v>4875</v>
      </c>
      <c r="E103" s="228">
        <v>8</v>
      </c>
      <c r="F103" s="228">
        <v>146.69</v>
      </c>
      <c r="G103" s="228">
        <v>146.21</v>
      </c>
      <c r="H103" s="228">
        <v>0.48</v>
      </c>
      <c r="I103" s="229">
        <v>3.3E-3</v>
      </c>
      <c r="J103" s="228">
        <v>146.87</v>
      </c>
      <c r="K103" s="228">
        <v>145.88</v>
      </c>
      <c r="L103" s="228">
        <v>0.99</v>
      </c>
      <c r="M103" s="229">
        <v>6.7999999999999996E-3</v>
      </c>
      <c r="N103" s="228">
        <v>146.69</v>
      </c>
      <c r="O103" s="228">
        <v>146.21</v>
      </c>
      <c r="P103" s="228">
        <v>0.48</v>
      </c>
      <c r="Q103" s="229">
        <v>3.3E-3</v>
      </c>
      <c r="R103" s="228">
        <v>147.81</v>
      </c>
      <c r="S103" s="228">
        <v>147.03</v>
      </c>
      <c r="T103" s="228">
        <v>0.78</v>
      </c>
      <c r="U103" s="229">
        <v>5.3E-3</v>
      </c>
      <c r="V103" s="228">
        <v>148.30000000000001</v>
      </c>
      <c r="W103" s="228">
        <v>147.93</v>
      </c>
      <c r="X103" s="228">
        <v>0.37</v>
      </c>
      <c r="Y103" s="229">
        <v>2.5000000000000001E-3</v>
      </c>
      <c r="Z103" s="228">
        <v>-0.18</v>
      </c>
      <c r="AA103" s="228">
        <v>0.33</v>
      </c>
      <c r="AB103" s="228">
        <v>-0.51</v>
      </c>
      <c r="AC103" s="229">
        <v>-1.1999999999999999E-3</v>
      </c>
      <c r="AD103" s="228">
        <v>-0.18</v>
      </c>
      <c r="AE103" s="228">
        <v>0.33</v>
      </c>
      <c r="AF103" s="228">
        <v>-0.51</v>
      </c>
      <c r="AG103" s="229">
        <v>-1.1999999999999999E-3</v>
      </c>
      <c r="AH103" s="228">
        <v>0.94</v>
      </c>
      <c r="AI103" s="228">
        <v>1.1499999999999999</v>
      </c>
      <c r="AJ103" s="228">
        <v>-0.21</v>
      </c>
      <c r="AK103" s="229">
        <v>6.4000000000000003E-3</v>
      </c>
      <c r="AL103" s="228">
        <v>1.43</v>
      </c>
      <c r="AM103" s="228">
        <v>2.0499999999999998</v>
      </c>
      <c r="AN103" s="228">
        <v>-0.62</v>
      </c>
      <c r="AO103" s="229">
        <v>9.7000000000000003E-3</v>
      </c>
      <c r="AP103" s="228">
        <v>146.59</v>
      </c>
      <c r="AQ103" s="228">
        <v>147.62</v>
      </c>
      <c r="AR103" s="228">
        <v>0</v>
      </c>
      <c r="AS103" s="228">
        <v>340</v>
      </c>
      <c r="AT103" s="228">
        <v>197</v>
      </c>
      <c r="AU103" s="228">
        <v>143</v>
      </c>
      <c r="AV103" s="229">
        <v>0.72570000000000001</v>
      </c>
      <c r="AW103" s="228">
        <v>246</v>
      </c>
      <c r="AX103" s="228">
        <v>157</v>
      </c>
      <c r="AY103" s="228">
        <v>89</v>
      </c>
      <c r="AZ103" s="229">
        <v>0.56669999999999998</v>
      </c>
      <c r="BA103" s="228">
        <v>87</v>
      </c>
      <c r="BB103" s="228">
        <v>37</v>
      </c>
      <c r="BC103" s="228">
        <v>50</v>
      </c>
      <c r="BD103" s="229">
        <v>1.361</v>
      </c>
      <c r="BE103" s="228">
        <v>7</v>
      </c>
      <c r="BF103" s="228">
        <v>3</v>
      </c>
      <c r="BG103" s="228">
        <v>4</v>
      </c>
      <c r="BH103" s="229">
        <v>1.2195</v>
      </c>
      <c r="BI103" s="228">
        <v>819</v>
      </c>
      <c r="BJ103" s="228">
        <v>517</v>
      </c>
      <c r="BK103" s="228">
        <v>302</v>
      </c>
      <c r="BL103" s="229">
        <v>0.58309999999999995</v>
      </c>
      <c r="BM103" s="228">
        <v>544</v>
      </c>
      <c r="BN103" s="228">
        <v>308</v>
      </c>
      <c r="BO103" s="228">
        <v>235</v>
      </c>
      <c r="BP103" s="229">
        <v>0.76359999999999995</v>
      </c>
      <c r="BQ103" s="230">
        <v>1703</v>
      </c>
      <c r="BR103" s="230">
        <v>1023</v>
      </c>
      <c r="BS103" s="228">
        <v>680</v>
      </c>
      <c r="BT103" s="229">
        <v>0.66500000000000004</v>
      </c>
      <c r="BU103" s="230">
        <v>15312272</v>
      </c>
      <c r="BV103" s="230">
        <v>12371010</v>
      </c>
      <c r="BW103" s="230">
        <v>2941262</v>
      </c>
      <c r="BX103" s="229">
        <v>0.23780000000000001</v>
      </c>
      <c r="BY103" s="230">
        <v>1525</v>
      </c>
      <c r="BZ103" s="230">
        <v>1503</v>
      </c>
      <c r="CA103" s="228">
        <v>22</v>
      </c>
      <c r="CB103" s="229">
        <v>1.47E-2</v>
      </c>
      <c r="CC103" s="230">
        <v>1328</v>
      </c>
      <c r="CD103" s="230">
        <v>1342</v>
      </c>
      <c r="CE103" s="228">
        <v>-13</v>
      </c>
      <c r="CF103" s="229">
        <v>-9.7999999999999997E-3</v>
      </c>
      <c r="CG103" s="228">
        <v>114</v>
      </c>
      <c r="CH103" s="228">
        <v>80</v>
      </c>
      <c r="CI103" s="228">
        <v>34</v>
      </c>
      <c r="CJ103" s="229">
        <v>0.41959999999999997</v>
      </c>
      <c r="CK103" s="228">
        <v>83</v>
      </c>
      <c r="CL103" s="228">
        <v>82</v>
      </c>
      <c r="CM103" s="228">
        <v>2</v>
      </c>
      <c r="CN103" s="229">
        <v>2.1000000000000001E-2</v>
      </c>
      <c r="CO103" s="230">
        <v>1026</v>
      </c>
      <c r="CP103" s="228">
        <v>948</v>
      </c>
      <c r="CQ103" s="228">
        <v>77</v>
      </c>
      <c r="CR103" s="229">
        <v>8.14E-2</v>
      </c>
      <c r="CS103" s="228">
        <v>730</v>
      </c>
      <c r="CT103" s="228">
        <v>694</v>
      </c>
      <c r="CU103" s="228">
        <v>36</v>
      </c>
      <c r="CV103" s="229">
        <v>5.2200000000000003E-2</v>
      </c>
      <c r="CW103" s="230">
        <v>3282</v>
      </c>
      <c r="CX103" s="230">
        <v>3146</v>
      </c>
      <c r="CY103" s="228">
        <v>136</v>
      </c>
      <c r="CZ103" s="229">
        <v>4.3099999999999999E-2</v>
      </c>
      <c r="DA103" s="228">
        <v>37.28</v>
      </c>
      <c r="DB103" s="228">
        <v>34.14</v>
      </c>
      <c r="DC103" s="228">
        <v>3.14</v>
      </c>
      <c r="DD103" s="228">
        <v>3.14</v>
      </c>
      <c r="DE103" s="228">
        <v>34.03</v>
      </c>
      <c r="DF103" s="228">
        <v>34.11</v>
      </c>
      <c r="DG103" s="228">
        <v>3.25</v>
      </c>
      <c r="DH103" s="228">
        <v>-0.08</v>
      </c>
      <c r="DI103" s="228">
        <v>36.270000000000003</v>
      </c>
      <c r="DJ103" s="228">
        <v>32.92</v>
      </c>
      <c r="DK103" s="228">
        <v>3.35</v>
      </c>
      <c r="DL103" s="228">
        <v>3.35</v>
      </c>
      <c r="DM103" s="228">
        <v>38.79</v>
      </c>
      <c r="DN103" s="228">
        <v>36.18</v>
      </c>
      <c r="DO103" s="228">
        <v>2.61</v>
      </c>
      <c r="DP103" s="228">
        <v>2.61</v>
      </c>
      <c r="DQ103" s="228">
        <v>0.71</v>
      </c>
      <c r="DR103" s="228">
        <v>0.73</v>
      </c>
      <c r="DS103" s="228">
        <v>-0.02</v>
      </c>
      <c r="DT103" s="229">
        <v>-2.7400000000000001E-2</v>
      </c>
      <c r="DU103" s="228">
        <v>150</v>
      </c>
      <c r="DV103" s="228">
        <v>140</v>
      </c>
      <c r="DW103" s="228">
        <v>0.66</v>
      </c>
      <c r="DX103" s="228">
        <v>0.6</v>
      </c>
      <c r="DY103" s="228">
        <v>0.06</v>
      </c>
      <c r="DZ103" s="229">
        <v>0.1</v>
      </c>
      <c r="EA103" s="229">
        <v>0.12909999999999999</v>
      </c>
      <c r="EB103" s="230">
        <v>11022375</v>
      </c>
      <c r="EC103" s="229">
        <v>7.6E-3</v>
      </c>
      <c r="ED103" s="229">
        <v>0.12909999999999999</v>
      </c>
      <c r="EE103" s="228">
        <v>1.03</v>
      </c>
      <c r="EF103" s="229">
        <v>7.0000000000000001E-3</v>
      </c>
      <c r="EG103" s="230">
        <v>6873939</v>
      </c>
      <c r="EH103" s="230">
        <v>6337224</v>
      </c>
      <c r="EI103" s="229">
        <v>8.4699999999999998E-2</v>
      </c>
      <c r="EJ103" s="229">
        <v>0.44890000000000002</v>
      </c>
      <c r="EK103" s="228">
        <v>860.6</v>
      </c>
      <c r="EL103" s="228">
        <v>529.25</v>
      </c>
      <c r="EM103" s="228">
        <v>340.56</v>
      </c>
      <c r="EN103" s="228">
        <v>36.15</v>
      </c>
      <c r="EO103" s="231">
        <v>1730.42</v>
      </c>
      <c r="EP103" s="231">
        <v>1035.24</v>
      </c>
      <c r="EQ103" s="228">
        <v>695.18</v>
      </c>
      <c r="ER103" s="229">
        <v>0.67149999999999999</v>
      </c>
      <c r="ES103" s="231">
        <v>1069.47</v>
      </c>
      <c r="ET103" s="228">
        <v>699.66</v>
      </c>
      <c r="EU103" s="231">
        <v>1527.26</v>
      </c>
      <c r="EV103" s="231">
        <v>684903861</v>
      </c>
      <c r="EW103" s="231">
        <v>3296.39</v>
      </c>
      <c r="EX103" s="231">
        <v>3151.13</v>
      </c>
      <c r="EY103" s="228">
        <v>145.26</v>
      </c>
      <c r="EZ103" s="229">
        <v>4.6100000000000002E-2</v>
      </c>
      <c r="FA103" s="229">
        <v>0.3266</v>
      </c>
      <c r="FB103" s="227" t="s">
        <v>555</v>
      </c>
      <c r="FC103">
        <f t="shared" si="1"/>
        <v>197</v>
      </c>
    </row>
    <row r="104" spans="1:159" ht="17.25" thickBot="1" x14ac:dyDescent="0.3">
      <c r="A104" s="226">
        <v>46132</v>
      </c>
      <c r="B104" s="227" t="s">
        <v>175</v>
      </c>
      <c r="C104" s="227" t="s">
        <v>663</v>
      </c>
      <c r="D104" s="228">
        <v>3450</v>
      </c>
      <c r="E104" s="228">
        <v>8</v>
      </c>
      <c r="F104" s="228">
        <v>130.34</v>
      </c>
      <c r="G104" s="228">
        <v>133.36000000000001</v>
      </c>
      <c r="H104" s="228">
        <v>-3.02</v>
      </c>
      <c r="I104" s="229">
        <v>-2.2599999999999999E-2</v>
      </c>
      <c r="J104" s="228">
        <v>130.13999999999999</v>
      </c>
      <c r="K104" s="228">
        <v>133.01</v>
      </c>
      <c r="L104" s="228">
        <v>-2.87</v>
      </c>
      <c r="M104" s="229">
        <v>-2.1600000000000001E-2</v>
      </c>
      <c r="N104" s="228">
        <v>130.34</v>
      </c>
      <c r="O104" s="228">
        <v>133.36000000000001</v>
      </c>
      <c r="P104" s="228">
        <v>-3.02</v>
      </c>
      <c r="Q104" s="229">
        <v>-2.2599999999999999E-2</v>
      </c>
      <c r="R104" s="228">
        <v>128.38999999999999</v>
      </c>
      <c r="S104" s="228">
        <v>131.13</v>
      </c>
      <c r="T104" s="228">
        <v>-2.74</v>
      </c>
      <c r="U104" s="229">
        <v>-2.0899999999999998E-2</v>
      </c>
      <c r="V104" s="228">
        <v>127.65</v>
      </c>
      <c r="W104" s="228">
        <v>129.97</v>
      </c>
      <c r="X104" s="228">
        <v>-2.3199999999999998</v>
      </c>
      <c r="Y104" s="229">
        <v>-1.7899999999999999E-2</v>
      </c>
      <c r="Z104" s="228">
        <v>0.2</v>
      </c>
      <c r="AA104" s="228">
        <v>0.35</v>
      </c>
      <c r="AB104" s="228">
        <v>-0.15</v>
      </c>
      <c r="AC104" s="229">
        <v>1.5E-3</v>
      </c>
      <c r="AD104" s="228">
        <v>0.2</v>
      </c>
      <c r="AE104" s="228">
        <v>0.35</v>
      </c>
      <c r="AF104" s="228">
        <v>-0.15</v>
      </c>
      <c r="AG104" s="229">
        <v>1.5E-3</v>
      </c>
      <c r="AH104" s="228">
        <v>-1.75</v>
      </c>
      <c r="AI104" s="228">
        <v>-1.88</v>
      </c>
      <c r="AJ104" s="228">
        <v>0.13</v>
      </c>
      <c r="AK104" s="229">
        <v>-1.34E-2</v>
      </c>
      <c r="AL104" s="228">
        <v>-2.4900000000000002</v>
      </c>
      <c r="AM104" s="228">
        <v>-3.04</v>
      </c>
      <c r="AN104" s="228">
        <v>0.55000000000000004</v>
      </c>
      <c r="AO104" s="229">
        <v>-1.9099999999999999E-2</v>
      </c>
      <c r="AP104" s="228">
        <v>131.4</v>
      </c>
      <c r="AQ104" s="228">
        <v>129.32</v>
      </c>
      <c r="AR104" s="228">
        <v>0</v>
      </c>
      <c r="AS104" s="228">
        <v>170</v>
      </c>
      <c r="AT104" s="228">
        <v>323</v>
      </c>
      <c r="AU104" s="228">
        <v>-153</v>
      </c>
      <c r="AV104" s="229">
        <v>-0.47299999999999998</v>
      </c>
      <c r="AW104" s="228">
        <v>106</v>
      </c>
      <c r="AX104" s="228">
        <v>231</v>
      </c>
      <c r="AY104" s="228">
        <v>-126</v>
      </c>
      <c r="AZ104" s="229">
        <v>-0.54290000000000005</v>
      </c>
      <c r="BA104" s="228">
        <v>56</v>
      </c>
      <c r="BB104" s="228">
        <v>79</v>
      </c>
      <c r="BC104" s="228">
        <v>-24</v>
      </c>
      <c r="BD104" s="229">
        <v>-0.29709999999999998</v>
      </c>
      <c r="BE104" s="228">
        <v>8</v>
      </c>
      <c r="BF104" s="228">
        <v>12</v>
      </c>
      <c r="BG104" s="228">
        <v>-3</v>
      </c>
      <c r="BH104" s="229">
        <v>-0.28789999999999999</v>
      </c>
      <c r="BI104" s="228">
        <v>192</v>
      </c>
      <c r="BJ104" s="228">
        <v>672</v>
      </c>
      <c r="BK104" s="228">
        <v>-480</v>
      </c>
      <c r="BL104" s="229">
        <v>-0.71450000000000002</v>
      </c>
      <c r="BM104" s="228">
        <v>72</v>
      </c>
      <c r="BN104" s="228">
        <v>217</v>
      </c>
      <c r="BO104" s="228">
        <v>-145</v>
      </c>
      <c r="BP104" s="229">
        <v>-0.6694</v>
      </c>
      <c r="BQ104" s="228">
        <v>434</v>
      </c>
      <c r="BR104" s="230">
        <v>1212</v>
      </c>
      <c r="BS104" s="228">
        <v>-778</v>
      </c>
      <c r="BT104" s="229">
        <v>-0.6421</v>
      </c>
      <c r="BU104" s="230">
        <v>10290021</v>
      </c>
      <c r="BV104" s="230">
        <v>17993401</v>
      </c>
      <c r="BW104" s="230">
        <v>-7703380</v>
      </c>
      <c r="BX104" s="229">
        <v>-0.42809999999999998</v>
      </c>
      <c r="BY104" s="228">
        <v>784</v>
      </c>
      <c r="BZ104" s="228">
        <v>756</v>
      </c>
      <c r="CA104" s="228">
        <v>29</v>
      </c>
      <c r="CB104" s="229">
        <v>3.7900000000000003E-2</v>
      </c>
      <c r="CC104" s="228">
        <v>560</v>
      </c>
      <c r="CD104" s="228">
        <v>553</v>
      </c>
      <c r="CE104" s="228">
        <v>7</v>
      </c>
      <c r="CF104" s="229">
        <v>1.23E-2</v>
      </c>
      <c r="CG104" s="228">
        <v>185</v>
      </c>
      <c r="CH104" s="228">
        <v>169</v>
      </c>
      <c r="CI104" s="228">
        <v>17</v>
      </c>
      <c r="CJ104" s="229">
        <v>9.8100000000000007E-2</v>
      </c>
      <c r="CK104" s="228">
        <v>39</v>
      </c>
      <c r="CL104" s="228">
        <v>34</v>
      </c>
      <c r="CM104" s="228">
        <v>5</v>
      </c>
      <c r="CN104" s="229">
        <v>0.15690000000000001</v>
      </c>
      <c r="CO104" s="228">
        <v>329</v>
      </c>
      <c r="CP104" s="228">
        <v>325</v>
      </c>
      <c r="CQ104" s="228">
        <v>4</v>
      </c>
      <c r="CR104" s="229">
        <v>1.12E-2</v>
      </c>
      <c r="CS104" s="228">
        <v>256</v>
      </c>
      <c r="CT104" s="228">
        <v>257</v>
      </c>
      <c r="CU104" s="228">
        <v>-1</v>
      </c>
      <c r="CV104" s="229">
        <v>-4.5999999999999999E-3</v>
      </c>
      <c r="CW104" s="230">
        <v>1369</v>
      </c>
      <c r="CX104" s="230">
        <v>1338</v>
      </c>
      <c r="CY104" s="228">
        <v>31</v>
      </c>
      <c r="CZ104" s="229">
        <v>2.3300000000000001E-2</v>
      </c>
      <c r="DA104" s="228">
        <v>47.03</v>
      </c>
      <c r="DB104" s="228">
        <v>41.7</v>
      </c>
      <c r="DC104" s="228">
        <v>5.33</v>
      </c>
      <c r="DD104" s="228">
        <v>5.33</v>
      </c>
      <c r="DE104" s="228">
        <v>48.66</v>
      </c>
      <c r="DF104" s="228">
        <v>48.69</v>
      </c>
      <c r="DG104" s="228">
        <v>-1.63</v>
      </c>
      <c r="DH104" s="228">
        <v>-0.03</v>
      </c>
      <c r="DI104" s="228">
        <v>46.86</v>
      </c>
      <c r="DJ104" s="228">
        <v>40.909999999999997</v>
      </c>
      <c r="DK104" s="228">
        <v>5.95</v>
      </c>
      <c r="DL104" s="228">
        <v>5.95</v>
      </c>
      <c r="DM104" s="228">
        <v>47.5</v>
      </c>
      <c r="DN104" s="228">
        <v>44.15</v>
      </c>
      <c r="DO104" s="228">
        <v>3.35</v>
      </c>
      <c r="DP104" s="228">
        <v>3.35</v>
      </c>
      <c r="DQ104" s="228">
        <v>0.78</v>
      </c>
      <c r="DR104" s="228">
        <v>0.79</v>
      </c>
      <c r="DS104" s="228">
        <v>-0.01</v>
      </c>
      <c r="DT104" s="229">
        <v>-1.2699999999999999E-2</v>
      </c>
      <c r="DU104" s="228">
        <v>140</v>
      </c>
      <c r="DV104" s="228">
        <v>120</v>
      </c>
      <c r="DW104" s="228">
        <v>0.37</v>
      </c>
      <c r="DX104" s="228">
        <v>0.32</v>
      </c>
      <c r="DY104" s="228">
        <v>0.05</v>
      </c>
      <c r="DZ104" s="229">
        <v>0.15620000000000001</v>
      </c>
      <c r="EA104" s="229">
        <v>0.28610000000000002</v>
      </c>
      <c r="EB104" s="230">
        <v>15535350</v>
      </c>
      <c r="EC104" s="229">
        <v>-1.4999999999999999E-2</v>
      </c>
      <c r="ED104" s="229">
        <v>0.28610000000000002</v>
      </c>
      <c r="EE104" s="228">
        <v>-2.08</v>
      </c>
      <c r="EF104" s="229">
        <v>-1.5800000000000002E-2</v>
      </c>
      <c r="EG104" s="230">
        <v>4118106</v>
      </c>
      <c r="EH104" s="230">
        <v>5447035</v>
      </c>
      <c r="EI104" s="229">
        <v>-0.24399999999999999</v>
      </c>
      <c r="EJ104" s="229">
        <v>0.4002</v>
      </c>
      <c r="EK104" s="228">
        <v>204.08</v>
      </c>
      <c r="EL104" s="228">
        <v>71.69</v>
      </c>
      <c r="EM104" s="228">
        <v>170.28</v>
      </c>
      <c r="EN104" s="228">
        <v>50.9</v>
      </c>
      <c r="EO104" s="228">
        <v>446.05</v>
      </c>
      <c r="EP104" s="231">
        <v>1257.17</v>
      </c>
      <c r="EQ104" s="228">
        <v>-811.12</v>
      </c>
      <c r="ER104" s="229">
        <v>-0.6452</v>
      </c>
      <c r="ES104" s="228">
        <v>329.53</v>
      </c>
      <c r="ET104" s="228">
        <v>240.08</v>
      </c>
      <c r="EU104" s="228">
        <v>780.7</v>
      </c>
      <c r="EV104" s="231">
        <v>119011160</v>
      </c>
      <c r="EW104" s="231">
        <v>1350.31</v>
      </c>
      <c r="EX104" s="231">
        <v>1336.31</v>
      </c>
      <c r="EY104" s="228">
        <v>14</v>
      </c>
      <c r="EZ104" s="229">
        <v>1.0500000000000001E-2</v>
      </c>
      <c r="FA104" s="229">
        <v>0.88249999999999995</v>
      </c>
      <c r="FB104" s="227" t="s">
        <v>566</v>
      </c>
      <c r="FC104">
        <f t="shared" si="1"/>
        <v>224</v>
      </c>
    </row>
    <row r="105" spans="1:159" ht="17.25" thickBot="1" x14ac:dyDescent="0.3">
      <c r="A105" s="226">
        <v>46132</v>
      </c>
      <c r="B105" s="227" t="s">
        <v>215</v>
      </c>
      <c r="C105" s="227" t="s">
        <v>591</v>
      </c>
      <c r="D105" s="228">
        <v>4250</v>
      </c>
      <c r="E105" s="228">
        <v>8</v>
      </c>
      <c r="F105" s="228">
        <v>103.09</v>
      </c>
      <c r="G105" s="228">
        <v>104.84</v>
      </c>
      <c r="H105" s="228">
        <v>-1.75</v>
      </c>
      <c r="I105" s="229">
        <v>-1.67E-2</v>
      </c>
      <c r="J105" s="228">
        <v>103.02</v>
      </c>
      <c r="K105" s="228">
        <v>104.84</v>
      </c>
      <c r="L105" s="228">
        <v>-1.82</v>
      </c>
      <c r="M105" s="229">
        <v>-1.7399999999999999E-2</v>
      </c>
      <c r="N105" s="228">
        <v>103.09</v>
      </c>
      <c r="O105" s="228">
        <v>104.84</v>
      </c>
      <c r="P105" s="228">
        <v>-1.75</v>
      </c>
      <c r="Q105" s="229">
        <v>-1.67E-2</v>
      </c>
      <c r="R105" s="228">
        <v>102.13</v>
      </c>
      <c r="S105" s="228">
        <v>103.8</v>
      </c>
      <c r="T105" s="228">
        <v>-1.67</v>
      </c>
      <c r="U105" s="229">
        <v>-1.61E-2</v>
      </c>
      <c r="V105" s="228">
        <v>102.11</v>
      </c>
      <c r="W105" s="228">
        <v>103.4</v>
      </c>
      <c r="X105" s="228">
        <v>-1.29</v>
      </c>
      <c r="Y105" s="229">
        <v>-1.2500000000000001E-2</v>
      </c>
      <c r="Z105" s="228">
        <v>7.0000000000000007E-2</v>
      </c>
      <c r="AA105" s="228">
        <v>0</v>
      </c>
      <c r="AB105" s="228">
        <v>7.0000000000000007E-2</v>
      </c>
      <c r="AC105" s="229">
        <v>6.9999999999999999E-4</v>
      </c>
      <c r="AD105" s="228">
        <v>7.0000000000000007E-2</v>
      </c>
      <c r="AE105" s="228">
        <v>0</v>
      </c>
      <c r="AF105" s="228">
        <v>7.0000000000000007E-2</v>
      </c>
      <c r="AG105" s="229">
        <v>6.9999999999999999E-4</v>
      </c>
      <c r="AH105" s="228">
        <v>-0.89</v>
      </c>
      <c r="AI105" s="228">
        <v>-1.04</v>
      </c>
      <c r="AJ105" s="228">
        <v>0.15</v>
      </c>
      <c r="AK105" s="229">
        <v>-8.6E-3</v>
      </c>
      <c r="AL105" s="228">
        <v>-0.91</v>
      </c>
      <c r="AM105" s="228">
        <v>-1.44</v>
      </c>
      <c r="AN105" s="228">
        <v>0.53</v>
      </c>
      <c r="AO105" s="229">
        <v>-8.8000000000000005E-3</v>
      </c>
      <c r="AP105" s="228">
        <v>103.5</v>
      </c>
      <c r="AQ105" s="228">
        <v>102.56</v>
      </c>
      <c r="AR105" s="228">
        <v>0</v>
      </c>
      <c r="AS105" s="228">
        <v>117</v>
      </c>
      <c r="AT105" s="228">
        <v>188</v>
      </c>
      <c r="AU105" s="228">
        <v>-71</v>
      </c>
      <c r="AV105" s="229">
        <v>-0.37909999999999999</v>
      </c>
      <c r="AW105" s="228">
        <v>72</v>
      </c>
      <c r="AX105" s="228">
        <v>136</v>
      </c>
      <c r="AY105" s="228">
        <v>-64</v>
      </c>
      <c r="AZ105" s="229">
        <v>-0.46839999999999998</v>
      </c>
      <c r="BA105" s="228">
        <v>40</v>
      </c>
      <c r="BB105" s="228">
        <v>41</v>
      </c>
      <c r="BC105" s="228">
        <v>-1</v>
      </c>
      <c r="BD105" s="229">
        <v>-2.3599999999999999E-2</v>
      </c>
      <c r="BE105" s="228">
        <v>4</v>
      </c>
      <c r="BF105" s="228">
        <v>11</v>
      </c>
      <c r="BG105" s="228">
        <v>-7</v>
      </c>
      <c r="BH105" s="229">
        <v>-0.5968</v>
      </c>
      <c r="BI105" s="228">
        <v>306</v>
      </c>
      <c r="BJ105" s="228">
        <v>760</v>
      </c>
      <c r="BK105" s="228">
        <v>-454</v>
      </c>
      <c r="BL105" s="229">
        <v>-0.5978</v>
      </c>
      <c r="BM105" s="228">
        <v>134</v>
      </c>
      <c r="BN105" s="228">
        <v>297</v>
      </c>
      <c r="BO105" s="228">
        <v>-164</v>
      </c>
      <c r="BP105" s="229">
        <v>-0.55000000000000004</v>
      </c>
      <c r="BQ105" s="228">
        <v>556</v>
      </c>
      <c r="BR105" s="230">
        <v>1245</v>
      </c>
      <c r="BS105" s="228">
        <v>-689</v>
      </c>
      <c r="BT105" s="229">
        <v>-0.5534</v>
      </c>
      <c r="BU105" s="230">
        <v>16911077</v>
      </c>
      <c r="BV105" s="230">
        <v>35294190</v>
      </c>
      <c r="BW105" s="230">
        <v>-18383113</v>
      </c>
      <c r="BX105" s="229">
        <v>-0.52090000000000003</v>
      </c>
      <c r="BY105" s="228">
        <v>631</v>
      </c>
      <c r="BZ105" s="228">
        <v>611</v>
      </c>
      <c r="CA105" s="228">
        <v>20</v>
      </c>
      <c r="CB105" s="229">
        <v>3.2099999999999997E-2</v>
      </c>
      <c r="CC105" s="228">
        <v>468</v>
      </c>
      <c r="CD105" s="228">
        <v>467</v>
      </c>
      <c r="CE105" s="228">
        <v>2</v>
      </c>
      <c r="CF105" s="229">
        <v>3.5999999999999999E-3</v>
      </c>
      <c r="CG105" s="228">
        <v>141</v>
      </c>
      <c r="CH105" s="228">
        <v>124</v>
      </c>
      <c r="CI105" s="228">
        <v>17</v>
      </c>
      <c r="CJ105" s="229">
        <v>0.13639999999999999</v>
      </c>
      <c r="CK105" s="228">
        <v>21</v>
      </c>
      <c r="CL105" s="228">
        <v>20</v>
      </c>
      <c r="CM105" s="228">
        <v>1</v>
      </c>
      <c r="CN105" s="229">
        <v>5.2299999999999999E-2</v>
      </c>
      <c r="CO105" s="228">
        <v>436</v>
      </c>
      <c r="CP105" s="228">
        <v>436</v>
      </c>
      <c r="CQ105" s="228">
        <v>0</v>
      </c>
      <c r="CR105" s="229">
        <v>-8.0000000000000004E-4</v>
      </c>
      <c r="CS105" s="228">
        <v>303</v>
      </c>
      <c r="CT105" s="228">
        <v>312</v>
      </c>
      <c r="CU105" s="228">
        <v>-9</v>
      </c>
      <c r="CV105" s="229">
        <v>-2.8299999999999999E-2</v>
      </c>
      <c r="CW105" s="230">
        <v>1370</v>
      </c>
      <c r="CX105" s="230">
        <v>1360</v>
      </c>
      <c r="CY105" s="228">
        <v>10</v>
      </c>
      <c r="CZ105" s="229">
        <v>7.7000000000000002E-3</v>
      </c>
      <c r="DA105" s="228">
        <v>41.68</v>
      </c>
      <c r="DB105" s="228">
        <v>38.06</v>
      </c>
      <c r="DC105" s="228">
        <v>3.62</v>
      </c>
      <c r="DD105" s="228">
        <v>3.62</v>
      </c>
      <c r="DE105" s="228">
        <v>45.73</v>
      </c>
      <c r="DF105" s="228">
        <v>45.78</v>
      </c>
      <c r="DG105" s="228">
        <v>-4.05</v>
      </c>
      <c r="DH105" s="228">
        <v>-0.05</v>
      </c>
      <c r="DI105" s="228">
        <v>41.53</v>
      </c>
      <c r="DJ105" s="228">
        <v>37.24</v>
      </c>
      <c r="DK105" s="228">
        <v>4.29</v>
      </c>
      <c r="DL105" s="228">
        <v>4.29</v>
      </c>
      <c r="DM105" s="228">
        <v>42</v>
      </c>
      <c r="DN105" s="228">
        <v>40.17</v>
      </c>
      <c r="DO105" s="228">
        <v>1.83</v>
      </c>
      <c r="DP105" s="228">
        <v>1.83</v>
      </c>
      <c r="DQ105" s="228">
        <v>0.7</v>
      </c>
      <c r="DR105" s="228">
        <v>0.72</v>
      </c>
      <c r="DS105" s="228">
        <v>-0.02</v>
      </c>
      <c r="DT105" s="229">
        <v>-2.7799999999999998E-2</v>
      </c>
      <c r="DU105" s="228">
        <v>110</v>
      </c>
      <c r="DV105" s="228">
        <v>85</v>
      </c>
      <c r="DW105" s="228">
        <v>0.44</v>
      </c>
      <c r="DX105" s="228">
        <v>0.39</v>
      </c>
      <c r="DY105" s="228">
        <v>0.05</v>
      </c>
      <c r="DZ105" s="229">
        <v>0.12820000000000001</v>
      </c>
      <c r="EA105" s="229">
        <v>0.25700000000000001</v>
      </c>
      <c r="EB105" s="230">
        <v>13978250</v>
      </c>
      <c r="EC105" s="229">
        <v>-9.2999999999999992E-3</v>
      </c>
      <c r="ED105" s="229">
        <v>0.25700000000000001</v>
      </c>
      <c r="EE105" s="228">
        <v>-0.94</v>
      </c>
      <c r="EF105" s="229">
        <v>-9.1000000000000004E-3</v>
      </c>
      <c r="EG105" s="230">
        <v>5052908</v>
      </c>
      <c r="EH105" s="230">
        <v>8283457</v>
      </c>
      <c r="EI105" s="229">
        <v>-0.39</v>
      </c>
      <c r="EJ105" s="229">
        <v>0.29880000000000001</v>
      </c>
      <c r="EK105" s="228">
        <v>325.58</v>
      </c>
      <c r="EL105" s="228">
        <v>130.84</v>
      </c>
      <c r="EM105" s="228">
        <v>116.71</v>
      </c>
      <c r="EN105" s="228">
        <v>33.96</v>
      </c>
      <c r="EO105" s="228">
        <v>573.13</v>
      </c>
      <c r="EP105" s="231">
        <v>1297.42</v>
      </c>
      <c r="EQ105" s="228">
        <v>-724.29</v>
      </c>
      <c r="ER105" s="229">
        <v>-0.55830000000000002</v>
      </c>
      <c r="ES105" s="228">
        <v>450.09</v>
      </c>
      <c r="ET105" s="228">
        <v>286.08999999999997</v>
      </c>
      <c r="EU105" s="228">
        <v>629.04999999999995</v>
      </c>
      <c r="EV105" s="231">
        <v>267310350</v>
      </c>
      <c r="EW105" s="231">
        <v>1365.23</v>
      </c>
      <c r="EX105" s="231">
        <v>1364.58</v>
      </c>
      <c r="EY105" s="228">
        <v>0.65</v>
      </c>
      <c r="EZ105" s="229">
        <v>5.0000000000000001E-4</v>
      </c>
      <c r="FA105" s="229">
        <v>0.49709999999999999</v>
      </c>
      <c r="FB105" s="227" t="s">
        <v>566</v>
      </c>
      <c r="FC105">
        <f t="shared" si="1"/>
        <v>163</v>
      </c>
    </row>
    <row r="106" spans="1:159" ht="17.25" thickBot="1" x14ac:dyDescent="0.3">
      <c r="A106" s="226">
        <v>46132</v>
      </c>
      <c r="B106" s="227" t="s">
        <v>168</v>
      </c>
      <c r="C106" s="227" t="s">
        <v>242</v>
      </c>
      <c r="D106" s="228">
        <v>1600</v>
      </c>
      <c r="E106" s="228">
        <v>8</v>
      </c>
      <c r="F106" s="228">
        <v>305.25</v>
      </c>
      <c r="G106" s="228">
        <v>307.5</v>
      </c>
      <c r="H106" s="228">
        <v>-2.25</v>
      </c>
      <c r="I106" s="229">
        <v>-7.3000000000000001E-3</v>
      </c>
      <c r="J106" s="228">
        <v>305</v>
      </c>
      <c r="K106" s="228">
        <v>306.8</v>
      </c>
      <c r="L106" s="228">
        <v>-1.8</v>
      </c>
      <c r="M106" s="229">
        <v>-5.8999999999999999E-3</v>
      </c>
      <c r="N106" s="228">
        <v>305.25</v>
      </c>
      <c r="O106" s="228">
        <v>307.5</v>
      </c>
      <c r="P106" s="228">
        <v>-2.25</v>
      </c>
      <c r="Q106" s="229">
        <v>-7.3000000000000001E-3</v>
      </c>
      <c r="R106" s="228">
        <v>307.05</v>
      </c>
      <c r="S106" s="228">
        <v>309.25</v>
      </c>
      <c r="T106" s="228">
        <v>-2.2000000000000002</v>
      </c>
      <c r="U106" s="229">
        <v>-7.1000000000000004E-3</v>
      </c>
      <c r="V106" s="228">
        <v>309</v>
      </c>
      <c r="W106" s="228">
        <v>311.14999999999998</v>
      </c>
      <c r="X106" s="228">
        <v>-2.15</v>
      </c>
      <c r="Y106" s="229">
        <v>-6.8999999999999999E-3</v>
      </c>
      <c r="Z106" s="228">
        <v>0.25</v>
      </c>
      <c r="AA106" s="228">
        <v>0.7</v>
      </c>
      <c r="AB106" s="228">
        <v>-0.45</v>
      </c>
      <c r="AC106" s="229">
        <v>8.0000000000000004E-4</v>
      </c>
      <c r="AD106" s="228">
        <v>0.25</v>
      </c>
      <c r="AE106" s="228">
        <v>0.7</v>
      </c>
      <c r="AF106" s="228">
        <v>-0.45</v>
      </c>
      <c r="AG106" s="229">
        <v>8.0000000000000004E-4</v>
      </c>
      <c r="AH106" s="228">
        <v>2.0499999999999998</v>
      </c>
      <c r="AI106" s="228">
        <v>2.4500000000000002</v>
      </c>
      <c r="AJ106" s="228">
        <v>-0.4</v>
      </c>
      <c r="AK106" s="229">
        <v>6.7000000000000002E-3</v>
      </c>
      <c r="AL106" s="228">
        <v>4</v>
      </c>
      <c r="AM106" s="228">
        <v>4.3499999999999996</v>
      </c>
      <c r="AN106" s="228">
        <v>-0.35</v>
      </c>
      <c r="AO106" s="229">
        <v>1.3100000000000001E-2</v>
      </c>
      <c r="AP106" s="228">
        <v>306.37</v>
      </c>
      <c r="AQ106" s="228">
        <v>308.11</v>
      </c>
      <c r="AR106" s="228">
        <v>0</v>
      </c>
      <c r="AS106" s="228">
        <v>345</v>
      </c>
      <c r="AT106" s="230">
        <v>1030</v>
      </c>
      <c r="AU106" s="228">
        <v>-685</v>
      </c>
      <c r="AV106" s="229">
        <v>-0.6653</v>
      </c>
      <c r="AW106" s="228">
        <v>207</v>
      </c>
      <c r="AX106" s="228">
        <v>783</v>
      </c>
      <c r="AY106" s="228">
        <v>-576</v>
      </c>
      <c r="AZ106" s="229">
        <v>-0.73580000000000001</v>
      </c>
      <c r="BA106" s="228">
        <v>121</v>
      </c>
      <c r="BB106" s="228">
        <v>167</v>
      </c>
      <c r="BC106" s="228">
        <v>-46</v>
      </c>
      <c r="BD106" s="229">
        <v>-0.2762</v>
      </c>
      <c r="BE106" s="228">
        <v>17</v>
      </c>
      <c r="BF106" s="228">
        <v>80</v>
      </c>
      <c r="BG106" s="228">
        <v>-63</v>
      </c>
      <c r="BH106" s="229">
        <v>-0.78779999999999994</v>
      </c>
      <c r="BI106" s="230">
        <v>2553</v>
      </c>
      <c r="BJ106" s="230">
        <v>8703</v>
      </c>
      <c r="BK106" s="230">
        <v>-6150</v>
      </c>
      <c r="BL106" s="229">
        <v>-0.70669999999999999</v>
      </c>
      <c r="BM106" s="228">
        <v>867</v>
      </c>
      <c r="BN106" s="230">
        <v>3728</v>
      </c>
      <c r="BO106" s="230">
        <v>-2861</v>
      </c>
      <c r="BP106" s="229">
        <v>-0.76749999999999996</v>
      </c>
      <c r="BQ106" s="230">
        <v>3764</v>
      </c>
      <c r="BR106" s="230">
        <v>13461</v>
      </c>
      <c r="BS106" s="230">
        <v>-9697</v>
      </c>
      <c r="BT106" s="229">
        <v>-0.72040000000000004</v>
      </c>
      <c r="BU106" s="230">
        <v>14180107</v>
      </c>
      <c r="BV106" s="230">
        <v>36660208</v>
      </c>
      <c r="BW106" s="230">
        <v>-22480101</v>
      </c>
      <c r="BX106" s="229">
        <v>-0.61319999999999997</v>
      </c>
      <c r="BY106" s="230">
        <v>5073</v>
      </c>
      <c r="BZ106" s="230">
        <v>5041</v>
      </c>
      <c r="CA106" s="228">
        <v>32</v>
      </c>
      <c r="CB106" s="229">
        <v>6.4000000000000003E-3</v>
      </c>
      <c r="CC106" s="230">
        <v>4341</v>
      </c>
      <c r="CD106" s="230">
        <v>4388</v>
      </c>
      <c r="CE106" s="228">
        <v>-46</v>
      </c>
      <c r="CF106" s="229">
        <v>-1.0500000000000001E-2</v>
      </c>
      <c r="CG106" s="228">
        <v>587</v>
      </c>
      <c r="CH106" s="228">
        <v>519</v>
      </c>
      <c r="CI106" s="228">
        <v>68</v>
      </c>
      <c r="CJ106" s="229">
        <v>0.13059999999999999</v>
      </c>
      <c r="CK106" s="228">
        <v>145</v>
      </c>
      <c r="CL106" s="228">
        <v>134</v>
      </c>
      <c r="CM106" s="228">
        <v>11</v>
      </c>
      <c r="CN106" s="229">
        <v>7.85E-2</v>
      </c>
      <c r="CO106" s="230">
        <v>3561</v>
      </c>
      <c r="CP106" s="230">
        <v>3497</v>
      </c>
      <c r="CQ106" s="228">
        <v>64</v>
      </c>
      <c r="CR106" s="229">
        <v>1.84E-2</v>
      </c>
      <c r="CS106" s="230">
        <v>1719</v>
      </c>
      <c r="CT106" s="230">
        <v>1741</v>
      </c>
      <c r="CU106" s="228">
        <v>-21</v>
      </c>
      <c r="CV106" s="229">
        <v>-1.2200000000000001E-2</v>
      </c>
      <c r="CW106" s="230">
        <v>10354</v>
      </c>
      <c r="CX106" s="230">
        <v>10278</v>
      </c>
      <c r="CY106" s="228">
        <v>75</v>
      </c>
      <c r="CZ106" s="229">
        <v>7.3000000000000001E-3</v>
      </c>
      <c r="DA106" s="228">
        <v>23.45</v>
      </c>
      <c r="DB106" s="228">
        <v>20.91</v>
      </c>
      <c r="DC106" s="228">
        <v>2.54</v>
      </c>
      <c r="DD106" s="228">
        <v>2.54</v>
      </c>
      <c r="DE106" s="228">
        <v>24.42</v>
      </c>
      <c r="DF106" s="228">
        <v>24.47</v>
      </c>
      <c r="DG106" s="228">
        <v>-0.97</v>
      </c>
      <c r="DH106" s="228">
        <v>-0.05</v>
      </c>
      <c r="DI106" s="228">
        <v>23.96</v>
      </c>
      <c r="DJ106" s="228">
        <v>20.54</v>
      </c>
      <c r="DK106" s="228">
        <v>3.42</v>
      </c>
      <c r="DL106" s="228">
        <v>3.42</v>
      </c>
      <c r="DM106" s="228">
        <v>21.94</v>
      </c>
      <c r="DN106" s="228">
        <v>21.78</v>
      </c>
      <c r="DO106" s="228">
        <v>0.16</v>
      </c>
      <c r="DP106" s="228">
        <v>0.16</v>
      </c>
      <c r="DQ106" s="228">
        <v>0.48</v>
      </c>
      <c r="DR106" s="228">
        <v>0.5</v>
      </c>
      <c r="DS106" s="228">
        <v>-0.02</v>
      </c>
      <c r="DT106" s="229">
        <v>-0.04</v>
      </c>
      <c r="DU106" s="228">
        <v>300</v>
      </c>
      <c r="DV106" s="228">
        <v>300</v>
      </c>
      <c r="DW106" s="228">
        <v>0.34</v>
      </c>
      <c r="DX106" s="228">
        <v>0.43</v>
      </c>
      <c r="DY106" s="228">
        <v>-0.09</v>
      </c>
      <c r="DZ106" s="229">
        <v>-0.20930000000000001</v>
      </c>
      <c r="EA106" s="229">
        <v>0.14419999999999999</v>
      </c>
      <c r="EB106" s="230">
        <v>21403200</v>
      </c>
      <c r="EC106" s="229">
        <v>5.8999999999999999E-3</v>
      </c>
      <c r="ED106" s="229">
        <v>0.14419999999999999</v>
      </c>
      <c r="EE106" s="228">
        <v>1.74</v>
      </c>
      <c r="EF106" s="229">
        <v>5.7000000000000002E-3</v>
      </c>
      <c r="EG106" s="230">
        <v>8996378</v>
      </c>
      <c r="EH106" s="230">
        <v>17476483</v>
      </c>
      <c r="EI106" s="229">
        <v>-0.48520000000000002</v>
      </c>
      <c r="EJ106" s="229">
        <v>0.63439999999999996</v>
      </c>
      <c r="EK106" s="231">
        <v>2661.95</v>
      </c>
      <c r="EL106" s="228">
        <v>862.1</v>
      </c>
      <c r="EM106" s="228">
        <v>346.87</v>
      </c>
      <c r="EN106" s="228">
        <v>112.53</v>
      </c>
      <c r="EO106" s="231">
        <v>3870.92</v>
      </c>
      <c r="EP106" s="231">
        <v>13755.53</v>
      </c>
      <c r="EQ106" s="231">
        <v>-9884.61</v>
      </c>
      <c r="ER106" s="229">
        <v>-0.71860000000000002</v>
      </c>
      <c r="ES106" s="231">
        <v>3683.58</v>
      </c>
      <c r="ET106" s="231">
        <v>1684.43</v>
      </c>
      <c r="EU106" s="231">
        <v>5078.3999999999996</v>
      </c>
      <c r="EV106" s="231">
        <v>1317896781</v>
      </c>
      <c r="EW106" s="231">
        <v>10446.41</v>
      </c>
      <c r="EX106" s="231">
        <v>10401.290000000001</v>
      </c>
      <c r="EY106" s="228">
        <v>45.12</v>
      </c>
      <c r="EZ106" s="229">
        <v>4.3E-3</v>
      </c>
      <c r="FA106" s="229">
        <v>0.25740000000000002</v>
      </c>
      <c r="FB106" s="227" t="s">
        <v>566</v>
      </c>
      <c r="FC106">
        <f t="shared" si="1"/>
        <v>732</v>
      </c>
    </row>
    <row r="107" spans="1:159" ht="17.25" thickBot="1" x14ac:dyDescent="0.3">
      <c r="A107" s="226">
        <v>46132</v>
      </c>
      <c r="B107" s="227" t="s">
        <v>227</v>
      </c>
      <c r="C107" s="227" t="s">
        <v>243</v>
      </c>
      <c r="D107" s="228">
        <v>625</v>
      </c>
      <c r="E107" s="228">
        <v>8</v>
      </c>
      <c r="F107" s="231">
        <v>1287</v>
      </c>
      <c r="G107" s="231">
        <v>1271.4000000000001</v>
      </c>
      <c r="H107" s="228">
        <v>15.6</v>
      </c>
      <c r="I107" s="229">
        <v>1.23E-2</v>
      </c>
      <c r="J107" s="231">
        <v>1287.7</v>
      </c>
      <c r="K107" s="231">
        <v>1270</v>
      </c>
      <c r="L107" s="228">
        <v>17.7</v>
      </c>
      <c r="M107" s="229">
        <v>1.3899999999999999E-2</v>
      </c>
      <c r="N107" s="231">
        <v>1287</v>
      </c>
      <c r="O107" s="231">
        <v>1271.4000000000001</v>
      </c>
      <c r="P107" s="228">
        <v>15.6</v>
      </c>
      <c r="Q107" s="229">
        <v>1.23E-2</v>
      </c>
      <c r="R107" s="231">
        <v>1293.5</v>
      </c>
      <c r="S107" s="231">
        <v>1277.2</v>
      </c>
      <c r="T107" s="228">
        <v>16.3</v>
      </c>
      <c r="U107" s="229">
        <v>1.2800000000000001E-2</v>
      </c>
      <c r="V107" s="231">
        <v>1300.8</v>
      </c>
      <c r="W107" s="231">
        <v>1284.3</v>
      </c>
      <c r="X107" s="228">
        <v>16.5</v>
      </c>
      <c r="Y107" s="229">
        <v>1.2800000000000001E-2</v>
      </c>
      <c r="Z107" s="228">
        <v>-0.7</v>
      </c>
      <c r="AA107" s="228">
        <v>1.4</v>
      </c>
      <c r="AB107" s="228">
        <v>-2.1</v>
      </c>
      <c r="AC107" s="229">
        <v>-5.0000000000000001E-4</v>
      </c>
      <c r="AD107" s="228">
        <v>-0.7</v>
      </c>
      <c r="AE107" s="228">
        <v>1.4</v>
      </c>
      <c r="AF107" s="228">
        <v>-2.1</v>
      </c>
      <c r="AG107" s="229">
        <v>-5.0000000000000001E-4</v>
      </c>
      <c r="AH107" s="228">
        <v>5.8</v>
      </c>
      <c r="AI107" s="228">
        <v>7.2</v>
      </c>
      <c r="AJ107" s="228">
        <v>-1.4</v>
      </c>
      <c r="AK107" s="229">
        <v>4.4999999999999997E-3</v>
      </c>
      <c r="AL107" s="228">
        <v>13.1</v>
      </c>
      <c r="AM107" s="228">
        <v>14.3</v>
      </c>
      <c r="AN107" s="228">
        <v>-1.2</v>
      </c>
      <c r="AO107" s="229">
        <v>1.0200000000000001E-2</v>
      </c>
      <c r="AP107" s="231">
        <v>1282.6600000000001</v>
      </c>
      <c r="AQ107" s="231">
        <v>1291.82</v>
      </c>
      <c r="AR107" s="228">
        <v>0</v>
      </c>
      <c r="AS107" s="228">
        <v>373</v>
      </c>
      <c r="AT107" s="228">
        <v>481</v>
      </c>
      <c r="AU107" s="228">
        <v>-108</v>
      </c>
      <c r="AV107" s="229">
        <v>-0.22489999999999999</v>
      </c>
      <c r="AW107" s="228">
        <v>320</v>
      </c>
      <c r="AX107" s="228">
        <v>436</v>
      </c>
      <c r="AY107" s="228">
        <v>-115</v>
      </c>
      <c r="AZ107" s="229">
        <v>-0.26450000000000001</v>
      </c>
      <c r="BA107" s="228">
        <v>50</v>
      </c>
      <c r="BB107" s="228">
        <v>43</v>
      </c>
      <c r="BC107" s="228">
        <v>8</v>
      </c>
      <c r="BD107" s="229">
        <v>0.17699999999999999</v>
      </c>
      <c r="BE107" s="228">
        <v>2</v>
      </c>
      <c r="BF107" s="228">
        <v>3</v>
      </c>
      <c r="BG107" s="228">
        <v>0</v>
      </c>
      <c r="BH107" s="229">
        <v>-0.1875</v>
      </c>
      <c r="BI107" s="230">
        <v>1193</v>
      </c>
      <c r="BJ107" s="230">
        <v>1697</v>
      </c>
      <c r="BK107" s="228">
        <v>-505</v>
      </c>
      <c r="BL107" s="229">
        <v>-0.29720000000000002</v>
      </c>
      <c r="BM107" s="228">
        <v>624</v>
      </c>
      <c r="BN107" s="230">
        <v>1027</v>
      </c>
      <c r="BO107" s="228">
        <v>-403</v>
      </c>
      <c r="BP107" s="229">
        <v>-0.39269999999999999</v>
      </c>
      <c r="BQ107" s="230">
        <v>2190</v>
      </c>
      <c r="BR107" s="230">
        <v>3206</v>
      </c>
      <c r="BS107" s="230">
        <v>-1016</v>
      </c>
      <c r="BT107" s="229">
        <v>-0.317</v>
      </c>
      <c r="BU107" s="230">
        <v>1918805</v>
      </c>
      <c r="BV107" s="230">
        <v>2982761</v>
      </c>
      <c r="BW107" s="230">
        <v>-1063956</v>
      </c>
      <c r="BX107" s="229">
        <v>-0.35670000000000002</v>
      </c>
      <c r="BY107" s="230">
        <v>1666</v>
      </c>
      <c r="BZ107" s="230">
        <v>1626</v>
      </c>
      <c r="CA107" s="228">
        <v>40</v>
      </c>
      <c r="CB107" s="229">
        <v>2.4299999999999999E-2</v>
      </c>
      <c r="CC107" s="230">
        <v>1447</v>
      </c>
      <c r="CD107" s="230">
        <v>1425</v>
      </c>
      <c r="CE107" s="228">
        <v>21</v>
      </c>
      <c r="CF107" s="229">
        <v>1.4800000000000001E-2</v>
      </c>
      <c r="CG107" s="228">
        <v>216</v>
      </c>
      <c r="CH107" s="228">
        <v>197</v>
      </c>
      <c r="CI107" s="228">
        <v>19</v>
      </c>
      <c r="CJ107" s="229">
        <v>9.3799999999999994E-2</v>
      </c>
      <c r="CK107" s="228">
        <v>3</v>
      </c>
      <c r="CL107" s="228">
        <v>3</v>
      </c>
      <c r="CM107" s="228">
        <v>0</v>
      </c>
      <c r="CN107" s="229">
        <v>0</v>
      </c>
      <c r="CO107" s="228">
        <v>499</v>
      </c>
      <c r="CP107" s="228">
        <v>488</v>
      </c>
      <c r="CQ107" s="228">
        <v>12</v>
      </c>
      <c r="CR107" s="229">
        <v>2.41E-2</v>
      </c>
      <c r="CS107" s="228">
        <v>582</v>
      </c>
      <c r="CT107" s="228">
        <v>530</v>
      </c>
      <c r="CU107" s="228">
        <v>52</v>
      </c>
      <c r="CV107" s="229">
        <v>9.8000000000000004E-2</v>
      </c>
      <c r="CW107" s="230">
        <v>2747</v>
      </c>
      <c r="CX107" s="230">
        <v>2644</v>
      </c>
      <c r="CY107" s="228">
        <v>103</v>
      </c>
      <c r="CZ107" s="229">
        <v>3.9100000000000003E-2</v>
      </c>
      <c r="DA107" s="228">
        <v>33.4</v>
      </c>
      <c r="DB107" s="228">
        <v>31.22</v>
      </c>
      <c r="DC107" s="228">
        <v>2.1800000000000002</v>
      </c>
      <c r="DD107" s="228">
        <v>2.1800000000000002</v>
      </c>
      <c r="DE107" s="228">
        <v>38.020000000000003</v>
      </c>
      <c r="DF107" s="228">
        <v>38.07</v>
      </c>
      <c r="DG107" s="228">
        <v>-4.62</v>
      </c>
      <c r="DH107" s="228">
        <v>-0.05</v>
      </c>
      <c r="DI107" s="228">
        <v>32.450000000000003</v>
      </c>
      <c r="DJ107" s="228">
        <v>29.88</v>
      </c>
      <c r="DK107" s="228">
        <v>2.57</v>
      </c>
      <c r="DL107" s="228">
        <v>2.57</v>
      </c>
      <c r="DM107" s="228">
        <v>35.22</v>
      </c>
      <c r="DN107" s="228">
        <v>33.42</v>
      </c>
      <c r="DO107" s="228">
        <v>1.8</v>
      </c>
      <c r="DP107" s="228">
        <v>1.8</v>
      </c>
      <c r="DQ107" s="228">
        <v>1.17</v>
      </c>
      <c r="DR107" s="228">
        <v>1.0900000000000001</v>
      </c>
      <c r="DS107" s="228">
        <v>0.08</v>
      </c>
      <c r="DT107" s="229">
        <v>7.3400000000000007E-2</v>
      </c>
      <c r="DU107" s="231">
        <v>1300</v>
      </c>
      <c r="DV107" s="231">
        <v>1200</v>
      </c>
      <c r="DW107" s="228">
        <v>0.52</v>
      </c>
      <c r="DX107" s="228">
        <v>0.61</v>
      </c>
      <c r="DY107" s="228">
        <v>-0.09</v>
      </c>
      <c r="DZ107" s="229">
        <v>-0.14749999999999999</v>
      </c>
      <c r="EA107" s="229">
        <v>0.13159999999999999</v>
      </c>
      <c r="EB107" s="230">
        <v>1559375</v>
      </c>
      <c r="EC107" s="229">
        <v>5.1000000000000004E-3</v>
      </c>
      <c r="ED107" s="229">
        <v>0.13159999999999999</v>
      </c>
      <c r="EE107" s="228">
        <v>9.16</v>
      </c>
      <c r="EF107" s="229">
        <v>7.1000000000000004E-3</v>
      </c>
      <c r="EG107" s="230">
        <v>853743</v>
      </c>
      <c r="EH107" s="230">
        <v>1297934</v>
      </c>
      <c r="EI107" s="229">
        <v>-0.3422</v>
      </c>
      <c r="EJ107" s="229">
        <v>0.44490000000000002</v>
      </c>
      <c r="EK107" s="231">
        <v>1226.0899999999999</v>
      </c>
      <c r="EL107" s="228">
        <v>602.95000000000005</v>
      </c>
      <c r="EM107" s="228">
        <v>371.95</v>
      </c>
      <c r="EN107" s="228">
        <v>41.18</v>
      </c>
      <c r="EO107" s="231">
        <v>2200.9899999999998</v>
      </c>
      <c r="EP107" s="231">
        <v>3163.72</v>
      </c>
      <c r="EQ107" s="228">
        <v>-962.72</v>
      </c>
      <c r="ER107" s="229">
        <v>-0.30430000000000001</v>
      </c>
      <c r="ES107" s="228">
        <v>492.02</v>
      </c>
      <c r="ET107" s="228">
        <v>533.97</v>
      </c>
      <c r="EU107" s="231">
        <v>1666.83</v>
      </c>
      <c r="EV107" s="231">
        <v>45844541</v>
      </c>
      <c r="EW107" s="231">
        <v>2692.82</v>
      </c>
      <c r="EX107" s="231">
        <v>2566.06</v>
      </c>
      <c r="EY107" s="228">
        <v>126.76</v>
      </c>
      <c r="EZ107" s="229">
        <v>4.9399999999999999E-2</v>
      </c>
      <c r="FA107" s="229">
        <v>0.46560000000000001</v>
      </c>
      <c r="FB107" s="227" t="s">
        <v>555</v>
      </c>
      <c r="FC107">
        <f t="shared" si="1"/>
        <v>219</v>
      </c>
    </row>
    <row r="108" spans="1:159" ht="17.25" thickBot="1" x14ac:dyDescent="0.3">
      <c r="A108" s="226">
        <v>46132</v>
      </c>
      <c r="B108" s="227" t="s">
        <v>175</v>
      </c>
      <c r="C108" s="227" t="s">
        <v>569</v>
      </c>
      <c r="D108" s="228">
        <v>2350</v>
      </c>
      <c r="E108" s="228">
        <v>8</v>
      </c>
      <c r="F108" s="228">
        <v>236.9</v>
      </c>
      <c r="G108" s="228">
        <v>244.6</v>
      </c>
      <c r="H108" s="228">
        <v>-7.7</v>
      </c>
      <c r="I108" s="229">
        <v>-3.15E-2</v>
      </c>
      <c r="J108" s="228">
        <v>237.15</v>
      </c>
      <c r="K108" s="228">
        <v>243.86</v>
      </c>
      <c r="L108" s="228">
        <v>-6.71</v>
      </c>
      <c r="M108" s="229">
        <v>-2.75E-2</v>
      </c>
      <c r="N108" s="228">
        <v>236.9</v>
      </c>
      <c r="O108" s="228">
        <v>244.6</v>
      </c>
      <c r="P108" s="228">
        <v>-7.7</v>
      </c>
      <c r="Q108" s="229">
        <v>-3.15E-2</v>
      </c>
      <c r="R108" s="228">
        <v>238.17</v>
      </c>
      <c r="S108" s="228">
        <v>245.81</v>
      </c>
      <c r="T108" s="228">
        <v>-7.64</v>
      </c>
      <c r="U108" s="229">
        <v>-3.1099999999999999E-2</v>
      </c>
      <c r="V108" s="228">
        <v>239.35</v>
      </c>
      <c r="W108" s="228">
        <v>247.57</v>
      </c>
      <c r="X108" s="228">
        <v>-8.2200000000000006</v>
      </c>
      <c r="Y108" s="229">
        <v>-3.32E-2</v>
      </c>
      <c r="Z108" s="228">
        <v>-0.25</v>
      </c>
      <c r="AA108" s="228">
        <v>0.74</v>
      </c>
      <c r="AB108" s="228">
        <v>-0.99</v>
      </c>
      <c r="AC108" s="229">
        <v>-1.1000000000000001E-3</v>
      </c>
      <c r="AD108" s="228">
        <v>-0.25</v>
      </c>
      <c r="AE108" s="228">
        <v>0.74</v>
      </c>
      <c r="AF108" s="228">
        <v>-0.99</v>
      </c>
      <c r="AG108" s="229">
        <v>-1.1000000000000001E-3</v>
      </c>
      <c r="AH108" s="228">
        <v>1.02</v>
      </c>
      <c r="AI108" s="228">
        <v>1.95</v>
      </c>
      <c r="AJ108" s="228">
        <v>-0.93</v>
      </c>
      <c r="AK108" s="229">
        <v>4.3E-3</v>
      </c>
      <c r="AL108" s="228">
        <v>2.2000000000000002</v>
      </c>
      <c r="AM108" s="228">
        <v>3.71</v>
      </c>
      <c r="AN108" s="228">
        <v>-1.51</v>
      </c>
      <c r="AO108" s="229">
        <v>9.2999999999999992E-3</v>
      </c>
      <c r="AP108" s="228">
        <v>237.51</v>
      </c>
      <c r="AQ108" s="228">
        <v>238.96</v>
      </c>
      <c r="AR108" s="228">
        <v>0</v>
      </c>
      <c r="AS108" s="228">
        <v>994</v>
      </c>
      <c r="AT108" s="230">
        <v>1037</v>
      </c>
      <c r="AU108" s="228">
        <v>-43</v>
      </c>
      <c r="AV108" s="229">
        <v>-4.1200000000000001E-2</v>
      </c>
      <c r="AW108" s="228">
        <v>712</v>
      </c>
      <c r="AX108" s="228">
        <v>732</v>
      </c>
      <c r="AY108" s="228">
        <v>-20</v>
      </c>
      <c r="AZ108" s="229">
        <v>-2.7099999999999999E-2</v>
      </c>
      <c r="BA108" s="228">
        <v>245</v>
      </c>
      <c r="BB108" s="228">
        <v>250</v>
      </c>
      <c r="BC108" s="228">
        <v>-5</v>
      </c>
      <c r="BD108" s="229">
        <v>-2.0899999999999998E-2</v>
      </c>
      <c r="BE108" s="228">
        <v>37</v>
      </c>
      <c r="BF108" s="228">
        <v>55</v>
      </c>
      <c r="BG108" s="228">
        <v>-18</v>
      </c>
      <c r="BH108" s="229">
        <v>-0.32279999999999998</v>
      </c>
      <c r="BI108" s="230">
        <v>3680</v>
      </c>
      <c r="BJ108" s="230">
        <v>2996</v>
      </c>
      <c r="BK108" s="228">
        <v>684</v>
      </c>
      <c r="BL108" s="229">
        <v>0.2283</v>
      </c>
      <c r="BM108" s="230">
        <v>2008</v>
      </c>
      <c r="BN108" s="230">
        <v>1006</v>
      </c>
      <c r="BO108" s="230">
        <v>1003</v>
      </c>
      <c r="BP108" s="229">
        <v>0.99719999999999998</v>
      </c>
      <c r="BQ108" s="230">
        <v>6683</v>
      </c>
      <c r="BR108" s="230">
        <v>5039</v>
      </c>
      <c r="BS108" s="230">
        <v>1644</v>
      </c>
      <c r="BT108" s="229">
        <v>0.32629999999999998</v>
      </c>
      <c r="BU108" s="230">
        <v>40674852</v>
      </c>
      <c r="BV108" s="230">
        <v>54250757</v>
      </c>
      <c r="BW108" s="230">
        <v>-13575905</v>
      </c>
      <c r="BX108" s="229">
        <v>-0.25019999999999998</v>
      </c>
      <c r="BY108" s="230">
        <v>4016</v>
      </c>
      <c r="BZ108" s="230">
        <v>4024</v>
      </c>
      <c r="CA108" s="228">
        <v>-8</v>
      </c>
      <c r="CB108" s="229">
        <v>-1.9E-3</v>
      </c>
      <c r="CC108" s="230">
        <v>2986</v>
      </c>
      <c r="CD108" s="230">
        <v>3151</v>
      </c>
      <c r="CE108" s="228">
        <v>-164</v>
      </c>
      <c r="CF108" s="229">
        <v>-5.21E-2</v>
      </c>
      <c r="CG108" s="228">
        <v>865</v>
      </c>
      <c r="CH108" s="228">
        <v>731</v>
      </c>
      <c r="CI108" s="228">
        <v>133</v>
      </c>
      <c r="CJ108" s="229">
        <v>0.1825</v>
      </c>
      <c r="CK108" s="228">
        <v>165</v>
      </c>
      <c r="CL108" s="228">
        <v>142</v>
      </c>
      <c r="CM108" s="228">
        <v>23</v>
      </c>
      <c r="CN108" s="229">
        <v>0.16300000000000001</v>
      </c>
      <c r="CO108" s="230">
        <v>1750</v>
      </c>
      <c r="CP108" s="230">
        <v>1637</v>
      </c>
      <c r="CQ108" s="228">
        <v>113</v>
      </c>
      <c r="CR108" s="229">
        <v>6.88E-2</v>
      </c>
      <c r="CS108" s="230">
        <v>1117</v>
      </c>
      <c r="CT108" s="230">
        <v>1101</v>
      </c>
      <c r="CU108" s="228">
        <v>16</v>
      </c>
      <c r="CV108" s="229">
        <v>1.4999999999999999E-2</v>
      </c>
      <c r="CW108" s="230">
        <v>6884</v>
      </c>
      <c r="CX108" s="230">
        <v>6762</v>
      </c>
      <c r="CY108" s="228">
        <v>122</v>
      </c>
      <c r="CZ108" s="229">
        <v>1.7999999999999999E-2</v>
      </c>
      <c r="DA108" s="228">
        <v>39.840000000000003</v>
      </c>
      <c r="DB108" s="228">
        <v>40.93</v>
      </c>
      <c r="DC108" s="228">
        <v>-1.0900000000000001</v>
      </c>
      <c r="DD108" s="228">
        <v>-1.0900000000000001</v>
      </c>
      <c r="DE108" s="228">
        <v>37.549999999999997</v>
      </c>
      <c r="DF108" s="228">
        <v>37.39</v>
      </c>
      <c r="DG108" s="228">
        <v>2.29</v>
      </c>
      <c r="DH108" s="228">
        <v>0.16</v>
      </c>
      <c r="DI108" s="228">
        <v>39.35</v>
      </c>
      <c r="DJ108" s="228">
        <v>41.02</v>
      </c>
      <c r="DK108" s="228">
        <v>-1.67</v>
      </c>
      <c r="DL108" s="228">
        <v>-1.67</v>
      </c>
      <c r="DM108" s="228">
        <v>40.72</v>
      </c>
      <c r="DN108" s="228">
        <v>40.65</v>
      </c>
      <c r="DO108" s="228">
        <v>7.0000000000000007E-2</v>
      </c>
      <c r="DP108" s="228">
        <v>7.0000000000000007E-2</v>
      </c>
      <c r="DQ108" s="228">
        <v>0.64</v>
      </c>
      <c r="DR108" s="228">
        <v>0.67</v>
      </c>
      <c r="DS108" s="228">
        <v>-0.03</v>
      </c>
      <c r="DT108" s="229">
        <v>-4.48E-2</v>
      </c>
      <c r="DU108" s="228">
        <v>250</v>
      </c>
      <c r="DV108" s="228">
        <v>240</v>
      </c>
      <c r="DW108" s="228">
        <v>0.55000000000000004</v>
      </c>
      <c r="DX108" s="228">
        <v>0.34</v>
      </c>
      <c r="DY108" s="228">
        <v>0.21</v>
      </c>
      <c r="DZ108" s="229">
        <v>0.61760000000000004</v>
      </c>
      <c r="EA108" s="229">
        <v>0.25640000000000002</v>
      </c>
      <c r="EB108" s="230">
        <v>36859750</v>
      </c>
      <c r="EC108" s="229">
        <v>5.4000000000000003E-3</v>
      </c>
      <c r="ED108" s="229">
        <v>0.25640000000000002</v>
      </c>
      <c r="EE108" s="228">
        <v>1.45</v>
      </c>
      <c r="EF108" s="229">
        <v>6.1000000000000004E-3</v>
      </c>
      <c r="EG108" s="230">
        <v>17324397</v>
      </c>
      <c r="EH108" s="230">
        <v>33884357</v>
      </c>
      <c r="EI108" s="229">
        <v>-0.48870000000000002</v>
      </c>
      <c r="EJ108" s="229">
        <v>0.4259</v>
      </c>
      <c r="EK108" s="231">
        <v>3922.24</v>
      </c>
      <c r="EL108" s="231">
        <v>1999.06</v>
      </c>
      <c r="EM108" s="228">
        <v>998.84</v>
      </c>
      <c r="EN108" s="228">
        <v>103.72</v>
      </c>
      <c r="EO108" s="231">
        <v>6920.14</v>
      </c>
      <c r="EP108" s="231">
        <v>5351.69</v>
      </c>
      <c r="EQ108" s="231">
        <v>1568.45</v>
      </c>
      <c r="ER108" s="229">
        <v>0.29310000000000003</v>
      </c>
      <c r="ES108" s="231">
        <v>1870.71</v>
      </c>
      <c r="ET108" s="231">
        <v>1142.01</v>
      </c>
      <c r="EU108" s="231">
        <v>4022.65</v>
      </c>
      <c r="EV108" s="231">
        <v>490240515</v>
      </c>
      <c r="EW108" s="231">
        <v>7035.38</v>
      </c>
      <c r="EX108" s="231">
        <v>7052.34</v>
      </c>
      <c r="EY108" s="228">
        <v>-16.96</v>
      </c>
      <c r="EZ108" s="229">
        <v>-2.3999999999999998E-3</v>
      </c>
      <c r="FA108" s="229">
        <v>0.5927</v>
      </c>
      <c r="FB108" s="227" t="s">
        <v>567</v>
      </c>
      <c r="FC108">
        <f t="shared" si="1"/>
        <v>1030</v>
      </c>
    </row>
    <row r="109" spans="1:159" ht="17.25" thickBot="1" x14ac:dyDescent="0.3">
      <c r="A109" s="226">
        <v>46132</v>
      </c>
      <c r="B109" s="227" t="s">
        <v>161</v>
      </c>
      <c r="C109" s="227" t="s">
        <v>579</v>
      </c>
      <c r="D109" s="228">
        <v>1000</v>
      </c>
      <c r="E109" s="228">
        <v>8</v>
      </c>
      <c r="F109" s="228">
        <v>542.95000000000005</v>
      </c>
      <c r="G109" s="228">
        <v>538.1</v>
      </c>
      <c r="H109" s="228">
        <v>4.8499999999999996</v>
      </c>
      <c r="I109" s="229">
        <v>8.9999999999999993E-3</v>
      </c>
      <c r="J109" s="228">
        <v>543.04999999999995</v>
      </c>
      <c r="K109" s="228">
        <v>538.04999999999995</v>
      </c>
      <c r="L109" s="228">
        <v>5</v>
      </c>
      <c r="M109" s="229">
        <v>9.2999999999999992E-3</v>
      </c>
      <c r="N109" s="228">
        <v>542.95000000000005</v>
      </c>
      <c r="O109" s="228">
        <v>538.1</v>
      </c>
      <c r="P109" s="228">
        <v>4.8499999999999996</v>
      </c>
      <c r="Q109" s="229">
        <v>8.9999999999999993E-3</v>
      </c>
      <c r="R109" s="228">
        <v>545.54999999999995</v>
      </c>
      <c r="S109" s="228">
        <v>541.5</v>
      </c>
      <c r="T109" s="228">
        <v>4.05</v>
      </c>
      <c r="U109" s="229">
        <v>7.4999999999999997E-3</v>
      </c>
      <c r="V109" s="228">
        <v>546.1</v>
      </c>
      <c r="W109" s="228">
        <v>541</v>
      </c>
      <c r="X109" s="228">
        <v>5.0999999999999996</v>
      </c>
      <c r="Y109" s="229">
        <v>9.4000000000000004E-3</v>
      </c>
      <c r="Z109" s="228">
        <v>-0.1</v>
      </c>
      <c r="AA109" s="228">
        <v>0.05</v>
      </c>
      <c r="AB109" s="228">
        <v>-0.15</v>
      </c>
      <c r="AC109" s="229">
        <v>-2.0000000000000001E-4</v>
      </c>
      <c r="AD109" s="228">
        <v>-0.1</v>
      </c>
      <c r="AE109" s="228">
        <v>0.05</v>
      </c>
      <c r="AF109" s="228">
        <v>-0.15</v>
      </c>
      <c r="AG109" s="229">
        <v>-2.0000000000000001E-4</v>
      </c>
      <c r="AH109" s="228">
        <v>2.5</v>
      </c>
      <c r="AI109" s="228">
        <v>3.45</v>
      </c>
      <c r="AJ109" s="228">
        <v>-0.95</v>
      </c>
      <c r="AK109" s="229">
        <v>4.5999999999999999E-3</v>
      </c>
      <c r="AL109" s="228">
        <v>3.05</v>
      </c>
      <c r="AM109" s="228">
        <v>2.95</v>
      </c>
      <c r="AN109" s="228">
        <v>0.1</v>
      </c>
      <c r="AO109" s="229">
        <v>5.5999999999999999E-3</v>
      </c>
      <c r="AP109" s="228">
        <v>542.29</v>
      </c>
      <c r="AQ109" s="228">
        <v>545.91</v>
      </c>
      <c r="AR109" s="228">
        <v>0</v>
      </c>
      <c r="AS109" s="228">
        <v>288</v>
      </c>
      <c r="AT109" s="228">
        <v>198</v>
      </c>
      <c r="AU109" s="228">
        <v>90</v>
      </c>
      <c r="AV109" s="229">
        <v>0.45669999999999999</v>
      </c>
      <c r="AW109" s="228">
        <v>217</v>
      </c>
      <c r="AX109" s="228">
        <v>177</v>
      </c>
      <c r="AY109" s="228">
        <v>40</v>
      </c>
      <c r="AZ109" s="229">
        <v>0.2276</v>
      </c>
      <c r="BA109" s="228">
        <v>70</v>
      </c>
      <c r="BB109" s="228">
        <v>21</v>
      </c>
      <c r="BC109" s="228">
        <v>50</v>
      </c>
      <c r="BD109" s="229">
        <v>2.4053</v>
      </c>
      <c r="BE109" s="228">
        <v>1</v>
      </c>
      <c r="BF109" s="228">
        <v>1</v>
      </c>
      <c r="BG109" s="228">
        <v>1</v>
      </c>
      <c r="BH109" s="229">
        <v>0.73329999999999995</v>
      </c>
      <c r="BI109" s="228">
        <v>960</v>
      </c>
      <c r="BJ109" s="228">
        <v>440</v>
      </c>
      <c r="BK109" s="228">
        <v>520</v>
      </c>
      <c r="BL109" s="229">
        <v>1.1835</v>
      </c>
      <c r="BM109" s="228">
        <v>298</v>
      </c>
      <c r="BN109" s="228">
        <v>234</v>
      </c>
      <c r="BO109" s="228">
        <v>64</v>
      </c>
      <c r="BP109" s="229">
        <v>0.2717</v>
      </c>
      <c r="BQ109" s="230">
        <v>1546</v>
      </c>
      <c r="BR109" s="228">
        <v>872</v>
      </c>
      <c r="BS109" s="228">
        <v>675</v>
      </c>
      <c r="BT109" s="229">
        <v>0.77359999999999995</v>
      </c>
      <c r="BU109" s="230">
        <v>6065785</v>
      </c>
      <c r="BV109" s="230">
        <v>3744802</v>
      </c>
      <c r="BW109" s="230">
        <v>2320983</v>
      </c>
      <c r="BX109" s="229">
        <v>0.61980000000000002</v>
      </c>
      <c r="BY109" s="230">
        <v>1481</v>
      </c>
      <c r="BZ109" s="230">
        <v>1460</v>
      </c>
      <c r="CA109" s="228">
        <v>22</v>
      </c>
      <c r="CB109" s="229">
        <v>1.4800000000000001E-2</v>
      </c>
      <c r="CC109" s="230">
        <v>1410</v>
      </c>
      <c r="CD109" s="230">
        <v>1416</v>
      </c>
      <c r="CE109" s="228">
        <v>-6</v>
      </c>
      <c r="CF109" s="229">
        <v>-4.4000000000000003E-3</v>
      </c>
      <c r="CG109" s="228">
        <v>70</v>
      </c>
      <c r="CH109" s="228">
        <v>42</v>
      </c>
      <c r="CI109" s="228">
        <v>28</v>
      </c>
      <c r="CJ109" s="229">
        <v>0.6593</v>
      </c>
      <c r="CK109" s="228">
        <v>2</v>
      </c>
      <c r="CL109" s="228">
        <v>2</v>
      </c>
      <c r="CM109" s="228">
        <v>0</v>
      </c>
      <c r="CN109" s="229">
        <v>0.125</v>
      </c>
      <c r="CO109" s="228">
        <v>394</v>
      </c>
      <c r="CP109" s="228">
        <v>375</v>
      </c>
      <c r="CQ109" s="228">
        <v>19</v>
      </c>
      <c r="CR109" s="229">
        <v>5.0099999999999999E-2</v>
      </c>
      <c r="CS109" s="228">
        <v>255</v>
      </c>
      <c r="CT109" s="228">
        <v>258</v>
      </c>
      <c r="CU109" s="228">
        <v>-3</v>
      </c>
      <c r="CV109" s="229">
        <v>-1.0500000000000001E-2</v>
      </c>
      <c r="CW109" s="230">
        <v>2130</v>
      </c>
      <c r="CX109" s="230">
        <v>2093</v>
      </c>
      <c r="CY109" s="228">
        <v>38</v>
      </c>
      <c r="CZ109" s="229">
        <v>1.7999999999999999E-2</v>
      </c>
      <c r="DA109" s="228">
        <v>35.21</v>
      </c>
      <c r="DB109" s="228">
        <v>33.96</v>
      </c>
      <c r="DC109" s="228">
        <v>1.25</v>
      </c>
      <c r="DD109" s="228">
        <v>1.25</v>
      </c>
      <c r="DE109" s="228">
        <v>42.81</v>
      </c>
      <c r="DF109" s="228">
        <v>42.9</v>
      </c>
      <c r="DG109" s="228">
        <v>-7.6</v>
      </c>
      <c r="DH109" s="228">
        <v>-0.09</v>
      </c>
      <c r="DI109" s="228">
        <v>34.29</v>
      </c>
      <c r="DJ109" s="228">
        <v>32.840000000000003</v>
      </c>
      <c r="DK109" s="228">
        <v>1.45</v>
      </c>
      <c r="DL109" s="228">
        <v>1.45</v>
      </c>
      <c r="DM109" s="228">
        <v>38.19</v>
      </c>
      <c r="DN109" s="228">
        <v>36.07</v>
      </c>
      <c r="DO109" s="228">
        <v>2.12</v>
      </c>
      <c r="DP109" s="228">
        <v>2.12</v>
      </c>
      <c r="DQ109" s="228">
        <v>0.65</v>
      </c>
      <c r="DR109" s="228">
        <v>0.69</v>
      </c>
      <c r="DS109" s="228">
        <v>-0.04</v>
      </c>
      <c r="DT109" s="229">
        <v>-5.8000000000000003E-2</v>
      </c>
      <c r="DU109" s="228">
        <v>530</v>
      </c>
      <c r="DV109" s="228">
        <v>530</v>
      </c>
      <c r="DW109" s="228">
        <v>0.31</v>
      </c>
      <c r="DX109" s="228">
        <v>0.53</v>
      </c>
      <c r="DY109" s="228">
        <v>-0.22</v>
      </c>
      <c r="DZ109" s="229">
        <v>-0.41510000000000002</v>
      </c>
      <c r="EA109" s="229">
        <v>4.8300000000000003E-2</v>
      </c>
      <c r="EB109" s="230">
        <v>804000</v>
      </c>
      <c r="EC109" s="229">
        <v>4.7999999999999996E-3</v>
      </c>
      <c r="ED109" s="229">
        <v>4.8300000000000003E-2</v>
      </c>
      <c r="EE109" s="228">
        <v>3.62</v>
      </c>
      <c r="EF109" s="229">
        <v>6.7000000000000002E-3</v>
      </c>
      <c r="EG109" s="230">
        <v>2635145</v>
      </c>
      <c r="EH109" s="230">
        <v>1922637</v>
      </c>
      <c r="EI109" s="229">
        <v>0.37059999999999998</v>
      </c>
      <c r="EJ109" s="229">
        <v>0.43440000000000001</v>
      </c>
      <c r="EK109" s="228">
        <v>991.82</v>
      </c>
      <c r="EL109" s="228">
        <v>288.74</v>
      </c>
      <c r="EM109" s="228">
        <v>288.49</v>
      </c>
      <c r="EN109" s="228">
        <v>62.11</v>
      </c>
      <c r="EO109" s="231">
        <v>1569.05</v>
      </c>
      <c r="EP109" s="228">
        <v>871.35</v>
      </c>
      <c r="EQ109" s="228">
        <v>697.7</v>
      </c>
      <c r="ER109" s="229">
        <v>0.80069999999999997</v>
      </c>
      <c r="ES109" s="228">
        <v>386.96</v>
      </c>
      <c r="ET109" s="228">
        <v>236.22</v>
      </c>
      <c r="EU109" s="231">
        <v>1481.62</v>
      </c>
      <c r="EV109" s="231">
        <v>75294901</v>
      </c>
      <c r="EW109" s="231">
        <v>2104.8000000000002</v>
      </c>
      <c r="EX109" s="231">
        <v>2050.4</v>
      </c>
      <c r="EY109" s="228">
        <v>54.4</v>
      </c>
      <c r="EZ109" s="229">
        <v>2.6499999999999999E-2</v>
      </c>
      <c r="FA109" s="229">
        <v>0.52110000000000001</v>
      </c>
      <c r="FB109" s="227" t="s">
        <v>555</v>
      </c>
      <c r="FC109">
        <f t="shared" si="1"/>
        <v>71</v>
      </c>
    </row>
    <row r="110" spans="1:159" ht="17.25" thickBot="1" x14ac:dyDescent="0.3">
      <c r="A110" s="226">
        <v>46132</v>
      </c>
      <c r="B110" s="227" t="s">
        <v>227</v>
      </c>
      <c r="C110" s="227" t="s">
        <v>244</v>
      </c>
      <c r="D110" s="228">
        <v>675</v>
      </c>
      <c r="E110" s="228">
        <v>8</v>
      </c>
      <c r="F110" s="231">
        <v>1273.2</v>
      </c>
      <c r="G110" s="231">
        <v>1240.2</v>
      </c>
      <c r="H110" s="228">
        <v>33</v>
      </c>
      <c r="I110" s="229">
        <v>2.6599999999999999E-2</v>
      </c>
      <c r="J110" s="231">
        <v>1274.5</v>
      </c>
      <c r="K110" s="231">
        <v>1240.3</v>
      </c>
      <c r="L110" s="228">
        <v>34.200000000000003</v>
      </c>
      <c r="M110" s="229">
        <v>2.76E-2</v>
      </c>
      <c r="N110" s="231">
        <v>1273.2</v>
      </c>
      <c r="O110" s="231">
        <v>1240.2</v>
      </c>
      <c r="P110" s="228">
        <v>33</v>
      </c>
      <c r="Q110" s="229">
        <v>2.6599999999999999E-2</v>
      </c>
      <c r="R110" s="231">
        <v>1280.0999999999999</v>
      </c>
      <c r="S110" s="231">
        <v>1247.5999999999999</v>
      </c>
      <c r="T110" s="228">
        <v>32.5</v>
      </c>
      <c r="U110" s="229">
        <v>2.6100000000000002E-2</v>
      </c>
      <c r="V110" s="231">
        <v>1287.8</v>
      </c>
      <c r="W110" s="231">
        <v>1254.4000000000001</v>
      </c>
      <c r="X110" s="228">
        <v>33.4</v>
      </c>
      <c r="Y110" s="229">
        <v>2.6599999999999999E-2</v>
      </c>
      <c r="Z110" s="228">
        <v>-1.3</v>
      </c>
      <c r="AA110" s="228">
        <v>-0.1</v>
      </c>
      <c r="AB110" s="228">
        <v>-1.2</v>
      </c>
      <c r="AC110" s="229">
        <v>-1E-3</v>
      </c>
      <c r="AD110" s="228">
        <v>-1.3</v>
      </c>
      <c r="AE110" s="228">
        <v>-0.1</v>
      </c>
      <c r="AF110" s="228">
        <v>-1.2</v>
      </c>
      <c r="AG110" s="229">
        <v>-1E-3</v>
      </c>
      <c r="AH110" s="228">
        <v>5.6</v>
      </c>
      <c r="AI110" s="228">
        <v>7.3</v>
      </c>
      <c r="AJ110" s="228">
        <v>-1.7</v>
      </c>
      <c r="AK110" s="229">
        <v>4.4000000000000003E-3</v>
      </c>
      <c r="AL110" s="228">
        <v>13.3</v>
      </c>
      <c r="AM110" s="228">
        <v>14.1</v>
      </c>
      <c r="AN110" s="228">
        <v>-0.8</v>
      </c>
      <c r="AO110" s="229">
        <v>1.04E-2</v>
      </c>
      <c r="AP110" s="231">
        <v>1264.77</v>
      </c>
      <c r="AQ110" s="231">
        <v>1268.8599999999999</v>
      </c>
      <c r="AR110" s="228">
        <v>0</v>
      </c>
      <c r="AS110" s="228">
        <v>735</v>
      </c>
      <c r="AT110" s="228">
        <v>687</v>
      </c>
      <c r="AU110" s="228">
        <v>48</v>
      </c>
      <c r="AV110" s="229">
        <v>6.9699999999999998E-2</v>
      </c>
      <c r="AW110" s="228">
        <v>613</v>
      </c>
      <c r="AX110" s="228">
        <v>485</v>
      </c>
      <c r="AY110" s="228">
        <v>128</v>
      </c>
      <c r="AZ110" s="229">
        <v>0.26329999999999998</v>
      </c>
      <c r="BA110" s="228">
        <v>116</v>
      </c>
      <c r="BB110" s="228">
        <v>201</v>
      </c>
      <c r="BC110" s="228">
        <v>-85</v>
      </c>
      <c r="BD110" s="229">
        <v>-0.42359999999999998</v>
      </c>
      <c r="BE110" s="228">
        <v>7</v>
      </c>
      <c r="BF110" s="228">
        <v>1</v>
      </c>
      <c r="BG110" s="228">
        <v>5</v>
      </c>
      <c r="BH110" s="229">
        <v>4.0667</v>
      </c>
      <c r="BI110" s="230">
        <v>2208</v>
      </c>
      <c r="BJ110" s="230">
        <v>1369</v>
      </c>
      <c r="BK110" s="228">
        <v>839</v>
      </c>
      <c r="BL110" s="229">
        <v>0.61260000000000003</v>
      </c>
      <c r="BM110" s="230">
        <v>1000</v>
      </c>
      <c r="BN110" s="228">
        <v>680</v>
      </c>
      <c r="BO110" s="228">
        <v>320</v>
      </c>
      <c r="BP110" s="229">
        <v>0.47089999999999999</v>
      </c>
      <c r="BQ110" s="230">
        <v>3942</v>
      </c>
      <c r="BR110" s="230">
        <v>2736</v>
      </c>
      <c r="BS110" s="230">
        <v>1207</v>
      </c>
      <c r="BT110" s="229">
        <v>0.441</v>
      </c>
      <c r="BU110" s="230">
        <v>4675187</v>
      </c>
      <c r="BV110" s="230">
        <v>1941439</v>
      </c>
      <c r="BW110" s="230">
        <v>2733748</v>
      </c>
      <c r="BX110" s="229">
        <v>1.4080999999999999</v>
      </c>
      <c r="BY110" s="230">
        <v>6250</v>
      </c>
      <c r="BZ110" s="230">
        <v>6362</v>
      </c>
      <c r="CA110" s="228">
        <v>-112</v>
      </c>
      <c r="CB110" s="229">
        <v>-1.7600000000000001E-2</v>
      </c>
      <c r="CC110" s="230">
        <v>5381</v>
      </c>
      <c r="CD110" s="230">
        <v>5548</v>
      </c>
      <c r="CE110" s="228">
        <v>-167</v>
      </c>
      <c r="CF110" s="229">
        <v>-3.0099999999999998E-2</v>
      </c>
      <c r="CG110" s="228">
        <v>854</v>
      </c>
      <c r="CH110" s="228">
        <v>801</v>
      </c>
      <c r="CI110" s="228">
        <v>53</v>
      </c>
      <c r="CJ110" s="229">
        <v>6.6000000000000003E-2</v>
      </c>
      <c r="CK110" s="228">
        <v>15</v>
      </c>
      <c r="CL110" s="228">
        <v>13</v>
      </c>
      <c r="CM110" s="228">
        <v>3</v>
      </c>
      <c r="CN110" s="229">
        <v>0.20269999999999999</v>
      </c>
      <c r="CO110" s="228">
        <v>769</v>
      </c>
      <c r="CP110" s="228">
        <v>735</v>
      </c>
      <c r="CQ110" s="228">
        <v>34</v>
      </c>
      <c r="CR110" s="229">
        <v>4.6199999999999998E-2</v>
      </c>
      <c r="CS110" s="228">
        <v>821</v>
      </c>
      <c r="CT110" s="228">
        <v>707</v>
      </c>
      <c r="CU110" s="228">
        <v>114</v>
      </c>
      <c r="CV110" s="229">
        <v>0.161</v>
      </c>
      <c r="CW110" s="230">
        <v>7840</v>
      </c>
      <c r="CX110" s="230">
        <v>7804</v>
      </c>
      <c r="CY110" s="228">
        <v>36</v>
      </c>
      <c r="CZ110" s="229">
        <v>4.5999999999999999E-3</v>
      </c>
      <c r="DA110" s="228">
        <v>31.32</v>
      </c>
      <c r="DB110" s="228">
        <v>27.63</v>
      </c>
      <c r="DC110" s="228">
        <v>3.69</v>
      </c>
      <c r="DD110" s="228">
        <v>3.69</v>
      </c>
      <c r="DE110" s="228">
        <v>32.19</v>
      </c>
      <c r="DF110" s="228">
        <v>32.08</v>
      </c>
      <c r="DG110" s="228">
        <v>-0.87</v>
      </c>
      <c r="DH110" s="228">
        <v>0.11</v>
      </c>
      <c r="DI110" s="228">
        <v>30.36</v>
      </c>
      <c r="DJ110" s="228">
        <v>26.39</v>
      </c>
      <c r="DK110" s="228">
        <v>3.97</v>
      </c>
      <c r="DL110" s="228">
        <v>3.97</v>
      </c>
      <c r="DM110" s="228">
        <v>33.44</v>
      </c>
      <c r="DN110" s="228">
        <v>30.12</v>
      </c>
      <c r="DO110" s="228">
        <v>3.32</v>
      </c>
      <c r="DP110" s="228">
        <v>3.32</v>
      </c>
      <c r="DQ110" s="228">
        <v>1.07</v>
      </c>
      <c r="DR110" s="228">
        <v>0.96</v>
      </c>
      <c r="DS110" s="228">
        <v>0.11</v>
      </c>
      <c r="DT110" s="229">
        <v>0.11459999999999999</v>
      </c>
      <c r="DU110" s="231">
        <v>1350</v>
      </c>
      <c r="DV110" s="231">
        <v>1100</v>
      </c>
      <c r="DW110" s="228">
        <v>0.45</v>
      </c>
      <c r="DX110" s="228">
        <v>0.5</v>
      </c>
      <c r="DY110" s="228">
        <v>-0.05</v>
      </c>
      <c r="DZ110" s="229">
        <v>-0.1</v>
      </c>
      <c r="EA110" s="229">
        <v>0.1391</v>
      </c>
      <c r="EB110" s="230">
        <v>6391575</v>
      </c>
      <c r="EC110" s="229">
        <v>5.4000000000000003E-3</v>
      </c>
      <c r="ED110" s="229">
        <v>0.1391</v>
      </c>
      <c r="EE110" s="228">
        <v>4.09</v>
      </c>
      <c r="EF110" s="229">
        <v>3.2000000000000002E-3</v>
      </c>
      <c r="EG110" s="230">
        <v>2996176</v>
      </c>
      <c r="EH110" s="230">
        <v>890179</v>
      </c>
      <c r="EI110" s="229">
        <v>2.3658000000000001</v>
      </c>
      <c r="EJ110" s="229">
        <v>0.64090000000000003</v>
      </c>
      <c r="EK110" s="231">
        <v>2260.0300000000002</v>
      </c>
      <c r="EL110" s="228">
        <v>959.73</v>
      </c>
      <c r="EM110" s="228">
        <v>730.56</v>
      </c>
      <c r="EN110" s="228">
        <v>51.77</v>
      </c>
      <c r="EO110" s="231">
        <v>3950.31</v>
      </c>
      <c r="EP110" s="231">
        <v>2668.09</v>
      </c>
      <c r="EQ110" s="231">
        <v>1282.22</v>
      </c>
      <c r="ER110" s="229">
        <v>0.48060000000000003</v>
      </c>
      <c r="ES110" s="228">
        <v>755.08</v>
      </c>
      <c r="ET110" s="228">
        <v>738.58</v>
      </c>
      <c r="EU110" s="231">
        <v>6254.6</v>
      </c>
      <c r="EV110" s="231">
        <v>133242960</v>
      </c>
      <c r="EW110" s="231">
        <v>7748.26</v>
      </c>
      <c r="EX110" s="231">
        <v>7540.71</v>
      </c>
      <c r="EY110" s="228">
        <v>207.55</v>
      </c>
      <c r="EZ110" s="229">
        <v>2.75E-2</v>
      </c>
      <c r="FA110" s="229">
        <v>0.4622</v>
      </c>
      <c r="FB110" s="227" t="s">
        <v>693</v>
      </c>
      <c r="FC110">
        <f t="shared" si="1"/>
        <v>869</v>
      </c>
    </row>
    <row r="111" spans="1:159" ht="17.25" thickBot="1" x14ac:dyDescent="0.3">
      <c r="A111" s="226">
        <v>46132</v>
      </c>
      <c r="B111" s="227" t="s">
        <v>168</v>
      </c>
      <c r="C111" s="227" t="s">
        <v>245</v>
      </c>
      <c r="D111" s="228">
        <v>1250</v>
      </c>
      <c r="E111" s="228">
        <v>8</v>
      </c>
      <c r="F111" s="228">
        <v>454.35</v>
      </c>
      <c r="G111" s="228">
        <v>458.8</v>
      </c>
      <c r="H111" s="228">
        <v>-4.45</v>
      </c>
      <c r="I111" s="229">
        <v>-9.7000000000000003E-3</v>
      </c>
      <c r="J111" s="228">
        <v>456.15</v>
      </c>
      <c r="K111" s="228">
        <v>458.95</v>
      </c>
      <c r="L111" s="228">
        <v>-2.8</v>
      </c>
      <c r="M111" s="229">
        <v>-6.1000000000000004E-3</v>
      </c>
      <c r="N111" s="228">
        <v>454.35</v>
      </c>
      <c r="O111" s="228">
        <v>458.8</v>
      </c>
      <c r="P111" s="228">
        <v>-4.45</v>
      </c>
      <c r="Q111" s="229">
        <v>-9.7000000000000003E-3</v>
      </c>
      <c r="R111" s="228">
        <v>441.1</v>
      </c>
      <c r="S111" s="228">
        <v>446.15</v>
      </c>
      <c r="T111" s="228">
        <v>-5.05</v>
      </c>
      <c r="U111" s="229">
        <v>-1.1299999999999999E-2</v>
      </c>
      <c r="V111" s="228">
        <v>433.15</v>
      </c>
      <c r="W111" s="228">
        <v>436.85</v>
      </c>
      <c r="X111" s="228">
        <v>-3.7</v>
      </c>
      <c r="Y111" s="229">
        <v>-8.5000000000000006E-3</v>
      </c>
      <c r="Z111" s="228">
        <v>-1.8</v>
      </c>
      <c r="AA111" s="228">
        <v>-0.15</v>
      </c>
      <c r="AB111" s="228">
        <v>-1.65</v>
      </c>
      <c r="AC111" s="229">
        <v>-3.8999999999999998E-3</v>
      </c>
      <c r="AD111" s="228">
        <v>-1.8</v>
      </c>
      <c r="AE111" s="228">
        <v>-0.15</v>
      </c>
      <c r="AF111" s="228">
        <v>-1.65</v>
      </c>
      <c r="AG111" s="229">
        <v>-3.8999999999999998E-3</v>
      </c>
      <c r="AH111" s="228">
        <v>-15.05</v>
      </c>
      <c r="AI111" s="228">
        <v>-12.8</v>
      </c>
      <c r="AJ111" s="228">
        <v>-2.25</v>
      </c>
      <c r="AK111" s="229">
        <v>-3.3000000000000002E-2</v>
      </c>
      <c r="AL111" s="228">
        <v>-23</v>
      </c>
      <c r="AM111" s="228">
        <v>-22.1</v>
      </c>
      <c r="AN111" s="228">
        <v>-0.9</v>
      </c>
      <c r="AO111" s="229">
        <v>-5.04E-2</v>
      </c>
      <c r="AP111" s="228">
        <v>455.77</v>
      </c>
      <c r="AQ111" s="228">
        <v>442.69</v>
      </c>
      <c r="AR111" s="228">
        <v>0</v>
      </c>
      <c r="AS111" s="228">
        <v>378</v>
      </c>
      <c r="AT111" s="228">
        <v>415</v>
      </c>
      <c r="AU111" s="228">
        <v>-38</v>
      </c>
      <c r="AV111" s="229">
        <v>-9.0399999999999994E-2</v>
      </c>
      <c r="AW111" s="228">
        <v>252</v>
      </c>
      <c r="AX111" s="228">
        <v>300</v>
      </c>
      <c r="AY111" s="228">
        <v>-49</v>
      </c>
      <c r="AZ111" s="229">
        <v>-0.1615</v>
      </c>
      <c r="BA111" s="228">
        <v>117</v>
      </c>
      <c r="BB111" s="228">
        <v>103</v>
      </c>
      <c r="BC111" s="228">
        <v>14</v>
      </c>
      <c r="BD111" s="229">
        <v>0.1348</v>
      </c>
      <c r="BE111" s="228">
        <v>9</v>
      </c>
      <c r="BF111" s="228">
        <v>12</v>
      </c>
      <c r="BG111" s="228">
        <v>-3</v>
      </c>
      <c r="BH111" s="229">
        <v>-0.25619999999999998</v>
      </c>
      <c r="BI111" s="228">
        <v>681</v>
      </c>
      <c r="BJ111" s="228">
        <v>995</v>
      </c>
      <c r="BK111" s="228">
        <v>-313</v>
      </c>
      <c r="BL111" s="229">
        <v>-0.31509999999999999</v>
      </c>
      <c r="BM111" s="228">
        <v>265</v>
      </c>
      <c r="BN111" s="228">
        <v>390</v>
      </c>
      <c r="BO111" s="228">
        <v>-126</v>
      </c>
      <c r="BP111" s="229">
        <v>-0.32190000000000002</v>
      </c>
      <c r="BQ111" s="230">
        <v>1324</v>
      </c>
      <c r="BR111" s="230">
        <v>1800</v>
      </c>
      <c r="BS111" s="228">
        <v>-477</v>
      </c>
      <c r="BT111" s="229">
        <v>-0.26479999999999998</v>
      </c>
      <c r="BU111" s="230">
        <v>1564257</v>
      </c>
      <c r="BV111" s="230">
        <v>2866144</v>
      </c>
      <c r="BW111" s="230">
        <v>-1301887</v>
      </c>
      <c r="BX111" s="229">
        <v>-0.45419999999999999</v>
      </c>
      <c r="BY111" s="230">
        <v>2385</v>
      </c>
      <c r="BZ111" s="230">
        <v>2330</v>
      </c>
      <c r="CA111" s="228">
        <v>55</v>
      </c>
      <c r="CB111" s="229">
        <v>2.3800000000000002E-2</v>
      </c>
      <c r="CC111" s="230">
        <v>1671</v>
      </c>
      <c r="CD111" s="230">
        <v>1672</v>
      </c>
      <c r="CE111" s="228">
        <v>-1</v>
      </c>
      <c r="CF111" s="229">
        <v>-2.9999999999999997E-4</v>
      </c>
      <c r="CG111" s="228">
        <v>683</v>
      </c>
      <c r="CH111" s="228">
        <v>629</v>
      </c>
      <c r="CI111" s="228">
        <v>54</v>
      </c>
      <c r="CJ111" s="229">
        <v>8.5500000000000007E-2</v>
      </c>
      <c r="CK111" s="228">
        <v>31</v>
      </c>
      <c r="CL111" s="228">
        <v>29</v>
      </c>
      <c r="CM111" s="228">
        <v>2</v>
      </c>
      <c r="CN111" s="229">
        <v>7.6600000000000001E-2</v>
      </c>
      <c r="CO111" s="228">
        <v>703</v>
      </c>
      <c r="CP111" s="228">
        <v>688</v>
      </c>
      <c r="CQ111" s="228">
        <v>15</v>
      </c>
      <c r="CR111" s="229">
        <v>2.2100000000000002E-2</v>
      </c>
      <c r="CS111" s="228">
        <v>436</v>
      </c>
      <c r="CT111" s="228">
        <v>443</v>
      </c>
      <c r="CU111" s="228">
        <v>-7</v>
      </c>
      <c r="CV111" s="229">
        <v>-1.5800000000000002E-2</v>
      </c>
      <c r="CW111" s="230">
        <v>3525</v>
      </c>
      <c r="CX111" s="230">
        <v>3461</v>
      </c>
      <c r="CY111" s="228">
        <v>64</v>
      </c>
      <c r="CZ111" s="229">
        <v>1.84E-2</v>
      </c>
      <c r="DA111" s="228">
        <v>38.36</v>
      </c>
      <c r="DB111" s="228">
        <v>34.49</v>
      </c>
      <c r="DC111" s="228">
        <v>3.87</v>
      </c>
      <c r="DD111" s="228">
        <v>3.87</v>
      </c>
      <c r="DE111" s="228">
        <v>38.03</v>
      </c>
      <c r="DF111" s="228">
        <v>38.11</v>
      </c>
      <c r="DG111" s="228">
        <v>0.33</v>
      </c>
      <c r="DH111" s="228">
        <v>-0.08</v>
      </c>
      <c r="DI111" s="228">
        <v>37.74</v>
      </c>
      <c r="DJ111" s="228">
        <v>33.81</v>
      </c>
      <c r="DK111" s="228">
        <v>3.93</v>
      </c>
      <c r="DL111" s="228">
        <v>3.93</v>
      </c>
      <c r="DM111" s="228">
        <v>39.950000000000003</v>
      </c>
      <c r="DN111" s="228">
        <v>36.200000000000003</v>
      </c>
      <c r="DO111" s="228">
        <v>3.75</v>
      </c>
      <c r="DP111" s="228">
        <v>3.75</v>
      </c>
      <c r="DQ111" s="228">
        <v>0.62</v>
      </c>
      <c r="DR111" s="228">
        <v>0.64</v>
      </c>
      <c r="DS111" s="228">
        <v>-0.02</v>
      </c>
      <c r="DT111" s="229">
        <v>-3.1300000000000001E-2</v>
      </c>
      <c r="DU111" s="228">
        <v>500</v>
      </c>
      <c r="DV111" s="228">
        <v>400</v>
      </c>
      <c r="DW111" s="228">
        <v>0.39</v>
      </c>
      <c r="DX111" s="228">
        <v>0.39</v>
      </c>
      <c r="DY111" s="228">
        <v>0</v>
      </c>
      <c r="DZ111" s="229">
        <v>0</v>
      </c>
      <c r="EA111" s="229">
        <v>0.29920000000000002</v>
      </c>
      <c r="EB111" s="230">
        <v>14475000</v>
      </c>
      <c r="EC111" s="229">
        <v>-2.92E-2</v>
      </c>
      <c r="ED111" s="229">
        <v>0.29920000000000002</v>
      </c>
      <c r="EE111" s="228">
        <v>-13.08</v>
      </c>
      <c r="EF111" s="229">
        <v>-2.87E-2</v>
      </c>
      <c r="EG111" s="230">
        <v>444484</v>
      </c>
      <c r="EH111" s="230">
        <v>754300</v>
      </c>
      <c r="EI111" s="229">
        <v>-0.41070000000000001</v>
      </c>
      <c r="EJ111" s="229">
        <v>0.28420000000000001</v>
      </c>
      <c r="EK111" s="228">
        <v>717.67</v>
      </c>
      <c r="EL111" s="228">
        <v>261.20999999999998</v>
      </c>
      <c r="EM111" s="228">
        <v>374.99</v>
      </c>
      <c r="EN111" s="228">
        <v>74.510000000000005</v>
      </c>
      <c r="EO111" s="231">
        <v>1353.87</v>
      </c>
      <c r="EP111" s="231">
        <v>1854.43</v>
      </c>
      <c r="EQ111" s="228">
        <v>-500.56</v>
      </c>
      <c r="ER111" s="229">
        <v>-0.26989999999999997</v>
      </c>
      <c r="ES111" s="228">
        <v>728.81</v>
      </c>
      <c r="ET111" s="228">
        <v>415.01</v>
      </c>
      <c r="EU111" s="231">
        <v>2363.75</v>
      </c>
      <c r="EV111" s="231">
        <v>58777851</v>
      </c>
      <c r="EW111" s="231">
        <v>3507.57</v>
      </c>
      <c r="EX111" s="231">
        <v>3468.78</v>
      </c>
      <c r="EY111" s="228">
        <v>38.79</v>
      </c>
      <c r="EZ111" s="229">
        <v>1.12E-2</v>
      </c>
      <c r="FA111" s="229">
        <v>1.3198000000000001</v>
      </c>
      <c r="FB111" s="227" t="s">
        <v>566</v>
      </c>
      <c r="FC111">
        <f t="shared" si="1"/>
        <v>714</v>
      </c>
    </row>
    <row r="112" spans="1:159" ht="17.25" thickBot="1" x14ac:dyDescent="0.3">
      <c r="A112" s="226">
        <v>46132</v>
      </c>
      <c r="B112" s="227" t="s">
        <v>168</v>
      </c>
      <c r="C112" s="227" t="s">
        <v>581</v>
      </c>
      <c r="D112" s="228">
        <v>1175</v>
      </c>
      <c r="E112" s="228">
        <v>8</v>
      </c>
      <c r="F112" s="228">
        <v>417.2</v>
      </c>
      <c r="G112" s="228">
        <v>427.95</v>
      </c>
      <c r="H112" s="228">
        <v>-10.75</v>
      </c>
      <c r="I112" s="229">
        <v>-2.5100000000000001E-2</v>
      </c>
      <c r="J112" s="228">
        <v>417.5</v>
      </c>
      <c r="K112" s="228">
        <v>426.85</v>
      </c>
      <c r="L112" s="228">
        <v>-9.35</v>
      </c>
      <c r="M112" s="229">
        <v>-2.1899999999999999E-2</v>
      </c>
      <c r="N112" s="228">
        <v>417.2</v>
      </c>
      <c r="O112" s="228">
        <v>427.95</v>
      </c>
      <c r="P112" s="228">
        <v>-10.75</v>
      </c>
      <c r="Q112" s="229">
        <v>-2.5100000000000001E-2</v>
      </c>
      <c r="R112" s="228">
        <v>419.85</v>
      </c>
      <c r="S112" s="228">
        <v>429.8</v>
      </c>
      <c r="T112" s="228">
        <v>-9.9499999999999993</v>
      </c>
      <c r="U112" s="229">
        <v>-2.3199999999999998E-2</v>
      </c>
      <c r="V112" s="228">
        <v>422</v>
      </c>
      <c r="W112" s="228">
        <v>432.6</v>
      </c>
      <c r="X112" s="228">
        <v>-10.6</v>
      </c>
      <c r="Y112" s="229">
        <v>-2.4500000000000001E-2</v>
      </c>
      <c r="Z112" s="228">
        <v>-0.3</v>
      </c>
      <c r="AA112" s="228">
        <v>1.1000000000000001</v>
      </c>
      <c r="AB112" s="228">
        <v>-1.4</v>
      </c>
      <c r="AC112" s="229">
        <v>-6.9999999999999999E-4</v>
      </c>
      <c r="AD112" s="228">
        <v>-0.3</v>
      </c>
      <c r="AE112" s="228">
        <v>1.1000000000000001</v>
      </c>
      <c r="AF112" s="228">
        <v>-1.4</v>
      </c>
      <c r="AG112" s="229">
        <v>-6.9999999999999999E-4</v>
      </c>
      <c r="AH112" s="228">
        <v>2.35</v>
      </c>
      <c r="AI112" s="228">
        <v>2.95</v>
      </c>
      <c r="AJ112" s="228">
        <v>-0.6</v>
      </c>
      <c r="AK112" s="229">
        <v>5.5999999999999999E-3</v>
      </c>
      <c r="AL112" s="228">
        <v>4.5</v>
      </c>
      <c r="AM112" s="228">
        <v>5.75</v>
      </c>
      <c r="AN112" s="228">
        <v>-1.25</v>
      </c>
      <c r="AO112" s="229">
        <v>1.0800000000000001E-2</v>
      </c>
      <c r="AP112" s="228">
        <v>420.15</v>
      </c>
      <c r="AQ112" s="228">
        <v>422.77</v>
      </c>
      <c r="AR112" s="228">
        <v>0</v>
      </c>
      <c r="AS112" s="228">
        <v>140</v>
      </c>
      <c r="AT112" s="228">
        <v>734</v>
      </c>
      <c r="AU112" s="228">
        <v>-594</v>
      </c>
      <c r="AV112" s="229">
        <v>-0.80920000000000003</v>
      </c>
      <c r="AW112" s="228">
        <v>110</v>
      </c>
      <c r="AX112" s="228">
        <v>631</v>
      </c>
      <c r="AY112" s="228">
        <v>-521</v>
      </c>
      <c r="AZ112" s="229">
        <v>-0.82499999999999996</v>
      </c>
      <c r="BA112" s="228">
        <v>22</v>
      </c>
      <c r="BB112" s="228">
        <v>93</v>
      </c>
      <c r="BC112" s="228">
        <v>-70</v>
      </c>
      <c r="BD112" s="229">
        <v>-0.75729999999999997</v>
      </c>
      <c r="BE112" s="228">
        <v>7</v>
      </c>
      <c r="BF112" s="228">
        <v>10</v>
      </c>
      <c r="BG112" s="228">
        <v>-3</v>
      </c>
      <c r="BH112" s="229">
        <v>-0.27039999999999997</v>
      </c>
      <c r="BI112" s="228">
        <v>745</v>
      </c>
      <c r="BJ112" s="230">
        <v>3139</v>
      </c>
      <c r="BK112" s="230">
        <v>-2394</v>
      </c>
      <c r="BL112" s="229">
        <v>-0.76270000000000004</v>
      </c>
      <c r="BM112" s="228">
        <v>340</v>
      </c>
      <c r="BN112" s="230">
        <v>2304</v>
      </c>
      <c r="BO112" s="230">
        <v>-1964</v>
      </c>
      <c r="BP112" s="229">
        <v>-0.85240000000000005</v>
      </c>
      <c r="BQ112" s="230">
        <v>1225</v>
      </c>
      <c r="BR112" s="230">
        <v>6176</v>
      </c>
      <c r="BS112" s="230">
        <v>-4951</v>
      </c>
      <c r="BT112" s="229">
        <v>-0.80169999999999997</v>
      </c>
      <c r="BU112" s="230">
        <v>4871878</v>
      </c>
      <c r="BV112" s="230">
        <v>17746306</v>
      </c>
      <c r="BW112" s="230">
        <v>-12874428</v>
      </c>
      <c r="BX112" s="229">
        <v>-0.72550000000000003</v>
      </c>
      <c r="BY112" s="230">
        <v>1114</v>
      </c>
      <c r="BZ112" s="230">
        <v>1096</v>
      </c>
      <c r="CA112" s="228">
        <v>18</v>
      </c>
      <c r="CB112" s="229">
        <v>1.6299999999999999E-2</v>
      </c>
      <c r="CC112" s="230">
        <v>1028</v>
      </c>
      <c r="CD112" s="230">
        <v>1024</v>
      </c>
      <c r="CE112" s="228">
        <v>5</v>
      </c>
      <c r="CF112" s="229">
        <v>4.4999999999999997E-3</v>
      </c>
      <c r="CG112" s="228">
        <v>76</v>
      </c>
      <c r="CH112" s="228">
        <v>67</v>
      </c>
      <c r="CI112" s="228">
        <v>9</v>
      </c>
      <c r="CJ112" s="229">
        <v>0.1308</v>
      </c>
      <c r="CK112" s="228">
        <v>10</v>
      </c>
      <c r="CL112" s="228">
        <v>5</v>
      </c>
      <c r="CM112" s="228">
        <v>5</v>
      </c>
      <c r="CN112" s="229">
        <v>0.84399999999999997</v>
      </c>
      <c r="CO112" s="228">
        <v>661</v>
      </c>
      <c r="CP112" s="228">
        <v>584</v>
      </c>
      <c r="CQ112" s="228">
        <v>77</v>
      </c>
      <c r="CR112" s="229">
        <v>0.1321</v>
      </c>
      <c r="CS112" s="228">
        <v>300</v>
      </c>
      <c r="CT112" s="228">
        <v>310</v>
      </c>
      <c r="CU112" s="228">
        <v>-10</v>
      </c>
      <c r="CV112" s="229">
        <v>-3.27E-2</v>
      </c>
      <c r="CW112" s="230">
        <v>2075</v>
      </c>
      <c r="CX112" s="230">
        <v>1990</v>
      </c>
      <c r="CY112" s="228">
        <v>85</v>
      </c>
      <c r="CZ112" s="229">
        <v>4.2599999999999999E-2</v>
      </c>
      <c r="DA112" s="228">
        <v>47.69</v>
      </c>
      <c r="DB112" s="228">
        <v>41.1</v>
      </c>
      <c r="DC112" s="228">
        <v>6.59</v>
      </c>
      <c r="DD112" s="228">
        <v>6.59</v>
      </c>
      <c r="DE112" s="228">
        <v>52.41</v>
      </c>
      <c r="DF112" s="228">
        <v>52.46</v>
      </c>
      <c r="DG112" s="228">
        <v>-4.72</v>
      </c>
      <c r="DH112" s="228">
        <v>-0.05</v>
      </c>
      <c r="DI112" s="228">
        <v>47.75</v>
      </c>
      <c r="DJ112" s="228">
        <v>40.15</v>
      </c>
      <c r="DK112" s="228">
        <v>7.6</v>
      </c>
      <c r="DL112" s="228">
        <v>7.6</v>
      </c>
      <c r="DM112" s="228">
        <v>47.57</v>
      </c>
      <c r="DN112" s="228">
        <v>42.38</v>
      </c>
      <c r="DO112" s="228">
        <v>5.19</v>
      </c>
      <c r="DP112" s="228">
        <v>5.19</v>
      </c>
      <c r="DQ112" s="228">
        <v>0.45</v>
      </c>
      <c r="DR112" s="228">
        <v>0.53</v>
      </c>
      <c r="DS112" s="228">
        <v>-0.08</v>
      </c>
      <c r="DT112" s="229">
        <v>-0.15090000000000001</v>
      </c>
      <c r="DU112" s="228">
        <v>450</v>
      </c>
      <c r="DV112" s="228">
        <v>420</v>
      </c>
      <c r="DW112" s="228">
        <v>0.46</v>
      </c>
      <c r="DX112" s="228">
        <v>0.73</v>
      </c>
      <c r="DY112" s="228">
        <v>-0.27</v>
      </c>
      <c r="DZ112" s="229">
        <v>-0.36990000000000001</v>
      </c>
      <c r="EA112" s="229">
        <v>7.6999999999999999E-2</v>
      </c>
      <c r="EB112" s="230">
        <v>1736650</v>
      </c>
      <c r="EC112" s="229">
        <v>6.4000000000000003E-3</v>
      </c>
      <c r="ED112" s="229">
        <v>7.6999999999999999E-2</v>
      </c>
      <c r="EE112" s="228">
        <v>2.62</v>
      </c>
      <c r="EF112" s="229">
        <v>6.1999999999999998E-3</v>
      </c>
      <c r="EG112" s="230">
        <v>1781822</v>
      </c>
      <c r="EH112" s="230">
        <v>4303003</v>
      </c>
      <c r="EI112" s="229">
        <v>-0.58589999999999998</v>
      </c>
      <c r="EJ112" s="229">
        <v>0.36570000000000003</v>
      </c>
      <c r="EK112" s="228">
        <v>796.39</v>
      </c>
      <c r="EL112" s="228">
        <v>340.72</v>
      </c>
      <c r="EM112" s="228">
        <v>141.19</v>
      </c>
      <c r="EN112" s="228">
        <v>55.22</v>
      </c>
      <c r="EO112" s="231">
        <v>1278.31</v>
      </c>
      <c r="EP112" s="231">
        <v>6462.37</v>
      </c>
      <c r="EQ112" s="231">
        <v>-5184.07</v>
      </c>
      <c r="ER112" s="229">
        <v>-0.80220000000000002</v>
      </c>
      <c r="ES112" s="228">
        <v>700.34</v>
      </c>
      <c r="ET112" s="228">
        <v>295.17</v>
      </c>
      <c r="EU112" s="231">
        <v>1114.79</v>
      </c>
      <c r="EV112" s="231">
        <v>57686748</v>
      </c>
      <c r="EW112" s="231">
        <v>2110.3000000000002</v>
      </c>
      <c r="EX112" s="231">
        <v>2049.4</v>
      </c>
      <c r="EY112" s="228">
        <v>60.9</v>
      </c>
      <c r="EZ112" s="229">
        <v>2.9700000000000001E-2</v>
      </c>
      <c r="FA112" s="229">
        <v>0.86219999999999997</v>
      </c>
      <c r="FB112" s="227" t="s">
        <v>566</v>
      </c>
      <c r="FC112">
        <f t="shared" si="1"/>
        <v>86</v>
      </c>
    </row>
    <row r="113" spans="1:159" ht="17.25" thickBot="1" x14ac:dyDescent="0.3">
      <c r="A113" s="226">
        <v>46132</v>
      </c>
      <c r="B113" s="227" t="s">
        <v>184</v>
      </c>
      <c r="C113" s="227" t="s">
        <v>674</v>
      </c>
      <c r="D113" s="228">
        <v>100</v>
      </c>
      <c r="E113" s="228">
        <v>8</v>
      </c>
      <c r="F113" s="231">
        <v>4206.2</v>
      </c>
      <c r="G113" s="231">
        <v>4208.7</v>
      </c>
      <c r="H113" s="228">
        <v>-2.5</v>
      </c>
      <c r="I113" s="229">
        <v>-5.9999999999999995E-4</v>
      </c>
      <c r="J113" s="231">
        <v>4222.6000000000004</v>
      </c>
      <c r="K113" s="231">
        <v>4214.3999999999996</v>
      </c>
      <c r="L113" s="228">
        <v>8.1999999999999993</v>
      </c>
      <c r="M113" s="229">
        <v>1.9E-3</v>
      </c>
      <c r="N113" s="231">
        <v>4206.2</v>
      </c>
      <c r="O113" s="231">
        <v>4208.7</v>
      </c>
      <c r="P113" s="228">
        <v>-2.5</v>
      </c>
      <c r="Q113" s="229">
        <v>-5.9999999999999995E-4</v>
      </c>
      <c r="R113" s="231">
        <v>4176.5</v>
      </c>
      <c r="S113" s="231">
        <v>4173.1000000000004</v>
      </c>
      <c r="T113" s="228">
        <v>3.4</v>
      </c>
      <c r="U113" s="229">
        <v>8.0000000000000004E-4</v>
      </c>
      <c r="V113" s="231">
        <v>4149</v>
      </c>
      <c r="W113" s="231">
        <v>4157.1000000000004</v>
      </c>
      <c r="X113" s="228">
        <v>-8.1</v>
      </c>
      <c r="Y113" s="229">
        <v>-1.9E-3</v>
      </c>
      <c r="Z113" s="228">
        <v>-16.399999999999999</v>
      </c>
      <c r="AA113" s="228">
        <v>-5.7</v>
      </c>
      <c r="AB113" s="228">
        <v>-10.7</v>
      </c>
      <c r="AC113" s="229">
        <v>-3.8999999999999998E-3</v>
      </c>
      <c r="AD113" s="228">
        <v>-16.399999999999999</v>
      </c>
      <c r="AE113" s="228">
        <v>-5.7</v>
      </c>
      <c r="AF113" s="228">
        <v>-10.7</v>
      </c>
      <c r="AG113" s="229">
        <v>-3.8999999999999998E-3</v>
      </c>
      <c r="AH113" s="228">
        <v>-46.1</v>
      </c>
      <c r="AI113" s="228">
        <v>-41.3</v>
      </c>
      <c r="AJ113" s="228">
        <v>-4.8</v>
      </c>
      <c r="AK113" s="229">
        <v>-1.09E-2</v>
      </c>
      <c r="AL113" s="228">
        <v>-73.599999999999994</v>
      </c>
      <c r="AM113" s="228">
        <v>-57.3</v>
      </c>
      <c r="AN113" s="228">
        <v>-16.3</v>
      </c>
      <c r="AO113" s="229">
        <v>-1.7399999999999999E-2</v>
      </c>
      <c r="AP113" s="231">
        <v>4187.62</v>
      </c>
      <c r="AQ113" s="231">
        <v>4165.2</v>
      </c>
      <c r="AR113" s="228">
        <v>0</v>
      </c>
      <c r="AS113" s="228">
        <v>501</v>
      </c>
      <c r="AT113" s="228">
        <v>299</v>
      </c>
      <c r="AU113" s="228">
        <v>201</v>
      </c>
      <c r="AV113" s="229">
        <v>0.67349999999999999</v>
      </c>
      <c r="AW113" s="228">
        <v>383</v>
      </c>
      <c r="AX113" s="228">
        <v>226</v>
      </c>
      <c r="AY113" s="228">
        <v>157</v>
      </c>
      <c r="AZ113" s="229">
        <v>0.69520000000000004</v>
      </c>
      <c r="BA113" s="228">
        <v>111</v>
      </c>
      <c r="BB113" s="228">
        <v>65</v>
      </c>
      <c r="BC113" s="228">
        <v>47</v>
      </c>
      <c r="BD113" s="229">
        <v>0.71630000000000005</v>
      </c>
      <c r="BE113" s="228">
        <v>6</v>
      </c>
      <c r="BF113" s="228">
        <v>8</v>
      </c>
      <c r="BG113" s="228">
        <v>-2</v>
      </c>
      <c r="BH113" s="229">
        <v>-0.28949999999999998</v>
      </c>
      <c r="BI113" s="230">
        <v>1271</v>
      </c>
      <c r="BJ113" s="230">
        <v>1039</v>
      </c>
      <c r="BK113" s="228">
        <v>232</v>
      </c>
      <c r="BL113" s="229">
        <v>0.2233</v>
      </c>
      <c r="BM113" s="228">
        <v>925</v>
      </c>
      <c r="BN113" s="228">
        <v>672</v>
      </c>
      <c r="BO113" s="228">
        <v>253</v>
      </c>
      <c r="BP113" s="229">
        <v>0.37680000000000002</v>
      </c>
      <c r="BQ113" s="230">
        <v>2696</v>
      </c>
      <c r="BR113" s="230">
        <v>2010</v>
      </c>
      <c r="BS113" s="228">
        <v>687</v>
      </c>
      <c r="BT113" s="229">
        <v>0.34160000000000001</v>
      </c>
      <c r="BU113" s="230">
        <v>1514932</v>
      </c>
      <c r="BV113" s="230">
        <v>1287216</v>
      </c>
      <c r="BW113" s="230">
        <v>227716</v>
      </c>
      <c r="BX113" s="229">
        <v>0.1769</v>
      </c>
      <c r="BY113" s="230">
        <v>1453</v>
      </c>
      <c r="BZ113" s="230">
        <v>1438</v>
      </c>
      <c r="CA113" s="228">
        <v>15</v>
      </c>
      <c r="CB113" s="229">
        <v>1.04E-2</v>
      </c>
      <c r="CC113" s="230">
        <v>1174</v>
      </c>
      <c r="CD113" s="230">
        <v>1210</v>
      </c>
      <c r="CE113" s="228">
        <v>-35</v>
      </c>
      <c r="CF113" s="229">
        <v>-2.9100000000000001E-2</v>
      </c>
      <c r="CG113" s="228">
        <v>251</v>
      </c>
      <c r="CH113" s="228">
        <v>204</v>
      </c>
      <c r="CI113" s="228">
        <v>47</v>
      </c>
      <c r="CJ113" s="229">
        <v>0.23100000000000001</v>
      </c>
      <c r="CK113" s="228">
        <v>28</v>
      </c>
      <c r="CL113" s="228">
        <v>25</v>
      </c>
      <c r="CM113" s="228">
        <v>3</v>
      </c>
      <c r="CN113" s="229">
        <v>0.12590000000000001</v>
      </c>
      <c r="CO113" s="228">
        <v>622</v>
      </c>
      <c r="CP113" s="228">
        <v>637</v>
      </c>
      <c r="CQ113" s="228">
        <v>-14</v>
      </c>
      <c r="CR113" s="229">
        <v>-2.2700000000000001E-2</v>
      </c>
      <c r="CS113" s="228">
        <v>516</v>
      </c>
      <c r="CT113" s="228">
        <v>508</v>
      </c>
      <c r="CU113" s="228">
        <v>8</v>
      </c>
      <c r="CV113" s="229">
        <v>1.61E-2</v>
      </c>
      <c r="CW113" s="230">
        <v>2592</v>
      </c>
      <c r="CX113" s="230">
        <v>2583</v>
      </c>
      <c r="CY113" s="228">
        <v>9</v>
      </c>
      <c r="CZ113" s="229">
        <v>3.3999999999999998E-3</v>
      </c>
      <c r="DA113" s="228">
        <v>49.62</v>
      </c>
      <c r="DB113" s="228">
        <v>48.16</v>
      </c>
      <c r="DC113" s="228">
        <v>1.46</v>
      </c>
      <c r="DD113" s="228">
        <v>1.46</v>
      </c>
      <c r="DE113" s="228">
        <v>60.99</v>
      </c>
      <c r="DF113" s="228">
        <v>61.15</v>
      </c>
      <c r="DG113" s="228">
        <v>-11.37</v>
      </c>
      <c r="DH113" s="228">
        <v>-0.16</v>
      </c>
      <c r="DI113" s="228">
        <v>46.77</v>
      </c>
      <c r="DJ113" s="228">
        <v>44.41</v>
      </c>
      <c r="DK113" s="228">
        <v>2.36</v>
      </c>
      <c r="DL113" s="228">
        <v>2.36</v>
      </c>
      <c r="DM113" s="228">
        <v>53.54</v>
      </c>
      <c r="DN113" s="228">
        <v>53.97</v>
      </c>
      <c r="DO113" s="228">
        <v>-0.43</v>
      </c>
      <c r="DP113" s="228">
        <v>-0.43</v>
      </c>
      <c r="DQ113" s="228">
        <v>0.83</v>
      </c>
      <c r="DR113" s="228">
        <v>0.8</v>
      </c>
      <c r="DS113" s="228">
        <v>0.03</v>
      </c>
      <c r="DT113" s="229">
        <v>3.7499999999999999E-2</v>
      </c>
      <c r="DU113" s="231">
        <v>4500</v>
      </c>
      <c r="DV113" s="231">
        <v>4000</v>
      </c>
      <c r="DW113" s="228">
        <v>0.73</v>
      </c>
      <c r="DX113" s="228">
        <v>0.65</v>
      </c>
      <c r="DY113" s="228">
        <v>0.08</v>
      </c>
      <c r="DZ113" s="229">
        <v>0.1231</v>
      </c>
      <c r="EA113" s="229">
        <v>0.192</v>
      </c>
      <c r="EB113" s="230">
        <v>544000</v>
      </c>
      <c r="EC113" s="229">
        <v>-7.1000000000000004E-3</v>
      </c>
      <c r="ED113" s="229">
        <v>0.192</v>
      </c>
      <c r="EE113" s="228">
        <v>-22.42</v>
      </c>
      <c r="EF113" s="229">
        <v>-5.4000000000000003E-3</v>
      </c>
      <c r="EG113" s="230">
        <v>292234</v>
      </c>
      <c r="EH113" s="230">
        <v>269383</v>
      </c>
      <c r="EI113" s="229">
        <v>8.48E-2</v>
      </c>
      <c r="EJ113" s="229">
        <v>0.19289999999999999</v>
      </c>
      <c r="EK113" s="231">
        <v>1325.87</v>
      </c>
      <c r="EL113" s="228">
        <v>882.62</v>
      </c>
      <c r="EM113" s="228">
        <v>497.77</v>
      </c>
      <c r="EN113" s="228">
        <v>96.96</v>
      </c>
      <c r="EO113" s="231">
        <v>2706.26</v>
      </c>
      <c r="EP113" s="231">
        <v>2009.34</v>
      </c>
      <c r="EQ113" s="228">
        <v>696.92</v>
      </c>
      <c r="ER113" s="229">
        <v>0.3468</v>
      </c>
      <c r="ES113" s="228">
        <v>601.23</v>
      </c>
      <c r="ET113" s="228">
        <v>458.98</v>
      </c>
      <c r="EU113" s="231">
        <v>1451.3</v>
      </c>
      <c r="EV113" s="231">
        <v>4679418</v>
      </c>
      <c r="EW113" s="231">
        <v>2511.5100000000002</v>
      </c>
      <c r="EX113" s="231">
        <v>2500.0700000000002</v>
      </c>
      <c r="EY113" s="228">
        <v>11.44</v>
      </c>
      <c r="EZ113" s="229">
        <v>4.5999999999999999E-3</v>
      </c>
      <c r="FA113" s="229">
        <v>1.3168</v>
      </c>
      <c r="FB113" s="227" t="s">
        <v>566</v>
      </c>
      <c r="FC113">
        <f t="shared" si="1"/>
        <v>279</v>
      </c>
    </row>
    <row r="114" spans="1:159" ht="17.25" thickBot="1" x14ac:dyDescent="0.3">
      <c r="A114" s="226">
        <v>46132</v>
      </c>
      <c r="B114" s="227" t="s">
        <v>161</v>
      </c>
      <c r="C114" s="227" t="s">
        <v>609</v>
      </c>
      <c r="D114" s="228">
        <v>175</v>
      </c>
      <c r="E114" s="228">
        <v>8</v>
      </c>
      <c r="F114" s="231">
        <v>4878</v>
      </c>
      <c r="G114" s="231">
        <v>4823.5</v>
      </c>
      <c r="H114" s="228">
        <v>54.5</v>
      </c>
      <c r="I114" s="229">
        <v>1.1299999999999999E-2</v>
      </c>
      <c r="J114" s="231">
        <v>4880.6000000000004</v>
      </c>
      <c r="K114" s="231">
        <v>4839.3</v>
      </c>
      <c r="L114" s="228">
        <v>41.3</v>
      </c>
      <c r="M114" s="229">
        <v>8.5000000000000006E-3</v>
      </c>
      <c r="N114" s="231">
        <v>4878</v>
      </c>
      <c r="O114" s="231">
        <v>4823.5</v>
      </c>
      <c r="P114" s="228">
        <v>54.5</v>
      </c>
      <c r="Q114" s="229">
        <v>1.1299999999999999E-2</v>
      </c>
      <c r="R114" s="231">
        <v>4803.7</v>
      </c>
      <c r="S114" s="231">
        <v>4732.8</v>
      </c>
      <c r="T114" s="228">
        <v>70.900000000000006</v>
      </c>
      <c r="U114" s="229">
        <v>1.4999999999999999E-2</v>
      </c>
      <c r="V114" s="231">
        <v>4766.8</v>
      </c>
      <c r="W114" s="231">
        <v>4719</v>
      </c>
      <c r="X114" s="228">
        <v>47.8</v>
      </c>
      <c r="Y114" s="229">
        <v>1.01E-2</v>
      </c>
      <c r="Z114" s="228">
        <v>-2.6</v>
      </c>
      <c r="AA114" s="228">
        <v>-15.8</v>
      </c>
      <c r="AB114" s="228">
        <v>13.2</v>
      </c>
      <c r="AC114" s="229">
        <v>-5.0000000000000001E-4</v>
      </c>
      <c r="AD114" s="228">
        <v>-2.6</v>
      </c>
      <c r="AE114" s="228">
        <v>-15.8</v>
      </c>
      <c r="AF114" s="228">
        <v>13.2</v>
      </c>
      <c r="AG114" s="229">
        <v>-5.0000000000000001E-4</v>
      </c>
      <c r="AH114" s="228">
        <v>-76.900000000000006</v>
      </c>
      <c r="AI114" s="228">
        <v>-106.5</v>
      </c>
      <c r="AJ114" s="228">
        <v>29.6</v>
      </c>
      <c r="AK114" s="229">
        <v>-1.5800000000000002E-2</v>
      </c>
      <c r="AL114" s="228">
        <v>-113.8</v>
      </c>
      <c r="AM114" s="228">
        <v>-120.3</v>
      </c>
      <c r="AN114" s="228">
        <v>6.5</v>
      </c>
      <c r="AO114" s="229">
        <v>-2.3300000000000001E-2</v>
      </c>
      <c r="AP114" s="231">
        <v>4888.84</v>
      </c>
      <c r="AQ114" s="231">
        <v>4821.28</v>
      </c>
      <c r="AR114" s="228">
        <v>0</v>
      </c>
      <c r="AS114" s="228">
        <v>344</v>
      </c>
      <c r="AT114" s="228">
        <v>377</v>
      </c>
      <c r="AU114" s="228">
        <v>-33</v>
      </c>
      <c r="AV114" s="229">
        <v>-8.6599999999999996E-2</v>
      </c>
      <c r="AW114" s="228">
        <v>234</v>
      </c>
      <c r="AX114" s="228">
        <v>285</v>
      </c>
      <c r="AY114" s="228">
        <v>-51</v>
      </c>
      <c r="AZ114" s="229">
        <v>-0.18010000000000001</v>
      </c>
      <c r="BA114" s="228">
        <v>108</v>
      </c>
      <c r="BB114" s="228">
        <v>88</v>
      </c>
      <c r="BC114" s="228">
        <v>20</v>
      </c>
      <c r="BD114" s="229">
        <v>0.222</v>
      </c>
      <c r="BE114" s="228">
        <v>2</v>
      </c>
      <c r="BF114" s="228">
        <v>3</v>
      </c>
      <c r="BG114" s="228">
        <v>-1</v>
      </c>
      <c r="BH114" s="229">
        <v>-0.29409999999999997</v>
      </c>
      <c r="BI114" s="228">
        <v>646</v>
      </c>
      <c r="BJ114" s="230">
        <v>1803</v>
      </c>
      <c r="BK114" s="230">
        <v>-1156</v>
      </c>
      <c r="BL114" s="229">
        <v>-0.64139999999999997</v>
      </c>
      <c r="BM114" s="228">
        <v>247</v>
      </c>
      <c r="BN114" s="228">
        <v>510</v>
      </c>
      <c r="BO114" s="228">
        <v>-263</v>
      </c>
      <c r="BP114" s="229">
        <v>-0.51500000000000001</v>
      </c>
      <c r="BQ114" s="230">
        <v>1238</v>
      </c>
      <c r="BR114" s="230">
        <v>2689</v>
      </c>
      <c r="BS114" s="230">
        <v>-1451</v>
      </c>
      <c r="BT114" s="229">
        <v>-0.53969999999999996</v>
      </c>
      <c r="BU114" s="230">
        <v>374329</v>
      </c>
      <c r="BV114" s="230">
        <v>513070</v>
      </c>
      <c r="BW114" s="230">
        <v>-138741</v>
      </c>
      <c r="BX114" s="229">
        <v>-0.27039999999999997</v>
      </c>
      <c r="BY114" s="230">
        <v>1154</v>
      </c>
      <c r="BZ114" s="230">
        <v>1137</v>
      </c>
      <c r="CA114" s="228">
        <v>17</v>
      </c>
      <c r="CB114" s="229">
        <v>1.52E-2</v>
      </c>
      <c r="CC114" s="228">
        <v>849</v>
      </c>
      <c r="CD114" s="228">
        <v>896</v>
      </c>
      <c r="CE114" s="228">
        <v>-47</v>
      </c>
      <c r="CF114" s="229">
        <v>-5.2400000000000002E-2</v>
      </c>
      <c r="CG114" s="228">
        <v>302</v>
      </c>
      <c r="CH114" s="228">
        <v>239</v>
      </c>
      <c r="CI114" s="228">
        <v>63</v>
      </c>
      <c r="CJ114" s="229">
        <v>0.2651</v>
      </c>
      <c r="CK114" s="228">
        <v>3</v>
      </c>
      <c r="CL114" s="228">
        <v>2</v>
      </c>
      <c r="CM114" s="228">
        <v>1</v>
      </c>
      <c r="CN114" s="229">
        <v>0.4783</v>
      </c>
      <c r="CO114" s="228">
        <v>329</v>
      </c>
      <c r="CP114" s="228">
        <v>339</v>
      </c>
      <c r="CQ114" s="228">
        <v>-10</v>
      </c>
      <c r="CR114" s="229">
        <v>-2.87E-2</v>
      </c>
      <c r="CS114" s="228">
        <v>240</v>
      </c>
      <c r="CT114" s="228">
        <v>236</v>
      </c>
      <c r="CU114" s="228">
        <v>4</v>
      </c>
      <c r="CV114" s="229">
        <v>1.52E-2</v>
      </c>
      <c r="CW114" s="230">
        <v>1723</v>
      </c>
      <c r="CX114" s="230">
        <v>1712</v>
      </c>
      <c r="CY114" s="228">
        <v>11</v>
      </c>
      <c r="CZ114" s="229">
        <v>6.4999999999999997E-3</v>
      </c>
      <c r="DA114" s="228">
        <v>39.57</v>
      </c>
      <c r="DB114" s="228">
        <v>37.26</v>
      </c>
      <c r="DC114" s="228">
        <v>2.31</v>
      </c>
      <c r="DD114" s="228">
        <v>2.31</v>
      </c>
      <c r="DE114" s="228">
        <v>46.54</v>
      </c>
      <c r="DF114" s="228">
        <v>46.63</v>
      </c>
      <c r="DG114" s="228">
        <v>-6.97</v>
      </c>
      <c r="DH114" s="228">
        <v>-0.09</v>
      </c>
      <c r="DI114" s="228">
        <v>38.369999999999997</v>
      </c>
      <c r="DJ114" s="228">
        <v>36.229999999999997</v>
      </c>
      <c r="DK114" s="228">
        <v>2.14</v>
      </c>
      <c r="DL114" s="228">
        <v>2.14</v>
      </c>
      <c r="DM114" s="228">
        <v>42.7</v>
      </c>
      <c r="DN114" s="228">
        <v>40.92</v>
      </c>
      <c r="DO114" s="228">
        <v>1.78</v>
      </c>
      <c r="DP114" s="228">
        <v>1.78</v>
      </c>
      <c r="DQ114" s="228">
        <v>0.73</v>
      </c>
      <c r="DR114" s="228">
        <v>0.7</v>
      </c>
      <c r="DS114" s="228">
        <v>0.03</v>
      </c>
      <c r="DT114" s="229">
        <v>4.2900000000000001E-2</v>
      </c>
      <c r="DU114" s="231">
        <v>5000</v>
      </c>
      <c r="DV114" s="231">
        <v>4500</v>
      </c>
      <c r="DW114" s="228">
        <v>0.38</v>
      </c>
      <c r="DX114" s="228">
        <v>0.28000000000000003</v>
      </c>
      <c r="DY114" s="228">
        <v>0.1</v>
      </c>
      <c r="DZ114" s="229">
        <v>0.35709999999999997</v>
      </c>
      <c r="EA114" s="229">
        <v>0.2641</v>
      </c>
      <c r="EB114" s="230">
        <v>493150</v>
      </c>
      <c r="EC114" s="229">
        <v>-1.52E-2</v>
      </c>
      <c r="ED114" s="229">
        <v>0.2641</v>
      </c>
      <c r="EE114" s="228">
        <v>-67.56</v>
      </c>
      <c r="EF114" s="229">
        <v>-1.38E-2</v>
      </c>
      <c r="EG114" s="230">
        <v>141765</v>
      </c>
      <c r="EH114" s="230">
        <v>170840</v>
      </c>
      <c r="EI114" s="229">
        <v>-0.17019999999999999</v>
      </c>
      <c r="EJ114" s="229">
        <v>0.37869999999999998</v>
      </c>
      <c r="EK114" s="228">
        <v>670.96</v>
      </c>
      <c r="EL114" s="228">
        <v>239.4</v>
      </c>
      <c r="EM114" s="228">
        <v>343.32</v>
      </c>
      <c r="EN114" s="228">
        <v>36.549999999999997</v>
      </c>
      <c r="EO114" s="231">
        <v>1253.68</v>
      </c>
      <c r="EP114" s="231">
        <v>2696.57</v>
      </c>
      <c r="EQ114" s="231">
        <v>-1442.89</v>
      </c>
      <c r="ER114" s="229">
        <v>-0.53510000000000002</v>
      </c>
      <c r="ES114" s="228">
        <v>314.45999999999998</v>
      </c>
      <c r="ET114" s="228">
        <v>215.17</v>
      </c>
      <c r="EU114" s="231">
        <v>1149.3900000000001</v>
      </c>
      <c r="EV114" s="231">
        <v>9320940</v>
      </c>
      <c r="EW114" s="231">
        <v>1679.02</v>
      </c>
      <c r="EX114" s="231">
        <v>1651.51</v>
      </c>
      <c r="EY114" s="228">
        <v>27.51</v>
      </c>
      <c r="EZ114" s="229">
        <v>1.67E-2</v>
      </c>
      <c r="FA114" s="229">
        <v>0.37890000000000001</v>
      </c>
      <c r="FB114" s="227" t="s">
        <v>555</v>
      </c>
      <c r="FC114">
        <f t="shared" si="1"/>
        <v>305</v>
      </c>
    </row>
    <row r="115" spans="1:159" ht="17.25" thickBot="1" x14ac:dyDescent="0.3">
      <c r="A115" s="226">
        <v>46132</v>
      </c>
      <c r="B115" s="227" t="s">
        <v>175</v>
      </c>
      <c r="C115" s="227" t="s">
        <v>681</v>
      </c>
      <c r="D115" s="228">
        <v>500</v>
      </c>
      <c r="E115" s="228">
        <v>8</v>
      </c>
      <c r="F115" s="228">
        <v>973.05</v>
      </c>
      <c r="G115" s="228">
        <v>977.6</v>
      </c>
      <c r="H115" s="228">
        <v>-4.55</v>
      </c>
      <c r="I115" s="229">
        <v>-4.7000000000000002E-3</v>
      </c>
      <c r="J115" s="228">
        <v>975.1</v>
      </c>
      <c r="K115" s="228">
        <v>976</v>
      </c>
      <c r="L115" s="228">
        <v>-0.9</v>
      </c>
      <c r="M115" s="229">
        <v>-8.9999999999999998E-4</v>
      </c>
      <c r="N115" s="228">
        <v>973.05</v>
      </c>
      <c r="O115" s="228">
        <v>977.6</v>
      </c>
      <c r="P115" s="228">
        <v>-4.55</v>
      </c>
      <c r="Q115" s="229">
        <v>-4.7000000000000002E-3</v>
      </c>
      <c r="R115" s="228">
        <v>954.2</v>
      </c>
      <c r="S115" s="228">
        <v>957.5</v>
      </c>
      <c r="T115" s="228">
        <v>-3.3</v>
      </c>
      <c r="U115" s="229">
        <v>-3.3999999999999998E-3</v>
      </c>
      <c r="V115" s="228">
        <v>945.05</v>
      </c>
      <c r="W115" s="228">
        <v>947.7</v>
      </c>
      <c r="X115" s="228">
        <v>-2.65</v>
      </c>
      <c r="Y115" s="229">
        <v>-2.8E-3</v>
      </c>
      <c r="Z115" s="228">
        <v>-2.0499999999999998</v>
      </c>
      <c r="AA115" s="228">
        <v>1.6</v>
      </c>
      <c r="AB115" s="228">
        <v>-3.65</v>
      </c>
      <c r="AC115" s="229">
        <v>-2.0999999999999999E-3</v>
      </c>
      <c r="AD115" s="228">
        <v>-2.0499999999999998</v>
      </c>
      <c r="AE115" s="228">
        <v>1.6</v>
      </c>
      <c r="AF115" s="228">
        <v>-3.65</v>
      </c>
      <c r="AG115" s="229">
        <v>-2.0999999999999999E-3</v>
      </c>
      <c r="AH115" s="228">
        <v>-20.9</v>
      </c>
      <c r="AI115" s="228">
        <v>-18.5</v>
      </c>
      <c r="AJ115" s="228">
        <v>-2.4</v>
      </c>
      <c r="AK115" s="229">
        <v>-2.1399999999999999E-2</v>
      </c>
      <c r="AL115" s="228">
        <v>-30.05</v>
      </c>
      <c r="AM115" s="228">
        <v>-28.3</v>
      </c>
      <c r="AN115" s="228">
        <v>-1.75</v>
      </c>
      <c r="AO115" s="229">
        <v>-3.0800000000000001E-2</v>
      </c>
      <c r="AP115" s="228">
        <v>974.69</v>
      </c>
      <c r="AQ115" s="228">
        <v>955.15</v>
      </c>
      <c r="AR115" s="228">
        <v>0</v>
      </c>
      <c r="AS115" s="228">
        <v>193</v>
      </c>
      <c r="AT115" s="228">
        <v>176</v>
      </c>
      <c r="AU115" s="228">
        <v>17</v>
      </c>
      <c r="AV115" s="229">
        <v>9.9199999999999997E-2</v>
      </c>
      <c r="AW115" s="228">
        <v>143</v>
      </c>
      <c r="AX115" s="228">
        <v>131</v>
      </c>
      <c r="AY115" s="228">
        <v>13</v>
      </c>
      <c r="AZ115" s="229">
        <v>9.6699999999999994E-2</v>
      </c>
      <c r="BA115" s="228">
        <v>48</v>
      </c>
      <c r="BB115" s="228">
        <v>41</v>
      </c>
      <c r="BC115" s="228">
        <v>7</v>
      </c>
      <c r="BD115" s="229">
        <v>0.16839999999999999</v>
      </c>
      <c r="BE115" s="228">
        <v>1</v>
      </c>
      <c r="BF115" s="228">
        <v>3</v>
      </c>
      <c r="BG115" s="228">
        <v>-2</v>
      </c>
      <c r="BH115" s="229">
        <v>-0.63380000000000003</v>
      </c>
      <c r="BI115" s="228">
        <v>323</v>
      </c>
      <c r="BJ115" s="228">
        <v>614</v>
      </c>
      <c r="BK115" s="228">
        <v>-291</v>
      </c>
      <c r="BL115" s="229">
        <v>-0.47360000000000002</v>
      </c>
      <c r="BM115" s="228">
        <v>102</v>
      </c>
      <c r="BN115" s="228">
        <v>157</v>
      </c>
      <c r="BO115" s="228">
        <v>-55</v>
      </c>
      <c r="BP115" s="229">
        <v>-0.35089999999999999</v>
      </c>
      <c r="BQ115" s="228">
        <v>618</v>
      </c>
      <c r="BR115" s="228">
        <v>946</v>
      </c>
      <c r="BS115" s="228">
        <v>-328</v>
      </c>
      <c r="BT115" s="229">
        <v>-0.34699999999999998</v>
      </c>
      <c r="BU115" s="230">
        <v>1298284</v>
      </c>
      <c r="BV115" s="230">
        <v>2169365</v>
      </c>
      <c r="BW115" s="230">
        <v>-871081</v>
      </c>
      <c r="BX115" s="229">
        <v>-0.40150000000000002</v>
      </c>
      <c r="BY115" s="228">
        <v>386</v>
      </c>
      <c r="BZ115" s="228">
        <v>355</v>
      </c>
      <c r="CA115" s="228">
        <v>32</v>
      </c>
      <c r="CB115" s="229">
        <v>8.9599999999999999E-2</v>
      </c>
      <c r="CC115" s="228">
        <v>301</v>
      </c>
      <c r="CD115" s="228">
        <v>286</v>
      </c>
      <c r="CE115" s="228">
        <v>15</v>
      </c>
      <c r="CF115" s="229">
        <v>5.0999999999999997E-2</v>
      </c>
      <c r="CG115" s="228">
        <v>78</v>
      </c>
      <c r="CH115" s="228">
        <v>61</v>
      </c>
      <c r="CI115" s="228">
        <v>17</v>
      </c>
      <c r="CJ115" s="229">
        <v>0.2762</v>
      </c>
      <c r="CK115" s="228">
        <v>7</v>
      </c>
      <c r="CL115" s="228">
        <v>7</v>
      </c>
      <c r="CM115" s="228">
        <v>0</v>
      </c>
      <c r="CN115" s="229">
        <v>3.5200000000000002E-2</v>
      </c>
      <c r="CO115" s="228">
        <v>224</v>
      </c>
      <c r="CP115" s="228">
        <v>243</v>
      </c>
      <c r="CQ115" s="228">
        <v>-20</v>
      </c>
      <c r="CR115" s="229">
        <v>-8.0600000000000005E-2</v>
      </c>
      <c r="CS115" s="228">
        <v>125</v>
      </c>
      <c r="CT115" s="228">
        <v>122</v>
      </c>
      <c r="CU115" s="228">
        <v>3</v>
      </c>
      <c r="CV115" s="229">
        <v>2.76E-2</v>
      </c>
      <c r="CW115" s="228">
        <v>735</v>
      </c>
      <c r="CX115" s="228">
        <v>719</v>
      </c>
      <c r="CY115" s="228">
        <v>16</v>
      </c>
      <c r="CZ115" s="229">
        <v>2.1600000000000001E-2</v>
      </c>
      <c r="DA115" s="228">
        <v>40.92</v>
      </c>
      <c r="DB115" s="228">
        <v>38.229999999999997</v>
      </c>
      <c r="DC115" s="228">
        <v>2.69</v>
      </c>
      <c r="DD115" s="228">
        <v>2.69</v>
      </c>
      <c r="DE115" s="228">
        <v>50.23</v>
      </c>
      <c r="DF115" s="228">
        <v>50.35</v>
      </c>
      <c r="DG115" s="228">
        <v>-9.31</v>
      </c>
      <c r="DH115" s="228">
        <v>-0.12</v>
      </c>
      <c r="DI115" s="228">
        <v>40.4</v>
      </c>
      <c r="DJ115" s="228">
        <v>37.76</v>
      </c>
      <c r="DK115" s="228">
        <v>2.64</v>
      </c>
      <c r="DL115" s="228">
        <v>2.64</v>
      </c>
      <c r="DM115" s="228">
        <v>42.59</v>
      </c>
      <c r="DN115" s="228">
        <v>40.07</v>
      </c>
      <c r="DO115" s="228">
        <v>2.52</v>
      </c>
      <c r="DP115" s="228">
        <v>2.52</v>
      </c>
      <c r="DQ115" s="228">
        <v>0.56000000000000005</v>
      </c>
      <c r="DR115" s="228">
        <v>0.5</v>
      </c>
      <c r="DS115" s="228">
        <v>0.06</v>
      </c>
      <c r="DT115" s="229">
        <v>0.12</v>
      </c>
      <c r="DU115" s="231">
        <v>1020</v>
      </c>
      <c r="DV115" s="228">
        <v>920</v>
      </c>
      <c r="DW115" s="228">
        <v>0.31</v>
      </c>
      <c r="DX115" s="228">
        <v>0.26</v>
      </c>
      <c r="DY115" s="228">
        <v>0.05</v>
      </c>
      <c r="DZ115" s="229">
        <v>0.1923</v>
      </c>
      <c r="EA115" s="229">
        <v>0.221</v>
      </c>
      <c r="EB115" s="230">
        <v>701000</v>
      </c>
      <c r="EC115" s="229">
        <v>-1.9400000000000001E-2</v>
      </c>
      <c r="ED115" s="229">
        <v>0.221</v>
      </c>
      <c r="EE115" s="228">
        <v>-19.54</v>
      </c>
      <c r="EF115" s="229">
        <v>-0.02</v>
      </c>
      <c r="EG115" s="230">
        <v>455698</v>
      </c>
      <c r="EH115" s="230">
        <v>876764</v>
      </c>
      <c r="EI115" s="229">
        <v>-0.4803</v>
      </c>
      <c r="EJ115" s="229">
        <v>0.35099999999999998</v>
      </c>
      <c r="EK115" s="228">
        <v>336.87</v>
      </c>
      <c r="EL115" s="228">
        <v>100.63</v>
      </c>
      <c r="EM115" s="228">
        <v>192.32</v>
      </c>
      <c r="EN115" s="228">
        <v>31.76</v>
      </c>
      <c r="EO115" s="228">
        <v>629.83000000000004</v>
      </c>
      <c r="EP115" s="228">
        <v>963.98</v>
      </c>
      <c r="EQ115" s="228">
        <v>-334.15</v>
      </c>
      <c r="ER115" s="229">
        <v>-0.34660000000000002</v>
      </c>
      <c r="ES115" s="228">
        <v>227.09</v>
      </c>
      <c r="ET115" s="228">
        <v>118.21</v>
      </c>
      <c r="EU115" s="228">
        <v>384.68</v>
      </c>
      <c r="EV115" s="231">
        <v>19953342</v>
      </c>
      <c r="EW115" s="228">
        <v>729.97</v>
      </c>
      <c r="EX115" s="228">
        <v>716.53</v>
      </c>
      <c r="EY115" s="228">
        <v>13.44</v>
      </c>
      <c r="EZ115" s="229">
        <v>1.8800000000000001E-2</v>
      </c>
      <c r="FA115" s="229">
        <v>0.3785</v>
      </c>
      <c r="FB115" s="227" t="s">
        <v>566</v>
      </c>
      <c r="FC115">
        <f t="shared" si="1"/>
        <v>85</v>
      </c>
    </row>
    <row r="116" spans="1:159" ht="17.25" thickBot="1" x14ac:dyDescent="0.3">
      <c r="A116" s="226">
        <v>46132</v>
      </c>
      <c r="B116" s="227" t="s">
        <v>172</v>
      </c>
      <c r="C116" s="227" t="s">
        <v>246</v>
      </c>
      <c r="D116" s="228">
        <v>2000</v>
      </c>
      <c r="E116" s="228">
        <v>8</v>
      </c>
      <c r="F116" s="228">
        <v>378.9</v>
      </c>
      <c r="G116" s="228">
        <v>383.6</v>
      </c>
      <c r="H116" s="228">
        <v>-4.7</v>
      </c>
      <c r="I116" s="229">
        <v>-1.23E-2</v>
      </c>
      <c r="J116" s="228">
        <v>379.2</v>
      </c>
      <c r="K116" s="228">
        <v>383.6</v>
      </c>
      <c r="L116" s="228">
        <v>-4.4000000000000004</v>
      </c>
      <c r="M116" s="229">
        <v>-1.15E-2</v>
      </c>
      <c r="N116" s="228">
        <v>378.9</v>
      </c>
      <c r="O116" s="228">
        <v>383.6</v>
      </c>
      <c r="P116" s="228">
        <v>-4.7</v>
      </c>
      <c r="Q116" s="229">
        <v>-1.23E-2</v>
      </c>
      <c r="R116" s="228">
        <v>381.15</v>
      </c>
      <c r="S116" s="228">
        <v>385.35</v>
      </c>
      <c r="T116" s="228">
        <v>-4.2</v>
      </c>
      <c r="U116" s="229">
        <v>-1.09E-2</v>
      </c>
      <c r="V116" s="228">
        <v>383.45</v>
      </c>
      <c r="W116" s="228">
        <v>388.45</v>
      </c>
      <c r="X116" s="228">
        <v>-5</v>
      </c>
      <c r="Y116" s="229">
        <v>-1.29E-2</v>
      </c>
      <c r="Z116" s="228">
        <v>-0.3</v>
      </c>
      <c r="AA116" s="228">
        <v>0</v>
      </c>
      <c r="AB116" s="228">
        <v>-0.3</v>
      </c>
      <c r="AC116" s="229">
        <v>-8.0000000000000004E-4</v>
      </c>
      <c r="AD116" s="228">
        <v>-0.3</v>
      </c>
      <c r="AE116" s="228">
        <v>0</v>
      </c>
      <c r="AF116" s="228">
        <v>-0.3</v>
      </c>
      <c r="AG116" s="229">
        <v>-8.0000000000000004E-4</v>
      </c>
      <c r="AH116" s="228">
        <v>1.95</v>
      </c>
      <c r="AI116" s="228">
        <v>1.75</v>
      </c>
      <c r="AJ116" s="228">
        <v>0.2</v>
      </c>
      <c r="AK116" s="229">
        <v>5.1000000000000004E-3</v>
      </c>
      <c r="AL116" s="228">
        <v>4.25</v>
      </c>
      <c r="AM116" s="228">
        <v>4.8499999999999996</v>
      </c>
      <c r="AN116" s="228">
        <v>-0.6</v>
      </c>
      <c r="AO116" s="229">
        <v>1.12E-2</v>
      </c>
      <c r="AP116" s="228">
        <v>381.71</v>
      </c>
      <c r="AQ116" s="228">
        <v>383.38</v>
      </c>
      <c r="AR116" s="228">
        <v>0</v>
      </c>
      <c r="AS116" s="228">
        <v>808</v>
      </c>
      <c r="AT116" s="228">
        <v>906</v>
      </c>
      <c r="AU116" s="228">
        <v>-98</v>
      </c>
      <c r="AV116" s="229">
        <v>-0.1082</v>
      </c>
      <c r="AW116" s="228">
        <v>581</v>
      </c>
      <c r="AX116" s="228">
        <v>667</v>
      </c>
      <c r="AY116" s="228">
        <v>-86</v>
      </c>
      <c r="AZ116" s="229">
        <v>-0.129</v>
      </c>
      <c r="BA116" s="228">
        <v>116</v>
      </c>
      <c r="BB116" s="228">
        <v>82</v>
      </c>
      <c r="BC116" s="228">
        <v>34</v>
      </c>
      <c r="BD116" s="229">
        <v>0.41439999999999999</v>
      </c>
      <c r="BE116" s="228">
        <v>111</v>
      </c>
      <c r="BF116" s="228">
        <v>157</v>
      </c>
      <c r="BG116" s="228">
        <v>-46</v>
      </c>
      <c r="BH116" s="229">
        <v>-0.29389999999999999</v>
      </c>
      <c r="BI116" s="230">
        <v>1113</v>
      </c>
      <c r="BJ116" s="230">
        <v>1062</v>
      </c>
      <c r="BK116" s="228">
        <v>50</v>
      </c>
      <c r="BL116" s="229">
        <v>4.7500000000000001E-2</v>
      </c>
      <c r="BM116" s="228">
        <v>608</v>
      </c>
      <c r="BN116" s="228">
        <v>646</v>
      </c>
      <c r="BO116" s="228">
        <v>-38</v>
      </c>
      <c r="BP116" s="229">
        <v>-5.8599999999999999E-2</v>
      </c>
      <c r="BQ116" s="230">
        <v>2528</v>
      </c>
      <c r="BR116" s="230">
        <v>2614</v>
      </c>
      <c r="BS116" s="228">
        <v>-85</v>
      </c>
      <c r="BT116" s="229">
        <v>-3.2599999999999997E-2</v>
      </c>
      <c r="BU116" s="230">
        <v>11454357</v>
      </c>
      <c r="BV116" s="230">
        <v>11976142</v>
      </c>
      <c r="BW116" s="230">
        <v>-521785</v>
      </c>
      <c r="BX116" s="229">
        <v>-4.36E-2</v>
      </c>
      <c r="BY116" s="230">
        <v>8166</v>
      </c>
      <c r="BZ116" s="230">
        <v>8242</v>
      </c>
      <c r="CA116" s="228">
        <v>-76</v>
      </c>
      <c r="CB116" s="229">
        <v>-9.1999999999999998E-3</v>
      </c>
      <c r="CC116" s="230">
        <v>6237</v>
      </c>
      <c r="CD116" s="230">
        <v>6488</v>
      </c>
      <c r="CE116" s="228">
        <v>-250</v>
      </c>
      <c r="CF116" s="229">
        <v>-3.8600000000000002E-2</v>
      </c>
      <c r="CG116" s="230">
        <v>1349</v>
      </c>
      <c r="CH116" s="230">
        <v>1281</v>
      </c>
      <c r="CI116" s="228">
        <v>68</v>
      </c>
      <c r="CJ116" s="229">
        <v>5.2699999999999997E-2</v>
      </c>
      <c r="CK116" s="228">
        <v>579</v>
      </c>
      <c r="CL116" s="228">
        <v>473</v>
      </c>
      <c r="CM116" s="228">
        <v>107</v>
      </c>
      <c r="CN116" s="229">
        <v>0.2258</v>
      </c>
      <c r="CO116" s="230">
        <v>1242</v>
      </c>
      <c r="CP116" s="230">
        <v>1168</v>
      </c>
      <c r="CQ116" s="228">
        <v>74</v>
      </c>
      <c r="CR116" s="229">
        <v>6.3799999999999996E-2</v>
      </c>
      <c r="CS116" s="230">
        <v>1053</v>
      </c>
      <c r="CT116" s="230">
        <v>1050</v>
      </c>
      <c r="CU116" s="228">
        <v>2</v>
      </c>
      <c r="CV116" s="229">
        <v>2.2000000000000001E-3</v>
      </c>
      <c r="CW116" s="230">
        <v>10461</v>
      </c>
      <c r="CX116" s="230">
        <v>10460</v>
      </c>
      <c r="CY116" s="228">
        <v>1</v>
      </c>
      <c r="CZ116" s="229">
        <v>1E-4</v>
      </c>
      <c r="DA116" s="228">
        <v>28.35</v>
      </c>
      <c r="DB116" s="228">
        <v>27.3</v>
      </c>
      <c r="DC116" s="228">
        <v>1.05</v>
      </c>
      <c r="DD116" s="228">
        <v>1.05</v>
      </c>
      <c r="DE116" s="228">
        <v>27.33</v>
      </c>
      <c r="DF116" s="228">
        <v>27.35</v>
      </c>
      <c r="DG116" s="228">
        <v>1.02</v>
      </c>
      <c r="DH116" s="228">
        <v>-0.02</v>
      </c>
      <c r="DI116" s="228">
        <v>28.34</v>
      </c>
      <c r="DJ116" s="228">
        <v>26.74</v>
      </c>
      <c r="DK116" s="228">
        <v>1.6</v>
      </c>
      <c r="DL116" s="228">
        <v>1.6</v>
      </c>
      <c r="DM116" s="228">
        <v>28.38</v>
      </c>
      <c r="DN116" s="228">
        <v>28.23</v>
      </c>
      <c r="DO116" s="228">
        <v>0.15</v>
      </c>
      <c r="DP116" s="228">
        <v>0.15</v>
      </c>
      <c r="DQ116" s="228">
        <v>0.85</v>
      </c>
      <c r="DR116" s="228">
        <v>0.9</v>
      </c>
      <c r="DS116" s="228">
        <v>-0.05</v>
      </c>
      <c r="DT116" s="229">
        <v>-5.5599999999999997E-2</v>
      </c>
      <c r="DU116" s="228">
        <v>370</v>
      </c>
      <c r="DV116" s="228">
        <v>335</v>
      </c>
      <c r="DW116" s="228">
        <v>0.55000000000000004</v>
      </c>
      <c r="DX116" s="228">
        <v>0.61</v>
      </c>
      <c r="DY116" s="228">
        <v>-0.06</v>
      </c>
      <c r="DZ116" s="229">
        <v>-9.8400000000000001E-2</v>
      </c>
      <c r="EA116" s="229">
        <v>0.2361</v>
      </c>
      <c r="EB116" s="230">
        <v>46292000</v>
      </c>
      <c r="EC116" s="229">
        <v>5.8999999999999999E-3</v>
      </c>
      <c r="ED116" s="229">
        <v>0.2361</v>
      </c>
      <c r="EE116" s="228">
        <v>1.67</v>
      </c>
      <c r="EF116" s="229">
        <v>4.4000000000000003E-3</v>
      </c>
      <c r="EG116" s="230">
        <v>6982653</v>
      </c>
      <c r="EH116" s="230">
        <v>8135992</v>
      </c>
      <c r="EI116" s="229">
        <v>-0.14180000000000001</v>
      </c>
      <c r="EJ116" s="229">
        <v>0.60960000000000003</v>
      </c>
      <c r="EK116" s="231">
        <v>1158.98</v>
      </c>
      <c r="EL116" s="228">
        <v>612.92999999999995</v>
      </c>
      <c r="EM116" s="228">
        <v>815.7</v>
      </c>
      <c r="EN116" s="228">
        <v>128.56</v>
      </c>
      <c r="EO116" s="231">
        <v>2587.61</v>
      </c>
      <c r="EP116" s="231">
        <v>2674.18</v>
      </c>
      <c r="EQ116" s="228">
        <v>-86.58</v>
      </c>
      <c r="ER116" s="229">
        <v>-3.2399999999999998E-2</v>
      </c>
      <c r="ES116" s="231">
        <v>1274.8</v>
      </c>
      <c r="ET116" s="228">
        <v>996.73</v>
      </c>
      <c r="EU116" s="231">
        <v>8180.64</v>
      </c>
      <c r="EV116" s="231">
        <v>882793124</v>
      </c>
      <c r="EW116" s="231">
        <v>10452.18</v>
      </c>
      <c r="EX116" s="231">
        <v>10546.84</v>
      </c>
      <c r="EY116" s="228">
        <v>-94.66</v>
      </c>
      <c r="EZ116" s="229">
        <v>-8.9999999999999993E-3</v>
      </c>
      <c r="FA116" s="229">
        <v>0.31269999999999998</v>
      </c>
      <c r="FB116" s="227" t="s">
        <v>567</v>
      </c>
      <c r="FC116">
        <f t="shared" si="1"/>
        <v>1929</v>
      </c>
    </row>
    <row r="117" spans="1:159" ht="17.25" thickBot="1" x14ac:dyDescent="0.3">
      <c r="A117" s="226">
        <v>46132</v>
      </c>
      <c r="B117" s="227" t="s">
        <v>221</v>
      </c>
      <c r="C117" s="227" t="s">
        <v>576</v>
      </c>
      <c r="D117" s="228">
        <v>425</v>
      </c>
      <c r="E117" s="228">
        <v>8</v>
      </c>
      <c r="F117" s="228">
        <v>736.15</v>
      </c>
      <c r="G117" s="228">
        <v>747.85</v>
      </c>
      <c r="H117" s="228">
        <v>-11.7</v>
      </c>
      <c r="I117" s="229">
        <v>-1.5599999999999999E-2</v>
      </c>
      <c r="J117" s="228">
        <v>734.4</v>
      </c>
      <c r="K117" s="228">
        <v>747.8</v>
      </c>
      <c r="L117" s="228">
        <v>-13.4</v>
      </c>
      <c r="M117" s="229">
        <v>-1.7899999999999999E-2</v>
      </c>
      <c r="N117" s="228">
        <v>736.15</v>
      </c>
      <c r="O117" s="228">
        <v>747.85</v>
      </c>
      <c r="P117" s="228">
        <v>-11.7</v>
      </c>
      <c r="Q117" s="229">
        <v>-1.5599999999999999E-2</v>
      </c>
      <c r="R117" s="228">
        <v>739.15</v>
      </c>
      <c r="S117" s="228">
        <v>751.2</v>
      </c>
      <c r="T117" s="228">
        <v>-12.05</v>
      </c>
      <c r="U117" s="229">
        <v>-1.6E-2</v>
      </c>
      <c r="V117" s="228">
        <v>741.4</v>
      </c>
      <c r="W117" s="228">
        <v>755.8</v>
      </c>
      <c r="X117" s="228">
        <v>-14.4</v>
      </c>
      <c r="Y117" s="229">
        <v>-1.9099999999999999E-2</v>
      </c>
      <c r="Z117" s="228">
        <v>1.75</v>
      </c>
      <c r="AA117" s="228">
        <v>0.05</v>
      </c>
      <c r="AB117" s="228">
        <v>1.7</v>
      </c>
      <c r="AC117" s="229">
        <v>2.3999999999999998E-3</v>
      </c>
      <c r="AD117" s="228">
        <v>1.75</v>
      </c>
      <c r="AE117" s="228">
        <v>0.05</v>
      </c>
      <c r="AF117" s="228">
        <v>1.7</v>
      </c>
      <c r="AG117" s="229">
        <v>2.3999999999999998E-3</v>
      </c>
      <c r="AH117" s="228">
        <v>4.75</v>
      </c>
      <c r="AI117" s="228">
        <v>3.4</v>
      </c>
      <c r="AJ117" s="228">
        <v>1.35</v>
      </c>
      <c r="AK117" s="229">
        <v>6.4999999999999997E-3</v>
      </c>
      <c r="AL117" s="228">
        <v>7</v>
      </c>
      <c r="AM117" s="228">
        <v>8</v>
      </c>
      <c r="AN117" s="228">
        <v>-1</v>
      </c>
      <c r="AO117" s="229">
        <v>9.4999999999999998E-3</v>
      </c>
      <c r="AP117" s="228">
        <v>737.63</v>
      </c>
      <c r="AQ117" s="228">
        <v>739.86</v>
      </c>
      <c r="AR117" s="228">
        <v>0</v>
      </c>
      <c r="AS117" s="228">
        <v>145</v>
      </c>
      <c r="AT117" s="228">
        <v>101</v>
      </c>
      <c r="AU117" s="228">
        <v>44</v>
      </c>
      <c r="AV117" s="229">
        <v>0.43780000000000002</v>
      </c>
      <c r="AW117" s="228">
        <v>114</v>
      </c>
      <c r="AX117" s="228">
        <v>83</v>
      </c>
      <c r="AY117" s="228">
        <v>31</v>
      </c>
      <c r="AZ117" s="229">
        <v>0.36880000000000002</v>
      </c>
      <c r="BA117" s="228">
        <v>26</v>
      </c>
      <c r="BB117" s="228">
        <v>15</v>
      </c>
      <c r="BC117" s="228">
        <v>12</v>
      </c>
      <c r="BD117" s="229">
        <v>0.78180000000000005</v>
      </c>
      <c r="BE117" s="228">
        <v>4</v>
      </c>
      <c r="BF117" s="228">
        <v>2</v>
      </c>
      <c r="BG117" s="228">
        <v>2</v>
      </c>
      <c r="BH117" s="229">
        <v>0.72970000000000002</v>
      </c>
      <c r="BI117" s="228">
        <v>259</v>
      </c>
      <c r="BJ117" s="228">
        <v>332</v>
      </c>
      <c r="BK117" s="228">
        <v>-73</v>
      </c>
      <c r="BL117" s="229">
        <v>-0.2198</v>
      </c>
      <c r="BM117" s="228">
        <v>279</v>
      </c>
      <c r="BN117" s="228">
        <v>138</v>
      </c>
      <c r="BO117" s="228">
        <v>142</v>
      </c>
      <c r="BP117" s="229">
        <v>1.0263</v>
      </c>
      <c r="BQ117" s="228">
        <v>683</v>
      </c>
      <c r="BR117" s="228">
        <v>571</v>
      </c>
      <c r="BS117" s="228">
        <v>113</v>
      </c>
      <c r="BT117" s="229">
        <v>0.19719999999999999</v>
      </c>
      <c r="BU117" s="230">
        <v>1800126</v>
      </c>
      <c r="BV117" s="230">
        <v>1654766</v>
      </c>
      <c r="BW117" s="230">
        <v>145360</v>
      </c>
      <c r="BX117" s="229">
        <v>8.7800000000000003E-2</v>
      </c>
      <c r="BY117" s="228">
        <v>519</v>
      </c>
      <c r="BZ117" s="228">
        <v>510</v>
      </c>
      <c r="CA117" s="228">
        <v>10</v>
      </c>
      <c r="CB117" s="229">
        <v>1.9199999999999998E-2</v>
      </c>
      <c r="CC117" s="228">
        <v>478</v>
      </c>
      <c r="CD117" s="228">
        <v>474</v>
      </c>
      <c r="CE117" s="228">
        <v>4</v>
      </c>
      <c r="CF117" s="229">
        <v>8.3999999999999995E-3</v>
      </c>
      <c r="CG117" s="228">
        <v>35</v>
      </c>
      <c r="CH117" s="228">
        <v>29</v>
      </c>
      <c r="CI117" s="228">
        <v>6</v>
      </c>
      <c r="CJ117" s="229">
        <v>0.2054</v>
      </c>
      <c r="CK117" s="228">
        <v>6</v>
      </c>
      <c r="CL117" s="228">
        <v>6</v>
      </c>
      <c r="CM117" s="228">
        <v>0</v>
      </c>
      <c r="CN117" s="229">
        <v>-2.5000000000000001E-2</v>
      </c>
      <c r="CO117" s="228">
        <v>264</v>
      </c>
      <c r="CP117" s="228">
        <v>268</v>
      </c>
      <c r="CQ117" s="228">
        <v>-4</v>
      </c>
      <c r="CR117" s="229">
        <v>-1.5800000000000002E-2</v>
      </c>
      <c r="CS117" s="228">
        <v>174</v>
      </c>
      <c r="CT117" s="228">
        <v>170</v>
      </c>
      <c r="CU117" s="228">
        <v>3</v>
      </c>
      <c r="CV117" s="229">
        <v>2.0400000000000001E-2</v>
      </c>
      <c r="CW117" s="228">
        <v>957</v>
      </c>
      <c r="CX117" s="228">
        <v>948</v>
      </c>
      <c r="CY117" s="228">
        <v>9</v>
      </c>
      <c r="CZ117" s="229">
        <v>9.4999999999999998E-3</v>
      </c>
      <c r="DA117" s="228">
        <v>46.58</v>
      </c>
      <c r="DB117" s="228">
        <v>41.25</v>
      </c>
      <c r="DC117" s="228">
        <v>5.33</v>
      </c>
      <c r="DD117" s="228">
        <v>5.33</v>
      </c>
      <c r="DE117" s="228">
        <v>45.01</v>
      </c>
      <c r="DF117" s="228">
        <v>45.07</v>
      </c>
      <c r="DG117" s="228">
        <v>1.57</v>
      </c>
      <c r="DH117" s="228">
        <v>-0.06</v>
      </c>
      <c r="DI117" s="228">
        <v>44.42</v>
      </c>
      <c r="DJ117" s="228">
        <v>39.96</v>
      </c>
      <c r="DK117" s="228">
        <v>4.46</v>
      </c>
      <c r="DL117" s="228">
        <v>4.46</v>
      </c>
      <c r="DM117" s="228">
        <v>48.58</v>
      </c>
      <c r="DN117" s="228">
        <v>44.36</v>
      </c>
      <c r="DO117" s="228">
        <v>4.22</v>
      </c>
      <c r="DP117" s="228">
        <v>4.22</v>
      </c>
      <c r="DQ117" s="228">
        <v>0.66</v>
      </c>
      <c r="DR117" s="228">
        <v>0.64</v>
      </c>
      <c r="DS117" s="228">
        <v>0.02</v>
      </c>
      <c r="DT117" s="229">
        <v>3.1300000000000001E-2</v>
      </c>
      <c r="DU117" s="228">
        <v>800</v>
      </c>
      <c r="DV117" s="228">
        <v>700</v>
      </c>
      <c r="DW117" s="228">
        <v>1.08</v>
      </c>
      <c r="DX117" s="228">
        <v>0.42</v>
      </c>
      <c r="DY117" s="228">
        <v>0.66</v>
      </c>
      <c r="DZ117" s="229">
        <v>1.5713999999999999</v>
      </c>
      <c r="EA117" s="229">
        <v>7.9299999999999995E-2</v>
      </c>
      <c r="EB117" s="230">
        <v>480250</v>
      </c>
      <c r="EC117" s="229">
        <v>4.1000000000000003E-3</v>
      </c>
      <c r="ED117" s="229">
        <v>7.9299999999999995E-2</v>
      </c>
      <c r="EE117" s="228">
        <v>2.23</v>
      </c>
      <c r="EF117" s="229">
        <v>3.0000000000000001E-3</v>
      </c>
      <c r="EG117" s="230">
        <v>676776</v>
      </c>
      <c r="EH117" s="230">
        <v>602162</v>
      </c>
      <c r="EI117" s="229">
        <v>0.1239</v>
      </c>
      <c r="EJ117" s="229">
        <v>0.376</v>
      </c>
      <c r="EK117" s="228">
        <v>272.66000000000003</v>
      </c>
      <c r="EL117" s="228">
        <v>278.22000000000003</v>
      </c>
      <c r="EM117" s="228">
        <v>144.97999999999999</v>
      </c>
      <c r="EN117" s="228">
        <v>34.61</v>
      </c>
      <c r="EO117" s="228">
        <v>695.86</v>
      </c>
      <c r="EP117" s="228">
        <v>594.9</v>
      </c>
      <c r="EQ117" s="228">
        <v>100.96</v>
      </c>
      <c r="ER117" s="229">
        <v>0.16969999999999999</v>
      </c>
      <c r="ES117" s="228">
        <v>269.81</v>
      </c>
      <c r="ET117" s="228">
        <v>161.80000000000001</v>
      </c>
      <c r="EU117" s="228">
        <v>519.51</v>
      </c>
      <c r="EV117" s="231">
        <v>24611073</v>
      </c>
      <c r="EW117" s="228">
        <v>951.12</v>
      </c>
      <c r="EX117" s="228">
        <v>950.41</v>
      </c>
      <c r="EY117" s="228">
        <v>0.71</v>
      </c>
      <c r="EZ117" s="229">
        <v>6.9999999999999999E-4</v>
      </c>
      <c r="FA117" s="229">
        <v>0.52810000000000001</v>
      </c>
      <c r="FB117" s="227" t="s">
        <v>566</v>
      </c>
      <c r="FC117">
        <f t="shared" si="1"/>
        <v>41</v>
      </c>
    </row>
    <row r="118" spans="1:159" ht="17.25" thickBot="1" x14ac:dyDescent="0.3">
      <c r="A118" s="226">
        <v>46132</v>
      </c>
      <c r="B118" s="227" t="s">
        <v>170</v>
      </c>
      <c r="C118" s="227" t="s">
        <v>535</v>
      </c>
      <c r="D118" s="228">
        <v>850</v>
      </c>
      <c r="E118" s="228">
        <v>8</v>
      </c>
      <c r="F118" s="231">
        <v>1128.95</v>
      </c>
      <c r="G118" s="231">
        <v>1137.7</v>
      </c>
      <c r="H118" s="228">
        <v>-8.75</v>
      </c>
      <c r="I118" s="229">
        <v>-7.7000000000000002E-3</v>
      </c>
      <c r="J118" s="231">
        <v>1129.5</v>
      </c>
      <c r="K118" s="231">
        <v>1135.75</v>
      </c>
      <c r="L118" s="228">
        <v>-6.25</v>
      </c>
      <c r="M118" s="229">
        <v>-5.4999999999999997E-3</v>
      </c>
      <c r="N118" s="231">
        <v>1128.95</v>
      </c>
      <c r="O118" s="231">
        <v>1137.7</v>
      </c>
      <c r="P118" s="228">
        <v>-8.75</v>
      </c>
      <c r="Q118" s="229">
        <v>-7.7000000000000002E-3</v>
      </c>
      <c r="R118" s="231">
        <v>1135.8499999999999</v>
      </c>
      <c r="S118" s="231">
        <v>1144.0999999999999</v>
      </c>
      <c r="T118" s="228">
        <v>-8.25</v>
      </c>
      <c r="U118" s="229">
        <v>-7.1999999999999998E-3</v>
      </c>
      <c r="V118" s="231">
        <v>1138.1500000000001</v>
      </c>
      <c r="W118" s="231">
        <v>1150</v>
      </c>
      <c r="X118" s="228">
        <v>-11.85</v>
      </c>
      <c r="Y118" s="229">
        <v>-1.03E-2</v>
      </c>
      <c r="Z118" s="228">
        <v>-0.55000000000000004</v>
      </c>
      <c r="AA118" s="228">
        <v>1.95</v>
      </c>
      <c r="AB118" s="228">
        <v>-2.5</v>
      </c>
      <c r="AC118" s="229">
        <v>-5.0000000000000001E-4</v>
      </c>
      <c r="AD118" s="228">
        <v>-0.55000000000000004</v>
      </c>
      <c r="AE118" s="228">
        <v>1.95</v>
      </c>
      <c r="AF118" s="228">
        <v>-2.5</v>
      </c>
      <c r="AG118" s="229">
        <v>-5.0000000000000001E-4</v>
      </c>
      <c r="AH118" s="228">
        <v>6.35</v>
      </c>
      <c r="AI118" s="228">
        <v>8.35</v>
      </c>
      <c r="AJ118" s="228">
        <v>-2</v>
      </c>
      <c r="AK118" s="229">
        <v>5.5999999999999999E-3</v>
      </c>
      <c r="AL118" s="228">
        <v>8.65</v>
      </c>
      <c r="AM118" s="228">
        <v>14.25</v>
      </c>
      <c r="AN118" s="228">
        <v>-5.6</v>
      </c>
      <c r="AO118" s="229">
        <v>7.7000000000000002E-3</v>
      </c>
      <c r="AP118" s="231">
        <v>1134.8699999999999</v>
      </c>
      <c r="AQ118" s="231">
        <v>1141.78</v>
      </c>
      <c r="AR118" s="228">
        <v>0</v>
      </c>
      <c r="AS118" s="228">
        <v>273</v>
      </c>
      <c r="AT118" s="228">
        <v>243</v>
      </c>
      <c r="AU118" s="228">
        <v>30</v>
      </c>
      <c r="AV118" s="229">
        <v>0.1236</v>
      </c>
      <c r="AW118" s="228">
        <v>221</v>
      </c>
      <c r="AX118" s="228">
        <v>211</v>
      </c>
      <c r="AY118" s="228">
        <v>10</v>
      </c>
      <c r="AZ118" s="229">
        <v>4.6399999999999997E-2</v>
      </c>
      <c r="BA118" s="228">
        <v>51</v>
      </c>
      <c r="BB118" s="228">
        <v>29</v>
      </c>
      <c r="BC118" s="228">
        <v>22</v>
      </c>
      <c r="BD118" s="229">
        <v>0.73770000000000002</v>
      </c>
      <c r="BE118" s="228">
        <v>2</v>
      </c>
      <c r="BF118" s="228">
        <v>3</v>
      </c>
      <c r="BG118" s="228">
        <v>-1</v>
      </c>
      <c r="BH118" s="229">
        <v>-0.4667</v>
      </c>
      <c r="BI118" s="228">
        <v>576</v>
      </c>
      <c r="BJ118" s="228">
        <v>731</v>
      </c>
      <c r="BK118" s="228">
        <v>-155</v>
      </c>
      <c r="BL118" s="229">
        <v>-0.21160000000000001</v>
      </c>
      <c r="BM118" s="228">
        <v>317</v>
      </c>
      <c r="BN118" s="228">
        <v>403</v>
      </c>
      <c r="BO118" s="228">
        <v>-86</v>
      </c>
      <c r="BP118" s="229">
        <v>-0.2132</v>
      </c>
      <c r="BQ118" s="230">
        <v>1166</v>
      </c>
      <c r="BR118" s="230">
        <v>1377</v>
      </c>
      <c r="BS118" s="228">
        <v>-211</v>
      </c>
      <c r="BT118" s="229">
        <v>-0.15290000000000001</v>
      </c>
      <c r="BU118" s="230">
        <v>1207974</v>
      </c>
      <c r="BV118" s="230">
        <v>1300161</v>
      </c>
      <c r="BW118" s="230">
        <v>-92187</v>
      </c>
      <c r="BX118" s="229">
        <v>-7.0900000000000005E-2</v>
      </c>
      <c r="BY118" s="230">
        <v>1990</v>
      </c>
      <c r="BZ118" s="230">
        <v>2008</v>
      </c>
      <c r="CA118" s="228">
        <v>-18</v>
      </c>
      <c r="CB118" s="229">
        <v>-8.9999999999999993E-3</v>
      </c>
      <c r="CC118" s="230">
        <v>1853</v>
      </c>
      <c r="CD118" s="230">
        <v>1899</v>
      </c>
      <c r="CE118" s="228">
        <v>-46</v>
      </c>
      <c r="CF118" s="229">
        <v>-2.4500000000000001E-2</v>
      </c>
      <c r="CG118" s="228">
        <v>130</v>
      </c>
      <c r="CH118" s="228">
        <v>102</v>
      </c>
      <c r="CI118" s="228">
        <v>28</v>
      </c>
      <c r="CJ118" s="229">
        <v>0.27250000000000002</v>
      </c>
      <c r="CK118" s="228">
        <v>7</v>
      </c>
      <c r="CL118" s="228">
        <v>6</v>
      </c>
      <c r="CM118" s="228">
        <v>0</v>
      </c>
      <c r="CN118" s="229">
        <v>7.5800000000000006E-2</v>
      </c>
      <c r="CO118" s="228">
        <v>583</v>
      </c>
      <c r="CP118" s="228">
        <v>610</v>
      </c>
      <c r="CQ118" s="228">
        <v>-28</v>
      </c>
      <c r="CR118" s="229">
        <v>-4.5400000000000003E-2</v>
      </c>
      <c r="CS118" s="228">
        <v>540</v>
      </c>
      <c r="CT118" s="228">
        <v>540</v>
      </c>
      <c r="CU118" s="228">
        <v>0</v>
      </c>
      <c r="CV118" s="229">
        <v>-8.9999999999999998E-4</v>
      </c>
      <c r="CW118" s="230">
        <v>3112</v>
      </c>
      <c r="CX118" s="230">
        <v>3158</v>
      </c>
      <c r="CY118" s="228">
        <v>-46</v>
      </c>
      <c r="CZ118" s="229">
        <v>-1.46E-2</v>
      </c>
      <c r="DA118" s="228">
        <v>33.32</v>
      </c>
      <c r="DB118" s="228">
        <v>29.86</v>
      </c>
      <c r="DC118" s="228">
        <v>3.46</v>
      </c>
      <c r="DD118" s="228">
        <v>3.46</v>
      </c>
      <c r="DE118" s="228">
        <v>39.369999999999997</v>
      </c>
      <c r="DF118" s="228">
        <v>39.46</v>
      </c>
      <c r="DG118" s="228">
        <v>-6.05</v>
      </c>
      <c r="DH118" s="228">
        <v>-0.09</v>
      </c>
      <c r="DI118" s="228">
        <v>31.94</v>
      </c>
      <c r="DJ118" s="228">
        <v>28.29</v>
      </c>
      <c r="DK118" s="228">
        <v>3.65</v>
      </c>
      <c r="DL118" s="228">
        <v>3.65</v>
      </c>
      <c r="DM118" s="228">
        <v>35.840000000000003</v>
      </c>
      <c r="DN118" s="228">
        <v>32.700000000000003</v>
      </c>
      <c r="DO118" s="228">
        <v>3.14</v>
      </c>
      <c r="DP118" s="228">
        <v>3.14</v>
      </c>
      <c r="DQ118" s="228">
        <v>0.93</v>
      </c>
      <c r="DR118" s="228">
        <v>0.88</v>
      </c>
      <c r="DS118" s="228">
        <v>0.05</v>
      </c>
      <c r="DT118" s="229">
        <v>5.6800000000000003E-2</v>
      </c>
      <c r="DU118" s="231">
        <v>1100</v>
      </c>
      <c r="DV118" s="231">
        <v>1050</v>
      </c>
      <c r="DW118" s="228">
        <v>0.55000000000000004</v>
      </c>
      <c r="DX118" s="228">
        <v>0.55000000000000004</v>
      </c>
      <c r="DY118" s="228">
        <v>0</v>
      </c>
      <c r="DZ118" s="229">
        <v>0</v>
      </c>
      <c r="EA118" s="229">
        <v>6.9000000000000006E-2</v>
      </c>
      <c r="EB118" s="230">
        <v>963900</v>
      </c>
      <c r="EC118" s="229">
        <v>6.1000000000000004E-3</v>
      </c>
      <c r="ED118" s="229">
        <v>6.9000000000000006E-2</v>
      </c>
      <c r="EE118" s="228">
        <v>6.91</v>
      </c>
      <c r="EF118" s="229">
        <v>6.1000000000000004E-3</v>
      </c>
      <c r="EG118" s="230">
        <v>577340</v>
      </c>
      <c r="EH118" s="230">
        <v>614579</v>
      </c>
      <c r="EI118" s="229">
        <v>-6.0600000000000001E-2</v>
      </c>
      <c r="EJ118" s="229">
        <v>0.47789999999999999</v>
      </c>
      <c r="EK118" s="228">
        <v>602.33000000000004</v>
      </c>
      <c r="EL118" s="228">
        <v>309</v>
      </c>
      <c r="EM118" s="228">
        <v>274.77</v>
      </c>
      <c r="EN118" s="228">
        <v>26.9</v>
      </c>
      <c r="EO118" s="231">
        <v>1186.0899999999999</v>
      </c>
      <c r="EP118" s="231">
        <v>1400.5</v>
      </c>
      <c r="EQ118" s="228">
        <v>-214.4</v>
      </c>
      <c r="ER118" s="229">
        <v>-0.15310000000000001</v>
      </c>
      <c r="ES118" s="228">
        <v>577.23</v>
      </c>
      <c r="ET118" s="228">
        <v>495.42</v>
      </c>
      <c r="EU118" s="231">
        <v>1990.79</v>
      </c>
      <c r="EV118" s="231">
        <v>58713729</v>
      </c>
      <c r="EW118" s="231">
        <v>3063.44</v>
      </c>
      <c r="EX118" s="231">
        <v>3123.39</v>
      </c>
      <c r="EY118" s="228">
        <v>-59.95</v>
      </c>
      <c r="EZ118" s="229">
        <v>-1.9199999999999998E-2</v>
      </c>
      <c r="FA118" s="229">
        <v>0.46949999999999997</v>
      </c>
      <c r="FB118" s="227" t="s">
        <v>567</v>
      </c>
      <c r="FC118">
        <f t="shared" si="1"/>
        <v>137</v>
      </c>
    </row>
    <row r="119" spans="1:159" ht="17.25" thickBot="1" x14ac:dyDescent="0.3">
      <c r="A119" s="226">
        <v>46132</v>
      </c>
      <c r="B119" s="227" t="s">
        <v>175</v>
      </c>
      <c r="C119" s="227" t="s">
        <v>248</v>
      </c>
      <c r="D119" s="228">
        <v>1000</v>
      </c>
      <c r="E119" s="228">
        <v>8</v>
      </c>
      <c r="F119" s="228">
        <v>536.15</v>
      </c>
      <c r="G119" s="228">
        <v>539.75</v>
      </c>
      <c r="H119" s="228">
        <v>-3.6</v>
      </c>
      <c r="I119" s="229">
        <v>-6.7000000000000002E-3</v>
      </c>
      <c r="J119" s="228">
        <v>536.70000000000005</v>
      </c>
      <c r="K119" s="228">
        <v>540</v>
      </c>
      <c r="L119" s="228">
        <v>-3.3</v>
      </c>
      <c r="M119" s="229">
        <v>-6.1000000000000004E-3</v>
      </c>
      <c r="N119" s="228">
        <v>536.15</v>
      </c>
      <c r="O119" s="228">
        <v>539.75</v>
      </c>
      <c r="P119" s="228">
        <v>-3.6</v>
      </c>
      <c r="Q119" s="229">
        <v>-6.7000000000000002E-3</v>
      </c>
      <c r="R119" s="228">
        <v>539.5</v>
      </c>
      <c r="S119" s="228">
        <v>543.15</v>
      </c>
      <c r="T119" s="228">
        <v>-3.65</v>
      </c>
      <c r="U119" s="229">
        <v>-6.7000000000000002E-3</v>
      </c>
      <c r="V119" s="228">
        <v>542.20000000000005</v>
      </c>
      <c r="W119" s="228">
        <v>545.45000000000005</v>
      </c>
      <c r="X119" s="228">
        <v>-3.25</v>
      </c>
      <c r="Y119" s="229">
        <v>-6.0000000000000001E-3</v>
      </c>
      <c r="Z119" s="228">
        <v>-0.55000000000000004</v>
      </c>
      <c r="AA119" s="228">
        <v>-0.25</v>
      </c>
      <c r="AB119" s="228">
        <v>-0.3</v>
      </c>
      <c r="AC119" s="229">
        <v>-1E-3</v>
      </c>
      <c r="AD119" s="228">
        <v>-0.55000000000000004</v>
      </c>
      <c r="AE119" s="228">
        <v>-0.25</v>
      </c>
      <c r="AF119" s="228">
        <v>-0.3</v>
      </c>
      <c r="AG119" s="229">
        <v>-1E-3</v>
      </c>
      <c r="AH119" s="228">
        <v>2.8</v>
      </c>
      <c r="AI119" s="228">
        <v>3.15</v>
      </c>
      <c r="AJ119" s="228">
        <v>-0.35</v>
      </c>
      <c r="AK119" s="229">
        <v>5.1999999999999998E-3</v>
      </c>
      <c r="AL119" s="228">
        <v>5.5</v>
      </c>
      <c r="AM119" s="228">
        <v>5.45</v>
      </c>
      <c r="AN119" s="228">
        <v>0.05</v>
      </c>
      <c r="AO119" s="229">
        <v>1.0200000000000001E-2</v>
      </c>
      <c r="AP119" s="228">
        <v>538.74</v>
      </c>
      <c r="AQ119" s="228">
        <v>541.37</v>
      </c>
      <c r="AR119" s="228">
        <v>0</v>
      </c>
      <c r="AS119" s="228">
        <v>142</v>
      </c>
      <c r="AT119" s="228">
        <v>120</v>
      </c>
      <c r="AU119" s="228">
        <v>22</v>
      </c>
      <c r="AV119" s="229">
        <v>0.17910000000000001</v>
      </c>
      <c r="AW119" s="228">
        <v>114</v>
      </c>
      <c r="AX119" s="228">
        <v>102</v>
      </c>
      <c r="AY119" s="228">
        <v>12</v>
      </c>
      <c r="AZ119" s="229">
        <v>0.1207</v>
      </c>
      <c r="BA119" s="228">
        <v>26</v>
      </c>
      <c r="BB119" s="228">
        <v>18</v>
      </c>
      <c r="BC119" s="228">
        <v>9</v>
      </c>
      <c r="BD119" s="229">
        <v>0.4985</v>
      </c>
      <c r="BE119" s="228">
        <v>1</v>
      </c>
      <c r="BF119" s="228">
        <v>1</v>
      </c>
      <c r="BG119" s="228">
        <v>0</v>
      </c>
      <c r="BH119" s="229">
        <v>0.75</v>
      </c>
      <c r="BI119" s="228">
        <v>313</v>
      </c>
      <c r="BJ119" s="228">
        <v>294</v>
      </c>
      <c r="BK119" s="228">
        <v>19</v>
      </c>
      <c r="BL119" s="229">
        <v>6.4600000000000005E-2</v>
      </c>
      <c r="BM119" s="228">
        <v>121</v>
      </c>
      <c r="BN119" s="228">
        <v>98</v>
      </c>
      <c r="BO119" s="228">
        <v>22</v>
      </c>
      <c r="BP119" s="229">
        <v>0.22750000000000001</v>
      </c>
      <c r="BQ119" s="228">
        <v>575</v>
      </c>
      <c r="BR119" s="228">
        <v>513</v>
      </c>
      <c r="BS119" s="228">
        <v>63</v>
      </c>
      <c r="BT119" s="229">
        <v>0.12280000000000001</v>
      </c>
      <c r="BU119" s="230">
        <v>1172243</v>
      </c>
      <c r="BV119" s="230">
        <v>1230527</v>
      </c>
      <c r="BW119" s="230">
        <v>-58284</v>
      </c>
      <c r="BX119" s="229">
        <v>-4.7399999999999998E-2</v>
      </c>
      <c r="BY119" s="230">
        <v>1698</v>
      </c>
      <c r="BZ119" s="230">
        <v>1725</v>
      </c>
      <c r="CA119" s="228">
        <v>-27</v>
      </c>
      <c r="CB119" s="229">
        <v>-1.54E-2</v>
      </c>
      <c r="CC119" s="230">
        <v>1626</v>
      </c>
      <c r="CD119" s="230">
        <v>1668</v>
      </c>
      <c r="CE119" s="228">
        <v>-41</v>
      </c>
      <c r="CF119" s="229">
        <v>-2.4799999999999999E-2</v>
      </c>
      <c r="CG119" s="228">
        <v>69</v>
      </c>
      <c r="CH119" s="228">
        <v>55</v>
      </c>
      <c r="CI119" s="228">
        <v>14</v>
      </c>
      <c r="CJ119" s="229">
        <v>0.25929999999999997</v>
      </c>
      <c r="CK119" s="228">
        <v>3</v>
      </c>
      <c r="CL119" s="228">
        <v>2</v>
      </c>
      <c r="CM119" s="228">
        <v>1</v>
      </c>
      <c r="CN119" s="229">
        <v>0.29730000000000001</v>
      </c>
      <c r="CO119" s="228">
        <v>317</v>
      </c>
      <c r="CP119" s="228">
        <v>315</v>
      </c>
      <c r="CQ119" s="228">
        <v>2</v>
      </c>
      <c r="CR119" s="229">
        <v>7.7000000000000002E-3</v>
      </c>
      <c r="CS119" s="228">
        <v>306</v>
      </c>
      <c r="CT119" s="228">
        <v>306</v>
      </c>
      <c r="CU119" s="228">
        <v>0</v>
      </c>
      <c r="CV119" s="229">
        <v>4.0000000000000002E-4</v>
      </c>
      <c r="CW119" s="230">
        <v>2321</v>
      </c>
      <c r="CX119" s="230">
        <v>2345</v>
      </c>
      <c r="CY119" s="228">
        <v>-24</v>
      </c>
      <c r="CZ119" s="229">
        <v>-1.03E-2</v>
      </c>
      <c r="DA119" s="228">
        <v>30.66</v>
      </c>
      <c r="DB119" s="228">
        <v>27.05</v>
      </c>
      <c r="DC119" s="228">
        <v>3.61</v>
      </c>
      <c r="DD119" s="228">
        <v>3.61</v>
      </c>
      <c r="DE119" s="228">
        <v>33.119999999999997</v>
      </c>
      <c r="DF119" s="228">
        <v>33.19</v>
      </c>
      <c r="DG119" s="228">
        <v>-2.46</v>
      </c>
      <c r="DH119" s="228">
        <v>-7.0000000000000007E-2</v>
      </c>
      <c r="DI119" s="228">
        <v>30.51</v>
      </c>
      <c r="DJ119" s="228">
        <v>26.28</v>
      </c>
      <c r="DK119" s="228">
        <v>4.2300000000000004</v>
      </c>
      <c r="DL119" s="228">
        <v>4.2300000000000004</v>
      </c>
      <c r="DM119" s="228">
        <v>31.05</v>
      </c>
      <c r="DN119" s="228">
        <v>29.35</v>
      </c>
      <c r="DO119" s="228">
        <v>1.7</v>
      </c>
      <c r="DP119" s="228">
        <v>1.7</v>
      </c>
      <c r="DQ119" s="228">
        <v>0.96</v>
      </c>
      <c r="DR119" s="228">
        <v>0.97</v>
      </c>
      <c r="DS119" s="228">
        <v>-0.01</v>
      </c>
      <c r="DT119" s="229">
        <v>-1.03E-2</v>
      </c>
      <c r="DU119" s="228">
        <v>550</v>
      </c>
      <c r="DV119" s="228">
        <v>480</v>
      </c>
      <c r="DW119" s="228">
        <v>0.39</v>
      </c>
      <c r="DX119" s="228">
        <v>0.34</v>
      </c>
      <c r="DY119" s="228">
        <v>0.05</v>
      </c>
      <c r="DZ119" s="229">
        <v>0.14710000000000001</v>
      </c>
      <c r="EA119" s="229">
        <v>4.2200000000000001E-2</v>
      </c>
      <c r="EB119" s="230">
        <v>1059000</v>
      </c>
      <c r="EC119" s="229">
        <v>6.1999999999999998E-3</v>
      </c>
      <c r="ED119" s="229">
        <v>4.2200000000000001E-2</v>
      </c>
      <c r="EE119" s="228">
        <v>2.63</v>
      </c>
      <c r="EF119" s="229">
        <v>4.8999999999999998E-3</v>
      </c>
      <c r="EG119" s="230">
        <v>525797</v>
      </c>
      <c r="EH119" s="230">
        <v>641164</v>
      </c>
      <c r="EI119" s="229">
        <v>-0.1799</v>
      </c>
      <c r="EJ119" s="229">
        <v>0.44850000000000001</v>
      </c>
      <c r="EK119" s="228">
        <v>325.45</v>
      </c>
      <c r="EL119" s="228">
        <v>121.5</v>
      </c>
      <c r="EM119" s="228">
        <v>142.69</v>
      </c>
      <c r="EN119" s="228">
        <v>24.66</v>
      </c>
      <c r="EO119" s="228">
        <v>589.64</v>
      </c>
      <c r="EP119" s="228">
        <v>522.59</v>
      </c>
      <c r="EQ119" s="228">
        <v>67.05</v>
      </c>
      <c r="ER119" s="229">
        <v>0.1283</v>
      </c>
      <c r="ES119" s="228">
        <v>322.01</v>
      </c>
      <c r="ET119" s="228">
        <v>289.02</v>
      </c>
      <c r="EU119" s="231">
        <v>1698.5</v>
      </c>
      <c r="EV119" s="231">
        <v>45183075</v>
      </c>
      <c r="EW119" s="231">
        <v>2309.52</v>
      </c>
      <c r="EX119" s="231">
        <v>2344.1</v>
      </c>
      <c r="EY119" s="228">
        <v>-34.58</v>
      </c>
      <c r="EZ119" s="229">
        <v>-1.4800000000000001E-2</v>
      </c>
      <c r="FA119" s="229">
        <v>0.95799999999999996</v>
      </c>
      <c r="FB119" s="227" t="s">
        <v>567</v>
      </c>
      <c r="FC119">
        <f t="shared" si="1"/>
        <v>72</v>
      </c>
    </row>
    <row r="120" spans="1:159" ht="17.25" thickBot="1" x14ac:dyDescent="0.3">
      <c r="A120" s="226">
        <v>46132</v>
      </c>
      <c r="B120" s="227" t="s">
        <v>175</v>
      </c>
      <c r="C120" s="227" t="s">
        <v>606</v>
      </c>
      <c r="D120" s="228">
        <v>700</v>
      </c>
      <c r="E120" s="228">
        <v>8</v>
      </c>
      <c r="F120" s="228">
        <v>827.25</v>
      </c>
      <c r="G120" s="228">
        <v>844.15</v>
      </c>
      <c r="H120" s="228">
        <v>-16.899999999999999</v>
      </c>
      <c r="I120" s="229">
        <v>-0.02</v>
      </c>
      <c r="J120" s="228">
        <v>828.1</v>
      </c>
      <c r="K120" s="228">
        <v>842.2</v>
      </c>
      <c r="L120" s="228">
        <v>-14.1</v>
      </c>
      <c r="M120" s="229">
        <v>-1.67E-2</v>
      </c>
      <c r="N120" s="228">
        <v>827.25</v>
      </c>
      <c r="O120" s="228">
        <v>844.15</v>
      </c>
      <c r="P120" s="228">
        <v>-16.899999999999999</v>
      </c>
      <c r="Q120" s="229">
        <v>-0.02</v>
      </c>
      <c r="R120" s="228">
        <v>823.6</v>
      </c>
      <c r="S120" s="228">
        <v>840</v>
      </c>
      <c r="T120" s="228">
        <v>-16.399999999999999</v>
      </c>
      <c r="U120" s="229">
        <v>-1.95E-2</v>
      </c>
      <c r="V120" s="228">
        <v>824.2</v>
      </c>
      <c r="W120" s="228">
        <v>837.15</v>
      </c>
      <c r="X120" s="228">
        <v>-12.95</v>
      </c>
      <c r="Y120" s="229">
        <v>-1.55E-2</v>
      </c>
      <c r="Z120" s="228">
        <v>-0.85</v>
      </c>
      <c r="AA120" s="228">
        <v>1.95</v>
      </c>
      <c r="AB120" s="228">
        <v>-2.8</v>
      </c>
      <c r="AC120" s="229">
        <v>-1E-3</v>
      </c>
      <c r="AD120" s="228">
        <v>-0.85</v>
      </c>
      <c r="AE120" s="228">
        <v>1.95</v>
      </c>
      <c r="AF120" s="228">
        <v>-2.8</v>
      </c>
      <c r="AG120" s="229">
        <v>-1E-3</v>
      </c>
      <c r="AH120" s="228">
        <v>-4.5</v>
      </c>
      <c r="AI120" s="228">
        <v>-2.2000000000000002</v>
      </c>
      <c r="AJ120" s="228">
        <v>-2.2999999999999998</v>
      </c>
      <c r="AK120" s="229">
        <v>-5.4000000000000003E-3</v>
      </c>
      <c r="AL120" s="228">
        <v>-3.9</v>
      </c>
      <c r="AM120" s="228">
        <v>-5.05</v>
      </c>
      <c r="AN120" s="228">
        <v>1.1499999999999999</v>
      </c>
      <c r="AO120" s="229">
        <v>-4.7000000000000002E-3</v>
      </c>
      <c r="AP120" s="228">
        <v>830.66</v>
      </c>
      <c r="AQ120" s="228">
        <v>826.76</v>
      </c>
      <c r="AR120" s="228">
        <v>0</v>
      </c>
      <c r="AS120" s="228">
        <v>173</v>
      </c>
      <c r="AT120" s="228">
        <v>162</v>
      </c>
      <c r="AU120" s="228">
        <v>11</v>
      </c>
      <c r="AV120" s="229">
        <v>7.0000000000000007E-2</v>
      </c>
      <c r="AW120" s="228">
        <v>103</v>
      </c>
      <c r="AX120" s="228">
        <v>105</v>
      </c>
      <c r="AY120" s="228">
        <v>-1</v>
      </c>
      <c r="AZ120" s="229">
        <v>-1.38E-2</v>
      </c>
      <c r="BA120" s="228">
        <v>61</v>
      </c>
      <c r="BB120" s="228">
        <v>52</v>
      </c>
      <c r="BC120" s="228">
        <v>10</v>
      </c>
      <c r="BD120" s="229">
        <v>0.1883</v>
      </c>
      <c r="BE120" s="228">
        <v>9</v>
      </c>
      <c r="BF120" s="228">
        <v>6</v>
      </c>
      <c r="BG120" s="228">
        <v>3</v>
      </c>
      <c r="BH120" s="229">
        <v>0.54079999999999995</v>
      </c>
      <c r="BI120" s="228">
        <v>429</v>
      </c>
      <c r="BJ120" s="228">
        <v>427</v>
      </c>
      <c r="BK120" s="228">
        <v>1</v>
      </c>
      <c r="BL120" s="229">
        <v>3.3E-3</v>
      </c>
      <c r="BM120" s="228">
        <v>209</v>
      </c>
      <c r="BN120" s="228">
        <v>199</v>
      </c>
      <c r="BO120" s="228">
        <v>9</v>
      </c>
      <c r="BP120" s="229">
        <v>4.6800000000000001E-2</v>
      </c>
      <c r="BQ120" s="228">
        <v>811</v>
      </c>
      <c r="BR120" s="228">
        <v>789</v>
      </c>
      <c r="BS120" s="228">
        <v>22</v>
      </c>
      <c r="BT120" s="229">
        <v>2.8000000000000001E-2</v>
      </c>
      <c r="BU120" s="230">
        <v>1751618</v>
      </c>
      <c r="BV120" s="230">
        <v>1471020</v>
      </c>
      <c r="BW120" s="230">
        <v>280598</v>
      </c>
      <c r="BX120" s="229">
        <v>0.1908</v>
      </c>
      <c r="BY120" s="228">
        <v>883</v>
      </c>
      <c r="BZ120" s="228">
        <v>859</v>
      </c>
      <c r="CA120" s="228">
        <v>25</v>
      </c>
      <c r="CB120" s="229">
        <v>2.86E-2</v>
      </c>
      <c r="CC120" s="228">
        <v>693</v>
      </c>
      <c r="CD120" s="228">
        <v>696</v>
      </c>
      <c r="CE120" s="228">
        <v>-3</v>
      </c>
      <c r="CF120" s="229">
        <v>-4.4999999999999997E-3</v>
      </c>
      <c r="CG120" s="228">
        <v>168</v>
      </c>
      <c r="CH120" s="228">
        <v>145</v>
      </c>
      <c r="CI120" s="228">
        <v>24</v>
      </c>
      <c r="CJ120" s="229">
        <v>0.1641</v>
      </c>
      <c r="CK120" s="228">
        <v>22</v>
      </c>
      <c r="CL120" s="228">
        <v>18</v>
      </c>
      <c r="CM120" s="228">
        <v>4</v>
      </c>
      <c r="CN120" s="229">
        <v>0.22220000000000001</v>
      </c>
      <c r="CO120" s="228">
        <v>582</v>
      </c>
      <c r="CP120" s="228">
        <v>605</v>
      </c>
      <c r="CQ120" s="228">
        <v>-24</v>
      </c>
      <c r="CR120" s="229">
        <v>-3.8899999999999997E-2</v>
      </c>
      <c r="CS120" s="228">
        <v>377</v>
      </c>
      <c r="CT120" s="228">
        <v>357</v>
      </c>
      <c r="CU120" s="228">
        <v>20</v>
      </c>
      <c r="CV120" s="229">
        <v>5.6599999999999998E-2</v>
      </c>
      <c r="CW120" s="230">
        <v>1842</v>
      </c>
      <c r="CX120" s="230">
        <v>1821</v>
      </c>
      <c r="CY120" s="228">
        <v>21</v>
      </c>
      <c r="CZ120" s="229">
        <v>1.17E-2</v>
      </c>
      <c r="DA120" s="228">
        <v>33.869999999999997</v>
      </c>
      <c r="DB120" s="228">
        <v>31.73</v>
      </c>
      <c r="DC120" s="228">
        <v>2.14</v>
      </c>
      <c r="DD120" s="228">
        <v>2.14</v>
      </c>
      <c r="DE120" s="228">
        <v>33.31</v>
      </c>
      <c r="DF120" s="228">
        <v>33.31</v>
      </c>
      <c r="DG120" s="228">
        <v>0.56000000000000005</v>
      </c>
      <c r="DH120" s="228">
        <v>0</v>
      </c>
      <c r="DI120" s="228">
        <v>33.54</v>
      </c>
      <c r="DJ120" s="228">
        <v>30.65</v>
      </c>
      <c r="DK120" s="228">
        <v>2.89</v>
      </c>
      <c r="DL120" s="228">
        <v>2.89</v>
      </c>
      <c r="DM120" s="228">
        <v>34.56</v>
      </c>
      <c r="DN120" s="228">
        <v>34.06</v>
      </c>
      <c r="DO120" s="228">
        <v>0.5</v>
      </c>
      <c r="DP120" s="228">
        <v>0.5</v>
      </c>
      <c r="DQ120" s="228">
        <v>0.65</v>
      </c>
      <c r="DR120" s="228">
        <v>0.59</v>
      </c>
      <c r="DS120" s="228">
        <v>0.06</v>
      </c>
      <c r="DT120" s="229">
        <v>0.1017</v>
      </c>
      <c r="DU120" s="228">
        <v>900</v>
      </c>
      <c r="DV120" s="228">
        <v>800</v>
      </c>
      <c r="DW120" s="228">
        <v>0.49</v>
      </c>
      <c r="DX120" s="228">
        <v>0.47</v>
      </c>
      <c r="DY120" s="228">
        <v>0.02</v>
      </c>
      <c r="DZ120" s="229">
        <v>4.2599999999999999E-2</v>
      </c>
      <c r="EA120" s="229">
        <v>0.2152</v>
      </c>
      <c r="EB120" s="230">
        <v>1962800</v>
      </c>
      <c r="EC120" s="229">
        <v>-4.4000000000000003E-3</v>
      </c>
      <c r="ED120" s="229">
        <v>0.2152</v>
      </c>
      <c r="EE120" s="228">
        <v>-3.9</v>
      </c>
      <c r="EF120" s="229">
        <v>-4.7000000000000002E-3</v>
      </c>
      <c r="EG120" s="230">
        <v>645633</v>
      </c>
      <c r="EH120" s="230">
        <v>590697</v>
      </c>
      <c r="EI120" s="229">
        <v>9.2999999999999999E-2</v>
      </c>
      <c r="EJ120" s="229">
        <v>0.36859999999999998</v>
      </c>
      <c r="EK120" s="228">
        <v>450.45</v>
      </c>
      <c r="EL120" s="228">
        <v>207.53</v>
      </c>
      <c r="EM120" s="228">
        <v>173.89</v>
      </c>
      <c r="EN120" s="228">
        <v>41.29</v>
      </c>
      <c r="EO120" s="228">
        <v>831.87</v>
      </c>
      <c r="EP120" s="228">
        <v>811.89</v>
      </c>
      <c r="EQ120" s="228">
        <v>19.98</v>
      </c>
      <c r="ER120" s="229">
        <v>2.46E-2</v>
      </c>
      <c r="ES120" s="228">
        <v>596.91</v>
      </c>
      <c r="ET120" s="228">
        <v>357.77</v>
      </c>
      <c r="EU120" s="228">
        <v>882.44</v>
      </c>
      <c r="EV120" s="231">
        <v>33206238</v>
      </c>
      <c r="EW120" s="231">
        <v>1837.13</v>
      </c>
      <c r="EX120" s="231">
        <v>1832.24</v>
      </c>
      <c r="EY120" s="228">
        <v>4.8899999999999997</v>
      </c>
      <c r="EZ120" s="229">
        <v>2.7000000000000001E-3</v>
      </c>
      <c r="FA120" s="229">
        <v>0.67059999999999997</v>
      </c>
      <c r="FB120" s="227" t="s">
        <v>566</v>
      </c>
      <c r="FC120">
        <f t="shared" si="1"/>
        <v>190</v>
      </c>
    </row>
    <row r="121" spans="1:159" ht="17.25" thickBot="1" x14ac:dyDescent="0.3">
      <c r="A121" s="226">
        <v>46132</v>
      </c>
      <c r="B121" s="227" t="s">
        <v>206</v>
      </c>
      <c r="C121" s="227" t="s">
        <v>587</v>
      </c>
      <c r="D121" s="228">
        <v>450</v>
      </c>
      <c r="E121" s="228">
        <v>8</v>
      </c>
      <c r="F121" s="228">
        <v>857.25</v>
      </c>
      <c r="G121" s="228">
        <v>872.85</v>
      </c>
      <c r="H121" s="228">
        <v>-15.6</v>
      </c>
      <c r="I121" s="229">
        <v>-1.7899999999999999E-2</v>
      </c>
      <c r="J121" s="228">
        <v>856.55</v>
      </c>
      <c r="K121" s="228">
        <v>872.55</v>
      </c>
      <c r="L121" s="228">
        <v>-16</v>
      </c>
      <c r="M121" s="229">
        <v>-1.83E-2</v>
      </c>
      <c r="N121" s="228">
        <v>857.25</v>
      </c>
      <c r="O121" s="228">
        <v>872.85</v>
      </c>
      <c r="P121" s="228">
        <v>-15.6</v>
      </c>
      <c r="Q121" s="229">
        <v>-1.7899999999999999E-2</v>
      </c>
      <c r="R121" s="228">
        <v>860.8</v>
      </c>
      <c r="S121" s="228">
        <v>877.4</v>
      </c>
      <c r="T121" s="228">
        <v>-16.600000000000001</v>
      </c>
      <c r="U121" s="229">
        <v>-1.89E-2</v>
      </c>
      <c r="V121" s="228">
        <v>866.7</v>
      </c>
      <c r="W121" s="228">
        <v>883.2</v>
      </c>
      <c r="X121" s="228">
        <v>-16.5</v>
      </c>
      <c r="Y121" s="229">
        <v>-1.8700000000000001E-2</v>
      </c>
      <c r="Z121" s="228">
        <v>0.7</v>
      </c>
      <c r="AA121" s="228">
        <v>0.3</v>
      </c>
      <c r="AB121" s="228">
        <v>0.4</v>
      </c>
      <c r="AC121" s="229">
        <v>8.0000000000000004E-4</v>
      </c>
      <c r="AD121" s="228">
        <v>0.7</v>
      </c>
      <c r="AE121" s="228">
        <v>0.3</v>
      </c>
      <c r="AF121" s="228">
        <v>0.4</v>
      </c>
      <c r="AG121" s="229">
        <v>8.0000000000000004E-4</v>
      </c>
      <c r="AH121" s="228">
        <v>4.25</v>
      </c>
      <c r="AI121" s="228">
        <v>4.8499999999999996</v>
      </c>
      <c r="AJ121" s="228">
        <v>-0.6</v>
      </c>
      <c r="AK121" s="229">
        <v>5.0000000000000001E-3</v>
      </c>
      <c r="AL121" s="228">
        <v>10.15</v>
      </c>
      <c r="AM121" s="228">
        <v>10.65</v>
      </c>
      <c r="AN121" s="228">
        <v>-0.5</v>
      </c>
      <c r="AO121" s="229">
        <v>1.18E-2</v>
      </c>
      <c r="AP121" s="228">
        <v>860.27</v>
      </c>
      <c r="AQ121" s="228">
        <v>865.76</v>
      </c>
      <c r="AR121" s="228">
        <v>0</v>
      </c>
      <c r="AS121" s="228">
        <v>171</v>
      </c>
      <c r="AT121" s="228">
        <v>265</v>
      </c>
      <c r="AU121" s="228">
        <v>-94</v>
      </c>
      <c r="AV121" s="229">
        <v>-0.35589999999999999</v>
      </c>
      <c r="AW121" s="228">
        <v>141</v>
      </c>
      <c r="AX121" s="228">
        <v>240</v>
      </c>
      <c r="AY121" s="228">
        <v>-100</v>
      </c>
      <c r="AZ121" s="229">
        <v>-0.41399999999999998</v>
      </c>
      <c r="BA121" s="228">
        <v>28</v>
      </c>
      <c r="BB121" s="228">
        <v>23</v>
      </c>
      <c r="BC121" s="228">
        <v>5</v>
      </c>
      <c r="BD121" s="229">
        <v>0.2084</v>
      </c>
      <c r="BE121" s="228">
        <v>2</v>
      </c>
      <c r="BF121" s="228">
        <v>2</v>
      </c>
      <c r="BG121" s="228">
        <v>0</v>
      </c>
      <c r="BH121" s="229">
        <v>0.3</v>
      </c>
      <c r="BI121" s="228">
        <v>289</v>
      </c>
      <c r="BJ121" s="228">
        <v>563</v>
      </c>
      <c r="BK121" s="228">
        <v>-274</v>
      </c>
      <c r="BL121" s="229">
        <v>-0.48709999999999998</v>
      </c>
      <c r="BM121" s="228">
        <v>312</v>
      </c>
      <c r="BN121" s="228">
        <v>462</v>
      </c>
      <c r="BO121" s="228">
        <v>-150</v>
      </c>
      <c r="BP121" s="229">
        <v>-0.32540000000000002</v>
      </c>
      <c r="BQ121" s="228">
        <v>771</v>
      </c>
      <c r="BR121" s="230">
        <v>1290</v>
      </c>
      <c r="BS121" s="228">
        <v>-519</v>
      </c>
      <c r="BT121" s="229">
        <v>-0.4022</v>
      </c>
      <c r="BU121" s="230">
        <v>1534723</v>
      </c>
      <c r="BV121" s="230">
        <v>2488053</v>
      </c>
      <c r="BW121" s="230">
        <v>-953330</v>
      </c>
      <c r="BX121" s="229">
        <v>-0.38319999999999999</v>
      </c>
      <c r="BY121" s="230">
        <v>1640</v>
      </c>
      <c r="BZ121" s="230">
        <v>1652</v>
      </c>
      <c r="CA121" s="228">
        <v>-12</v>
      </c>
      <c r="CB121" s="229">
        <v>-7.4000000000000003E-3</v>
      </c>
      <c r="CC121" s="230">
        <v>1464</v>
      </c>
      <c r="CD121" s="230">
        <v>1481</v>
      </c>
      <c r="CE121" s="228">
        <v>-17</v>
      </c>
      <c r="CF121" s="229">
        <v>-1.14E-2</v>
      </c>
      <c r="CG121" s="228">
        <v>117</v>
      </c>
      <c r="CH121" s="228">
        <v>113</v>
      </c>
      <c r="CI121" s="228">
        <v>4</v>
      </c>
      <c r="CJ121" s="229">
        <v>3.6299999999999999E-2</v>
      </c>
      <c r="CK121" s="228">
        <v>58</v>
      </c>
      <c r="CL121" s="228">
        <v>58</v>
      </c>
      <c r="CM121" s="228">
        <v>1</v>
      </c>
      <c r="CN121" s="229">
        <v>0.01</v>
      </c>
      <c r="CO121" s="228">
        <v>518</v>
      </c>
      <c r="CP121" s="228">
        <v>526</v>
      </c>
      <c r="CQ121" s="228">
        <v>-8</v>
      </c>
      <c r="CR121" s="229">
        <v>-1.4999999999999999E-2</v>
      </c>
      <c r="CS121" s="228">
        <v>431</v>
      </c>
      <c r="CT121" s="228">
        <v>443</v>
      </c>
      <c r="CU121" s="228">
        <v>-12</v>
      </c>
      <c r="CV121" s="229">
        <v>-2.7199999999999998E-2</v>
      </c>
      <c r="CW121" s="230">
        <v>2588</v>
      </c>
      <c r="CX121" s="230">
        <v>2620</v>
      </c>
      <c r="CY121" s="228">
        <v>-32</v>
      </c>
      <c r="CZ121" s="229">
        <v>-1.2200000000000001E-2</v>
      </c>
      <c r="DA121" s="228">
        <v>47.78</v>
      </c>
      <c r="DB121" s="228">
        <v>43.8</v>
      </c>
      <c r="DC121" s="228">
        <v>3.98</v>
      </c>
      <c r="DD121" s="228">
        <v>3.98</v>
      </c>
      <c r="DE121" s="228">
        <v>47.73</v>
      </c>
      <c r="DF121" s="228">
        <v>47.79</v>
      </c>
      <c r="DG121" s="228">
        <v>0.05</v>
      </c>
      <c r="DH121" s="228">
        <v>-0.06</v>
      </c>
      <c r="DI121" s="228">
        <v>45.79</v>
      </c>
      <c r="DJ121" s="228">
        <v>42.01</v>
      </c>
      <c r="DK121" s="228">
        <v>3.78</v>
      </c>
      <c r="DL121" s="228">
        <v>3.78</v>
      </c>
      <c r="DM121" s="228">
        <v>49.63</v>
      </c>
      <c r="DN121" s="228">
        <v>45.98</v>
      </c>
      <c r="DO121" s="228">
        <v>3.65</v>
      </c>
      <c r="DP121" s="228">
        <v>3.65</v>
      </c>
      <c r="DQ121" s="228">
        <v>0.83</v>
      </c>
      <c r="DR121" s="228">
        <v>0.84</v>
      </c>
      <c r="DS121" s="228">
        <v>-0.01</v>
      </c>
      <c r="DT121" s="229">
        <v>-1.1900000000000001E-2</v>
      </c>
      <c r="DU121" s="228">
        <v>720</v>
      </c>
      <c r="DV121" s="228">
        <v>800</v>
      </c>
      <c r="DW121" s="228">
        <v>1.08</v>
      </c>
      <c r="DX121" s="228">
        <v>0.82</v>
      </c>
      <c r="DY121" s="228">
        <v>0.26</v>
      </c>
      <c r="DZ121" s="229">
        <v>0.31709999999999999</v>
      </c>
      <c r="EA121" s="229">
        <v>0.10680000000000001</v>
      </c>
      <c r="EB121" s="230">
        <v>1989000</v>
      </c>
      <c r="EC121" s="229">
        <v>4.1000000000000003E-3</v>
      </c>
      <c r="ED121" s="229">
        <v>0.10680000000000001</v>
      </c>
      <c r="EE121" s="228">
        <v>5.49</v>
      </c>
      <c r="EF121" s="229">
        <v>6.4000000000000003E-3</v>
      </c>
      <c r="EG121" s="230">
        <v>505072</v>
      </c>
      <c r="EH121" s="230">
        <v>987011</v>
      </c>
      <c r="EI121" s="229">
        <v>-0.48830000000000001</v>
      </c>
      <c r="EJ121" s="229">
        <v>0.3291</v>
      </c>
      <c r="EK121" s="228">
        <v>304.52</v>
      </c>
      <c r="EL121" s="228">
        <v>306.39</v>
      </c>
      <c r="EM121" s="228">
        <v>171.42</v>
      </c>
      <c r="EN121" s="228">
        <v>86.68</v>
      </c>
      <c r="EO121" s="228">
        <v>782.34</v>
      </c>
      <c r="EP121" s="231">
        <v>1318.16</v>
      </c>
      <c r="EQ121" s="228">
        <v>-535.83000000000004</v>
      </c>
      <c r="ER121" s="229">
        <v>-0.40649999999999997</v>
      </c>
      <c r="ES121" s="228">
        <v>500.31</v>
      </c>
      <c r="ET121" s="228">
        <v>386.89</v>
      </c>
      <c r="EU121" s="231">
        <v>1640.73</v>
      </c>
      <c r="EV121" s="231">
        <v>42165698</v>
      </c>
      <c r="EW121" s="231">
        <v>2527.9299999999998</v>
      </c>
      <c r="EX121" s="231">
        <v>2589.67</v>
      </c>
      <c r="EY121" s="228">
        <v>-61.74</v>
      </c>
      <c r="EZ121" s="229">
        <v>-2.3800000000000002E-2</v>
      </c>
      <c r="FA121" s="229">
        <v>0.71609999999999996</v>
      </c>
      <c r="FB121" s="227" t="s">
        <v>567</v>
      </c>
      <c r="FC121">
        <f t="shared" si="1"/>
        <v>176</v>
      </c>
    </row>
    <row r="122" spans="1:159" ht="17.25" thickBot="1" x14ac:dyDescent="0.3">
      <c r="A122" s="226">
        <v>46132</v>
      </c>
      <c r="B122" s="227" t="s">
        <v>184</v>
      </c>
      <c r="C122" s="227" t="s">
        <v>249</v>
      </c>
      <c r="D122" s="228">
        <v>175</v>
      </c>
      <c r="E122" s="228">
        <v>8</v>
      </c>
      <c r="F122" s="231">
        <v>4056.4</v>
      </c>
      <c r="G122" s="231">
        <v>4106.8999999999996</v>
      </c>
      <c r="H122" s="228">
        <v>-50.5</v>
      </c>
      <c r="I122" s="229">
        <v>-1.23E-2</v>
      </c>
      <c r="J122" s="231">
        <v>4051</v>
      </c>
      <c r="K122" s="231">
        <v>4096.1000000000004</v>
      </c>
      <c r="L122" s="228">
        <v>-45.1</v>
      </c>
      <c r="M122" s="229">
        <v>-1.0999999999999999E-2</v>
      </c>
      <c r="N122" s="231">
        <v>4056.4</v>
      </c>
      <c r="O122" s="231">
        <v>4106.8999999999996</v>
      </c>
      <c r="P122" s="228">
        <v>-50.5</v>
      </c>
      <c r="Q122" s="229">
        <v>-1.23E-2</v>
      </c>
      <c r="R122" s="231">
        <v>4075.9</v>
      </c>
      <c r="S122" s="231">
        <v>4128.7</v>
      </c>
      <c r="T122" s="228">
        <v>-52.8</v>
      </c>
      <c r="U122" s="229">
        <v>-1.2800000000000001E-2</v>
      </c>
      <c r="V122" s="231">
        <v>4077.8</v>
      </c>
      <c r="W122" s="231">
        <v>4124.8999999999996</v>
      </c>
      <c r="X122" s="228">
        <v>-47.1</v>
      </c>
      <c r="Y122" s="229">
        <v>-1.14E-2</v>
      </c>
      <c r="Z122" s="228">
        <v>5.4</v>
      </c>
      <c r="AA122" s="228">
        <v>10.8</v>
      </c>
      <c r="AB122" s="228">
        <v>-5.4</v>
      </c>
      <c r="AC122" s="229">
        <v>1.2999999999999999E-3</v>
      </c>
      <c r="AD122" s="228">
        <v>5.4</v>
      </c>
      <c r="AE122" s="228">
        <v>10.8</v>
      </c>
      <c r="AF122" s="228">
        <v>-5.4</v>
      </c>
      <c r="AG122" s="229">
        <v>1.2999999999999999E-3</v>
      </c>
      <c r="AH122" s="228">
        <v>24.9</v>
      </c>
      <c r="AI122" s="228">
        <v>32.6</v>
      </c>
      <c r="AJ122" s="228">
        <v>-7.7</v>
      </c>
      <c r="AK122" s="229">
        <v>6.1000000000000004E-3</v>
      </c>
      <c r="AL122" s="228">
        <v>26.8</v>
      </c>
      <c r="AM122" s="228">
        <v>28.8</v>
      </c>
      <c r="AN122" s="228">
        <v>-2</v>
      </c>
      <c r="AO122" s="229">
        <v>6.6E-3</v>
      </c>
      <c r="AP122" s="231">
        <v>4075.79</v>
      </c>
      <c r="AQ122" s="231">
        <v>4098.6099999999997</v>
      </c>
      <c r="AR122" s="228">
        <v>0</v>
      </c>
      <c r="AS122" s="230">
        <v>1076</v>
      </c>
      <c r="AT122" s="228">
        <v>793</v>
      </c>
      <c r="AU122" s="228">
        <v>284</v>
      </c>
      <c r="AV122" s="229">
        <v>0.35759999999999997</v>
      </c>
      <c r="AW122" s="228">
        <v>734</v>
      </c>
      <c r="AX122" s="228">
        <v>597</v>
      </c>
      <c r="AY122" s="228">
        <v>137</v>
      </c>
      <c r="AZ122" s="229">
        <v>0.2298</v>
      </c>
      <c r="BA122" s="228">
        <v>319</v>
      </c>
      <c r="BB122" s="228">
        <v>186</v>
      </c>
      <c r="BC122" s="228">
        <v>134</v>
      </c>
      <c r="BD122" s="229">
        <v>0.72109999999999996</v>
      </c>
      <c r="BE122" s="228">
        <v>23</v>
      </c>
      <c r="BF122" s="228">
        <v>10</v>
      </c>
      <c r="BG122" s="228">
        <v>13</v>
      </c>
      <c r="BH122" s="229">
        <v>1.2122999999999999</v>
      </c>
      <c r="BI122" s="230">
        <v>3087</v>
      </c>
      <c r="BJ122" s="230">
        <v>2505</v>
      </c>
      <c r="BK122" s="228">
        <v>582</v>
      </c>
      <c r="BL122" s="229">
        <v>0.23219999999999999</v>
      </c>
      <c r="BM122" s="230">
        <v>2433</v>
      </c>
      <c r="BN122" s="230">
        <v>2252</v>
      </c>
      <c r="BO122" s="228">
        <v>181</v>
      </c>
      <c r="BP122" s="229">
        <v>8.0100000000000005E-2</v>
      </c>
      <c r="BQ122" s="230">
        <v>6597</v>
      </c>
      <c r="BR122" s="230">
        <v>5551</v>
      </c>
      <c r="BS122" s="230">
        <v>1046</v>
      </c>
      <c r="BT122" s="229">
        <v>0.18840000000000001</v>
      </c>
      <c r="BU122" s="230">
        <v>3675668</v>
      </c>
      <c r="BV122" s="230">
        <v>2940508</v>
      </c>
      <c r="BW122" s="230">
        <v>735160</v>
      </c>
      <c r="BX122" s="229">
        <v>0.25</v>
      </c>
      <c r="BY122" s="230">
        <v>6046</v>
      </c>
      <c r="BZ122" s="230">
        <v>6021</v>
      </c>
      <c r="CA122" s="228">
        <v>25</v>
      </c>
      <c r="CB122" s="229">
        <v>4.1000000000000003E-3</v>
      </c>
      <c r="CC122" s="230">
        <v>4745</v>
      </c>
      <c r="CD122" s="230">
        <v>4935</v>
      </c>
      <c r="CE122" s="228">
        <v>-190</v>
      </c>
      <c r="CF122" s="229">
        <v>-3.85E-2</v>
      </c>
      <c r="CG122" s="230">
        <v>1206</v>
      </c>
      <c r="CH122" s="230">
        <v>1001</v>
      </c>
      <c r="CI122" s="228">
        <v>204</v>
      </c>
      <c r="CJ122" s="229">
        <v>0.20369999999999999</v>
      </c>
      <c r="CK122" s="228">
        <v>95</v>
      </c>
      <c r="CL122" s="228">
        <v>85</v>
      </c>
      <c r="CM122" s="228">
        <v>11</v>
      </c>
      <c r="CN122" s="229">
        <v>0.12470000000000001</v>
      </c>
      <c r="CO122" s="230">
        <v>3898</v>
      </c>
      <c r="CP122" s="230">
        <v>3751</v>
      </c>
      <c r="CQ122" s="228">
        <v>147</v>
      </c>
      <c r="CR122" s="229">
        <v>3.9100000000000003E-2</v>
      </c>
      <c r="CS122" s="230">
        <v>3395</v>
      </c>
      <c r="CT122" s="230">
        <v>3335</v>
      </c>
      <c r="CU122" s="228">
        <v>60</v>
      </c>
      <c r="CV122" s="229">
        <v>1.7899999999999999E-2</v>
      </c>
      <c r="CW122" s="230">
        <v>13339</v>
      </c>
      <c r="CX122" s="230">
        <v>13108</v>
      </c>
      <c r="CY122" s="228">
        <v>231</v>
      </c>
      <c r="CZ122" s="229">
        <v>1.7600000000000001E-2</v>
      </c>
      <c r="DA122" s="228">
        <v>33.869999999999997</v>
      </c>
      <c r="DB122" s="228">
        <v>29.77</v>
      </c>
      <c r="DC122" s="228">
        <v>4.0999999999999996</v>
      </c>
      <c r="DD122" s="228">
        <v>4.0999999999999996</v>
      </c>
      <c r="DE122" s="228">
        <v>33.96</v>
      </c>
      <c r="DF122" s="228">
        <v>34.020000000000003</v>
      </c>
      <c r="DG122" s="228">
        <v>-0.09</v>
      </c>
      <c r="DH122" s="228">
        <v>-0.06</v>
      </c>
      <c r="DI122" s="228">
        <v>32.32</v>
      </c>
      <c r="DJ122" s="228">
        <v>27.83</v>
      </c>
      <c r="DK122" s="228">
        <v>4.49</v>
      </c>
      <c r="DL122" s="228">
        <v>4.49</v>
      </c>
      <c r="DM122" s="228">
        <v>35.83</v>
      </c>
      <c r="DN122" s="228">
        <v>31.92</v>
      </c>
      <c r="DO122" s="228">
        <v>3.91</v>
      </c>
      <c r="DP122" s="228">
        <v>3.91</v>
      </c>
      <c r="DQ122" s="228">
        <v>0.87</v>
      </c>
      <c r="DR122" s="228">
        <v>0.89</v>
      </c>
      <c r="DS122" s="228">
        <v>-0.02</v>
      </c>
      <c r="DT122" s="229">
        <v>-2.2499999999999999E-2</v>
      </c>
      <c r="DU122" s="231">
        <v>4000</v>
      </c>
      <c r="DV122" s="231">
        <v>4000</v>
      </c>
      <c r="DW122" s="228">
        <v>0.79</v>
      </c>
      <c r="DX122" s="228">
        <v>0.9</v>
      </c>
      <c r="DY122" s="228">
        <v>-0.11</v>
      </c>
      <c r="DZ122" s="229">
        <v>-0.1222</v>
      </c>
      <c r="EA122" s="229">
        <v>0.2152</v>
      </c>
      <c r="EB122" s="230">
        <v>2678025</v>
      </c>
      <c r="EC122" s="229">
        <v>4.7999999999999996E-3</v>
      </c>
      <c r="ED122" s="229">
        <v>0.2152</v>
      </c>
      <c r="EE122" s="228">
        <v>22.82</v>
      </c>
      <c r="EF122" s="229">
        <v>5.5999999999999999E-3</v>
      </c>
      <c r="EG122" s="230">
        <v>2231459</v>
      </c>
      <c r="EH122" s="230">
        <v>1808575</v>
      </c>
      <c r="EI122" s="229">
        <v>0.23380000000000001</v>
      </c>
      <c r="EJ122" s="229">
        <v>0.60709999999999997</v>
      </c>
      <c r="EK122" s="231">
        <v>3225.38</v>
      </c>
      <c r="EL122" s="231">
        <v>2398.67</v>
      </c>
      <c r="EM122" s="231">
        <v>1083.3900000000001</v>
      </c>
      <c r="EN122" s="228">
        <v>160.83000000000001</v>
      </c>
      <c r="EO122" s="231">
        <v>6707.43</v>
      </c>
      <c r="EP122" s="231">
        <v>5638.49</v>
      </c>
      <c r="EQ122" s="231">
        <v>1068.95</v>
      </c>
      <c r="ER122" s="229">
        <v>0.18959999999999999</v>
      </c>
      <c r="ES122" s="231">
        <v>3865.65</v>
      </c>
      <c r="ET122" s="231">
        <v>3185.31</v>
      </c>
      <c r="EU122" s="231">
        <v>6052.12</v>
      </c>
      <c r="EV122" s="231">
        <v>136099497</v>
      </c>
      <c r="EW122" s="231">
        <v>13103.08</v>
      </c>
      <c r="EX122" s="231">
        <v>12938.63</v>
      </c>
      <c r="EY122" s="228">
        <v>164.45</v>
      </c>
      <c r="EZ122" s="229">
        <v>1.2699999999999999E-2</v>
      </c>
      <c r="FA122" s="229">
        <v>0.24160000000000001</v>
      </c>
      <c r="FB122" s="227" t="s">
        <v>566</v>
      </c>
      <c r="FC122">
        <f t="shared" si="1"/>
        <v>1301</v>
      </c>
    </row>
    <row r="123" spans="1:159" ht="17.25" thickBot="1" x14ac:dyDescent="0.3">
      <c r="A123" s="226">
        <v>46132</v>
      </c>
      <c r="B123" s="227" t="s">
        <v>175</v>
      </c>
      <c r="C123" s="227" t="s">
        <v>564</v>
      </c>
      <c r="D123" s="228">
        <v>2250</v>
      </c>
      <c r="E123" s="228">
        <v>8</v>
      </c>
      <c r="F123" s="228">
        <v>290.5</v>
      </c>
      <c r="G123" s="228">
        <v>287.35000000000002</v>
      </c>
      <c r="H123" s="228">
        <v>3.15</v>
      </c>
      <c r="I123" s="229">
        <v>1.0999999999999999E-2</v>
      </c>
      <c r="J123" s="228">
        <v>290.14999999999998</v>
      </c>
      <c r="K123" s="228">
        <v>287.14</v>
      </c>
      <c r="L123" s="228">
        <v>3.01</v>
      </c>
      <c r="M123" s="229">
        <v>1.0500000000000001E-2</v>
      </c>
      <c r="N123" s="228">
        <v>290.5</v>
      </c>
      <c r="O123" s="228">
        <v>287.35000000000002</v>
      </c>
      <c r="P123" s="228">
        <v>3.15</v>
      </c>
      <c r="Q123" s="229">
        <v>1.0999999999999999E-2</v>
      </c>
      <c r="R123" s="228">
        <v>288.58999999999997</v>
      </c>
      <c r="S123" s="228">
        <v>285.02999999999997</v>
      </c>
      <c r="T123" s="228">
        <v>3.56</v>
      </c>
      <c r="U123" s="229">
        <v>1.2500000000000001E-2</v>
      </c>
      <c r="V123" s="228">
        <v>287.39</v>
      </c>
      <c r="W123" s="228">
        <v>284.07</v>
      </c>
      <c r="X123" s="228">
        <v>3.32</v>
      </c>
      <c r="Y123" s="229">
        <v>1.17E-2</v>
      </c>
      <c r="Z123" s="228">
        <v>0.35</v>
      </c>
      <c r="AA123" s="228">
        <v>0.21</v>
      </c>
      <c r="AB123" s="228">
        <v>0.14000000000000001</v>
      </c>
      <c r="AC123" s="229">
        <v>1.1999999999999999E-3</v>
      </c>
      <c r="AD123" s="228">
        <v>0.35</v>
      </c>
      <c r="AE123" s="228">
        <v>0.21</v>
      </c>
      <c r="AF123" s="228">
        <v>0.14000000000000001</v>
      </c>
      <c r="AG123" s="229">
        <v>1.1999999999999999E-3</v>
      </c>
      <c r="AH123" s="228">
        <v>-1.56</v>
      </c>
      <c r="AI123" s="228">
        <v>-2.11</v>
      </c>
      <c r="AJ123" s="228">
        <v>0.55000000000000004</v>
      </c>
      <c r="AK123" s="229">
        <v>-5.4000000000000003E-3</v>
      </c>
      <c r="AL123" s="228">
        <v>-2.76</v>
      </c>
      <c r="AM123" s="228">
        <v>-3.07</v>
      </c>
      <c r="AN123" s="228">
        <v>0.31</v>
      </c>
      <c r="AO123" s="229">
        <v>-9.4999999999999998E-3</v>
      </c>
      <c r="AP123" s="228">
        <v>291.19</v>
      </c>
      <c r="AQ123" s="228">
        <v>289.07</v>
      </c>
      <c r="AR123" s="228">
        <v>0</v>
      </c>
      <c r="AS123" s="228">
        <v>339</v>
      </c>
      <c r="AT123" s="228">
        <v>314</v>
      </c>
      <c r="AU123" s="228">
        <v>25</v>
      </c>
      <c r="AV123" s="229">
        <v>7.85E-2</v>
      </c>
      <c r="AW123" s="228">
        <v>270</v>
      </c>
      <c r="AX123" s="228">
        <v>261</v>
      </c>
      <c r="AY123" s="228">
        <v>9</v>
      </c>
      <c r="AZ123" s="229">
        <v>3.4299999999999997E-2</v>
      </c>
      <c r="BA123" s="228">
        <v>65</v>
      </c>
      <c r="BB123" s="228">
        <v>50</v>
      </c>
      <c r="BC123" s="228">
        <v>15</v>
      </c>
      <c r="BD123" s="229">
        <v>0.30590000000000001</v>
      </c>
      <c r="BE123" s="228">
        <v>4</v>
      </c>
      <c r="BF123" s="228">
        <v>3</v>
      </c>
      <c r="BG123" s="228">
        <v>0</v>
      </c>
      <c r="BH123" s="229">
        <v>0.12239999999999999</v>
      </c>
      <c r="BI123" s="228">
        <v>580</v>
      </c>
      <c r="BJ123" s="228">
        <v>620</v>
      </c>
      <c r="BK123" s="228">
        <v>-40</v>
      </c>
      <c r="BL123" s="229">
        <v>-6.4899999999999999E-2</v>
      </c>
      <c r="BM123" s="228">
        <v>307</v>
      </c>
      <c r="BN123" s="228">
        <v>377</v>
      </c>
      <c r="BO123" s="228">
        <v>-70</v>
      </c>
      <c r="BP123" s="229">
        <v>-0.1862</v>
      </c>
      <c r="BQ123" s="230">
        <v>1225</v>
      </c>
      <c r="BR123" s="230">
        <v>1311</v>
      </c>
      <c r="BS123" s="228">
        <v>-86</v>
      </c>
      <c r="BT123" s="229">
        <v>-6.54E-2</v>
      </c>
      <c r="BU123" s="230">
        <v>4972890</v>
      </c>
      <c r="BV123" s="230">
        <v>3565619</v>
      </c>
      <c r="BW123" s="230">
        <v>1407271</v>
      </c>
      <c r="BX123" s="229">
        <v>0.3947</v>
      </c>
      <c r="BY123" s="230">
        <v>1466</v>
      </c>
      <c r="BZ123" s="230">
        <v>1536</v>
      </c>
      <c r="CA123" s="228">
        <v>-70</v>
      </c>
      <c r="CB123" s="229">
        <v>-4.5400000000000003E-2</v>
      </c>
      <c r="CC123" s="230">
        <v>1320</v>
      </c>
      <c r="CD123" s="230">
        <v>1424</v>
      </c>
      <c r="CE123" s="228">
        <v>-104</v>
      </c>
      <c r="CF123" s="229">
        <v>-7.2800000000000004E-2</v>
      </c>
      <c r="CG123" s="228">
        <v>138</v>
      </c>
      <c r="CH123" s="228">
        <v>105</v>
      </c>
      <c r="CI123" s="228">
        <v>34</v>
      </c>
      <c r="CJ123" s="229">
        <v>0.32150000000000001</v>
      </c>
      <c r="CK123" s="228">
        <v>8</v>
      </c>
      <c r="CL123" s="228">
        <v>8</v>
      </c>
      <c r="CM123" s="228">
        <v>0</v>
      </c>
      <c r="CN123" s="229">
        <v>5.2200000000000003E-2</v>
      </c>
      <c r="CO123" s="228">
        <v>533</v>
      </c>
      <c r="CP123" s="228">
        <v>549</v>
      </c>
      <c r="CQ123" s="228">
        <v>-17</v>
      </c>
      <c r="CR123" s="229">
        <v>-3.0099999999999998E-2</v>
      </c>
      <c r="CS123" s="228">
        <v>510</v>
      </c>
      <c r="CT123" s="228">
        <v>477</v>
      </c>
      <c r="CU123" s="228">
        <v>32</v>
      </c>
      <c r="CV123" s="229">
        <v>6.7799999999999999E-2</v>
      </c>
      <c r="CW123" s="230">
        <v>2509</v>
      </c>
      <c r="CX123" s="230">
        <v>2563</v>
      </c>
      <c r="CY123" s="228">
        <v>-54</v>
      </c>
      <c r="CZ123" s="229">
        <v>-2.1000000000000001E-2</v>
      </c>
      <c r="DA123" s="228">
        <v>43.02</v>
      </c>
      <c r="DB123" s="228">
        <v>40.04</v>
      </c>
      <c r="DC123" s="228">
        <v>2.98</v>
      </c>
      <c r="DD123" s="228">
        <v>2.98</v>
      </c>
      <c r="DE123" s="228">
        <v>41.63</v>
      </c>
      <c r="DF123" s="228">
        <v>41.7</v>
      </c>
      <c r="DG123" s="228">
        <v>1.39</v>
      </c>
      <c r="DH123" s="228">
        <v>-7.0000000000000007E-2</v>
      </c>
      <c r="DI123" s="228">
        <v>41.37</v>
      </c>
      <c r="DJ123" s="228">
        <v>37.85</v>
      </c>
      <c r="DK123" s="228">
        <v>3.52</v>
      </c>
      <c r="DL123" s="228">
        <v>3.52</v>
      </c>
      <c r="DM123" s="228">
        <v>46.14</v>
      </c>
      <c r="DN123" s="228">
        <v>43.65</v>
      </c>
      <c r="DO123" s="228">
        <v>2.4900000000000002</v>
      </c>
      <c r="DP123" s="228">
        <v>2.4900000000000002</v>
      </c>
      <c r="DQ123" s="228">
        <v>0.96</v>
      </c>
      <c r="DR123" s="228">
        <v>0.87</v>
      </c>
      <c r="DS123" s="228">
        <v>0.09</v>
      </c>
      <c r="DT123" s="229">
        <v>0.10340000000000001</v>
      </c>
      <c r="DU123" s="228">
        <v>300</v>
      </c>
      <c r="DV123" s="228">
        <v>300</v>
      </c>
      <c r="DW123" s="228">
        <v>0.53</v>
      </c>
      <c r="DX123" s="228">
        <v>0.61</v>
      </c>
      <c r="DY123" s="228">
        <v>-0.08</v>
      </c>
      <c r="DZ123" s="229">
        <v>-0.13109999999999999</v>
      </c>
      <c r="EA123" s="229">
        <v>9.9599999999999994E-2</v>
      </c>
      <c r="EB123" s="230">
        <v>3856500</v>
      </c>
      <c r="EC123" s="229">
        <v>-6.6E-3</v>
      </c>
      <c r="ED123" s="229">
        <v>9.9599999999999994E-2</v>
      </c>
      <c r="EE123" s="228">
        <v>-2.12</v>
      </c>
      <c r="EF123" s="229">
        <v>-7.3000000000000001E-3</v>
      </c>
      <c r="EG123" s="230">
        <v>1736809</v>
      </c>
      <c r="EH123" s="230">
        <v>1310818</v>
      </c>
      <c r="EI123" s="229">
        <v>0.32500000000000001</v>
      </c>
      <c r="EJ123" s="229">
        <v>0.3493</v>
      </c>
      <c r="EK123" s="228">
        <v>605.79</v>
      </c>
      <c r="EL123" s="228">
        <v>294.06</v>
      </c>
      <c r="EM123" s="228">
        <v>338.99</v>
      </c>
      <c r="EN123" s="228">
        <v>44.1</v>
      </c>
      <c r="EO123" s="231">
        <v>1238.8399999999999</v>
      </c>
      <c r="EP123" s="231">
        <v>1305.03</v>
      </c>
      <c r="EQ123" s="228">
        <v>-66.180000000000007</v>
      </c>
      <c r="ER123" s="229">
        <v>-5.0700000000000002E-2</v>
      </c>
      <c r="ES123" s="228">
        <v>514.33000000000004</v>
      </c>
      <c r="ET123" s="228">
        <v>474.41</v>
      </c>
      <c r="EU123" s="231">
        <v>1465.02</v>
      </c>
      <c r="EV123" s="231">
        <v>127514625</v>
      </c>
      <c r="EW123" s="231">
        <v>2453.77</v>
      </c>
      <c r="EX123" s="231">
        <v>2489.21</v>
      </c>
      <c r="EY123" s="228">
        <v>-35.44</v>
      </c>
      <c r="EZ123" s="229">
        <v>-1.4200000000000001E-2</v>
      </c>
      <c r="FA123" s="229">
        <v>0.67720000000000002</v>
      </c>
      <c r="FB123" s="227" t="s">
        <v>693</v>
      </c>
      <c r="FC123">
        <f t="shared" si="1"/>
        <v>146</v>
      </c>
    </row>
    <row r="124" spans="1:159" ht="17.25" thickBot="1" x14ac:dyDescent="0.3">
      <c r="A124" s="226">
        <v>46132</v>
      </c>
      <c r="B124" s="227" t="s">
        <v>221</v>
      </c>
      <c r="C124" s="227" t="s">
        <v>692</v>
      </c>
      <c r="D124" s="228">
        <v>150</v>
      </c>
      <c r="E124" s="228">
        <v>8</v>
      </c>
      <c r="F124" s="231">
        <v>4632</v>
      </c>
      <c r="G124" s="231">
        <v>4691.8</v>
      </c>
      <c r="H124" s="228">
        <v>-59.8</v>
      </c>
      <c r="I124" s="229">
        <v>-1.2699999999999999E-2</v>
      </c>
      <c r="J124" s="231">
        <v>4715.8</v>
      </c>
      <c r="K124" s="231">
        <v>4753.6000000000004</v>
      </c>
      <c r="L124" s="228">
        <v>-37.799999999999997</v>
      </c>
      <c r="M124" s="229">
        <v>-8.0000000000000002E-3</v>
      </c>
      <c r="N124" s="231">
        <v>4632</v>
      </c>
      <c r="O124" s="231">
        <v>4691.8</v>
      </c>
      <c r="P124" s="228">
        <v>-59.8</v>
      </c>
      <c r="Q124" s="229">
        <v>-1.2699999999999999E-2</v>
      </c>
      <c r="R124" s="231">
        <v>4510.2</v>
      </c>
      <c r="S124" s="231">
        <v>4571.8999999999996</v>
      </c>
      <c r="T124" s="228">
        <v>-61.7</v>
      </c>
      <c r="U124" s="229">
        <v>-1.35E-2</v>
      </c>
      <c r="V124" s="231">
        <v>4439</v>
      </c>
      <c r="W124" s="231">
        <v>4492.3999999999996</v>
      </c>
      <c r="X124" s="228">
        <v>-53.4</v>
      </c>
      <c r="Y124" s="229">
        <v>-1.1900000000000001E-2</v>
      </c>
      <c r="Z124" s="228">
        <v>-83.8</v>
      </c>
      <c r="AA124" s="228">
        <v>-61.8</v>
      </c>
      <c r="AB124" s="228">
        <v>-22</v>
      </c>
      <c r="AC124" s="229">
        <v>-1.78E-2</v>
      </c>
      <c r="AD124" s="228">
        <v>-83.8</v>
      </c>
      <c r="AE124" s="228">
        <v>-61.8</v>
      </c>
      <c r="AF124" s="228">
        <v>-22</v>
      </c>
      <c r="AG124" s="229">
        <v>-1.78E-2</v>
      </c>
      <c r="AH124" s="228">
        <v>-205.6</v>
      </c>
      <c r="AI124" s="228">
        <v>-181.7</v>
      </c>
      <c r="AJ124" s="228">
        <v>-23.9</v>
      </c>
      <c r="AK124" s="229">
        <v>-4.36E-2</v>
      </c>
      <c r="AL124" s="228">
        <v>-276.8</v>
      </c>
      <c r="AM124" s="228">
        <v>-261.2</v>
      </c>
      <c r="AN124" s="228">
        <v>-15.6</v>
      </c>
      <c r="AO124" s="229">
        <v>-5.8700000000000002E-2</v>
      </c>
      <c r="AP124" s="231">
        <v>4650.78</v>
      </c>
      <c r="AQ124" s="231">
        <v>4531.66</v>
      </c>
      <c r="AR124" s="228">
        <v>0</v>
      </c>
      <c r="AS124" s="228">
        <v>250</v>
      </c>
      <c r="AT124" s="228">
        <v>288</v>
      </c>
      <c r="AU124" s="228">
        <v>-38</v>
      </c>
      <c r="AV124" s="229">
        <v>-0.1328</v>
      </c>
      <c r="AW124" s="228">
        <v>175</v>
      </c>
      <c r="AX124" s="228">
        <v>208</v>
      </c>
      <c r="AY124" s="228">
        <v>-33</v>
      </c>
      <c r="AZ124" s="229">
        <v>-0.15670000000000001</v>
      </c>
      <c r="BA124" s="228">
        <v>72</v>
      </c>
      <c r="BB124" s="228">
        <v>77</v>
      </c>
      <c r="BC124" s="228">
        <v>-6</v>
      </c>
      <c r="BD124" s="229">
        <v>-7.2599999999999998E-2</v>
      </c>
      <c r="BE124" s="228">
        <v>2</v>
      </c>
      <c r="BF124" s="228">
        <v>2</v>
      </c>
      <c r="BG124" s="228">
        <v>0</v>
      </c>
      <c r="BH124" s="229">
        <v>0</v>
      </c>
      <c r="BI124" s="228">
        <v>322</v>
      </c>
      <c r="BJ124" s="228">
        <v>640</v>
      </c>
      <c r="BK124" s="228">
        <v>-318</v>
      </c>
      <c r="BL124" s="229">
        <v>-0.497</v>
      </c>
      <c r="BM124" s="228">
        <v>201</v>
      </c>
      <c r="BN124" s="228">
        <v>319</v>
      </c>
      <c r="BO124" s="228">
        <v>-119</v>
      </c>
      <c r="BP124" s="229">
        <v>-0.3715</v>
      </c>
      <c r="BQ124" s="228">
        <v>773</v>
      </c>
      <c r="BR124" s="230">
        <v>1248</v>
      </c>
      <c r="BS124" s="228">
        <v>-475</v>
      </c>
      <c r="BT124" s="229">
        <v>-0.38080000000000003</v>
      </c>
      <c r="BU124" s="230">
        <v>185410</v>
      </c>
      <c r="BV124" s="230">
        <v>339240</v>
      </c>
      <c r="BW124" s="230">
        <v>-153830</v>
      </c>
      <c r="BX124" s="229">
        <v>-0.45350000000000001</v>
      </c>
      <c r="BY124" s="230">
        <v>2340</v>
      </c>
      <c r="BZ124" s="230">
        <v>2319</v>
      </c>
      <c r="CA124" s="228">
        <v>21</v>
      </c>
      <c r="CB124" s="229">
        <v>8.8999999999999999E-3</v>
      </c>
      <c r="CC124" s="230">
        <v>1889</v>
      </c>
      <c r="CD124" s="230">
        <v>1902</v>
      </c>
      <c r="CE124" s="228">
        <v>-13</v>
      </c>
      <c r="CF124" s="229">
        <v>-6.8999999999999999E-3</v>
      </c>
      <c r="CG124" s="228">
        <v>439</v>
      </c>
      <c r="CH124" s="228">
        <v>406</v>
      </c>
      <c r="CI124" s="228">
        <v>33</v>
      </c>
      <c r="CJ124" s="229">
        <v>8.0399999999999999E-2</v>
      </c>
      <c r="CK124" s="228">
        <v>12</v>
      </c>
      <c r="CL124" s="228">
        <v>11</v>
      </c>
      <c r="CM124" s="228">
        <v>1</v>
      </c>
      <c r="CN124" s="229">
        <v>9.8799999999999999E-2</v>
      </c>
      <c r="CO124" s="228">
        <v>487</v>
      </c>
      <c r="CP124" s="228">
        <v>486</v>
      </c>
      <c r="CQ124" s="228">
        <v>1</v>
      </c>
      <c r="CR124" s="229">
        <v>1.6000000000000001E-3</v>
      </c>
      <c r="CS124" s="228">
        <v>394</v>
      </c>
      <c r="CT124" s="228">
        <v>422</v>
      </c>
      <c r="CU124" s="228">
        <v>-28</v>
      </c>
      <c r="CV124" s="229">
        <v>-6.5500000000000003E-2</v>
      </c>
      <c r="CW124" s="230">
        <v>3221</v>
      </c>
      <c r="CX124" s="230">
        <v>3227</v>
      </c>
      <c r="CY124" s="228">
        <v>-6</v>
      </c>
      <c r="CZ124" s="229">
        <v>-2E-3</v>
      </c>
      <c r="DA124" s="228">
        <v>41.41</v>
      </c>
      <c r="DB124" s="228">
        <v>35.68</v>
      </c>
      <c r="DC124" s="228">
        <v>5.73</v>
      </c>
      <c r="DD124" s="228">
        <v>5.73</v>
      </c>
      <c r="DE124" s="228">
        <v>35.82</v>
      </c>
      <c r="DF124" s="228">
        <v>35.89</v>
      </c>
      <c r="DG124" s="228">
        <v>5.59</v>
      </c>
      <c r="DH124" s="228">
        <v>-7.0000000000000007E-2</v>
      </c>
      <c r="DI124" s="228">
        <v>40.46</v>
      </c>
      <c r="DJ124" s="228">
        <v>34.159999999999997</v>
      </c>
      <c r="DK124" s="228">
        <v>6.3</v>
      </c>
      <c r="DL124" s="228">
        <v>6.3</v>
      </c>
      <c r="DM124" s="228">
        <v>42.91</v>
      </c>
      <c r="DN124" s="228">
        <v>38.72</v>
      </c>
      <c r="DO124" s="228">
        <v>4.1900000000000004</v>
      </c>
      <c r="DP124" s="228">
        <v>4.1900000000000004</v>
      </c>
      <c r="DQ124" s="228">
        <v>0.81</v>
      </c>
      <c r="DR124" s="228">
        <v>0.87</v>
      </c>
      <c r="DS124" s="228">
        <v>-0.06</v>
      </c>
      <c r="DT124" s="229">
        <v>-6.9000000000000006E-2</v>
      </c>
      <c r="DU124" s="231">
        <v>4700</v>
      </c>
      <c r="DV124" s="231">
        <v>4300</v>
      </c>
      <c r="DW124" s="228">
        <v>0.62</v>
      </c>
      <c r="DX124" s="228">
        <v>0.5</v>
      </c>
      <c r="DY124" s="228">
        <v>0.12</v>
      </c>
      <c r="DZ124" s="229">
        <v>0.24</v>
      </c>
      <c r="EA124" s="229">
        <v>0.19289999999999999</v>
      </c>
      <c r="EB124" s="230">
        <v>901500</v>
      </c>
      <c r="EC124" s="229">
        <v>-2.63E-2</v>
      </c>
      <c r="ED124" s="229">
        <v>0.19289999999999999</v>
      </c>
      <c r="EE124" s="228">
        <v>-119.12</v>
      </c>
      <c r="EF124" s="229">
        <v>-2.5600000000000001E-2</v>
      </c>
      <c r="EG124" s="230">
        <v>84088</v>
      </c>
      <c r="EH124" s="230">
        <v>185212</v>
      </c>
      <c r="EI124" s="229">
        <v>-0.54600000000000004</v>
      </c>
      <c r="EJ124" s="229">
        <v>0.45350000000000001</v>
      </c>
      <c r="EK124" s="228">
        <v>338.59</v>
      </c>
      <c r="EL124" s="228">
        <v>199.47</v>
      </c>
      <c r="EM124" s="228">
        <v>248.7</v>
      </c>
      <c r="EN124" s="228">
        <v>56.03</v>
      </c>
      <c r="EO124" s="228">
        <v>786.76</v>
      </c>
      <c r="EP124" s="231">
        <v>1272.7</v>
      </c>
      <c r="EQ124" s="228">
        <v>-485.94</v>
      </c>
      <c r="ER124" s="229">
        <v>-0.38179999999999997</v>
      </c>
      <c r="ES124" s="228">
        <v>485</v>
      </c>
      <c r="ET124" s="228">
        <v>364.29</v>
      </c>
      <c r="EU124" s="231">
        <v>2327.8200000000002</v>
      </c>
      <c r="EV124" s="231">
        <v>12564965</v>
      </c>
      <c r="EW124" s="231">
        <v>3177.11</v>
      </c>
      <c r="EX124" s="231">
        <v>3212.72</v>
      </c>
      <c r="EY124" s="228">
        <v>-35.61</v>
      </c>
      <c r="EZ124" s="229">
        <v>-1.11E-2</v>
      </c>
      <c r="FA124" s="229">
        <v>0.5534</v>
      </c>
      <c r="FB124" s="227" t="s">
        <v>566</v>
      </c>
      <c r="FC124">
        <f t="shared" si="1"/>
        <v>451</v>
      </c>
    </row>
    <row r="125" spans="1:159" ht="17.25" thickBot="1" x14ac:dyDescent="0.3">
      <c r="A125" s="226">
        <v>46132</v>
      </c>
      <c r="B125" s="227" t="s">
        <v>170</v>
      </c>
      <c r="C125" s="227" t="s">
        <v>250</v>
      </c>
      <c r="D125" s="228">
        <v>425</v>
      </c>
      <c r="E125" s="228">
        <v>8</v>
      </c>
      <c r="F125" s="231">
        <v>2325.1999999999998</v>
      </c>
      <c r="G125" s="231">
        <v>2328.4</v>
      </c>
      <c r="H125" s="228">
        <v>-3.2</v>
      </c>
      <c r="I125" s="229">
        <v>-1.4E-3</v>
      </c>
      <c r="J125" s="231">
        <v>2328.6999999999998</v>
      </c>
      <c r="K125" s="231">
        <v>2326.1</v>
      </c>
      <c r="L125" s="228">
        <v>2.6</v>
      </c>
      <c r="M125" s="229">
        <v>1.1000000000000001E-3</v>
      </c>
      <c r="N125" s="231">
        <v>2325.1999999999998</v>
      </c>
      <c r="O125" s="231">
        <v>2328.4</v>
      </c>
      <c r="P125" s="228">
        <v>-3.2</v>
      </c>
      <c r="Q125" s="229">
        <v>-1.4E-3</v>
      </c>
      <c r="R125" s="231">
        <v>2334.4</v>
      </c>
      <c r="S125" s="231">
        <v>2335.6999999999998</v>
      </c>
      <c r="T125" s="228">
        <v>-1.3</v>
      </c>
      <c r="U125" s="229">
        <v>-5.9999999999999995E-4</v>
      </c>
      <c r="V125" s="231">
        <v>2349</v>
      </c>
      <c r="W125" s="231">
        <v>2348.6</v>
      </c>
      <c r="X125" s="228">
        <v>0.4</v>
      </c>
      <c r="Y125" s="229">
        <v>2.0000000000000001E-4</v>
      </c>
      <c r="Z125" s="228">
        <v>-3.5</v>
      </c>
      <c r="AA125" s="228">
        <v>2.2999999999999998</v>
      </c>
      <c r="AB125" s="228">
        <v>-5.8</v>
      </c>
      <c r="AC125" s="229">
        <v>-1.5E-3</v>
      </c>
      <c r="AD125" s="228">
        <v>-3.5</v>
      </c>
      <c r="AE125" s="228">
        <v>2.2999999999999998</v>
      </c>
      <c r="AF125" s="228">
        <v>-5.8</v>
      </c>
      <c r="AG125" s="229">
        <v>-1.5E-3</v>
      </c>
      <c r="AH125" s="228">
        <v>5.7</v>
      </c>
      <c r="AI125" s="228">
        <v>9.6</v>
      </c>
      <c r="AJ125" s="228">
        <v>-3.9</v>
      </c>
      <c r="AK125" s="229">
        <v>2.3999999999999998E-3</v>
      </c>
      <c r="AL125" s="228">
        <v>20.3</v>
      </c>
      <c r="AM125" s="228">
        <v>22.5</v>
      </c>
      <c r="AN125" s="228">
        <v>-2.2000000000000002</v>
      </c>
      <c r="AO125" s="229">
        <v>8.6999999999999994E-3</v>
      </c>
      <c r="AP125" s="231">
        <v>2330.17</v>
      </c>
      <c r="AQ125" s="231">
        <v>2340.11</v>
      </c>
      <c r="AR125" s="228">
        <v>0</v>
      </c>
      <c r="AS125" s="228">
        <v>237</v>
      </c>
      <c r="AT125" s="228">
        <v>246</v>
      </c>
      <c r="AU125" s="228">
        <v>-9</v>
      </c>
      <c r="AV125" s="229">
        <v>-3.5799999999999998E-2</v>
      </c>
      <c r="AW125" s="228">
        <v>210</v>
      </c>
      <c r="AX125" s="228">
        <v>218</v>
      </c>
      <c r="AY125" s="228">
        <v>-8</v>
      </c>
      <c r="AZ125" s="229">
        <v>-3.6700000000000003E-2</v>
      </c>
      <c r="BA125" s="228">
        <v>25</v>
      </c>
      <c r="BB125" s="228">
        <v>26</v>
      </c>
      <c r="BC125" s="228">
        <v>-1</v>
      </c>
      <c r="BD125" s="229">
        <v>-4.9599999999999998E-2</v>
      </c>
      <c r="BE125" s="228">
        <v>2</v>
      </c>
      <c r="BF125" s="228">
        <v>2</v>
      </c>
      <c r="BG125" s="228">
        <v>0</v>
      </c>
      <c r="BH125" s="229">
        <v>0.3125</v>
      </c>
      <c r="BI125" s="230">
        <v>1190</v>
      </c>
      <c r="BJ125" s="228">
        <v>899</v>
      </c>
      <c r="BK125" s="228">
        <v>291</v>
      </c>
      <c r="BL125" s="229">
        <v>0.32329999999999998</v>
      </c>
      <c r="BM125" s="228">
        <v>576</v>
      </c>
      <c r="BN125" s="228">
        <v>426</v>
      </c>
      <c r="BO125" s="228">
        <v>149</v>
      </c>
      <c r="BP125" s="229">
        <v>0.35</v>
      </c>
      <c r="BQ125" s="230">
        <v>2002</v>
      </c>
      <c r="BR125" s="230">
        <v>1571</v>
      </c>
      <c r="BS125" s="228">
        <v>431</v>
      </c>
      <c r="BT125" s="229">
        <v>0.27439999999999998</v>
      </c>
      <c r="BU125" s="230">
        <v>730316</v>
      </c>
      <c r="BV125" s="230">
        <v>1038979</v>
      </c>
      <c r="BW125" s="230">
        <v>-308663</v>
      </c>
      <c r="BX125" s="229">
        <v>-0.29709999999999998</v>
      </c>
      <c r="BY125" s="230">
        <v>1562</v>
      </c>
      <c r="BZ125" s="230">
        <v>1583</v>
      </c>
      <c r="CA125" s="228">
        <v>-20</v>
      </c>
      <c r="CB125" s="229">
        <v>-1.2800000000000001E-2</v>
      </c>
      <c r="CC125" s="230">
        <v>1489</v>
      </c>
      <c r="CD125" s="230">
        <v>1516</v>
      </c>
      <c r="CE125" s="228">
        <v>-27</v>
      </c>
      <c r="CF125" s="229">
        <v>-1.7999999999999999E-2</v>
      </c>
      <c r="CG125" s="228">
        <v>71</v>
      </c>
      <c r="CH125" s="228">
        <v>64</v>
      </c>
      <c r="CI125" s="228">
        <v>7</v>
      </c>
      <c r="CJ125" s="229">
        <v>0.107</v>
      </c>
      <c r="CK125" s="228">
        <v>3</v>
      </c>
      <c r="CL125" s="228">
        <v>3</v>
      </c>
      <c r="CM125" s="228">
        <v>0</v>
      </c>
      <c r="CN125" s="229">
        <v>6.6699999999999995E-2</v>
      </c>
      <c r="CO125" s="228">
        <v>555</v>
      </c>
      <c r="CP125" s="228">
        <v>577</v>
      </c>
      <c r="CQ125" s="228">
        <v>-22</v>
      </c>
      <c r="CR125" s="229">
        <v>-3.8199999999999998E-2</v>
      </c>
      <c r="CS125" s="228">
        <v>401</v>
      </c>
      <c r="CT125" s="228">
        <v>369</v>
      </c>
      <c r="CU125" s="228">
        <v>32</v>
      </c>
      <c r="CV125" s="229">
        <v>8.6999999999999994E-2</v>
      </c>
      <c r="CW125" s="230">
        <v>2518</v>
      </c>
      <c r="CX125" s="230">
        <v>2529</v>
      </c>
      <c r="CY125" s="228">
        <v>-10</v>
      </c>
      <c r="CZ125" s="229">
        <v>-4.0000000000000001E-3</v>
      </c>
      <c r="DA125" s="228">
        <v>28.06</v>
      </c>
      <c r="DB125" s="228">
        <v>25.07</v>
      </c>
      <c r="DC125" s="228">
        <v>2.99</v>
      </c>
      <c r="DD125" s="228">
        <v>2.99</v>
      </c>
      <c r="DE125" s="228">
        <v>27.85</v>
      </c>
      <c r="DF125" s="228">
        <v>27.92</v>
      </c>
      <c r="DG125" s="228">
        <v>0.21</v>
      </c>
      <c r="DH125" s="228">
        <v>-7.0000000000000007E-2</v>
      </c>
      <c r="DI125" s="228">
        <v>27.61</v>
      </c>
      <c r="DJ125" s="228">
        <v>24.66</v>
      </c>
      <c r="DK125" s="228">
        <v>2.95</v>
      </c>
      <c r="DL125" s="228">
        <v>2.95</v>
      </c>
      <c r="DM125" s="228">
        <v>28.97</v>
      </c>
      <c r="DN125" s="228">
        <v>25.93</v>
      </c>
      <c r="DO125" s="228">
        <v>3.04</v>
      </c>
      <c r="DP125" s="228">
        <v>3.04</v>
      </c>
      <c r="DQ125" s="228">
        <v>0.72</v>
      </c>
      <c r="DR125" s="228">
        <v>0.64</v>
      </c>
      <c r="DS125" s="228">
        <v>0.08</v>
      </c>
      <c r="DT125" s="229">
        <v>0.125</v>
      </c>
      <c r="DU125" s="231">
        <v>2300</v>
      </c>
      <c r="DV125" s="231">
        <v>2300</v>
      </c>
      <c r="DW125" s="228">
        <v>0.48</v>
      </c>
      <c r="DX125" s="228">
        <v>0.47</v>
      </c>
      <c r="DY125" s="228">
        <v>0.01</v>
      </c>
      <c r="DZ125" s="229">
        <v>2.1299999999999999E-2</v>
      </c>
      <c r="EA125" s="229">
        <v>4.7199999999999999E-2</v>
      </c>
      <c r="EB125" s="230">
        <v>286875</v>
      </c>
      <c r="EC125" s="229">
        <v>4.0000000000000001E-3</v>
      </c>
      <c r="ED125" s="229">
        <v>4.7199999999999999E-2</v>
      </c>
      <c r="EE125" s="228">
        <v>9.94</v>
      </c>
      <c r="EF125" s="229">
        <v>4.3E-3</v>
      </c>
      <c r="EG125" s="230">
        <v>413278</v>
      </c>
      <c r="EH125" s="230">
        <v>575876</v>
      </c>
      <c r="EI125" s="229">
        <v>-0.2823</v>
      </c>
      <c r="EJ125" s="229">
        <v>0.56589999999999996</v>
      </c>
      <c r="EK125" s="231">
        <v>1231.96</v>
      </c>
      <c r="EL125" s="228">
        <v>569.39</v>
      </c>
      <c r="EM125" s="228">
        <v>237.41</v>
      </c>
      <c r="EN125" s="228">
        <v>21.33</v>
      </c>
      <c r="EO125" s="231">
        <v>2038.76</v>
      </c>
      <c r="EP125" s="231">
        <v>1594.48</v>
      </c>
      <c r="EQ125" s="228">
        <v>444.28</v>
      </c>
      <c r="ER125" s="229">
        <v>0.27860000000000001</v>
      </c>
      <c r="ES125" s="228">
        <v>569.72</v>
      </c>
      <c r="ET125" s="228">
        <v>385.54</v>
      </c>
      <c r="EU125" s="231">
        <v>1562.57</v>
      </c>
      <c r="EV125" s="231">
        <v>32222448</v>
      </c>
      <c r="EW125" s="231">
        <v>2517.83</v>
      </c>
      <c r="EX125" s="231">
        <v>2533.2600000000002</v>
      </c>
      <c r="EY125" s="228">
        <v>-15.43</v>
      </c>
      <c r="EZ125" s="229">
        <v>-6.1000000000000004E-3</v>
      </c>
      <c r="FA125" s="229">
        <v>0.33610000000000001</v>
      </c>
      <c r="FB125" s="227" t="s">
        <v>567</v>
      </c>
      <c r="FC125">
        <f t="shared" si="1"/>
        <v>73</v>
      </c>
    </row>
    <row r="126" spans="1:159" ht="17.25" thickBot="1" x14ac:dyDescent="0.3">
      <c r="A126" s="226">
        <v>46132</v>
      </c>
      <c r="B126" s="227" t="s">
        <v>162</v>
      </c>
      <c r="C126" s="227" t="s">
        <v>251</v>
      </c>
      <c r="D126" s="228">
        <v>200</v>
      </c>
      <c r="E126" s="228">
        <v>8</v>
      </c>
      <c r="F126" s="231">
        <v>3218.3</v>
      </c>
      <c r="G126" s="231">
        <v>3207.2</v>
      </c>
      <c r="H126" s="228">
        <v>11.1</v>
      </c>
      <c r="I126" s="229">
        <v>3.5000000000000001E-3</v>
      </c>
      <c r="J126" s="231">
        <v>3221.6</v>
      </c>
      <c r="K126" s="231">
        <v>3200.2</v>
      </c>
      <c r="L126" s="228">
        <v>21.4</v>
      </c>
      <c r="M126" s="229">
        <v>6.7000000000000002E-3</v>
      </c>
      <c r="N126" s="231">
        <v>3218.3</v>
      </c>
      <c r="O126" s="231">
        <v>3207.2</v>
      </c>
      <c r="P126" s="228">
        <v>11.1</v>
      </c>
      <c r="Q126" s="229">
        <v>3.5000000000000001E-3</v>
      </c>
      <c r="R126" s="231">
        <v>3236.6</v>
      </c>
      <c r="S126" s="231">
        <v>3225.7</v>
      </c>
      <c r="T126" s="228">
        <v>10.9</v>
      </c>
      <c r="U126" s="229">
        <v>3.3999999999999998E-3</v>
      </c>
      <c r="V126" s="231">
        <v>3257.1</v>
      </c>
      <c r="W126" s="231">
        <v>3244</v>
      </c>
      <c r="X126" s="228">
        <v>13.1</v>
      </c>
      <c r="Y126" s="229">
        <v>4.0000000000000001E-3</v>
      </c>
      <c r="Z126" s="228">
        <v>-3.3</v>
      </c>
      <c r="AA126" s="228">
        <v>7</v>
      </c>
      <c r="AB126" s="228">
        <v>-10.3</v>
      </c>
      <c r="AC126" s="229">
        <v>-1E-3</v>
      </c>
      <c r="AD126" s="228">
        <v>-3.3</v>
      </c>
      <c r="AE126" s="228">
        <v>7</v>
      </c>
      <c r="AF126" s="228">
        <v>-10.3</v>
      </c>
      <c r="AG126" s="229">
        <v>-1E-3</v>
      </c>
      <c r="AH126" s="228">
        <v>15</v>
      </c>
      <c r="AI126" s="228">
        <v>25.5</v>
      </c>
      <c r="AJ126" s="228">
        <v>-10.5</v>
      </c>
      <c r="AK126" s="229">
        <v>4.7000000000000002E-3</v>
      </c>
      <c r="AL126" s="228">
        <v>35.5</v>
      </c>
      <c r="AM126" s="228">
        <v>43.8</v>
      </c>
      <c r="AN126" s="228">
        <v>-8.3000000000000007</v>
      </c>
      <c r="AO126" s="229">
        <v>1.0999999999999999E-2</v>
      </c>
      <c r="AP126" s="231">
        <v>3212.93</v>
      </c>
      <c r="AQ126" s="231">
        <v>3229.78</v>
      </c>
      <c r="AR126" s="228">
        <v>0</v>
      </c>
      <c r="AS126" s="228">
        <v>670</v>
      </c>
      <c r="AT126" s="228">
        <v>754</v>
      </c>
      <c r="AU126" s="228">
        <v>-84</v>
      </c>
      <c r="AV126" s="229">
        <v>-0.1111</v>
      </c>
      <c r="AW126" s="228">
        <v>547</v>
      </c>
      <c r="AX126" s="228">
        <v>557</v>
      </c>
      <c r="AY126" s="228">
        <v>-10</v>
      </c>
      <c r="AZ126" s="229">
        <v>-1.77E-2</v>
      </c>
      <c r="BA126" s="228">
        <v>105</v>
      </c>
      <c r="BB126" s="228">
        <v>122</v>
      </c>
      <c r="BC126" s="228">
        <v>-17</v>
      </c>
      <c r="BD126" s="229">
        <v>-0.1361</v>
      </c>
      <c r="BE126" s="228">
        <v>18</v>
      </c>
      <c r="BF126" s="228">
        <v>75</v>
      </c>
      <c r="BG126" s="228">
        <v>-57</v>
      </c>
      <c r="BH126" s="229">
        <v>-0.76280000000000003</v>
      </c>
      <c r="BI126" s="230">
        <v>2308</v>
      </c>
      <c r="BJ126" s="230">
        <v>1972</v>
      </c>
      <c r="BK126" s="228">
        <v>336</v>
      </c>
      <c r="BL126" s="229">
        <v>0.17050000000000001</v>
      </c>
      <c r="BM126" s="230">
        <v>1106</v>
      </c>
      <c r="BN126" s="230">
        <v>1090</v>
      </c>
      <c r="BO126" s="228">
        <v>16</v>
      </c>
      <c r="BP126" s="229">
        <v>1.4500000000000001E-2</v>
      </c>
      <c r="BQ126" s="230">
        <v>4084</v>
      </c>
      <c r="BR126" s="230">
        <v>3816</v>
      </c>
      <c r="BS126" s="228">
        <v>268</v>
      </c>
      <c r="BT126" s="229">
        <v>7.0300000000000001E-2</v>
      </c>
      <c r="BU126" s="230">
        <v>3266359</v>
      </c>
      <c r="BV126" s="230">
        <v>2396669</v>
      </c>
      <c r="BW126" s="230">
        <v>869690</v>
      </c>
      <c r="BX126" s="229">
        <v>0.3629</v>
      </c>
      <c r="BY126" s="230">
        <v>6414</v>
      </c>
      <c r="BZ126" s="230">
        <v>6367</v>
      </c>
      <c r="CA126" s="228">
        <v>47</v>
      </c>
      <c r="CB126" s="229">
        <v>7.4000000000000003E-3</v>
      </c>
      <c r="CC126" s="230">
        <v>5011</v>
      </c>
      <c r="CD126" s="230">
        <v>5017</v>
      </c>
      <c r="CE126" s="228">
        <v>-6</v>
      </c>
      <c r="CF126" s="229">
        <v>-1.1999999999999999E-3</v>
      </c>
      <c r="CG126" s="230">
        <v>1064</v>
      </c>
      <c r="CH126" s="230">
        <v>1020</v>
      </c>
      <c r="CI126" s="228">
        <v>44</v>
      </c>
      <c r="CJ126" s="229">
        <v>4.3400000000000001E-2</v>
      </c>
      <c r="CK126" s="228">
        <v>339</v>
      </c>
      <c r="CL126" s="228">
        <v>330</v>
      </c>
      <c r="CM126" s="228">
        <v>9</v>
      </c>
      <c r="CN126" s="229">
        <v>2.7699999999999999E-2</v>
      </c>
      <c r="CO126" s="230">
        <v>1662</v>
      </c>
      <c r="CP126" s="230">
        <v>1777</v>
      </c>
      <c r="CQ126" s="228">
        <v>-115</v>
      </c>
      <c r="CR126" s="229">
        <v>-6.5000000000000002E-2</v>
      </c>
      <c r="CS126" s="230">
        <v>1183</v>
      </c>
      <c r="CT126" s="230">
        <v>1152</v>
      </c>
      <c r="CU126" s="228">
        <v>31</v>
      </c>
      <c r="CV126" s="229">
        <v>2.69E-2</v>
      </c>
      <c r="CW126" s="230">
        <v>9260</v>
      </c>
      <c r="CX126" s="230">
        <v>9297</v>
      </c>
      <c r="CY126" s="228">
        <v>-37</v>
      </c>
      <c r="CZ126" s="229">
        <v>-4.0000000000000001E-3</v>
      </c>
      <c r="DA126" s="228">
        <v>34.72</v>
      </c>
      <c r="DB126" s="228">
        <v>32.299999999999997</v>
      </c>
      <c r="DC126" s="228">
        <v>2.42</v>
      </c>
      <c r="DD126" s="228">
        <v>2.42</v>
      </c>
      <c r="DE126" s="228">
        <v>35.56</v>
      </c>
      <c r="DF126" s="228">
        <v>35.64</v>
      </c>
      <c r="DG126" s="228">
        <v>-0.84</v>
      </c>
      <c r="DH126" s="228">
        <v>-0.08</v>
      </c>
      <c r="DI126" s="228">
        <v>33.880000000000003</v>
      </c>
      <c r="DJ126" s="228">
        <v>31.76</v>
      </c>
      <c r="DK126" s="228">
        <v>2.12</v>
      </c>
      <c r="DL126" s="228">
        <v>2.12</v>
      </c>
      <c r="DM126" s="228">
        <v>36.49</v>
      </c>
      <c r="DN126" s="228">
        <v>33.28</v>
      </c>
      <c r="DO126" s="228">
        <v>3.21</v>
      </c>
      <c r="DP126" s="228">
        <v>3.21</v>
      </c>
      <c r="DQ126" s="228">
        <v>0.71</v>
      </c>
      <c r="DR126" s="228">
        <v>0.65</v>
      </c>
      <c r="DS126" s="228">
        <v>0.06</v>
      </c>
      <c r="DT126" s="229">
        <v>9.2299999999999993E-2</v>
      </c>
      <c r="DU126" s="231">
        <v>3300</v>
      </c>
      <c r="DV126" s="231">
        <v>3100</v>
      </c>
      <c r="DW126" s="228">
        <v>0.48</v>
      </c>
      <c r="DX126" s="228">
        <v>0.55000000000000004</v>
      </c>
      <c r="DY126" s="228">
        <v>-7.0000000000000007E-2</v>
      </c>
      <c r="DZ126" s="229">
        <v>-0.1273</v>
      </c>
      <c r="EA126" s="229">
        <v>0.21879999999999999</v>
      </c>
      <c r="EB126" s="230">
        <v>4194600</v>
      </c>
      <c r="EC126" s="229">
        <v>5.7000000000000002E-3</v>
      </c>
      <c r="ED126" s="229">
        <v>0.21879999999999999</v>
      </c>
      <c r="EE126" s="228">
        <v>16.850000000000001</v>
      </c>
      <c r="EF126" s="229">
        <v>5.1999999999999998E-3</v>
      </c>
      <c r="EG126" s="230">
        <v>1990301</v>
      </c>
      <c r="EH126" s="230">
        <v>1381871</v>
      </c>
      <c r="EI126" s="229">
        <v>0.44030000000000002</v>
      </c>
      <c r="EJ126" s="229">
        <v>0.60929999999999995</v>
      </c>
      <c r="EK126" s="231">
        <v>2382.44</v>
      </c>
      <c r="EL126" s="231">
        <v>1095.71</v>
      </c>
      <c r="EM126" s="228">
        <v>669.69</v>
      </c>
      <c r="EN126" s="228">
        <v>128.72</v>
      </c>
      <c r="EO126" s="231">
        <v>4147.8500000000004</v>
      </c>
      <c r="EP126" s="231">
        <v>3879.57</v>
      </c>
      <c r="EQ126" s="228">
        <v>268.27999999999997</v>
      </c>
      <c r="ER126" s="229">
        <v>6.9199999999999998E-2</v>
      </c>
      <c r="ES126" s="231">
        <v>1695.95</v>
      </c>
      <c r="ET126" s="231">
        <v>1143.5</v>
      </c>
      <c r="EU126" s="231">
        <v>6424.34</v>
      </c>
      <c r="EV126" s="231">
        <v>120808308</v>
      </c>
      <c r="EW126" s="231">
        <v>9263.7900000000009</v>
      </c>
      <c r="EX126" s="231">
        <v>9281.2099999999991</v>
      </c>
      <c r="EY126" s="228">
        <v>-17.420000000000002</v>
      </c>
      <c r="EZ126" s="229">
        <v>-1.9E-3</v>
      </c>
      <c r="FA126" s="229">
        <v>0.2382</v>
      </c>
      <c r="FB126" s="227" t="s">
        <v>555</v>
      </c>
      <c r="FC126">
        <f t="shared" si="1"/>
        <v>1403</v>
      </c>
    </row>
    <row r="127" spans="1:159" ht="17.25" thickBot="1" x14ac:dyDescent="0.3">
      <c r="A127" s="226">
        <v>46132</v>
      </c>
      <c r="B127" s="227" t="s">
        <v>175</v>
      </c>
      <c r="C127" s="227" t="s">
        <v>253</v>
      </c>
      <c r="D127" s="228">
        <v>3000</v>
      </c>
      <c r="E127" s="228">
        <v>8</v>
      </c>
      <c r="F127" s="228">
        <v>269.5</v>
      </c>
      <c r="G127" s="228">
        <v>270.05</v>
      </c>
      <c r="H127" s="228">
        <v>-0.55000000000000004</v>
      </c>
      <c r="I127" s="229">
        <v>-2E-3</v>
      </c>
      <c r="J127" s="228">
        <v>269.10000000000002</v>
      </c>
      <c r="K127" s="228">
        <v>268.89999999999998</v>
      </c>
      <c r="L127" s="228">
        <v>0.2</v>
      </c>
      <c r="M127" s="229">
        <v>6.9999999999999999E-4</v>
      </c>
      <c r="N127" s="228">
        <v>269.5</v>
      </c>
      <c r="O127" s="228">
        <v>270.05</v>
      </c>
      <c r="P127" s="228">
        <v>-0.55000000000000004</v>
      </c>
      <c r="Q127" s="229">
        <v>-2E-3</v>
      </c>
      <c r="R127" s="228">
        <v>271</v>
      </c>
      <c r="S127" s="228">
        <v>271.39999999999998</v>
      </c>
      <c r="T127" s="228">
        <v>-0.4</v>
      </c>
      <c r="U127" s="229">
        <v>-1.5E-3</v>
      </c>
      <c r="V127" s="228">
        <v>272.2</v>
      </c>
      <c r="W127" s="228">
        <v>272.95</v>
      </c>
      <c r="X127" s="228">
        <v>-0.75</v>
      </c>
      <c r="Y127" s="229">
        <v>-2.7000000000000001E-3</v>
      </c>
      <c r="Z127" s="228">
        <v>0.4</v>
      </c>
      <c r="AA127" s="228">
        <v>1.1499999999999999</v>
      </c>
      <c r="AB127" s="228">
        <v>-0.75</v>
      </c>
      <c r="AC127" s="229">
        <v>1.5E-3</v>
      </c>
      <c r="AD127" s="228">
        <v>0.4</v>
      </c>
      <c r="AE127" s="228">
        <v>1.1499999999999999</v>
      </c>
      <c r="AF127" s="228">
        <v>-0.75</v>
      </c>
      <c r="AG127" s="229">
        <v>1.5E-3</v>
      </c>
      <c r="AH127" s="228">
        <v>1.9</v>
      </c>
      <c r="AI127" s="228">
        <v>2.5</v>
      </c>
      <c r="AJ127" s="228">
        <v>-0.6</v>
      </c>
      <c r="AK127" s="229">
        <v>7.1000000000000004E-3</v>
      </c>
      <c r="AL127" s="228">
        <v>3.1</v>
      </c>
      <c r="AM127" s="228">
        <v>4.05</v>
      </c>
      <c r="AN127" s="228">
        <v>-0.95</v>
      </c>
      <c r="AO127" s="229">
        <v>1.15E-2</v>
      </c>
      <c r="AP127" s="228">
        <v>270.12</v>
      </c>
      <c r="AQ127" s="228">
        <v>271.69</v>
      </c>
      <c r="AR127" s="228">
        <v>0</v>
      </c>
      <c r="AS127" s="228">
        <v>186</v>
      </c>
      <c r="AT127" s="228">
        <v>136</v>
      </c>
      <c r="AU127" s="228">
        <v>51</v>
      </c>
      <c r="AV127" s="229">
        <v>0.37409999999999999</v>
      </c>
      <c r="AW127" s="228">
        <v>129</v>
      </c>
      <c r="AX127" s="228">
        <v>120</v>
      </c>
      <c r="AY127" s="228">
        <v>9</v>
      </c>
      <c r="AZ127" s="229">
        <v>7.2599999999999998E-2</v>
      </c>
      <c r="BA127" s="228">
        <v>56</v>
      </c>
      <c r="BB127" s="228">
        <v>15</v>
      </c>
      <c r="BC127" s="228">
        <v>41</v>
      </c>
      <c r="BD127" s="229">
        <v>2.7978000000000001</v>
      </c>
      <c r="BE127" s="228">
        <v>1</v>
      </c>
      <c r="BF127" s="228">
        <v>0</v>
      </c>
      <c r="BG127" s="228">
        <v>1</v>
      </c>
      <c r="BH127" s="229">
        <v>1.4</v>
      </c>
      <c r="BI127" s="228">
        <v>362</v>
      </c>
      <c r="BJ127" s="228">
        <v>355</v>
      </c>
      <c r="BK127" s="228">
        <v>7</v>
      </c>
      <c r="BL127" s="229">
        <v>2.0299999999999999E-2</v>
      </c>
      <c r="BM127" s="228">
        <v>149</v>
      </c>
      <c r="BN127" s="228">
        <v>240</v>
      </c>
      <c r="BO127" s="228">
        <v>-92</v>
      </c>
      <c r="BP127" s="229">
        <v>-0.38159999999999999</v>
      </c>
      <c r="BQ127" s="228">
        <v>697</v>
      </c>
      <c r="BR127" s="228">
        <v>731</v>
      </c>
      <c r="BS127" s="228">
        <v>-34</v>
      </c>
      <c r="BT127" s="229">
        <v>-4.6300000000000001E-2</v>
      </c>
      <c r="BU127" s="230">
        <v>2113472</v>
      </c>
      <c r="BV127" s="230">
        <v>2435553</v>
      </c>
      <c r="BW127" s="230">
        <v>-322081</v>
      </c>
      <c r="BX127" s="229">
        <v>-0.13220000000000001</v>
      </c>
      <c r="BY127" s="230">
        <v>1449</v>
      </c>
      <c r="BZ127" s="230">
        <v>1443</v>
      </c>
      <c r="CA127" s="228">
        <v>7</v>
      </c>
      <c r="CB127" s="229">
        <v>4.4999999999999997E-3</v>
      </c>
      <c r="CC127" s="230">
        <v>1361</v>
      </c>
      <c r="CD127" s="230">
        <v>1394</v>
      </c>
      <c r="CE127" s="228">
        <v>-33</v>
      </c>
      <c r="CF127" s="229">
        <v>-2.3900000000000001E-2</v>
      </c>
      <c r="CG127" s="228">
        <v>85</v>
      </c>
      <c r="CH127" s="228">
        <v>45</v>
      </c>
      <c r="CI127" s="228">
        <v>40</v>
      </c>
      <c r="CJ127" s="229">
        <v>0.8851</v>
      </c>
      <c r="CK127" s="228">
        <v>3</v>
      </c>
      <c r="CL127" s="228">
        <v>3</v>
      </c>
      <c r="CM127" s="228">
        <v>0</v>
      </c>
      <c r="CN127" s="229">
        <v>0</v>
      </c>
      <c r="CO127" s="228">
        <v>494</v>
      </c>
      <c r="CP127" s="228">
        <v>470</v>
      </c>
      <c r="CQ127" s="228">
        <v>24</v>
      </c>
      <c r="CR127" s="229">
        <v>5.1400000000000001E-2</v>
      </c>
      <c r="CS127" s="228">
        <v>310</v>
      </c>
      <c r="CT127" s="228">
        <v>304</v>
      </c>
      <c r="CU127" s="228">
        <v>7</v>
      </c>
      <c r="CV127" s="229">
        <v>2.1499999999999998E-2</v>
      </c>
      <c r="CW127" s="230">
        <v>2254</v>
      </c>
      <c r="CX127" s="230">
        <v>2217</v>
      </c>
      <c r="CY127" s="228">
        <v>37</v>
      </c>
      <c r="CZ127" s="229">
        <v>1.6799999999999999E-2</v>
      </c>
      <c r="DA127" s="228">
        <v>38.619999999999997</v>
      </c>
      <c r="DB127" s="228">
        <v>34.46</v>
      </c>
      <c r="DC127" s="228">
        <v>4.16</v>
      </c>
      <c r="DD127" s="228">
        <v>4.16</v>
      </c>
      <c r="DE127" s="228">
        <v>42.49</v>
      </c>
      <c r="DF127" s="228">
        <v>42.6</v>
      </c>
      <c r="DG127" s="228">
        <v>-3.87</v>
      </c>
      <c r="DH127" s="228">
        <v>-0.11</v>
      </c>
      <c r="DI127" s="228">
        <v>37.89</v>
      </c>
      <c r="DJ127" s="228">
        <v>33.31</v>
      </c>
      <c r="DK127" s="228">
        <v>4.58</v>
      </c>
      <c r="DL127" s="228">
        <v>4.58</v>
      </c>
      <c r="DM127" s="228">
        <v>40.409999999999997</v>
      </c>
      <c r="DN127" s="228">
        <v>36.15</v>
      </c>
      <c r="DO127" s="228">
        <v>4.26</v>
      </c>
      <c r="DP127" s="228">
        <v>4.26</v>
      </c>
      <c r="DQ127" s="228">
        <v>0.63</v>
      </c>
      <c r="DR127" s="228">
        <v>0.65</v>
      </c>
      <c r="DS127" s="228">
        <v>-0.02</v>
      </c>
      <c r="DT127" s="229">
        <v>-3.0800000000000001E-2</v>
      </c>
      <c r="DU127" s="228">
        <v>270</v>
      </c>
      <c r="DV127" s="228">
        <v>250</v>
      </c>
      <c r="DW127" s="228">
        <v>0.41</v>
      </c>
      <c r="DX127" s="228">
        <v>0.68</v>
      </c>
      <c r="DY127" s="228">
        <v>-0.27</v>
      </c>
      <c r="DZ127" s="229">
        <v>-0.39710000000000001</v>
      </c>
      <c r="EA127" s="229">
        <v>6.0900000000000003E-2</v>
      </c>
      <c r="EB127" s="230">
        <v>1797000</v>
      </c>
      <c r="EC127" s="229">
        <v>5.5999999999999999E-3</v>
      </c>
      <c r="ED127" s="229">
        <v>6.0900000000000003E-2</v>
      </c>
      <c r="EE127" s="228">
        <v>1.57</v>
      </c>
      <c r="EF127" s="229">
        <v>5.7999999999999996E-3</v>
      </c>
      <c r="EG127" s="230">
        <v>606558</v>
      </c>
      <c r="EH127" s="230">
        <v>863033</v>
      </c>
      <c r="EI127" s="229">
        <v>-0.29720000000000002</v>
      </c>
      <c r="EJ127" s="229">
        <v>0.28699999999999998</v>
      </c>
      <c r="EK127" s="228">
        <v>376.16</v>
      </c>
      <c r="EL127" s="228">
        <v>146.05000000000001</v>
      </c>
      <c r="EM127" s="228">
        <v>186.97</v>
      </c>
      <c r="EN127" s="228">
        <v>20.59</v>
      </c>
      <c r="EO127" s="228">
        <v>709.17</v>
      </c>
      <c r="EP127" s="228">
        <v>738.54</v>
      </c>
      <c r="EQ127" s="228">
        <v>-29.37</v>
      </c>
      <c r="ER127" s="229">
        <v>-3.9800000000000002E-2</v>
      </c>
      <c r="ES127" s="228">
        <v>508.69</v>
      </c>
      <c r="ET127" s="228">
        <v>291.79000000000002</v>
      </c>
      <c r="EU127" s="231">
        <v>1449.82</v>
      </c>
      <c r="EV127" s="231">
        <v>82205057</v>
      </c>
      <c r="EW127" s="231">
        <v>2250.3000000000002</v>
      </c>
      <c r="EX127" s="231">
        <v>2215.83</v>
      </c>
      <c r="EY127" s="228">
        <v>34.47</v>
      </c>
      <c r="EZ127" s="229">
        <v>1.5599999999999999E-2</v>
      </c>
      <c r="FA127" s="229">
        <v>1.0173000000000001</v>
      </c>
      <c r="FB127" s="227" t="s">
        <v>566</v>
      </c>
      <c r="FC127">
        <f t="shared" si="1"/>
        <v>88</v>
      </c>
    </row>
    <row r="128" spans="1:159" ht="17.25" thickBot="1" x14ac:dyDescent="0.3">
      <c r="A128" s="226">
        <v>46132</v>
      </c>
      <c r="B128" s="227" t="s">
        <v>170</v>
      </c>
      <c r="C128" s="227" t="s">
        <v>670</v>
      </c>
      <c r="D128" s="228">
        <v>225</v>
      </c>
      <c r="E128" s="228">
        <v>8</v>
      </c>
      <c r="F128" s="231">
        <v>2138.8000000000002</v>
      </c>
      <c r="G128" s="231">
        <v>2129.4</v>
      </c>
      <c r="H128" s="228">
        <v>9.4</v>
      </c>
      <c r="I128" s="229">
        <v>4.4000000000000003E-3</v>
      </c>
      <c r="J128" s="231">
        <v>2144</v>
      </c>
      <c r="K128" s="231">
        <v>2125</v>
      </c>
      <c r="L128" s="228">
        <v>19</v>
      </c>
      <c r="M128" s="229">
        <v>8.8999999999999999E-3</v>
      </c>
      <c r="N128" s="231">
        <v>2138.8000000000002</v>
      </c>
      <c r="O128" s="231">
        <v>2129.4</v>
      </c>
      <c r="P128" s="228">
        <v>9.4</v>
      </c>
      <c r="Q128" s="229">
        <v>4.4000000000000003E-3</v>
      </c>
      <c r="R128" s="231">
        <v>2143</v>
      </c>
      <c r="S128" s="231">
        <v>2127</v>
      </c>
      <c r="T128" s="228">
        <v>16</v>
      </c>
      <c r="U128" s="229">
        <v>7.4999999999999997E-3</v>
      </c>
      <c r="V128" s="231">
        <v>2135.6</v>
      </c>
      <c r="W128" s="231">
        <v>2122.1</v>
      </c>
      <c r="X128" s="228">
        <v>13.5</v>
      </c>
      <c r="Y128" s="229">
        <v>6.4000000000000003E-3</v>
      </c>
      <c r="Z128" s="228">
        <v>-5.2</v>
      </c>
      <c r="AA128" s="228">
        <v>4.4000000000000004</v>
      </c>
      <c r="AB128" s="228">
        <v>-9.6</v>
      </c>
      <c r="AC128" s="229">
        <v>-2.3999999999999998E-3</v>
      </c>
      <c r="AD128" s="228">
        <v>-5.2</v>
      </c>
      <c r="AE128" s="228">
        <v>4.4000000000000004</v>
      </c>
      <c r="AF128" s="228">
        <v>-9.6</v>
      </c>
      <c r="AG128" s="229">
        <v>-2.3999999999999998E-3</v>
      </c>
      <c r="AH128" s="228">
        <v>-1</v>
      </c>
      <c r="AI128" s="228">
        <v>2</v>
      </c>
      <c r="AJ128" s="228">
        <v>-3</v>
      </c>
      <c r="AK128" s="229">
        <v>-5.0000000000000001E-4</v>
      </c>
      <c r="AL128" s="228">
        <v>-8.4</v>
      </c>
      <c r="AM128" s="228">
        <v>-2.9</v>
      </c>
      <c r="AN128" s="228">
        <v>-5.5</v>
      </c>
      <c r="AO128" s="229">
        <v>-3.8999999999999998E-3</v>
      </c>
      <c r="AP128" s="231">
        <v>2141.89</v>
      </c>
      <c r="AQ128" s="231">
        <v>2145.44</v>
      </c>
      <c r="AR128" s="228">
        <v>0</v>
      </c>
      <c r="AS128" s="228">
        <v>127</v>
      </c>
      <c r="AT128" s="228">
        <v>58</v>
      </c>
      <c r="AU128" s="228">
        <v>69</v>
      </c>
      <c r="AV128" s="229">
        <v>1.2008000000000001</v>
      </c>
      <c r="AW128" s="228">
        <v>97</v>
      </c>
      <c r="AX128" s="228">
        <v>47</v>
      </c>
      <c r="AY128" s="228">
        <v>50</v>
      </c>
      <c r="AZ128" s="229">
        <v>1.0549999999999999</v>
      </c>
      <c r="BA128" s="228">
        <v>29</v>
      </c>
      <c r="BB128" s="228">
        <v>10</v>
      </c>
      <c r="BC128" s="228">
        <v>19</v>
      </c>
      <c r="BD128" s="229">
        <v>1.8956999999999999</v>
      </c>
      <c r="BE128" s="228">
        <v>0</v>
      </c>
      <c r="BF128" s="228">
        <v>0</v>
      </c>
      <c r="BG128" s="228">
        <v>0</v>
      </c>
      <c r="BH128" s="229">
        <v>-0.5</v>
      </c>
      <c r="BI128" s="228">
        <v>241</v>
      </c>
      <c r="BJ128" s="228">
        <v>147</v>
      </c>
      <c r="BK128" s="228">
        <v>94</v>
      </c>
      <c r="BL128" s="229">
        <v>0.63819999999999999</v>
      </c>
      <c r="BM128" s="228">
        <v>203</v>
      </c>
      <c r="BN128" s="228">
        <v>22</v>
      </c>
      <c r="BO128" s="228">
        <v>180</v>
      </c>
      <c r="BP128" s="229">
        <v>8.0558999999999994</v>
      </c>
      <c r="BQ128" s="228">
        <v>570</v>
      </c>
      <c r="BR128" s="228">
        <v>227</v>
      </c>
      <c r="BS128" s="228">
        <v>343</v>
      </c>
      <c r="BT128" s="229">
        <v>1.5114000000000001</v>
      </c>
      <c r="BU128" s="230">
        <v>303551</v>
      </c>
      <c r="BV128" s="230">
        <v>566639</v>
      </c>
      <c r="BW128" s="230">
        <v>-263088</v>
      </c>
      <c r="BX128" s="229">
        <v>-0.46429999999999999</v>
      </c>
      <c r="BY128" s="228">
        <v>653</v>
      </c>
      <c r="BZ128" s="228">
        <v>621</v>
      </c>
      <c r="CA128" s="228">
        <v>32</v>
      </c>
      <c r="CB128" s="229">
        <v>5.1799999999999999E-2</v>
      </c>
      <c r="CC128" s="228">
        <v>593</v>
      </c>
      <c r="CD128" s="228">
        <v>580</v>
      </c>
      <c r="CE128" s="228">
        <v>13</v>
      </c>
      <c r="CF128" s="229">
        <v>2.2200000000000001E-2</v>
      </c>
      <c r="CG128" s="228">
        <v>59</v>
      </c>
      <c r="CH128" s="228">
        <v>40</v>
      </c>
      <c r="CI128" s="228">
        <v>19</v>
      </c>
      <c r="CJ128" s="229">
        <v>0.4854</v>
      </c>
      <c r="CK128" s="228">
        <v>2</v>
      </c>
      <c r="CL128" s="228">
        <v>2</v>
      </c>
      <c r="CM128" s="228">
        <v>0</v>
      </c>
      <c r="CN128" s="229">
        <v>0</v>
      </c>
      <c r="CO128" s="228">
        <v>157</v>
      </c>
      <c r="CP128" s="228">
        <v>171</v>
      </c>
      <c r="CQ128" s="228">
        <v>-14</v>
      </c>
      <c r="CR128" s="229">
        <v>-8.1699999999999995E-2</v>
      </c>
      <c r="CS128" s="228">
        <v>57</v>
      </c>
      <c r="CT128" s="228">
        <v>57</v>
      </c>
      <c r="CU128" s="228">
        <v>0</v>
      </c>
      <c r="CV128" s="229">
        <v>-2.5000000000000001E-3</v>
      </c>
      <c r="CW128" s="228">
        <v>868</v>
      </c>
      <c r="CX128" s="228">
        <v>850</v>
      </c>
      <c r="CY128" s="228">
        <v>18</v>
      </c>
      <c r="CZ128" s="229">
        <v>2.12E-2</v>
      </c>
      <c r="DA128" s="228">
        <v>39.24</v>
      </c>
      <c r="DB128" s="228">
        <v>28.27</v>
      </c>
      <c r="DC128" s="228">
        <v>10.97</v>
      </c>
      <c r="DD128" s="228">
        <v>10.97</v>
      </c>
      <c r="DE128" s="228">
        <v>33.729999999999997</v>
      </c>
      <c r="DF128" s="228">
        <v>33.79</v>
      </c>
      <c r="DG128" s="228">
        <v>5.51</v>
      </c>
      <c r="DH128" s="228">
        <v>-0.06</v>
      </c>
      <c r="DI128" s="228">
        <v>31.39</v>
      </c>
      <c r="DJ128" s="228">
        <v>27.62</v>
      </c>
      <c r="DK128" s="228">
        <v>3.77</v>
      </c>
      <c r="DL128" s="228">
        <v>3.77</v>
      </c>
      <c r="DM128" s="228">
        <v>48.58</v>
      </c>
      <c r="DN128" s="228">
        <v>32.58</v>
      </c>
      <c r="DO128" s="228">
        <v>16</v>
      </c>
      <c r="DP128" s="228">
        <v>16</v>
      </c>
      <c r="DQ128" s="228">
        <v>0.36</v>
      </c>
      <c r="DR128" s="228">
        <v>0.33</v>
      </c>
      <c r="DS128" s="228">
        <v>0.03</v>
      </c>
      <c r="DT128" s="229">
        <v>9.0899999999999995E-2</v>
      </c>
      <c r="DU128" s="231">
        <v>2240</v>
      </c>
      <c r="DV128" s="231">
        <v>2100</v>
      </c>
      <c r="DW128" s="228">
        <v>0.84</v>
      </c>
      <c r="DX128" s="228">
        <v>0.15</v>
      </c>
      <c r="DY128" s="228">
        <v>0.69</v>
      </c>
      <c r="DZ128" s="229">
        <v>4.5999999999999996</v>
      </c>
      <c r="EA128" s="229">
        <v>9.2799999999999994E-2</v>
      </c>
      <c r="EB128" s="230">
        <v>193275</v>
      </c>
      <c r="EC128" s="229">
        <v>2E-3</v>
      </c>
      <c r="ED128" s="229">
        <v>9.2799999999999994E-2</v>
      </c>
      <c r="EE128" s="228">
        <v>3.55</v>
      </c>
      <c r="EF128" s="229">
        <v>1.6999999999999999E-3</v>
      </c>
      <c r="EG128" s="230">
        <v>147636</v>
      </c>
      <c r="EH128" s="230">
        <v>430584</v>
      </c>
      <c r="EI128" s="229">
        <v>-0.65710000000000002</v>
      </c>
      <c r="EJ128" s="229">
        <v>0.4864</v>
      </c>
      <c r="EK128" s="228">
        <v>250.58</v>
      </c>
      <c r="EL128" s="228">
        <v>183.33</v>
      </c>
      <c r="EM128" s="228">
        <v>126.79</v>
      </c>
      <c r="EN128" s="228">
        <v>15.29</v>
      </c>
      <c r="EO128" s="228">
        <v>560.70000000000005</v>
      </c>
      <c r="EP128" s="228">
        <v>230.27</v>
      </c>
      <c r="EQ128" s="228">
        <v>330.43</v>
      </c>
      <c r="ER128" s="229">
        <v>1.4349000000000001</v>
      </c>
      <c r="ES128" s="228">
        <v>161.37</v>
      </c>
      <c r="ET128" s="228">
        <v>53.23</v>
      </c>
      <c r="EU128" s="228">
        <v>653.33000000000004</v>
      </c>
      <c r="EV128" s="231">
        <v>16926669</v>
      </c>
      <c r="EW128" s="228">
        <v>867.93</v>
      </c>
      <c r="EX128" s="228">
        <v>846.96</v>
      </c>
      <c r="EY128" s="228">
        <v>20.97</v>
      </c>
      <c r="EZ128" s="229">
        <v>2.4799999999999999E-2</v>
      </c>
      <c r="FA128" s="229">
        <v>0.23960000000000001</v>
      </c>
      <c r="FB128" s="227" t="s">
        <v>555</v>
      </c>
      <c r="FC128">
        <f t="shared" si="1"/>
        <v>60</v>
      </c>
    </row>
    <row r="129" spans="1:159" ht="17.25" thickBot="1" x14ac:dyDescent="0.3">
      <c r="A129" s="226">
        <v>46132</v>
      </c>
      <c r="B129" s="227" t="s">
        <v>168</v>
      </c>
      <c r="C129" s="227" t="s">
        <v>254</v>
      </c>
      <c r="D129" s="228">
        <v>1200</v>
      </c>
      <c r="E129" s="228">
        <v>8</v>
      </c>
      <c r="F129" s="228">
        <v>760</v>
      </c>
      <c r="G129" s="228">
        <v>758.45</v>
      </c>
      <c r="H129" s="228">
        <v>1.55</v>
      </c>
      <c r="I129" s="229">
        <v>2E-3</v>
      </c>
      <c r="J129" s="228">
        <v>760.7</v>
      </c>
      <c r="K129" s="228">
        <v>757.3</v>
      </c>
      <c r="L129" s="228">
        <v>3.4</v>
      </c>
      <c r="M129" s="229">
        <v>4.4999999999999997E-3</v>
      </c>
      <c r="N129" s="228">
        <v>760</v>
      </c>
      <c r="O129" s="228">
        <v>758.45</v>
      </c>
      <c r="P129" s="228">
        <v>1.55</v>
      </c>
      <c r="Q129" s="229">
        <v>2E-3</v>
      </c>
      <c r="R129" s="228">
        <v>764.4</v>
      </c>
      <c r="S129" s="228">
        <v>763.5</v>
      </c>
      <c r="T129" s="228">
        <v>0.9</v>
      </c>
      <c r="U129" s="229">
        <v>1.1999999999999999E-3</v>
      </c>
      <c r="V129" s="228">
        <v>765.1</v>
      </c>
      <c r="W129" s="228">
        <v>763.1</v>
      </c>
      <c r="X129" s="228">
        <v>2</v>
      </c>
      <c r="Y129" s="229">
        <v>2.5999999999999999E-3</v>
      </c>
      <c r="Z129" s="228">
        <v>-0.7</v>
      </c>
      <c r="AA129" s="228">
        <v>1.1499999999999999</v>
      </c>
      <c r="AB129" s="228">
        <v>-1.85</v>
      </c>
      <c r="AC129" s="229">
        <v>-8.9999999999999998E-4</v>
      </c>
      <c r="AD129" s="228">
        <v>-0.7</v>
      </c>
      <c r="AE129" s="228">
        <v>1.1499999999999999</v>
      </c>
      <c r="AF129" s="228">
        <v>-1.85</v>
      </c>
      <c r="AG129" s="229">
        <v>-8.9999999999999998E-4</v>
      </c>
      <c r="AH129" s="228">
        <v>3.7</v>
      </c>
      <c r="AI129" s="228">
        <v>6.2</v>
      </c>
      <c r="AJ129" s="228">
        <v>-2.5</v>
      </c>
      <c r="AK129" s="229">
        <v>4.8999999999999998E-3</v>
      </c>
      <c r="AL129" s="228">
        <v>4.4000000000000004</v>
      </c>
      <c r="AM129" s="228">
        <v>5.8</v>
      </c>
      <c r="AN129" s="228">
        <v>-1.4</v>
      </c>
      <c r="AO129" s="229">
        <v>5.7999999999999996E-3</v>
      </c>
      <c r="AP129" s="228">
        <v>759.94</v>
      </c>
      <c r="AQ129" s="228">
        <v>765.1</v>
      </c>
      <c r="AR129" s="228">
        <v>0</v>
      </c>
      <c r="AS129" s="228">
        <v>153</v>
      </c>
      <c r="AT129" s="228">
        <v>400</v>
      </c>
      <c r="AU129" s="228">
        <v>-247</v>
      </c>
      <c r="AV129" s="229">
        <v>-0.61860000000000004</v>
      </c>
      <c r="AW129" s="228">
        <v>134</v>
      </c>
      <c r="AX129" s="228">
        <v>293</v>
      </c>
      <c r="AY129" s="228">
        <v>-158</v>
      </c>
      <c r="AZ129" s="229">
        <v>-0.54079999999999995</v>
      </c>
      <c r="BA129" s="228">
        <v>17</v>
      </c>
      <c r="BB129" s="228">
        <v>16</v>
      </c>
      <c r="BC129" s="228">
        <v>1</v>
      </c>
      <c r="BD129" s="229">
        <v>7.0199999999999999E-2</v>
      </c>
      <c r="BE129" s="228">
        <v>2</v>
      </c>
      <c r="BF129" s="228">
        <v>92</v>
      </c>
      <c r="BG129" s="228">
        <v>-90</v>
      </c>
      <c r="BH129" s="229">
        <v>-0.98309999999999997</v>
      </c>
      <c r="BI129" s="228">
        <v>526</v>
      </c>
      <c r="BJ129" s="228">
        <v>931</v>
      </c>
      <c r="BK129" s="228">
        <v>-404</v>
      </c>
      <c r="BL129" s="229">
        <v>-0.4345</v>
      </c>
      <c r="BM129" s="228">
        <v>154</v>
      </c>
      <c r="BN129" s="228">
        <v>253</v>
      </c>
      <c r="BO129" s="228">
        <v>-98</v>
      </c>
      <c r="BP129" s="229">
        <v>-0.38950000000000001</v>
      </c>
      <c r="BQ129" s="228">
        <v>833</v>
      </c>
      <c r="BR129" s="230">
        <v>1584</v>
      </c>
      <c r="BS129" s="228">
        <v>-750</v>
      </c>
      <c r="BT129" s="229">
        <v>-0.4738</v>
      </c>
      <c r="BU129" s="230">
        <v>1328903</v>
      </c>
      <c r="BV129" s="230">
        <v>2224790</v>
      </c>
      <c r="BW129" s="230">
        <v>-895887</v>
      </c>
      <c r="BX129" s="229">
        <v>-0.4027</v>
      </c>
      <c r="BY129" s="230">
        <v>1868</v>
      </c>
      <c r="BZ129" s="230">
        <v>1883</v>
      </c>
      <c r="CA129" s="228">
        <v>-16</v>
      </c>
      <c r="CB129" s="229">
        <v>-8.3000000000000001E-3</v>
      </c>
      <c r="CC129" s="230">
        <v>1744</v>
      </c>
      <c r="CD129" s="230">
        <v>1769</v>
      </c>
      <c r="CE129" s="228">
        <v>-25</v>
      </c>
      <c r="CF129" s="229">
        <v>-1.4200000000000001E-2</v>
      </c>
      <c r="CG129" s="228">
        <v>31</v>
      </c>
      <c r="CH129" s="228">
        <v>22</v>
      </c>
      <c r="CI129" s="228">
        <v>9</v>
      </c>
      <c r="CJ129" s="229">
        <v>0.38679999999999998</v>
      </c>
      <c r="CK129" s="228">
        <v>92</v>
      </c>
      <c r="CL129" s="228">
        <v>92</v>
      </c>
      <c r="CM129" s="228">
        <v>1</v>
      </c>
      <c r="CN129" s="229">
        <v>8.9999999999999993E-3</v>
      </c>
      <c r="CO129" s="228">
        <v>369</v>
      </c>
      <c r="CP129" s="228">
        <v>357</v>
      </c>
      <c r="CQ129" s="228">
        <v>12</v>
      </c>
      <c r="CR129" s="229">
        <v>3.4200000000000001E-2</v>
      </c>
      <c r="CS129" s="228">
        <v>303</v>
      </c>
      <c r="CT129" s="228">
        <v>306</v>
      </c>
      <c r="CU129" s="228">
        <v>-3</v>
      </c>
      <c r="CV129" s="229">
        <v>-8.8999999999999999E-3</v>
      </c>
      <c r="CW129" s="230">
        <v>2540</v>
      </c>
      <c r="CX129" s="230">
        <v>2546</v>
      </c>
      <c r="CY129" s="228">
        <v>-6</v>
      </c>
      <c r="CZ129" s="229">
        <v>-2.3999999999999998E-3</v>
      </c>
      <c r="DA129" s="228">
        <v>25.72</v>
      </c>
      <c r="DB129" s="228">
        <v>23.59</v>
      </c>
      <c r="DC129" s="228">
        <v>2.13</v>
      </c>
      <c r="DD129" s="228">
        <v>2.13</v>
      </c>
      <c r="DE129" s="228">
        <v>24.74</v>
      </c>
      <c r="DF129" s="228">
        <v>24.79</v>
      </c>
      <c r="DG129" s="228">
        <v>0.98</v>
      </c>
      <c r="DH129" s="228">
        <v>-0.05</v>
      </c>
      <c r="DI129" s="228">
        <v>25.67</v>
      </c>
      <c r="DJ129" s="228">
        <v>23.54</v>
      </c>
      <c r="DK129" s="228">
        <v>2.13</v>
      </c>
      <c r="DL129" s="228">
        <v>2.13</v>
      </c>
      <c r="DM129" s="228">
        <v>25.9</v>
      </c>
      <c r="DN129" s="228">
        <v>23.78</v>
      </c>
      <c r="DO129" s="228">
        <v>2.12</v>
      </c>
      <c r="DP129" s="228">
        <v>2.12</v>
      </c>
      <c r="DQ129" s="228">
        <v>0.82</v>
      </c>
      <c r="DR129" s="228">
        <v>0.86</v>
      </c>
      <c r="DS129" s="228">
        <v>-0.04</v>
      </c>
      <c r="DT129" s="229">
        <v>-4.65E-2</v>
      </c>
      <c r="DU129" s="228">
        <v>800</v>
      </c>
      <c r="DV129" s="228">
        <v>700</v>
      </c>
      <c r="DW129" s="228">
        <v>0.28999999999999998</v>
      </c>
      <c r="DX129" s="228">
        <v>0.27</v>
      </c>
      <c r="DY129" s="228">
        <v>0.02</v>
      </c>
      <c r="DZ129" s="229">
        <v>7.4099999999999999E-2</v>
      </c>
      <c r="EA129" s="229">
        <v>6.6000000000000003E-2</v>
      </c>
      <c r="EB129" s="230">
        <v>1497600</v>
      </c>
      <c r="EC129" s="229">
        <v>5.7999999999999996E-3</v>
      </c>
      <c r="ED129" s="229">
        <v>6.6000000000000003E-2</v>
      </c>
      <c r="EE129" s="228">
        <v>5.16</v>
      </c>
      <c r="EF129" s="229">
        <v>6.7999999999999996E-3</v>
      </c>
      <c r="EG129" s="230">
        <v>847018</v>
      </c>
      <c r="EH129" s="230">
        <v>1279096</v>
      </c>
      <c r="EI129" s="229">
        <v>-0.33779999999999999</v>
      </c>
      <c r="EJ129" s="229">
        <v>0.63739999999999997</v>
      </c>
      <c r="EK129" s="228">
        <v>544.29</v>
      </c>
      <c r="EL129" s="228">
        <v>150.75</v>
      </c>
      <c r="EM129" s="228">
        <v>152.69</v>
      </c>
      <c r="EN129" s="228">
        <v>23.69</v>
      </c>
      <c r="EO129" s="228">
        <v>847.73</v>
      </c>
      <c r="EP129" s="231">
        <v>1600.71</v>
      </c>
      <c r="EQ129" s="228">
        <v>-752.97</v>
      </c>
      <c r="ER129" s="229">
        <v>-0.47039999999999998</v>
      </c>
      <c r="ES129" s="228">
        <v>380.53</v>
      </c>
      <c r="ET129" s="228">
        <v>287.58999999999997</v>
      </c>
      <c r="EU129" s="231">
        <v>1868.3</v>
      </c>
      <c r="EV129" s="231">
        <v>77572761</v>
      </c>
      <c r="EW129" s="231">
        <v>2536.42</v>
      </c>
      <c r="EX129" s="231">
        <v>2537.13</v>
      </c>
      <c r="EY129" s="228">
        <v>-0.71</v>
      </c>
      <c r="EZ129" s="229">
        <v>-2.9999999999999997E-4</v>
      </c>
      <c r="FA129" s="229">
        <v>0.43080000000000002</v>
      </c>
      <c r="FB129" s="227" t="s">
        <v>693</v>
      </c>
      <c r="FC129">
        <f t="shared" si="1"/>
        <v>124</v>
      </c>
    </row>
    <row r="130" spans="1:159" ht="17.25" thickBot="1" x14ac:dyDescent="0.3">
      <c r="A130" s="226">
        <v>46132</v>
      </c>
      <c r="B130" s="227" t="s">
        <v>162</v>
      </c>
      <c r="C130" s="227" t="s">
        <v>255</v>
      </c>
      <c r="D130" s="228">
        <v>50</v>
      </c>
      <c r="E130" s="228">
        <v>8</v>
      </c>
      <c r="F130" s="231">
        <v>13442</v>
      </c>
      <c r="G130" s="231">
        <v>13490</v>
      </c>
      <c r="H130" s="228">
        <v>-48</v>
      </c>
      <c r="I130" s="229">
        <v>-3.5999999999999999E-3</v>
      </c>
      <c r="J130" s="231">
        <v>13450</v>
      </c>
      <c r="K130" s="231">
        <v>13453</v>
      </c>
      <c r="L130" s="228">
        <v>-3</v>
      </c>
      <c r="M130" s="229">
        <v>-2.0000000000000001E-4</v>
      </c>
      <c r="N130" s="231">
        <v>13442</v>
      </c>
      <c r="O130" s="231">
        <v>13490</v>
      </c>
      <c r="P130" s="228">
        <v>-48</v>
      </c>
      <c r="Q130" s="229">
        <v>-3.5999999999999999E-3</v>
      </c>
      <c r="R130" s="231">
        <v>13522</v>
      </c>
      <c r="S130" s="231">
        <v>13560</v>
      </c>
      <c r="T130" s="228">
        <v>-38</v>
      </c>
      <c r="U130" s="229">
        <v>-2.8E-3</v>
      </c>
      <c r="V130" s="231">
        <v>13608</v>
      </c>
      <c r="W130" s="231">
        <v>13656</v>
      </c>
      <c r="X130" s="228">
        <v>-48</v>
      </c>
      <c r="Y130" s="229">
        <v>-3.5000000000000001E-3</v>
      </c>
      <c r="Z130" s="228">
        <v>-8</v>
      </c>
      <c r="AA130" s="228">
        <v>37</v>
      </c>
      <c r="AB130" s="228">
        <v>-45</v>
      </c>
      <c r="AC130" s="229">
        <v>-5.9999999999999995E-4</v>
      </c>
      <c r="AD130" s="228">
        <v>-8</v>
      </c>
      <c r="AE130" s="228">
        <v>37</v>
      </c>
      <c r="AF130" s="228">
        <v>-45</v>
      </c>
      <c r="AG130" s="229">
        <v>-5.9999999999999995E-4</v>
      </c>
      <c r="AH130" s="228">
        <v>72</v>
      </c>
      <c r="AI130" s="228">
        <v>107</v>
      </c>
      <c r="AJ130" s="228">
        <v>-35</v>
      </c>
      <c r="AK130" s="229">
        <v>5.4000000000000003E-3</v>
      </c>
      <c r="AL130" s="228">
        <v>158</v>
      </c>
      <c r="AM130" s="228">
        <v>203</v>
      </c>
      <c r="AN130" s="228">
        <v>-45</v>
      </c>
      <c r="AO130" s="229">
        <v>1.17E-2</v>
      </c>
      <c r="AP130" s="231">
        <v>13458.4</v>
      </c>
      <c r="AQ130" s="231">
        <v>13536.64</v>
      </c>
      <c r="AR130" s="228">
        <v>0</v>
      </c>
      <c r="AS130" s="228">
        <v>400</v>
      </c>
      <c r="AT130" s="228">
        <v>829</v>
      </c>
      <c r="AU130" s="228">
        <v>-429</v>
      </c>
      <c r="AV130" s="229">
        <v>-0.51749999999999996</v>
      </c>
      <c r="AW130" s="228">
        <v>321</v>
      </c>
      <c r="AX130" s="228">
        <v>700</v>
      </c>
      <c r="AY130" s="228">
        <v>-380</v>
      </c>
      <c r="AZ130" s="229">
        <v>-0.54200000000000004</v>
      </c>
      <c r="BA130" s="228">
        <v>71</v>
      </c>
      <c r="BB130" s="228">
        <v>123</v>
      </c>
      <c r="BC130" s="228">
        <v>-52</v>
      </c>
      <c r="BD130" s="229">
        <v>-0.42109999999999997</v>
      </c>
      <c r="BE130" s="228">
        <v>8</v>
      </c>
      <c r="BF130" s="228">
        <v>6</v>
      </c>
      <c r="BG130" s="228">
        <v>2</v>
      </c>
      <c r="BH130" s="229">
        <v>0.3407</v>
      </c>
      <c r="BI130" s="230">
        <v>2779</v>
      </c>
      <c r="BJ130" s="230">
        <v>8373</v>
      </c>
      <c r="BK130" s="230">
        <v>-5594</v>
      </c>
      <c r="BL130" s="229">
        <v>-0.66810000000000003</v>
      </c>
      <c r="BM130" s="230">
        <v>1521</v>
      </c>
      <c r="BN130" s="230">
        <v>3486</v>
      </c>
      <c r="BO130" s="230">
        <v>-1965</v>
      </c>
      <c r="BP130" s="229">
        <v>-0.56369999999999998</v>
      </c>
      <c r="BQ130" s="230">
        <v>4700</v>
      </c>
      <c r="BR130" s="230">
        <v>12688</v>
      </c>
      <c r="BS130" s="230">
        <v>-7988</v>
      </c>
      <c r="BT130" s="229">
        <v>-0.62960000000000005</v>
      </c>
      <c r="BU130" s="230">
        <v>366189</v>
      </c>
      <c r="BV130" s="230">
        <v>616185</v>
      </c>
      <c r="BW130" s="230">
        <v>-249996</v>
      </c>
      <c r="BX130" s="229">
        <v>-0.40570000000000001</v>
      </c>
      <c r="BY130" s="230">
        <v>4755</v>
      </c>
      <c r="BZ130" s="230">
        <v>4696</v>
      </c>
      <c r="CA130" s="228">
        <v>58</v>
      </c>
      <c r="CB130" s="229">
        <v>1.24E-2</v>
      </c>
      <c r="CC130" s="230">
        <v>3997</v>
      </c>
      <c r="CD130" s="230">
        <v>3982</v>
      </c>
      <c r="CE130" s="228">
        <v>15</v>
      </c>
      <c r="CF130" s="229">
        <v>3.7000000000000002E-3</v>
      </c>
      <c r="CG130" s="228">
        <v>627</v>
      </c>
      <c r="CH130" s="228">
        <v>589</v>
      </c>
      <c r="CI130" s="228">
        <v>38</v>
      </c>
      <c r="CJ130" s="229">
        <v>6.4299999999999996E-2</v>
      </c>
      <c r="CK130" s="228">
        <v>130</v>
      </c>
      <c r="CL130" s="228">
        <v>124</v>
      </c>
      <c r="CM130" s="228">
        <v>6</v>
      </c>
      <c r="CN130" s="229">
        <v>4.5400000000000003E-2</v>
      </c>
      <c r="CO130" s="230">
        <v>2774</v>
      </c>
      <c r="CP130" s="230">
        <v>2827</v>
      </c>
      <c r="CQ130" s="228">
        <v>-54</v>
      </c>
      <c r="CR130" s="229">
        <v>-1.89E-2</v>
      </c>
      <c r="CS130" s="230">
        <v>1683</v>
      </c>
      <c r="CT130" s="230">
        <v>1675</v>
      </c>
      <c r="CU130" s="228">
        <v>9</v>
      </c>
      <c r="CV130" s="229">
        <v>5.3E-3</v>
      </c>
      <c r="CW130" s="230">
        <v>9211</v>
      </c>
      <c r="CX130" s="230">
        <v>9198</v>
      </c>
      <c r="CY130" s="228">
        <v>14</v>
      </c>
      <c r="CZ130" s="229">
        <v>1.5E-3</v>
      </c>
      <c r="DA130" s="228">
        <v>34.93</v>
      </c>
      <c r="DB130" s="228">
        <v>30.49</v>
      </c>
      <c r="DC130" s="228">
        <v>4.4400000000000004</v>
      </c>
      <c r="DD130" s="228">
        <v>4.4400000000000004</v>
      </c>
      <c r="DE130" s="228">
        <v>28.91</v>
      </c>
      <c r="DF130" s="228">
        <v>28.99</v>
      </c>
      <c r="DG130" s="228">
        <v>6.02</v>
      </c>
      <c r="DH130" s="228">
        <v>-0.08</v>
      </c>
      <c r="DI130" s="228">
        <v>34.14</v>
      </c>
      <c r="DJ130" s="228">
        <v>29.72</v>
      </c>
      <c r="DK130" s="228">
        <v>4.42</v>
      </c>
      <c r="DL130" s="228">
        <v>4.42</v>
      </c>
      <c r="DM130" s="228">
        <v>36.369999999999997</v>
      </c>
      <c r="DN130" s="228">
        <v>32.340000000000003</v>
      </c>
      <c r="DO130" s="228">
        <v>4.03</v>
      </c>
      <c r="DP130" s="228">
        <v>4.03</v>
      </c>
      <c r="DQ130" s="228">
        <v>0.61</v>
      </c>
      <c r="DR130" s="228">
        <v>0.59</v>
      </c>
      <c r="DS130" s="228">
        <v>0.02</v>
      </c>
      <c r="DT130" s="229">
        <v>3.39E-2</v>
      </c>
      <c r="DU130" s="231">
        <v>14000</v>
      </c>
      <c r="DV130" s="231">
        <v>13000</v>
      </c>
      <c r="DW130" s="228">
        <v>0.55000000000000004</v>
      </c>
      <c r="DX130" s="228">
        <v>0.42</v>
      </c>
      <c r="DY130" s="228">
        <v>0.13</v>
      </c>
      <c r="DZ130" s="229">
        <v>0.3095</v>
      </c>
      <c r="EA130" s="229">
        <v>0.1593</v>
      </c>
      <c r="EB130" s="230">
        <v>531000</v>
      </c>
      <c r="EC130" s="229">
        <v>6.0000000000000001E-3</v>
      </c>
      <c r="ED130" s="229">
        <v>0.1593</v>
      </c>
      <c r="EE130" s="228">
        <v>78.239999999999995</v>
      </c>
      <c r="EF130" s="229">
        <v>5.7999999999999996E-3</v>
      </c>
      <c r="EG130" s="230">
        <v>187238</v>
      </c>
      <c r="EH130" s="230">
        <v>300764</v>
      </c>
      <c r="EI130" s="229">
        <v>-0.3775</v>
      </c>
      <c r="EJ130" s="229">
        <v>0.51129999999999998</v>
      </c>
      <c r="EK130" s="231">
        <v>2911.71</v>
      </c>
      <c r="EL130" s="231">
        <v>1485.72</v>
      </c>
      <c r="EM130" s="228">
        <v>401.17</v>
      </c>
      <c r="EN130" s="228">
        <v>145.26</v>
      </c>
      <c r="EO130" s="231">
        <v>4798.6099999999997</v>
      </c>
      <c r="EP130" s="231">
        <v>13053.59</v>
      </c>
      <c r="EQ130" s="231">
        <v>-8254.98</v>
      </c>
      <c r="ER130" s="229">
        <v>-0.63239999999999996</v>
      </c>
      <c r="ES130" s="231">
        <v>2858.73</v>
      </c>
      <c r="ET130" s="231">
        <v>1591.23</v>
      </c>
      <c r="EU130" s="231">
        <v>4759.84</v>
      </c>
      <c r="EV130" s="231">
        <v>19673414</v>
      </c>
      <c r="EW130" s="231">
        <v>9209.7999999999993</v>
      </c>
      <c r="EX130" s="231">
        <v>9217.75</v>
      </c>
      <c r="EY130" s="228">
        <v>-7.95</v>
      </c>
      <c r="EZ130" s="229">
        <v>-8.9999999999999998E-4</v>
      </c>
      <c r="FA130" s="229">
        <v>0.3483</v>
      </c>
      <c r="FB130" s="227" t="s">
        <v>566</v>
      </c>
      <c r="FC130">
        <f t="shared" si="1"/>
        <v>758</v>
      </c>
    </row>
    <row r="131" spans="1:159" ht="17.25" thickBot="1" x14ac:dyDescent="0.3">
      <c r="A131" s="226">
        <v>46132</v>
      </c>
      <c r="B131" s="227" t="s">
        <v>170</v>
      </c>
      <c r="C131" s="227" t="s">
        <v>602</v>
      </c>
      <c r="D131" s="228">
        <v>525</v>
      </c>
      <c r="E131" s="228">
        <v>8</v>
      </c>
      <c r="F131" s="231">
        <v>1009.95</v>
      </c>
      <c r="G131" s="231">
        <v>1007.45</v>
      </c>
      <c r="H131" s="228">
        <v>2.5</v>
      </c>
      <c r="I131" s="229">
        <v>2.5000000000000001E-3</v>
      </c>
      <c r="J131" s="231">
        <v>1011.35</v>
      </c>
      <c r="K131" s="231">
        <v>1007.65</v>
      </c>
      <c r="L131" s="228">
        <v>3.7</v>
      </c>
      <c r="M131" s="229">
        <v>3.7000000000000002E-3</v>
      </c>
      <c r="N131" s="231">
        <v>1009.95</v>
      </c>
      <c r="O131" s="231">
        <v>1007.45</v>
      </c>
      <c r="P131" s="228">
        <v>2.5</v>
      </c>
      <c r="Q131" s="229">
        <v>2.5000000000000001E-3</v>
      </c>
      <c r="R131" s="231">
        <v>1015.6</v>
      </c>
      <c r="S131" s="231">
        <v>1013.05</v>
      </c>
      <c r="T131" s="228">
        <v>2.5499999999999998</v>
      </c>
      <c r="U131" s="229">
        <v>2.5000000000000001E-3</v>
      </c>
      <c r="V131" s="231">
        <v>1020.65</v>
      </c>
      <c r="W131" s="231">
        <v>1020.65</v>
      </c>
      <c r="X131" s="228">
        <v>0</v>
      </c>
      <c r="Y131" s="229">
        <v>0</v>
      </c>
      <c r="Z131" s="228">
        <v>-1.4</v>
      </c>
      <c r="AA131" s="228">
        <v>-0.2</v>
      </c>
      <c r="AB131" s="228">
        <v>-1.2</v>
      </c>
      <c r="AC131" s="229">
        <v>-1.4E-3</v>
      </c>
      <c r="AD131" s="228">
        <v>-1.4</v>
      </c>
      <c r="AE131" s="228">
        <v>-0.2</v>
      </c>
      <c r="AF131" s="228">
        <v>-1.2</v>
      </c>
      <c r="AG131" s="229">
        <v>-1.4E-3</v>
      </c>
      <c r="AH131" s="228">
        <v>4.25</v>
      </c>
      <c r="AI131" s="228">
        <v>5.4</v>
      </c>
      <c r="AJ131" s="228">
        <v>-1.1499999999999999</v>
      </c>
      <c r="AK131" s="229">
        <v>4.1999999999999997E-3</v>
      </c>
      <c r="AL131" s="228">
        <v>9.3000000000000007</v>
      </c>
      <c r="AM131" s="228">
        <v>13</v>
      </c>
      <c r="AN131" s="228">
        <v>-3.7</v>
      </c>
      <c r="AO131" s="229">
        <v>9.1999999999999998E-3</v>
      </c>
      <c r="AP131" s="231">
        <v>1010.77</v>
      </c>
      <c r="AQ131" s="231">
        <v>1016.98</v>
      </c>
      <c r="AR131" s="228">
        <v>0</v>
      </c>
      <c r="AS131" s="228">
        <v>213</v>
      </c>
      <c r="AT131" s="228">
        <v>157</v>
      </c>
      <c r="AU131" s="228">
        <v>56</v>
      </c>
      <c r="AV131" s="229">
        <v>0.35709999999999997</v>
      </c>
      <c r="AW131" s="228">
        <v>198</v>
      </c>
      <c r="AX131" s="228">
        <v>141</v>
      </c>
      <c r="AY131" s="228">
        <v>57</v>
      </c>
      <c r="AZ131" s="229">
        <v>0.40500000000000003</v>
      </c>
      <c r="BA131" s="228">
        <v>14</v>
      </c>
      <c r="BB131" s="228">
        <v>15</v>
      </c>
      <c r="BC131" s="228">
        <v>-1</v>
      </c>
      <c r="BD131" s="229">
        <v>-6.9400000000000003E-2</v>
      </c>
      <c r="BE131" s="228">
        <v>1</v>
      </c>
      <c r="BF131" s="228">
        <v>1</v>
      </c>
      <c r="BG131" s="228">
        <v>0</v>
      </c>
      <c r="BH131" s="229">
        <v>6.25E-2</v>
      </c>
      <c r="BI131" s="228">
        <v>706</v>
      </c>
      <c r="BJ131" s="228">
        <v>717</v>
      </c>
      <c r="BK131" s="228">
        <v>-11</v>
      </c>
      <c r="BL131" s="229">
        <v>-1.49E-2</v>
      </c>
      <c r="BM131" s="228">
        <v>275</v>
      </c>
      <c r="BN131" s="228">
        <v>248</v>
      </c>
      <c r="BO131" s="228">
        <v>27</v>
      </c>
      <c r="BP131" s="229">
        <v>0.11</v>
      </c>
      <c r="BQ131" s="230">
        <v>1194</v>
      </c>
      <c r="BR131" s="230">
        <v>1122</v>
      </c>
      <c r="BS131" s="228">
        <v>73</v>
      </c>
      <c r="BT131" s="229">
        <v>6.4799999999999996E-2</v>
      </c>
      <c r="BU131" s="230">
        <v>2332665</v>
      </c>
      <c r="BV131" s="230">
        <v>1713809</v>
      </c>
      <c r="BW131" s="230">
        <v>618856</v>
      </c>
      <c r="BX131" s="229">
        <v>0.36109999999999998</v>
      </c>
      <c r="BY131" s="230">
        <v>1449</v>
      </c>
      <c r="BZ131" s="230">
        <v>1469</v>
      </c>
      <c r="CA131" s="228">
        <v>-20</v>
      </c>
      <c r="CB131" s="229">
        <v>-1.3599999999999999E-2</v>
      </c>
      <c r="CC131" s="230">
        <v>1363</v>
      </c>
      <c r="CD131" s="230">
        <v>1387</v>
      </c>
      <c r="CE131" s="228">
        <v>-24</v>
      </c>
      <c r="CF131" s="229">
        <v>-1.7299999999999999E-2</v>
      </c>
      <c r="CG131" s="228">
        <v>75</v>
      </c>
      <c r="CH131" s="228">
        <v>71</v>
      </c>
      <c r="CI131" s="228">
        <v>4</v>
      </c>
      <c r="CJ131" s="229">
        <v>5.96E-2</v>
      </c>
      <c r="CK131" s="228">
        <v>10</v>
      </c>
      <c r="CL131" s="228">
        <v>11</v>
      </c>
      <c r="CM131" s="228">
        <v>0</v>
      </c>
      <c r="CN131" s="229">
        <v>-2.4799999999999999E-2</v>
      </c>
      <c r="CO131" s="228">
        <v>424</v>
      </c>
      <c r="CP131" s="228">
        <v>442</v>
      </c>
      <c r="CQ131" s="228">
        <v>-18</v>
      </c>
      <c r="CR131" s="229">
        <v>-4.0899999999999999E-2</v>
      </c>
      <c r="CS131" s="228">
        <v>246</v>
      </c>
      <c r="CT131" s="228">
        <v>247</v>
      </c>
      <c r="CU131" s="228">
        <v>0</v>
      </c>
      <c r="CV131" s="229">
        <v>-2.0000000000000001E-4</v>
      </c>
      <c r="CW131" s="230">
        <v>2119</v>
      </c>
      <c r="CX131" s="230">
        <v>2157</v>
      </c>
      <c r="CY131" s="228">
        <v>-38</v>
      </c>
      <c r="CZ131" s="229">
        <v>-1.77E-2</v>
      </c>
      <c r="DA131" s="228">
        <v>29.91</v>
      </c>
      <c r="DB131" s="228">
        <v>28.11</v>
      </c>
      <c r="DC131" s="228">
        <v>1.8</v>
      </c>
      <c r="DD131" s="228">
        <v>1.8</v>
      </c>
      <c r="DE131" s="228">
        <v>36.22</v>
      </c>
      <c r="DF131" s="228">
        <v>36.299999999999997</v>
      </c>
      <c r="DG131" s="228">
        <v>-6.31</v>
      </c>
      <c r="DH131" s="228">
        <v>-0.08</v>
      </c>
      <c r="DI131" s="228">
        <v>29.14</v>
      </c>
      <c r="DJ131" s="228">
        <v>27.4</v>
      </c>
      <c r="DK131" s="228">
        <v>1.74</v>
      </c>
      <c r="DL131" s="228">
        <v>1.74</v>
      </c>
      <c r="DM131" s="228">
        <v>31.89</v>
      </c>
      <c r="DN131" s="228">
        <v>30.16</v>
      </c>
      <c r="DO131" s="228">
        <v>1.73</v>
      </c>
      <c r="DP131" s="228">
        <v>1.73</v>
      </c>
      <c r="DQ131" s="228">
        <v>0.57999999999999996</v>
      </c>
      <c r="DR131" s="228">
        <v>0.56000000000000005</v>
      </c>
      <c r="DS131" s="228">
        <v>0.02</v>
      </c>
      <c r="DT131" s="229">
        <v>3.5700000000000003E-2</v>
      </c>
      <c r="DU131" s="231">
        <v>1020</v>
      </c>
      <c r="DV131" s="228">
        <v>960</v>
      </c>
      <c r="DW131" s="228">
        <v>0.39</v>
      </c>
      <c r="DX131" s="228">
        <v>0.35</v>
      </c>
      <c r="DY131" s="228">
        <v>0.04</v>
      </c>
      <c r="DZ131" s="229">
        <v>0.1143</v>
      </c>
      <c r="EA131" s="229">
        <v>5.9299999999999999E-2</v>
      </c>
      <c r="EB131" s="230">
        <v>810600</v>
      </c>
      <c r="EC131" s="229">
        <v>5.5999999999999999E-3</v>
      </c>
      <c r="ED131" s="229">
        <v>5.9299999999999999E-2</v>
      </c>
      <c r="EE131" s="228">
        <v>6.21</v>
      </c>
      <c r="EF131" s="229">
        <v>6.1000000000000004E-3</v>
      </c>
      <c r="EG131" s="230">
        <v>1349564</v>
      </c>
      <c r="EH131" s="230">
        <v>992451</v>
      </c>
      <c r="EI131" s="229">
        <v>0.35980000000000001</v>
      </c>
      <c r="EJ131" s="229">
        <v>0.5786</v>
      </c>
      <c r="EK131" s="228">
        <v>727.91</v>
      </c>
      <c r="EL131" s="228">
        <v>274.14</v>
      </c>
      <c r="EM131" s="228">
        <v>213.47</v>
      </c>
      <c r="EN131" s="228">
        <v>50.13</v>
      </c>
      <c r="EO131" s="231">
        <v>1215.52</v>
      </c>
      <c r="EP131" s="231">
        <v>1131.92</v>
      </c>
      <c r="EQ131" s="228">
        <v>83.6</v>
      </c>
      <c r="ER131" s="229">
        <v>7.3899999999999993E-2</v>
      </c>
      <c r="ES131" s="228">
        <v>428.46</v>
      </c>
      <c r="ET131" s="228">
        <v>235.39</v>
      </c>
      <c r="EU131" s="231">
        <v>1449.21</v>
      </c>
      <c r="EV131" s="231">
        <v>111298748</v>
      </c>
      <c r="EW131" s="231">
        <v>2113.06</v>
      </c>
      <c r="EX131" s="231">
        <v>2145.73</v>
      </c>
      <c r="EY131" s="228">
        <v>-32.67</v>
      </c>
      <c r="EZ131" s="229">
        <v>-1.52E-2</v>
      </c>
      <c r="FA131" s="229">
        <v>0.1885</v>
      </c>
      <c r="FB131" s="227" t="s">
        <v>693</v>
      </c>
      <c r="FC131">
        <f t="shared" ref="FC131:FC147" si="2">BY131-CC131</f>
        <v>86</v>
      </c>
    </row>
    <row r="132" spans="1:159" ht="17.25" thickBot="1" x14ac:dyDescent="0.3">
      <c r="A132" s="226">
        <v>46132</v>
      </c>
      <c r="B132" s="227" t="s">
        <v>215</v>
      </c>
      <c r="C132" s="227" t="s">
        <v>671</v>
      </c>
      <c r="D132" s="228">
        <v>200</v>
      </c>
      <c r="E132" s="228">
        <v>8</v>
      </c>
      <c r="F132" s="231">
        <v>2625.6</v>
      </c>
      <c r="G132" s="231">
        <v>2624.7</v>
      </c>
      <c r="H132" s="228">
        <v>0.9</v>
      </c>
      <c r="I132" s="229">
        <v>2.9999999999999997E-4</v>
      </c>
      <c r="J132" s="231">
        <v>2621.1999999999998</v>
      </c>
      <c r="K132" s="231">
        <v>2616.4</v>
      </c>
      <c r="L132" s="228">
        <v>4.8</v>
      </c>
      <c r="M132" s="229">
        <v>1.8E-3</v>
      </c>
      <c r="N132" s="231">
        <v>2625.6</v>
      </c>
      <c r="O132" s="231">
        <v>2624.7</v>
      </c>
      <c r="P132" s="228">
        <v>0.9</v>
      </c>
      <c r="Q132" s="229">
        <v>2.9999999999999997E-4</v>
      </c>
      <c r="R132" s="231">
        <v>2636.2</v>
      </c>
      <c r="S132" s="231">
        <v>2635.9</v>
      </c>
      <c r="T132" s="228">
        <v>0.3</v>
      </c>
      <c r="U132" s="229">
        <v>1E-4</v>
      </c>
      <c r="V132" s="231">
        <v>2647.1</v>
      </c>
      <c r="W132" s="231">
        <v>2651.1</v>
      </c>
      <c r="X132" s="228">
        <v>-4</v>
      </c>
      <c r="Y132" s="229">
        <v>-1.5E-3</v>
      </c>
      <c r="Z132" s="228">
        <v>4.4000000000000004</v>
      </c>
      <c r="AA132" s="228">
        <v>8.3000000000000007</v>
      </c>
      <c r="AB132" s="228">
        <v>-3.9</v>
      </c>
      <c r="AC132" s="229">
        <v>1.6999999999999999E-3</v>
      </c>
      <c r="AD132" s="228">
        <v>4.4000000000000004</v>
      </c>
      <c r="AE132" s="228">
        <v>8.3000000000000007</v>
      </c>
      <c r="AF132" s="228">
        <v>-3.9</v>
      </c>
      <c r="AG132" s="229">
        <v>1.6999999999999999E-3</v>
      </c>
      <c r="AH132" s="228">
        <v>15</v>
      </c>
      <c r="AI132" s="228">
        <v>19.5</v>
      </c>
      <c r="AJ132" s="228">
        <v>-4.5</v>
      </c>
      <c r="AK132" s="229">
        <v>5.7000000000000002E-3</v>
      </c>
      <c r="AL132" s="228">
        <v>25.9</v>
      </c>
      <c r="AM132" s="228">
        <v>34.700000000000003</v>
      </c>
      <c r="AN132" s="228">
        <v>-8.8000000000000007</v>
      </c>
      <c r="AO132" s="229">
        <v>9.9000000000000008E-3</v>
      </c>
      <c r="AP132" s="231">
        <v>2637.21</v>
      </c>
      <c r="AQ132" s="231">
        <v>2645.94</v>
      </c>
      <c r="AR132" s="228">
        <v>0</v>
      </c>
      <c r="AS132" s="228">
        <v>428</v>
      </c>
      <c r="AT132" s="228">
        <v>471</v>
      </c>
      <c r="AU132" s="228">
        <v>-42</v>
      </c>
      <c r="AV132" s="229">
        <v>-8.9499999999999996E-2</v>
      </c>
      <c r="AW132" s="228">
        <v>328</v>
      </c>
      <c r="AX132" s="228">
        <v>372</v>
      </c>
      <c r="AY132" s="228">
        <v>-44</v>
      </c>
      <c r="AZ132" s="229">
        <v>-0.1172</v>
      </c>
      <c r="BA132" s="228">
        <v>95</v>
      </c>
      <c r="BB132" s="228">
        <v>86</v>
      </c>
      <c r="BC132" s="228">
        <v>8</v>
      </c>
      <c r="BD132" s="229">
        <v>9.6199999999999994E-2</v>
      </c>
      <c r="BE132" s="228">
        <v>6</v>
      </c>
      <c r="BF132" s="228">
        <v>12</v>
      </c>
      <c r="BG132" s="228">
        <v>-7</v>
      </c>
      <c r="BH132" s="229">
        <v>-0.54620000000000002</v>
      </c>
      <c r="BI132" s="230">
        <v>2389</v>
      </c>
      <c r="BJ132" s="230">
        <v>3209</v>
      </c>
      <c r="BK132" s="228">
        <v>-820</v>
      </c>
      <c r="BL132" s="229">
        <v>-0.25559999999999999</v>
      </c>
      <c r="BM132" s="228">
        <v>848</v>
      </c>
      <c r="BN132" s="230">
        <v>1012</v>
      </c>
      <c r="BO132" s="228">
        <v>-164</v>
      </c>
      <c r="BP132" s="229">
        <v>-0.16170000000000001</v>
      </c>
      <c r="BQ132" s="230">
        <v>3665</v>
      </c>
      <c r="BR132" s="230">
        <v>4691</v>
      </c>
      <c r="BS132" s="230">
        <v>-1026</v>
      </c>
      <c r="BT132" s="229">
        <v>-0.21870000000000001</v>
      </c>
      <c r="BU132" s="230">
        <v>2819477</v>
      </c>
      <c r="BV132" s="230">
        <v>2685570</v>
      </c>
      <c r="BW132" s="230">
        <v>133907</v>
      </c>
      <c r="BX132" s="229">
        <v>4.99E-2</v>
      </c>
      <c r="BY132" s="230">
        <v>1321</v>
      </c>
      <c r="BZ132" s="230">
        <v>1268</v>
      </c>
      <c r="CA132" s="228">
        <v>53</v>
      </c>
      <c r="CB132" s="229">
        <v>4.1599999999999998E-2</v>
      </c>
      <c r="CC132" s="230">
        <v>1181</v>
      </c>
      <c r="CD132" s="230">
        <v>1156</v>
      </c>
      <c r="CE132" s="228">
        <v>24</v>
      </c>
      <c r="CF132" s="229">
        <v>2.1000000000000001E-2</v>
      </c>
      <c r="CG132" s="228">
        <v>126</v>
      </c>
      <c r="CH132" s="228">
        <v>99</v>
      </c>
      <c r="CI132" s="228">
        <v>27</v>
      </c>
      <c r="CJ132" s="229">
        <v>0.27489999999999998</v>
      </c>
      <c r="CK132" s="228">
        <v>15</v>
      </c>
      <c r="CL132" s="228">
        <v>13</v>
      </c>
      <c r="CM132" s="228">
        <v>1</v>
      </c>
      <c r="CN132" s="229">
        <v>0.1076</v>
      </c>
      <c r="CO132" s="228">
        <v>981</v>
      </c>
      <c r="CP132" s="228">
        <v>936</v>
      </c>
      <c r="CQ132" s="228">
        <v>45</v>
      </c>
      <c r="CR132" s="229">
        <v>4.8000000000000001E-2</v>
      </c>
      <c r="CS132" s="228">
        <v>786</v>
      </c>
      <c r="CT132" s="228">
        <v>686</v>
      </c>
      <c r="CU132" s="228">
        <v>100</v>
      </c>
      <c r="CV132" s="229">
        <v>0.1454</v>
      </c>
      <c r="CW132" s="230">
        <v>3089</v>
      </c>
      <c r="CX132" s="230">
        <v>2891</v>
      </c>
      <c r="CY132" s="228">
        <v>198</v>
      </c>
      <c r="CZ132" s="229">
        <v>6.83E-2</v>
      </c>
      <c r="DA132" s="228">
        <v>45.49</v>
      </c>
      <c r="DB132" s="228">
        <v>42.23</v>
      </c>
      <c r="DC132" s="228">
        <v>3.26</v>
      </c>
      <c r="DD132" s="228">
        <v>3.26</v>
      </c>
      <c r="DE132" s="228">
        <v>56.04</v>
      </c>
      <c r="DF132" s="228">
        <v>56.18</v>
      </c>
      <c r="DG132" s="228">
        <v>-10.55</v>
      </c>
      <c r="DH132" s="228">
        <v>-0.14000000000000001</v>
      </c>
      <c r="DI132" s="228">
        <v>44.9</v>
      </c>
      <c r="DJ132" s="228">
        <v>40.96</v>
      </c>
      <c r="DK132" s="228">
        <v>3.94</v>
      </c>
      <c r="DL132" s="228">
        <v>3.94</v>
      </c>
      <c r="DM132" s="228">
        <v>47.17</v>
      </c>
      <c r="DN132" s="228">
        <v>46.25</v>
      </c>
      <c r="DO132" s="228">
        <v>0.92</v>
      </c>
      <c r="DP132" s="228">
        <v>0.92</v>
      </c>
      <c r="DQ132" s="228">
        <v>0.8</v>
      </c>
      <c r="DR132" s="228">
        <v>0.73</v>
      </c>
      <c r="DS132" s="228">
        <v>7.0000000000000007E-2</v>
      </c>
      <c r="DT132" s="229">
        <v>9.5899999999999999E-2</v>
      </c>
      <c r="DU132" s="231">
        <v>2700</v>
      </c>
      <c r="DV132" s="231">
        <v>2200</v>
      </c>
      <c r="DW132" s="228">
        <v>0.35</v>
      </c>
      <c r="DX132" s="228">
        <v>0.32</v>
      </c>
      <c r="DY132" s="228">
        <v>0.03</v>
      </c>
      <c r="DZ132" s="229">
        <v>9.3700000000000006E-2</v>
      </c>
      <c r="EA132" s="229">
        <v>0.10639999999999999</v>
      </c>
      <c r="EB132" s="230">
        <v>426400</v>
      </c>
      <c r="EC132" s="229">
        <v>4.0000000000000001E-3</v>
      </c>
      <c r="ED132" s="229">
        <v>0.10639999999999999</v>
      </c>
      <c r="EE132" s="228">
        <v>8.73</v>
      </c>
      <c r="EF132" s="229">
        <v>3.3E-3</v>
      </c>
      <c r="EG132" s="230">
        <v>651849</v>
      </c>
      <c r="EH132" s="230">
        <v>637046</v>
      </c>
      <c r="EI132" s="229">
        <v>2.3199999999999998E-2</v>
      </c>
      <c r="EJ132" s="229">
        <v>0.23119999999999999</v>
      </c>
      <c r="EK132" s="231">
        <v>2501.6</v>
      </c>
      <c r="EL132" s="228">
        <v>813.28</v>
      </c>
      <c r="EM132" s="228">
        <v>430.65</v>
      </c>
      <c r="EN132" s="228">
        <v>67.239999999999995</v>
      </c>
      <c r="EO132" s="231">
        <v>3745.52</v>
      </c>
      <c r="EP132" s="231">
        <v>4744.01</v>
      </c>
      <c r="EQ132" s="228">
        <v>-998.49</v>
      </c>
      <c r="ER132" s="229">
        <v>-0.21049999999999999</v>
      </c>
      <c r="ES132" s="228">
        <v>957.68</v>
      </c>
      <c r="ET132" s="228">
        <v>694.07</v>
      </c>
      <c r="EU132" s="231">
        <v>1321.83</v>
      </c>
      <c r="EV132" s="231">
        <v>11364224</v>
      </c>
      <c r="EW132" s="231">
        <v>2973.58</v>
      </c>
      <c r="EX132" s="231">
        <v>2774.92</v>
      </c>
      <c r="EY132" s="228">
        <v>198.66</v>
      </c>
      <c r="EZ132" s="229">
        <v>7.1599999999999997E-2</v>
      </c>
      <c r="FA132" s="229">
        <v>1.0350999999999999</v>
      </c>
      <c r="FB132" s="227" t="s">
        <v>555</v>
      </c>
      <c r="FC132">
        <f t="shared" si="2"/>
        <v>140</v>
      </c>
    </row>
    <row r="133" spans="1:159" ht="17.25" thickBot="1" x14ac:dyDescent="0.3">
      <c r="A133" s="226">
        <v>46132</v>
      </c>
      <c r="B133" s="227" t="s">
        <v>175</v>
      </c>
      <c r="C133" s="227" t="s">
        <v>517</v>
      </c>
      <c r="D133" s="228">
        <v>625</v>
      </c>
      <c r="E133" s="228">
        <v>8</v>
      </c>
      <c r="F133" s="231">
        <v>2858.9</v>
      </c>
      <c r="G133" s="231">
        <v>2861.9</v>
      </c>
      <c r="H133" s="228">
        <v>-3</v>
      </c>
      <c r="I133" s="229">
        <v>-1E-3</v>
      </c>
      <c r="J133" s="231">
        <v>2859.1</v>
      </c>
      <c r="K133" s="231">
        <v>2856.1</v>
      </c>
      <c r="L133" s="228">
        <v>3</v>
      </c>
      <c r="M133" s="229">
        <v>1.1000000000000001E-3</v>
      </c>
      <c r="N133" s="231">
        <v>2858.9</v>
      </c>
      <c r="O133" s="231">
        <v>2861.9</v>
      </c>
      <c r="P133" s="228">
        <v>-3</v>
      </c>
      <c r="Q133" s="229">
        <v>-1E-3</v>
      </c>
      <c r="R133" s="231">
        <v>2874.4</v>
      </c>
      <c r="S133" s="231">
        <v>2875.2</v>
      </c>
      <c r="T133" s="228">
        <v>-0.8</v>
      </c>
      <c r="U133" s="229">
        <v>-2.9999999999999997E-4</v>
      </c>
      <c r="V133" s="231">
        <v>2887</v>
      </c>
      <c r="W133" s="231">
        <v>2889.5</v>
      </c>
      <c r="X133" s="228">
        <v>-2.5</v>
      </c>
      <c r="Y133" s="229">
        <v>-8.9999999999999998E-4</v>
      </c>
      <c r="Z133" s="228">
        <v>-0.2</v>
      </c>
      <c r="AA133" s="228">
        <v>5.8</v>
      </c>
      <c r="AB133" s="228">
        <v>-6</v>
      </c>
      <c r="AC133" s="229">
        <v>-1E-4</v>
      </c>
      <c r="AD133" s="228">
        <v>-0.2</v>
      </c>
      <c r="AE133" s="228">
        <v>5.8</v>
      </c>
      <c r="AF133" s="228">
        <v>-6</v>
      </c>
      <c r="AG133" s="229">
        <v>-1E-4</v>
      </c>
      <c r="AH133" s="228">
        <v>15.3</v>
      </c>
      <c r="AI133" s="228">
        <v>19.100000000000001</v>
      </c>
      <c r="AJ133" s="228">
        <v>-3.8</v>
      </c>
      <c r="AK133" s="229">
        <v>5.4000000000000003E-3</v>
      </c>
      <c r="AL133" s="228">
        <v>27.9</v>
      </c>
      <c r="AM133" s="228">
        <v>33.4</v>
      </c>
      <c r="AN133" s="228">
        <v>-5.5</v>
      </c>
      <c r="AO133" s="229">
        <v>9.7999999999999997E-3</v>
      </c>
      <c r="AP133" s="231">
        <v>2872.81</v>
      </c>
      <c r="AQ133" s="231">
        <v>2887.02</v>
      </c>
      <c r="AR133" s="228">
        <v>0</v>
      </c>
      <c r="AS133" s="228">
        <v>674</v>
      </c>
      <c r="AT133" s="230">
        <v>1342</v>
      </c>
      <c r="AU133" s="228">
        <v>-668</v>
      </c>
      <c r="AV133" s="229">
        <v>-0.49790000000000001</v>
      </c>
      <c r="AW133" s="228">
        <v>548</v>
      </c>
      <c r="AX133" s="230">
        <v>1154</v>
      </c>
      <c r="AY133" s="228">
        <v>-606</v>
      </c>
      <c r="AZ133" s="229">
        <v>-0.52539999999999998</v>
      </c>
      <c r="BA133" s="228">
        <v>109</v>
      </c>
      <c r="BB133" s="228">
        <v>165</v>
      </c>
      <c r="BC133" s="228">
        <v>-56</v>
      </c>
      <c r="BD133" s="229">
        <v>-0.33979999999999999</v>
      </c>
      <c r="BE133" s="228">
        <v>17</v>
      </c>
      <c r="BF133" s="228">
        <v>22</v>
      </c>
      <c r="BG133" s="228">
        <v>-6</v>
      </c>
      <c r="BH133" s="229">
        <v>-0.248</v>
      </c>
      <c r="BI133" s="230">
        <v>2928</v>
      </c>
      <c r="BJ133" s="230">
        <v>6425</v>
      </c>
      <c r="BK133" s="230">
        <v>-3497</v>
      </c>
      <c r="BL133" s="229">
        <v>-0.54430000000000001</v>
      </c>
      <c r="BM133" s="230">
        <v>1749</v>
      </c>
      <c r="BN133" s="230">
        <v>4713</v>
      </c>
      <c r="BO133" s="230">
        <v>-2964</v>
      </c>
      <c r="BP133" s="229">
        <v>-0.62880000000000003</v>
      </c>
      <c r="BQ133" s="230">
        <v>5350</v>
      </c>
      <c r="BR133" s="230">
        <v>12480</v>
      </c>
      <c r="BS133" s="230">
        <v>-7129</v>
      </c>
      <c r="BT133" s="229">
        <v>-0.57130000000000003</v>
      </c>
      <c r="BU133" s="230">
        <v>2214260</v>
      </c>
      <c r="BV133" s="230">
        <v>4141751</v>
      </c>
      <c r="BW133" s="230">
        <v>-1927491</v>
      </c>
      <c r="BX133" s="229">
        <v>-0.46539999999999998</v>
      </c>
      <c r="BY133" s="230">
        <v>3729</v>
      </c>
      <c r="BZ133" s="230">
        <v>3751</v>
      </c>
      <c r="CA133" s="228">
        <v>-22</v>
      </c>
      <c r="CB133" s="229">
        <v>-5.8999999999999999E-3</v>
      </c>
      <c r="CC133" s="230">
        <v>3542</v>
      </c>
      <c r="CD133" s="230">
        <v>3584</v>
      </c>
      <c r="CE133" s="228">
        <v>-42</v>
      </c>
      <c r="CF133" s="229">
        <v>-1.18E-2</v>
      </c>
      <c r="CG133" s="228">
        <v>142</v>
      </c>
      <c r="CH133" s="228">
        <v>126</v>
      </c>
      <c r="CI133" s="228">
        <v>16</v>
      </c>
      <c r="CJ133" s="229">
        <v>0.1275</v>
      </c>
      <c r="CK133" s="228">
        <v>45</v>
      </c>
      <c r="CL133" s="228">
        <v>41</v>
      </c>
      <c r="CM133" s="228">
        <v>4</v>
      </c>
      <c r="CN133" s="229">
        <v>9.6100000000000005E-2</v>
      </c>
      <c r="CO133" s="230">
        <v>2552</v>
      </c>
      <c r="CP133" s="230">
        <v>2505</v>
      </c>
      <c r="CQ133" s="228">
        <v>47</v>
      </c>
      <c r="CR133" s="229">
        <v>1.89E-2</v>
      </c>
      <c r="CS133" s="230">
        <v>2328</v>
      </c>
      <c r="CT133" s="230">
        <v>2279</v>
      </c>
      <c r="CU133" s="228">
        <v>49</v>
      </c>
      <c r="CV133" s="229">
        <v>2.1600000000000001E-2</v>
      </c>
      <c r="CW133" s="230">
        <v>8609</v>
      </c>
      <c r="CX133" s="230">
        <v>8535</v>
      </c>
      <c r="CY133" s="228">
        <v>74</v>
      </c>
      <c r="CZ133" s="229">
        <v>8.6999999999999994E-3</v>
      </c>
      <c r="DA133" s="228">
        <v>46.01</v>
      </c>
      <c r="DB133" s="228">
        <v>43.16</v>
      </c>
      <c r="DC133" s="228">
        <v>2.85</v>
      </c>
      <c r="DD133" s="228">
        <v>2.85</v>
      </c>
      <c r="DE133" s="228">
        <v>49.89</v>
      </c>
      <c r="DF133" s="228">
        <v>50.01</v>
      </c>
      <c r="DG133" s="228">
        <v>-3.88</v>
      </c>
      <c r="DH133" s="228">
        <v>-0.12</v>
      </c>
      <c r="DI133" s="228">
        <v>44.39</v>
      </c>
      <c r="DJ133" s="228">
        <v>40.950000000000003</v>
      </c>
      <c r="DK133" s="228">
        <v>3.44</v>
      </c>
      <c r="DL133" s="228">
        <v>3.44</v>
      </c>
      <c r="DM133" s="228">
        <v>48.72</v>
      </c>
      <c r="DN133" s="228">
        <v>46.16</v>
      </c>
      <c r="DO133" s="228">
        <v>2.56</v>
      </c>
      <c r="DP133" s="228">
        <v>2.56</v>
      </c>
      <c r="DQ133" s="228">
        <v>0.91</v>
      </c>
      <c r="DR133" s="228">
        <v>0.91</v>
      </c>
      <c r="DS133" s="228">
        <v>0</v>
      </c>
      <c r="DT133" s="229">
        <v>0</v>
      </c>
      <c r="DU133" s="231">
        <v>2900</v>
      </c>
      <c r="DV133" s="231">
        <v>2500</v>
      </c>
      <c r="DW133" s="228">
        <v>0.6</v>
      </c>
      <c r="DX133" s="228">
        <v>0.73</v>
      </c>
      <c r="DY133" s="228">
        <v>-0.13</v>
      </c>
      <c r="DZ133" s="229">
        <v>-0.17810000000000001</v>
      </c>
      <c r="EA133" s="229">
        <v>5.0200000000000002E-2</v>
      </c>
      <c r="EB133" s="230">
        <v>584375</v>
      </c>
      <c r="EC133" s="229">
        <v>5.4000000000000003E-3</v>
      </c>
      <c r="ED133" s="229">
        <v>5.0200000000000002E-2</v>
      </c>
      <c r="EE133" s="228">
        <v>14.21</v>
      </c>
      <c r="EF133" s="229">
        <v>4.8999999999999998E-3</v>
      </c>
      <c r="EG133" s="230">
        <v>943142</v>
      </c>
      <c r="EH133" s="230">
        <v>1647018</v>
      </c>
      <c r="EI133" s="229">
        <v>-0.4274</v>
      </c>
      <c r="EJ133" s="229">
        <v>0.4259</v>
      </c>
      <c r="EK133" s="231">
        <v>3094.69</v>
      </c>
      <c r="EL133" s="231">
        <v>1676.12</v>
      </c>
      <c r="EM133" s="228">
        <v>677.59</v>
      </c>
      <c r="EN133" s="228">
        <v>73.489999999999995</v>
      </c>
      <c r="EO133" s="231">
        <v>5448.41</v>
      </c>
      <c r="EP133" s="231">
        <v>12561.26</v>
      </c>
      <c r="EQ133" s="231">
        <v>-7112.85</v>
      </c>
      <c r="ER133" s="229">
        <v>-0.56630000000000003</v>
      </c>
      <c r="ES133" s="231">
        <v>2522.5300000000002</v>
      </c>
      <c r="ET133" s="231">
        <v>2055.5500000000002</v>
      </c>
      <c r="EU133" s="231">
        <v>3730.11</v>
      </c>
      <c r="EV133" s="231">
        <v>38177113</v>
      </c>
      <c r="EW133" s="231">
        <v>8308.2000000000007</v>
      </c>
      <c r="EX133" s="231">
        <v>8221.9599999999991</v>
      </c>
      <c r="EY133" s="228">
        <v>86.24</v>
      </c>
      <c r="EZ133" s="229">
        <v>1.0500000000000001E-2</v>
      </c>
      <c r="FA133" s="229">
        <v>0.78879999999999995</v>
      </c>
      <c r="FB133" s="227" t="s">
        <v>567</v>
      </c>
      <c r="FC133">
        <f t="shared" si="2"/>
        <v>187</v>
      </c>
    </row>
    <row r="134" spans="1:159" ht="17.25" thickBot="1" x14ac:dyDescent="0.3">
      <c r="A134" s="226">
        <v>46132</v>
      </c>
      <c r="B134" s="227" t="s">
        <v>175</v>
      </c>
      <c r="C134" s="227" t="s">
        <v>257</v>
      </c>
      <c r="D134" s="228">
        <v>400</v>
      </c>
      <c r="E134" s="228">
        <v>8</v>
      </c>
      <c r="F134" s="231">
        <v>1686.9</v>
      </c>
      <c r="G134" s="231">
        <v>1681.8</v>
      </c>
      <c r="H134" s="228">
        <v>5.0999999999999996</v>
      </c>
      <c r="I134" s="229">
        <v>3.0000000000000001E-3</v>
      </c>
      <c r="J134" s="231">
        <v>1688.8</v>
      </c>
      <c r="K134" s="231">
        <v>1683.2</v>
      </c>
      <c r="L134" s="228">
        <v>5.6</v>
      </c>
      <c r="M134" s="229">
        <v>3.3E-3</v>
      </c>
      <c r="N134" s="231">
        <v>1686.9</v>
      </c>
      <c r="O134" s="231">
        <v>1681.8</v>
      </c>
      <c r="P134" s="228">
        <v>5.0999999999999996</v>
      </c>
      <c r="Q134" s="229">
        <v>3.0000000000000001E-3</v>
      </c>
      <c r="R134" s="231">
        <v>1696.5</v>
      </c>
      <c r="S134" s="231">
        <v>1685.1</v>
      </c>
      <c r="T134" s="228">
        <v>11.4</v>
      </c>
      <c r="U134" s="229">
        <v>6.7999999999999996E-3</v>
      </c>
      <c r="V134" s="231">
        <v>1703</v>
      </c>
      <c r="W134" s="231">
        <v>1719.1</v>
      </c>
      <c r="X134" s="228">
        <v>-16.100000000000001</v>
      </c>
      <c r="Y134" s="229">
        <v>-9.4000000000000004E-3</v>
      </c>
      <c r="Z134" s="228">
        <v>-1.9</v>
      </c>
      <c r="AA134" s="228">
        <v>-1.4</v>
      </c>
      <c r="AB134" s="228">
        <v>-0.5</v>
      </c>
      <c r="AC134" s="229">
        <v>-1.1000000000000001E-3</v>
      </c>
      <c r="AD134" s="228">
        <v>-1.9</v>
      </c>
      <c r="AE134" s="228">
        <v>-1.4</v>
      </c>
      <c r="AF134" s="228">
        <v>-0.5</v>
      </c>
      <c r="AG134" s="229">
        <v>-1.1000000000000001E-3</v>
      </c>
      <c r="AH134" s="228">
        <v>7.7</v>
      </c>
      <c r="AI134" s="228">
        <v>1.9</v>
      </c>
      <c r="AJ134" s="228">
        <v>5.8</v>
      </c>
      <c r="AK134" s="229">
        <v>4.5999999999999999E-3</v>
      </c>
      <c r="AL134" s="228">
        <v>14.2</v>
      </c>
      <c r="AM134" s="228">
        <v>35.9</v>
      </c>
      <c r="AN134" s="228">
        <v>-21.7</v>
      </c>
      <c r="AO134" s="229">
        <v>8.3999999999999995E-3</v>
      </c>
      <c r="AP134" s="231">
        <v>1676.89</v>
      </c>
      <c r="AQ134" s="231">
        <v>1686.43</v>
      </c>
      <c r="AR134" s="228">
        <v>0</v>
      </c>
      <c r="AS134" s="228">
        <v>179</v>
      </c>
      <c r="AT134" s="228">
        <v>135</v>
      </c>
      <c r="AU134" s="228">
        <v>44</v>
      </c>
      <c r="AV134" s="229">
        <v>0.32900000000000001</v>
      </c>
      <c r="AW134" s="228">
        <v>171</v>
      </c>
      <c r="AX134" s="228">
        <v>131</v>
      </c>
      <c r="AY134" s="228">
        <v>40</v>
      </c>
      <c r="AZ134" s="229">
        <v>0.30349999999999999</v>
      </c>
      <c r="BA134" s="228">
        <v>8</v>
      </c>
      <c r="BB134" s="228">
        <v>3</v>
      </c>
      <c r="BC134" s="228">
        <v>4</v>
      </c>
      <c r="BD134" s="229">
        <v>1.28</v>
      </c>
      <c r="BE134" s="228">
        <v>0</v>
      </c>
      <c r="BF134" s="228">
        <v>0</v>
      </c>
      <c r="BG134" s="228">
        <v>0</v>
      </c>
      <c r="BH134" s="229">
        <v>0</v>
      </c>
      <c r="BI134" s="228">
        <v>94</v>
      </c>
      <c r="BJ134" s="228">
        <v>85</v>
      </c>
      <c r="BK134" s="228">
        <v>8</v>
      </c>
      <c r="BL134" s="229">
        <v>9.8199999999999996E-2</v>
      </c>
      <c r="BM134" s="228">
        <v>65</v>
      </c>
      <c r="BN134" s="228">
        <v>69</v>
      </c>
      <c r="BO134" s="228">
        <v>-4</v>
      </c>
      <c r="BP134" s="229">
        <v>-6.4100000000000004E-2</v>
      </c>
      <c r="BQ134" s="228">
        <v>338</v>
      </c>
      <c r="BR134" s="228">
        <v>289</v>
      </c>
      <c r="BS134" s="228">
        <v>48</v>
      </c>
      <c r="BT134" s="229">
        <v>0.16669999999999999</v>
      </c>
      <c r="BU134" s="230">
        <v>1094134</v>
      </c>
      <c r="BV134" s="230">
        <v>1026972</v>
      </c>
      <c r="BW134" s="230">
        <v>67162</v>
      </c>
      <c r="BX134" s="229">
        <v>6.54E-2</v>
      </c>
      <c r="BY134" s="230">
        <v>1537</v>
      </c>
      <c r="BZ134" s="230">
        <v>1612</v>
      </c>
      <c r="CA134" s="228">
        <v>-75</v>
      </c>
      <c r="CB134" s="229">
        <v>-4.6699999999999998E-2</v>
      </c>
      <c r="CC134" s="230">
        <v>1528</v>
      </c>
      <c r="CD134" s="230">
        <v>1606</v>
      </c>
      <c r="CE134" s="228">
        <v>-78</v>
      </c>
      <c r="CF134" s="229">
        <v>-4.8500000000000001E-2</v>
      </c>
      <c r="CG134" s="228">
        <v>8</v>
      </c>
      <c r="CH134" s="228">
        <v>6</v>
      </c>
      <c r="CI134" s="228">
        <v>3</v>
      </c>
      <c r="CJ134" s="229">
        <v>0.44190000000000002</v>
      </c>
      <c r="CK134" s="228">
        <v>1</v>
      </c>
      <c r="CL134" s="228">
        <v>0</v>
      </c>
      <c r="CM134" s="228">
        <v>0</v>
      </c>
      <c r="CN134" s="229">
        <v>0.1429</v>
      </c>
      <c r="CO134" s="228">
        <v>172</v>
      </c>
      <c r="CP134" s="228">
        <v>170</v>
      </c>
      <c r="CQ134" s="228">
        <v>3</v>
      </c>
      <c r="CR134" s="229">
        <v>1.5100000000000001E-2</v>
      </c>
      <c r="CS134" s="228">
        <v>105</v>
      </c>
      <c r="CT134" s="228">
        <v>104</v>
      </c>
      <c r="CU134" s="228">
        <v>2</v>
      </c>
      <c r="CV134" s="229">
        <v>1.8200000000000001E-2</v>
      </c>
      <c r="CW134" s="230">
        <v>1815</v>
      </c>
      <c r="CX134" s="230">
        <v>1885</v>
      </c>
      <c r="CY134" s="228">
        <v>-71</v>
      </c>
      <c r="CZ134" s="229">
        <v>-3.7499999999999999E-2</v>
      </c>
      <c r="DA134" s="228">
        <v>34.15</v>
      </c>
      <c r="DB134" s="228">
        <v>30.45</v>
      </c>
      <c r="DC134" s="228">
        <v>3.7</v>
      </c>
      <c r="DD134" s="228">
        <v>3.7</v>
      </c>
      <c r="DE134" s="228">
        <v>31.86</v>
      </c>
      <c r="DF134" s="228">
        <v>31.94</v>
      </c>
      <c r="DG134" s="228">
        <v>2.29</v>
      </c>
      <c r="DH134" s="228">
        <v>-0.08</v>
      </c>
      <c r="DI134" s="228">
        <v>32.840000000000003</v>
      </c>
      <c r="DJ134" s="228">
        <v>28.76</v>
      </c>
      <c r="DK134" s="228">
        <v>4.08</v>
      </c>
      <c r="DL134" s="228">
        <v>4.08</v>
      </c>
      <c r="DM134" s="228">
        <v>36.04</v>
      </c>
      <c r="DN134" s="228">
        <v>32.51</v>
      </c>
      <c r="DO134" s="228">
        <v>3.53</v>
      </c>
      <c r="DP134" s="228">
        <v>3.53</v>
      </c>
      <c r="DQ134" s="228">
        <v>0.61</v>
      </c>
      <c r="DR134" s="228">
        <v>0.61</v>
      </c>
      <c r="DS134" s="228">
        <v>0</v>
      </c>
      <c r="DT134" s="229">
        <v>0</v>
      </c>
      <c r="DU134" s="231">
        <v>1800</v>
      </c>
      <c r="DV134" s="231">
        <v>1460</v>
      </c>
      <c r="DW134" s="228">
        <v>0.69</v>
      </c>
      <c r="DX134" s="228">
        <v>0.81</v>
      </c>
      <c r="DY134" s="228">
        <v>-0.12</v>
      </c>
      <c r="DZ134" s="229">
        <v>-0.14810000000000001</v>
      </c>
      <c r="EA134" s="229">
        <v>5.7999999999999996E-3</v>
      </c>
      <c r="EB134" s="230">
        <v>37200</v>
      </c>
      <c r="EC134" s="229">
        <v>5.7000000000000002E-3</v>
      </c>
      <c r="ED134" s="229">
        <v>5.7999999999999996E-3</v>
      </c>
      <c r="EE134" s="228">
        <v>9.5399999999999991</v>
      </c>
      <c r="EF134" s="229">
        <v>5.7000000000000002E-3</v>
      </c>
      <c r="EG134" s="230">
        <v>715428</v>
      </c>
      <c r="EH134" s="230">
        <v>695690</v>
      </c>
      <c r="EI134" s="229">
        <v>2.8400000000000002E-2</v>
      </c>
      <c r="EJ134" s="229">
        <v>0.65390000000000004</v>
      </c>
      <c r="EK134" s="228">
        <v>96.52</v>
      </c>
      <c r="EL134" s="228">
        <v>63.08</v>
      </c>
      <c r="EM134" s="228">
        <v>178.06</v>
      </c>
      <c r="EN134" s="228">
        <v>20.92</v>
      </c>
      <c r="EO134" s="228">
        <v>337.66</v>
      </c>
      <c r="EP134" s="228">
        <v>290.75</v>
      </c>
      <c r="EQ134" s="228">
        <v>46.91</v>
      </c>
      <c r="ER134" s="229">
        <v>0.1613</v>
      </c>
      <c r="ES134" s="228">
        <v>175.55</v>
      </c>
      <c r="ET134" s="228">
        <v>96.58</v>
      </c>
      <c r="EU134" s="231">
        <v>1537.02</v>
      </c>
      <c r="EV134" s="231">
        <v>35051266</v>
      </c>
      <c r="EW134" s="231">
        <v>1809.16</v>
      </c>
      <c r="EX134" s="231">
        <v>1874.83</v>
      </c>
      <c r="EY134" s="228">
        <v>-65.67</v>
      </c>
      <c r="EZ134" s="229">
        <v>-3.5000000000000003E-2</v>
      </c>
      <c r="FA134" s="229">
        <v>0.30690000000000001</v>
      </c>
      <c r="FB134" s="227" t="s">
        <v>693</v>
      </c>
      <c r="FC134">
        <f t="shared" si="2"/>
        <v>9</v>
      </c>
    </row>
    <row r="135" spans="1:159" ht="17.25" thickBot="1" x14ac:dyDescent="0.3">
      <c r="A135" s="226">
        <v>46132</v>
      </c>
      <c r="B135" s="227" t="s">
        <v>181</v>
      </c>
      <c r="C135" s="227" t="s">
        <v>562</v>
      </c>
      <c r="D135" s="228">
        <v>120</v>
      </c>
      <c r="E135" s="228">
        <v>8</v>
      </c>
      <c r="F135" s="231">
        <v>13785.25</v>
      </c>
      <c r="G135" s="231">
        <v>13849.2</v>
      </c>
      <c r="H135" s="228">
        <v>-63.95</v>
      </c>
      <c r="I135" s="229">
        <v>-4.5999999999999999E-3</v>
      </c>
      <c r="J135" s="231">
        <v>13807.25</v>
      </c>
      <c r="K135" s="231">
        <v>13838.85</v>
      </c>
      <c r="L135" s="228">
        <v>-31.6</v>
      </c>
      <c r="M135" s="229">
        <v>-2.3E-3</v>
      </c>
      <c r="N135" s="231">
        <v>13785.25</v>
      </c>
      <c r="O135" s="231">
        <v>13849.2</v>
      </c>
      <c r="P135" s="228">
        <v>-63.95</v>
      </c>
      <c r="Q135" s="229">
        <v>-4.5999999999999999E-3</v>
      </c>
      <c r="R135" s="231">
        <v>13825</v>
      </c>
      <c r="S135" s="231">
        <v>13880.05</v>
      </c>
      <c r="T135" s="228">
        <v>-55.05</v>
      </c>
      <c r="U135" s="229">
        <v>-4.0000000000000001E-3</v>
      </c>
      <c r="V135" s="231">
        <v>13877</v>
      </c>
      <c r="W135" s="231">
        <v>13914.65</v>
      </c>
      <c r="X135" s="228">
        <v>-37.65</v>
      </c>
      <c r="Y135" s="229">
        <v>-2.7000000000000001E-3</v>
      </c>
      <c r="Z135" s="228">
        <v>-22</v>
      </c>
      <c r="AA135" s="228">
        <v>10.35</v>
      </c>
      <c r="AB135" s="228">
        <v>-32.35</v>
      </c>
      <c r="AC135" s="229">
        <v>-1.6000000000000001E-3</v>
      </c>
      <c r="AD135" s="228">
        <v>-22</v>
      </c>
      <c r="AE135" s="228">
        <v>10.35</v>
      </c>
      <c r="AF135" s="228">
        <v>-32.35</v>
      </c>
      <c r="AG135" s="229">
        <v>-1.6000000000000001E-3</v>
      </c>
      <c r="AH135" s="228">
        <v>17.75</v>
      </c>
      <c r="AI135" s="228">
        <v>41.2</v>
      </c>
      <c r="AJ135" s="228">
        <v>-23.45</v>
      </c>
      <c r="AK135" s="229">
        <v>1.2999999999999999E-3</v>
      </c>
      <c r="AL135" s="228">
        <v>69.75</v>
      </c>
      <c r="AM135" s="228">
        <v>75.8</v>
      </c>
      <c r="AN135" s="228">
        <v>-6.05</v>
      </c>
      <c r="AO135" s="229">
        <v>5.1000000000000004E-3</v>
      </c>
      <c r="AP135" s="231">
        <v>13842.09</v>
      </c>
      <c r="AQ135" s="231">
        <v>13873.36</v>
      </c>
      <c r="AR135" s="228">
        <v>0</v>
      </c>
      <c r="AS135" s="228">
        <v>745</v>
      </c>
      <c r="AT135" s="228">
        <v>760</v>
      </c>
      <c r="AU135" s="228">
        <v>-15</v>
      </c>
      <c r="AV135" s="229">
        <v>-1.9800000000000002E-2</v>
      </c>
      <c r="AW135" s="228">
        <v>619</v>
      </c>
      <c r="AX135" s="228">
        <v>677</v>
      </c>
      <c r="AY135" s="228">
        <v>-59</v>
      </c>
      <c r="AZ135" s="229">
        <v>-8.6699999999999999E-2</v>
      </c>
      <c r="BA135" s="228">
        <v>117</v>
      </c>
      <c r="BB135" s="228">
        <v>72</v>
      </c>
      <c r="BC135" s="228">
        <v>45</v>
      </c>
      <c r="BD135" s="229">
        <v>0.629</v>
      </c>
      <c r="BE135" s="228">
        <v>10</v>
      </c>
      <c r="BF135" s="228">
        <v>11</v>
      </c>
      <c r="BG135" s="228">
        <v>-1</v>
      </c>
      <c r="BH135" s="229">
        <v>-0.1343</v>
      </c>
      <c r="BI135" s="230">
        <v>20542</v>
      </c>
      <c r="BJ135" s="230">
        <v>19684</v>
      </c>
      <c r="BK135" s="228">
        <v>858</v>
      </c>
      <c r="BL135" s="229">
        <v>4.36E-2</v>
      </c>
      <c r="BM135" s="230">
        <v>18321</v>
      </c>
      <c r="BN135" s="230">
        <v>25911</v>
      </c>
      <c r="BO135" s="230">
        <v>-7590</v>
      </c>
      <c r="BP135" s="229">
        <v>-0.29289999999999999</v>
      </c>
      <c r="BQ135" s="230">
        <v>39608</v>
      </c>
      <c r="BR135" s="230">
        <v>46355</v>
      </c>
      <c r="BS135" s="230">
        <v>-6747</v>
      </c>
      <c r="BT135" s="229">
        <v>-0.14560000000000001</v>
      </c>
      <c r="BU135" s="228">
        <v>0</v>
      </c>
      <c r="BV135" s="228">
        <v>0</v>
      </c>
      <c r="BW135" s="228">
        <v>0</v>
      </c>
      <c r="BX135" s="229">
        <v>0</v>
      </c>
      <c r="BY135" s="230">
        <v>3362</v>
      </c>
      <c r="BZ135" s="230">
        <v>3461</v>
      </c>
      <c r="CA135" s="228">
        <v>-99</v>
      </c>
      <c r="CB135" s="229">
        <v>-2.86E-2</v>
      </c>
      <c r="CC135" s="230">
        <v>3155</v>
      </c>
      <c r="CD135" s="230">
        <v>3283</v>
      </c>
      <c r="CE135" s="228">
        <v>-128</v>
      </c>
      <c r="CF135" s="229">
        <v>-3.8899999999999997E-2</v>
      </c>
      <c r="CG135" s="228">
        <v>193</v>
      </c>
      <c r="CH135" s="228">
        <v>166</v>
      </c>
      <c r="CI135" s="228">
        <v>27</v>
      </c>
      <c r="CJ135" s="229">
        <v>0.16039999999999999</v>
      </c>
      <c r="CK135" s="228">
        <v>14</v>
      </c>
      <c r="CL135" s="228">
        <v>12</v>
      </c>
      <c r="CM135" s="228">
        <v>2</v>
      </c>
      <c r="CN135" s="229">
        <v>0.16439999999999999</v>
      </c>
      <c r="CO135" s="230">
        <v>8156</v>
      </c>
      <c r="CP135" s="230">
        <v>8209</v>
      </c>
      <c r="CQ135" s="228">
        <v>-53</v>
      </c>
      <c r="CR135" s="229">
        <v>-6.4999999999999997E-3</v>
      </c>
      <c r="CS135" s="230">
        <v>10048</v>
      </c>
      <c r="CT135" s="230">
        <v>9965</v>
      </c>
      <c r="CU135" s="228">
        <v>83</v>
      </c>
      <c r="CV135" s="229">
        <v>8.3000000000000001E-3</v>
      </c>
      <c r="CW135" s="230">
        <v>21566</v>
      </c>
      <c r="CX135" s="230">
        <v>21636</v>
      </c>
      <c r="CY135" s="228">
        <v>-70</v>
      </c>
      <c r="CZ135" s="229">
        <v>-3.2000000000000002E-3</v>
      </c>
      <c r="DA135" s="228">
        <v>27.48</v>
      </c>
      <c r="DB135" s="228">
        <v>23.83</v>
      </c>
      <c r="DC135" s="228">
        <v>3.65</v>
      </c>
      <c r="DD135" s="228">
        <v>3.65</v>
      </c>
      <c r="DE135" s="228">
        <v>25.23</v>
      </c>
      <c r="DF135" s="228">
        <v>25.28</v>
      </c>
      <c r="DG135" s="228">
        <v>2.25</v>
      </c>
      <c r="DH135" s="228">
        <v>-0.05</v>
      </c>
      <c r="DI135" s="228">
        <v>25.47</v>
      </c>
      <c r="DJ135" s="228">
        <v>20.100000000000001</v>
      </c>
      <c r="DK135" s="228">
        <v>5.37</v>
      </c>
      <c r="DL135" s="228">
        <v>5.37</v>
      </c>
      <c r="DM135" s="228">
        <v>29.73</v>
      </c>
      <c r="DN135" s="228">
        <v>26.67</v>
      </c>
      <c r="DO135" s="228">
        <v>3.06</v>
      </c>
      <c r="DP135" s="228">
        <v>3.06</v>
      </c>
      <c r="DQ135" s="228">
        <v>1.23</v>
      </c>
      <c r="DR135" s="228">
        <v>1.21</v>
      </c>
      <c r="DS135" s="228">
        <v>0.02</v>
      </c>
      <c r="DT135" s="229">
        <v>1.6500000000000001E-2</v>
      </c>
      <c r="DU135" s="231">
        <v>14000</v>
      </c>
      <c r="DV135" s="231">
        <v>12500</v>
      </c>
      <c r="DW135" s="228">
        <v>0.89</v>
      </c>
      <c r="DX135" s="228">
        <v>1.32</v>
      </c>
      <c r="DY135" s="228">
        <v>-0.43</v>
      </c>
      <c r="DZ135" s="229">
        <v>-0.32579999999999998</v>
      </c>
      <c r="EA135" s="229">
        <v>6.1499999999999999E-2</v>
      </c>
      <c r="EB135" s="230">
        <v>129240</v>
      </c>
      <c r="EC135" s="229">
        <v>2.8999999999999998E-3</v>
      </c>
      <c r="ED135" s="229">
        <v>6.1499999999999999E-2</v>
      </c>
      <c r="EE135" s="228">
        <v>31.27</v>
      </c>
      <c r="EF135" s="229">
        <v>2.3E-3</v>
      </c>
      <c r="EG135" s="228">
        <v>0</v>
      </c>
      <c r="EH135" s="228">
        <v>0</v>
      </c>
      <c r="EI135" s="229">
        <v>0</v>
      </c>
      <c r="EJ135" s="229">
        <v>0</v>
      </c>
      <c r="EK135" s="231">
        <v>21281.63</v>
      </c>
      <c r="EL135" s="231">
        <v>17853.87</v>
      </c>
      <c r="EM135" s="228">
        <v>748.63</v>
      </c>
      <c r="EN135" s="228">
        <v>0</v>
      </c>
      <c r="EO135" s="231">
        <v>39884.129999999997</v>
      </c>
      <c r="EP135" s="231">
        <v>45886.11</v>
      </c>
      <c r="EQ135" s="231">
        <v>-6001.97</v>
      </c>
      <c r="ER135" s="229">
        <v>-0.1308</v>
      </c>
      <c r="ES135" s="231">
        <v>8207.69</v>
      </c>
      <c r="ET135" s="231">
        <v>9350.7800000000007</v>
      </c>
      <c r="EU135" s="231">
        <v>3362.87</v>
      </c>
      <c r="EV135" s="228">
        <v>0</v>
      </c>
      <c r="EW135" s="231">
        <v>20921.34</v>
      </c>
      <c r="EX135" s="231">
        <v>20987.200000000001</v>
      </c>
      <c r="EY135" s="228">
        <v>-65.86</v>
      </c>
      <c r="EZ135" s="229">
        <v>-3.0999999999999999E-3</v>
      </c>
      <c r="FA135" s="229">
        <v>0</v>
      </c>
      <c r="FB135" s="227" t="s">
        <v>567</v>
      </c>
      <c r="FC135">
        <f t="shared" si="2"/>
        <v>207</v>
      </c>
    </row>
    <row r="136" spans="1:159" ht="17.25" thickBot="1" x14ac:dyDescent="0.3">
      <c r="A136" s="226">
        <v>46132</v>
      </c>
      <c r="B136" s="227" t="s">
        <v>162</v>
      </c>
      <c r="C136" s="227" t="s">
        <v>558</v>
      </c>
      <c r="D136" s="228">
        <v>6150</v>
      </c>
      <c r="E136" s="228">
        <v>8</v>
      </c>
      <c r="F136" s="228">
        <v>123.34</v>
      </c>
      <c r="G136" s="228">
        <v>125.05</v>
      </c>
      <c r="H136" s="228">
        <v>-1.71</v>
      </c>
      <c r="I136" s="229">
        <v>-1.37E-2</v>
      </c>
      <c r="J136" s="228">
        <v>123.19</v>
      </c>
      <c r="K136" s="228">
        <v>125.03</v>
      </c>
      <c r="L136" s="228">
        <v>-1.84</v>
      </c>
      <c r="M136" s="229">
        <v>-1.47E-2</v>
      </c>
      <c r="N136" s="228">
        <v>123.34</v>
      </c>
      <c r="O136" s="228">
        <v>125.05</v>
      </c>
      <c r="P136" s="228">
        <v>-1.71</v>
      </c>
      <c r="Q136" s="229">
        <v>-1.37E-2</v>
      </c>
      <c r="R136" s="228">
        <v>123.98</v>
      </c>
      <c r="S136" s="228">
        <v>125.65</v>
      </c>
      <c r="T136" s="228">
        <v>-1.67</v>
      </c>
      <c r="U136" s="229">
        <v>-1.3299999999999999E-2</v>
      </c>
      <c r="V136" s="228">
        <v>124.58</v>
      </c>
      <c r="W136" s="228">
        <v>126.03</v>
      </c>
      <c r="X136" s="228">
        <v>-1.45</v>
      </c>
      <c r="Y136" s="229">
        <v>-1.15E-2</v>
      </c>
      <c r="Z136" s="228">
        <v>0.15</v>
      </c>
      <c r="AA136" s="228">
        <v>0.02</v>
      </c>
      <c r="AB136" s="228">
        <v>0.13</v>
      </c>
      <c r="AC136" s="229">
        <v>1.1999999999999999E-3</v>
      </c>
      <c r="AD136" s="228">
        <v>0.15</v>
      </c>
      <c r="AE136" s="228">
        <v>0.02</v>
      </c>
      <c r="AF136" s="228">
        <v>0.13</v>
      </c>
      <c r="AG136" s="229">
        <v>1.1999999999999999E-3</v>
      </c>
      <c r="AH136" s="228">
        <v>0.79</v>
      </c>
      <c r="AI136" s="228">
        <v>0.62</v>
      </c>
      <c r="AJ136" s="228">
        <v>0.17</v>
      </c>
      <c r="AK136" s="229">
        <v>6.4000000000000003E-3</v>
      </c>
      <c r="AL136" s="228">
        <v>1.39</v>
      </c>
      <c r="AM136" s="228">
        <v>1</v>
      </c>
      <c r="AN136" s="228">
        <v>0.39</v>
      </c>
      <c r="AO136" s="229">
        <v>1.1299999999999999E-2</v>
      </c>
      <c r="AP136" s="228">
        <v>124.06</v>
      </c>
      <c r="AQ136" s="228">
        <v>124.71</v>
      </c>
      <c r="AR136" s="228">
        <v>0</v>
      </c>
      <c r="AS136" s="228">
        <v>259</v>
      </c>
      <c r="AT136" s="228">
        <v>435</v>
      </c>
      <c r="AU136" s="228">
        <v>-175</v>
      </c>
      <c r="AV136" s="229">
        <v>-0.40350000000000003</v>
      </c>
      <c r="AW136" s="228">
        <v>220</v>
      </c>
      <c r="AX136" s="228">
        <v>311</v>
      </c>
      <c r="AY136" s="228">
        <v>-90</v>
      </c>
      <c r="AZ136" s="229">
        <v>-0.29049999999999998</v>
      </c>
      <c r="BA136" s="228">
        <v>32</v>
      </c>
      <c r="BB136" s="228">
        <v>21</v>
      </c>
      <c r="BC136" s="228">
        <v>11</v>
      </c>
      <c r="BD136" s="229">
        <v>0.50529999999999997</v>
      </c>
      <c r="BE136" s="228">
        <v>7</v>
      </c>
      <c r="BF136" s="228">
        <v>103</v>
      </c>
      <c r="BG136" s="228">
        <v>-96</v>
      </c>
      <c r="BH136" s="229">
        <v>-0.93359999999999999</v>
      </c>
      <c r="BI136" s="228">
        <v>258</v>
      </c>
      <c r="BJ136" s="228">
        <v>334</v>
      </c>
      <c r="BK136" s="228">
        <v>-77</v>
      </c>
      <c r="BL136" s="229">
        <v>-0.2291</v>
      </c>
      <c r="BM136" s="228">
        <v>231</v>
      </c>
      <c r="BN136" s="228">
        <v>337</v>
      </c>
      <c r="BO136" s="228">
        <v>-106</v>
      </c>
      <c r="BP136" s="229">
        <v>-0.31530000000000002</v>
      </c>
      <c r="BQ136" s="228">
        <v>747</v>
      </c>
      <c r="BR136" s="230">
        <v>1106</v>
      </c>
      <c r="BS136" s="228">
        <v>-358</v>
      </c>
      <c r="BT136" s="229">
        <v>-0.32400000000000001</v>
      </c>
      <c r="BU136" s="230">
        <v>13381245</v>
      </c>
      <c r="BV136" s="230">
        <v>18536579</v>
      </c>
      <c r="BW136" s="230">
        <v>-5155334</v>
      </c>
      <c r="BX136" s="229">
        <v>-0.27810000000000001</v>
      </c>
      <c r="BY136" s="230">
        <v>1610</v>
      </c>
      <c r="BZ136" s="230">
        <v>1626</v>
      </c>
      <c r="CA136" s="228">
        <v>-16</v>
      </c>
      <c r="CB136" s="229">
        <v>-9.9000000000000008E-3</v>
      </c>
      <c r="CC136" s="230">
        <v>1448</v>
      </c>
      <c r="CD136" s="230">
        <v>1480</v>
      </c>
      <c r="CE136" s="228">
        <v>-32</v>
      </c>
      <c r="CF136" s="229">
        <v>-2.1600000000000001E-2</v>
      </c>
      <c r="CG136" s="228">
        <v>53</v>
      </c>
      <c r="CH136" s="228">
        <v>41</v>
      </c>
      <c r="CI136" s="228">
        <v>12</v>
      </c>
      <c r="CJ136" s="229">
        <v>0.29549999999999998</v>
      </c>
      <c r="CK136" s="228">
        <v>109</v>
      </c>
      <c r="CL136" s="228">
        <v>105</v>
      </c>
      <c r="CM136" s="228">
        <v>4</v>
      </c>
      <c r="CN136" s="229">
        <v>3.5999999999999997E-2</v>
      </c>
      <c r="CO136" s="228">
        <v>487</v>
      </c>
      <c r="CP136" s="228">
        <v>474</v>
      </c>
      <c r="CQ136" s="228">
        <v>12</v>
      </c>
      <c r="CR136" s="229">
        <v>2.5899999999999999E-2</v>
      </c>
      <c r="CS136" s="228">
        <v>450</v>
      </c>
      <c r="CT136" s="228">
        <v>420</v>
      </c>
      <c r="CU136" s="228">
        <v>30</v>
      </c>
      <c r="CV136" s="229">
        <v>7.0999999999999994E-2</v>
      </c>
      <c r="CW136" s="230">
        <v>2547</v>
      </c>
      <c r="CX136" s="230">
        <v>2521</v>
      </c>
      <c r="CY136" s="228">
        <v>26</v>
      </c>
      <c r="CZ136" s="229">
        <v>1.03E-2</v>
      </c>
      <c r="DA136" s="228">
        <v>43.3</v>
      </c>
      <c r="DB136" s="228">
        <v>41.3</v>
      </c>
      <c r="DC136" s="228">
        <v>2</v>
      </c>
      <c r="DD136" s="228">
        <v>2</v>
      </c>
      <c r="DE136" s="228">
        <v>43.21</v>
      </c>
      <c r="DF136" s="228">
        <v>43.28</v>
      </c>
      <c r="DG136" s="228">
        <v>0.09</v>
      </c>
      <c r="DH136" s="228">
        <v>-7.0000000000000007E-2</v>
      </c>
      <c r="DI136" s="228">
        <v>40.36</v>
      </c>
      <c r="DJ136" s="228">
        <v>36.49</v>
      </c>
      <c r="DK136" s="228">
        <v>3.87</v>
      </c>
      <c r="DL136" s="228">
        <v>3.87</v>
      </c>
      <c r="DM136" s="228">
        <v>46.59</v>
      </c>
      <c r="DN136" s="228">
        <v>46.07</v>
      </c>
      <c r="DO136" s="228">
        <v>0.52</v>
      </c>
      <c r="DP136" s="228">
        <v>0.52</v>
      </c>
      <c r="DQ136" s="228">
        <v>0.92</v>
      </c>
      <c r="DR136" s="228">
        <v>0.89</v>
      </c>
      <c r="DS136" s="228">
        <v>0.03</v>
      </c>
      <c r="DT136" s="229">
        <v>3.3700000000000001E-2</v>
      </c>
      <c r="DU136" s="228">
        <v>130</v>
      </c>
      <c r="DV136" s="228">
        <v>120</v>
      </c>
      <c r="DW136" s="228">
        <v>0.9</v>
      </c>
      <c r="DX136" s="228">
        <v>1.01</v>
      </c>
      <c r="DY136" s="228">
        <v>-0.11</v>
      </c>
      <c r="DZ136" s="229">
        <v>-0.1089</v>
      </c>
      <c r="EA136" s="229">
        <v>0.10059999999999999</v>
      </c>
      <c r="EB136" s="230">
        <v>11844900</v>
      </c>
      <c r="EC136" s="229">
        <v>5.1999999999999998E-3</v>
      </c>
      <c r="ED136" s="229">
        <v>0.10059999999999999</v>
      </c>
      <c r="EE136" s="228">
        <v>0.65</v>
      </c>
      <c r="EF136" s="229">
        <v>5.1999999999999998E-3</v>
      </c>
      <c r="EG136" s="230">
        <v>6167546</v>
      </c>
      <c r="EH136" s="230">
        <v>8839044</v>
      </c>
      <c r="EI136" s="229">
        <v>-0.30220000000000002</v>
      </c>
      <c r="EJ136" s="229">
        <v>0.46089999999999998</v>
      </c>
      <c r="EK136" s="228">
        <v>270.99</v>
      </c>
      <c r="EL136" s="228">
        <v>221.57</v>
      </c>
      <c r="EM136" s="228">
        <v>261.10000000000002</v>
      </c>
      <c r="EN136" s="228">
        <v>47.35</v>
      </c>
      <c r="EO136" s="228">
        <v>753.66</v>
      </c>
      <c r="EP136" s="231">
        <v>1109.6199999999999</v>
      </c>
      <c r="EQ136" s="228">
        <v>-355.96</v>
      </c>
      <c r="ER136" s="229">
        <v>-0.32079999999999997</v>
      </c>
      <c r="ES136" s="228">
        <v>486.4</v>
      </c>
      <c r="ET136" s="228">
        <v>412.43</v>
      </c>
      <c r="EU136" s="231">
        <v>1611.37</v>
      </c>
      <c r="EV136" s="231">
        <v>588447385</v>
      </c>
      <c r="EW136" s="231">
        <v>2510.1999999999998</v>
      </c>
      <c r="EX136" s="231">
        <v>2507.2199999999998</v>
      </c>
      <c r="EY136" s="228">
        <v>2.98</v>
      </c>
      <c r="EZ136" s="229">
        <v>1.1999999999999999E-3</v>
      </c>
      <c r="FA136" s="229">
        <v>0.35089999999999999</v>
      </c>
      <c r="FB136" s="227" t="s">
        <v>567</v>
      </c>
      <c r="FC136">
        <f t="shared" si="2"/>
        <v>162</v>
      </c>
    </row>
    <row r="137" spans="1:159" ht="17.25" thickBot="1" x14ac:dyDescent="0.3">
      <c r="A137" s="226">
        <v>46132</v>
      </c>
      <c r="B137" s="227" t="s">
        <v>175</v>
      </c>
      <c r="C137" s="227" t="s">
        <v>698</v>
      </c>
      <c r="D137" s="228">
        <v>775</v>
      </c>
      <c r="E137" s="228">
        <v>8</v>
      </c>
      <c r="F137" s="228">
        <v>807.4</v>
      </c>
      <c r="G137" s="228">
        <v>817.75</v>
      </c>
      <c r="H137" s="228">
        <v>-10.35</v>
      </c>
      <c r="I137" s="229">
        <v>-1.2699999999999999E-2</v>
      </c>
      <c r="J137" s="228">
        <v>807.95</v>
      </c>
      <c r="K137" s="228">
        <v>815.45</v>
      </c>
      <c r="L137" s="228">
        <v>-7.5</v>
      </c>
      <c r="M137" s="229">
        <v>-9.1999999999999998E-3</v>
      </c>
      <c r="N137" s="228">
        <v>807.4</v>
      </c>
      <c r="O137" s="228">
        <v>817.75</v>
      </c>
      <c r="P137" s="228">
        <v>-10.35</v>
      </c>
      <c r="Q137" s="229">
        <v>-1.2699999999999999E-2</v>
      </c>
      <c r="R137" s="228">
        <v>808.4</v>
      </c>
      <c r="S137" s="228">
        <v>816.35</v>
      </c>
      <c r="T137" s="228">
        <v>-7.95</v>
      </c>
      <c r="U137" s="229">
        <v>-9.7000000000000003E-3</v>
      </c>
      <c r="V137" s="228">
        <v>804</v>
      </c>
      <c r="W137" s="228">
        <v>814</v>
      </c>
      <c r="X137" s="228">
        <v>-10</v>
      </c>
      <c r="Y137" s="229">
        <v>-1.23E-2</v>
      </c>
      <c r="Z137" s="228">
        <v>-0.55000000000000004</v>
      </c>
      <c r="AA137" s="228">
        <v>2.2999999999999998</v>
      </c>
      <c r="AB137" s="228">
        <v>-2.85</v>
      </c>
      <c r="AC137" s="229">
        <v>-6.9999999999999999E-4</v>
      </c>
      <c r="AD137" s="228">
        <v>-0.55000000000000004</v>
      </c>
      <c r="AE137" s="228">
        <v>2.2999999999999998</v>
      </c>
      <c r="AF137" s="228">
        <v>-2.85</v>
      </c>
      <c r="AG137" s="229">
        <v>-6.9999999999999999E-4</v>
      </c>
      <c r="AH137" s="228">
        <v>0.45</v>
      </c>
      <c r="AI137" s="228">
        <v>0.9</v>
      </c>
      <c r="AJ137" s="228">
        <v>-0.45</v>
      </c>
      <c r="AK137" s="229">
        <v>5.9999999999999995E-4</v>
      </c>
      <c r="AL137" s="228">
        <v>-3.95</v>
      </c>
      <c r="AM137" s="228">
        <v>-1.45</v>
      </c>
      <c r="AN137" s="228">
        <v>-2.5</v>
      </c>
      <c r="AO137" s="229">
        <v>-4.8999999999999998E-3</v>
      </c>
      <c r="AP137" s="228">
        <v>817.63</v>
      </c>
      <c r="AQ137" s="228">
        <v>819.04</v>
      </c>
      <c r="AR137" s="228">
        <v>0</v>
      </c>
      <c r="AS137" s="228">
        <v>355</v>
      </c>
      <c r="AT137" s="228">
        <v>199</v>
      </c>
      <c r="AU137" s="228">
        <v>156</v>
      </c>
      <c r="AV137" s="229">
        <v>0.78639999999999999</v>
      </c>
      <c r="AW137" s="228">
        <v>317</v>
      </c>
      <c r="AX137" s="228">
        <v>186</v>
      </c>
      <c r="AY137" s="228">
        <v>130</v>
      </c>
      <c r="AZ137" s="229">
        <v>0.69940000000000002</v>
      </c>
      <c r="BA137" s="228">
        <v>38</v>
      </c>
      <c r="BB137" s="228">
        <v>12</v>
      </c>
      <c r="BC137" s="228">
        <v>26</v>
      </c>
      <c r="BD137" s="229">
        <v>2.2105000000000001</v>
      </c>
      <c r="BE137" s="228">
        <v>1</v>
      </c>
      <c r="BF137" s="228">
        <v>1</v>
      </c>
      <c r="BG137" s="228">
        <v>0</v>
      </c>
      <c r="BH137" s="229">
        <v>-0.16669999999999999</v>
      </c>
      <c r="BI137" s="228">
        <v>952</v>
      </c>
      <c r="BJ137" s="228">
        <v>571</v>
      </c>
      <c r="BK137" s="228">
        <v>381</v>
      </c>
      <c r="BL137" s="229">
        <v>0.6673</v>
      </c>
      <c r="BM137" s="228">
        <v>465</v>
      </c>
      <c r="BN137" s="228">
        <v>130</v>
      </c>
      <c r="BO137" s="228">
        <v>335</v>
      </c>
      <c r="BP137" s="229">
        <v>2.5771000000000002</v>
      </c>
      <c r="BQ137" s="230">
        <v>1772</v>
      </c>
      <c r="BR137" s="228">
        <v>900</v>
      </c>
      <c r="BS137" s="228">
        <v>872</v>
      </c>
      <c r="BT137" s="229">
        <v>0.96940000000000004</v>
      </c>
      <c r="BU137" s="230">
        <v>2963442</v>
      </c>
      <c r="BV137" s="230">
        <v>2103784</v>
      </c>
      <c r="BW137" s="230">
        <v>859658</v>
      </c>
      <c r="BX137" s="229">
        <v>0.40860000000000002</v>
      </c>
      <c r="BY137" s="228">
        <v>237</v>
      </c>
      <c r="BZ137" s="228">
        <v>231</v>
      </c>
      <c r="CA137" s="228">
        <v>6</v>
      </c>
      <c r="CB137" s="229">
        <v>2.5999999999999999E-2</v>
      </c>
      <c r="CC137" s="228">
        <v>223</v>
      </c>
      <c r="CD137" s="228">
        <v>223</v>
      </c>
      <c r="CE137" s="228">
        <v>1</v>
      </c>
      <c r="CF137" s="229">
        <v>2.5000000000000001E-3</v>
      </c>
      <c r="CG137" s="228">
        <v>13</v>
      </c>
      <c r="CH137" s="228">
        <v>8</v>
      </c>
      <c r="CI137" s="228">
        <v>5</v>
      </c>
      <c r="CJ137" s="229">
        <v>0.69669999999999999</v>
      </c>
      <c r="CK137" s="228">
        <v>1</v>
      </c>
      <c r="CL137" s="228">
        <v>1</v>
      </c>
      <c r="CM137" s="228">
        <v>0</v>
      </c>
      <c r="CN137" s="229">
        <v>0.125</v>
      </c>
      <c r="CO137" s="228">
        <v>156</v>
      </c>
      <c r="CP137" s="228">
        <v>127</v>
      </c>
      <c r="CQ137" s="228">
        <v>29</v>
      </c>
      <c r="CR137" s="229">
        <v>0.2273</v>
      </c>
      <c r="CS137" s="228">
        <v>113</v>
      </c>
      <c r="CT137" s="228">
        <v>100</v>
      </c>
      <c r="CU137" s="228">
        <v>13</v>
      </c>
      <c r="CV137" s="229">
        <v>0.1331</v>
      </c>
      <c r="CW137" s="228">
        <v>507</v>
      </c>
      <c r="CX137" s="228">
        <v>458</v>
      </c>
      <c r="CY137" s="228">
        <v>48</v>
      </c>
      <c r="CZ137" s="229">
        <v>0.1052</v>
      </c>
      <c r="DA137" s="228">
        <v>52.14</v>
      </c>
      <c r="DB137" s="228">
        <v>43.84</v>
      </c>
      <c r="DC137" s="228">
        <v>8.3000000000000007</v>
      </c>
      <c r="DD137" s="228">
        <v>8.3000000000000007</v>
      </c>
      <c r="DE137" s="228">
        <v>54.71</v>
      </c>
      <c r="DF137" s="228">
        <v>54.82</v>
      </c>
      <c r="DG137" s="228">
        <v>-2.57</v>
      </c>
      <c r="DH137" s="228">
        <v>-0.11</v>
      </c>
      <c r="DI137" s="228">
        <v>51.19</v>
      </c>
      <c r="DJ137" s="228">
        <v>42.79</v>
      </c>
      <c r="DK137" s="228">
        <v>8.4</v>
      </c>
      <c r="DL137" s="228">
        <v>8.4</v>
      </c>
      <c r="DM137" s="228">
        <v>54.09</v>
      </c>
      <c r="DN137" s="228">
        <v>48.46</v>
      </c>
      <c r="DO137" s="228">
        <v>5.63</v>
      </c>
      <c r="DP137" s="228">
        <v>5.63</v>
      </c>
      <c r="DQ137" s="228">
        <v>0.72</v>
      </c>
      <c r="DR137" s="228">
        <v>0.78</v>
      </c>
      <c r="DS137" s="228">
        <v>-0.06</v>
      </c>
      <c r="DT137" s="229">
        <v>-7.6899999999999996E-2</v>
      </c>
      <c r="DU137" s="228">
        <v>820</v>
      </c>
      <c r="DV137" s="228">
        <v>680</v>
      </c>
      <c r="DW137" s="228">
        <v>0.49</v>
      </c>
      <c r="DX137" s="228">
        <v>0.23</v>
      </c>
      <c r="DY137" s="228">
        <v>0.26</v>
      </c>
      <c r="DZ137" s="229">
        <v>1.1304000000000001</v>
      </c>
      <c r="EA137" s="229">
        <v>5.9299999999999999E-2</v>
      </c>
      <c r="EB137" s="230">
        <v>106950</v>
      </c>
      <c r="EC137" s="229">
        <v>1.1999999999999999E-3</v>
      </c>
      <c r="ED137" s="229">
        <v>5.9299999999999999E-2</v>
      </c>
      <c r="EE137" s="228">
        <v>1.41</v>
      </c>
      <c r="EF137" s="229">
        <v>1.6999999999999999E-3</v>
      </c>
      <c r="EG137" s="230">
        <v>785461</v>
      </c>
      <c r="EH137" s="230">
        <v>890005</v>
      </c>
      <c r="EI137" s="229">
        <v>-0.11749999999999999</v>
      </c>
      <c r="EJ137" s="229">
        <v>0.2651</v>
      </c>
      <c r="EK137" s="231">
        <v>1003.28</v>
      </c>
      <c r="EL137" s="228">
        <v>455.18</v>
      </c>
      <c r="EM137" s="228">
        <v>359.92</v>
      </c>
      <c r="EN137" s="228">
        <v>16.3</v>
      </c>
      <c r="EO137" s="231">
        <v>1818.38</v>
      </c>
      <c r="EP137" s="228">
        <v>914.03</v>
      </c>
      <c r="EQ137" s="228">
        <v>904.35</v>
      </c>
      <c r="ER137" s="229">
        <v>0.98939999999999995</v>
      </c>
      <c r="ES137" s="228">
        <v>154.94999999999999</v>
      </c>
      <c r="ET137" s="228">
        <v>101.75</v>
      </c>
      <c r="EU137" s="228">
        <v>237.29</v>
      </c>
      <c r="EV137" s="231">
        <v>29196111</v>
      </c>
      <c r="EW137" s="228">
        <v>494</v>
      </c>
      <c r="EX137" s="228">
        <v>446.58</v>
      </c>
      <c r="EY137" s="228">
        <v>47.42</v>
      </c>
      <c r="EZ137" s="229">
        <v>0.1062</v>
      </c>
      <c r="FA137" s="229">
        <v>0.21490000000000001</v>
      </c>
      <c r="FB137" s="227" t="s">
        <v>566</v>
      </c>
      <c r="FC137">
        <f t="shared" si="2"/>
        <v>14</v>
      </c>
    </row>
    <row r="138" spans="1:159" ht="17.25" thickBot="1" x14ac:dyDescent="0.3">
      <c r="A138" s="226">
        <v>46132</v>
      </c>
      <c r="B138" s="227" t="s">
        <v>221</v>
      </c>
      <c r="C138" s="227" t="s">
        <v>487</v>
      </c>
      <c r="D138" s="228">
        <v>275</v>
      </c>
      <c r="E138" s="228">
        <v>8</v>
      </c>
      <c r="F138" s="231">
        <v>2415.3000000000002</v>
      </c>
      <c r="G138" s="231">
        <v>2470</v>
      </c>
      <c r="H138" s="228">
        <v>-54.7</v>
      </c>
      <c r="I138" s="229">
        <v>-2.2100000000000002E-2</v>
      </c>
      <c r="J138" s="231">
        <v>2417</v>
      </c>
      <c r="K138" s="231">
        <v>2462.1999999999998</v>
      </c>
      <c r="L138" s="228">
        <v>-45.2</v>
      </c>
      <c r="M138" s="229">
        <v>-1.84E-2</v>
      </c>
      <c r="N138" s="231">
        <v>2415.3000000000002</v>
      </c>
      <c r="O138" s="231">
        <v>2470</v>
      </c>
      <c r="P138" s="228">
        <v>-54.7</v>
      </c>
      <c r="Q138" s="229">
        <v>-2.2100000000000002E-2</v>
      </c>
      <c r="R138" s="231">
        <v>2421.3000000000002</v>
      </c>
      <c r="S138" s="231">
        <v>2478.1</v>
      </c>
      <c r="T138" s="228">
        <v>-56.8</v>
      </c>
      <c r="U138" s="229">
        <v>-2.29E-2</v>
      </c>
      <c r="V138" s="231">
        <v>2436.4</v>
      </c>
      <c r="W138" s="231">
        <v>2489.4</v>
      </c>
      <c r="X138" s="228">
        <v>-53</v>
      </c>
      <c r="Y138" s="229">
        <v>-2.1299999999999999E-2</v>
      </c>
      <c r="Z138" s="228">
        <v>-1.7</v>
      </c>
      <c r="AA138" s="228">
        <v>7.8</v>
      </c>
      <c r="AB138" s="228">
        <v>-9.5</v>
      </c>
      <c r="AC138" s="229">
        <v>-6.9999999999999999E-4</v>
      </c>
      <c r="AD138" s="228">
        <v>-1.7</v>
      </c>
      <c r="AE138" s="228">
        <v>7.8</v>
      </c>
      <c r="AF138" s="228">
        <v>-9.5</v>
      </c>
      <c r="AG138" s="229">
        <v>-6.9999999999999999E-4</v>
      </c>
      <c r="AH138" s="228">
        <v>4.3</v>
      </c>
      <c r="AI138" s="228">
        <v>15.9</v>
      </c>
      <c r="AJ138" s="228">
        <v>-11.6</v>
      </c>
      <c r="AK138" s="229">
        <v>1.8E-3</v>
      </c>
      <c r="AL138" s="228">
        <v>19.399999999999999</v>
      </c>
      <c r="AM138" s="228">
        <v>27.2</v>
      </c>
      <c r="AN138" s="228">
        <v>-7.8</v>
      </c>
      <c r="AO138" s="229">
        <v>8.0000000000000002E-3</v>
      </c>
      <c r="AP138" s="231">
        <v>2426.52</v>
      </c>
      <c r="AQ138" s="231">
        <v>2437.31</v>
      </c>
      <c r="AR138" s="228">
        <v>0</v>
      </c>
      <c r="AS138" s="228">
        <v>133</v>
      </c>
      <c r="AT138" s="228">
        <v>148</v>
      </c>
      <c r="AU138" s="228">
        <v>-15</v>
      </c>
      <c r="AV138" s="229">
        <v>-0.1038</v>
      </c>
      <c r="AW138" s="228">
        <v>123</v>
      </c>
      <c r="AX138" s="228">
        <v>140</v>
      </c>
      <c r="AY138" s="228">
        <v>-17</v>
      </c>
      <c r="AZ138" s="229">
        <v>-0.12130000000000001</v>
      </c>
      <c r="BA138" s="228">
        <v>9</v>
      </c>
      <c r="BB138" s="228">
        <v>8</v>
      </c>
      <c r="BC138" s="228">
        <v>2</v>
      </c>
      <c r="BD138" s="229">
        <v>0.22409999999999999</v>
      </c>
      <c r="BE138" s="228">
        <v>0</v>
      </c>
      <c r="BF138" s="228">
        <v>0</v>
      </c>
      <c r="BG138" s="228">
        <v>0</v>
      </c>
      <c r="BH138" s="229">
        <v>-0.28570000000000001</v>
      </c>
      <c r="BI138" s="228">
        <v>202</v>
      </c>
      <c r="BJ138" s="228">
        <v>239</v>
      </c>
      <c r="BK138" s="228">
        <v>-37</v>
      </c>
      <c r="BL138" s="229">
        <v>-0.15459999999999999</v>
      </c>
      <c r="BM138" s="228">
        <v>133</v>
      </c>
      <c r="BN138" s="228">
        <v>181</v>
      </c>
      <c r="BO138" s="228">
        <v>-49</v>
      </c>
      <c r="BP138" s="229">
        <v>-0.26869999999999999</v>
      </c>
      <c r="BQ138" s="228">
        <v>467</v>
      </c>
      <c r="BR138" s="228">
        <v>568</v>
      </c>
      <c r="BS138" s="228">
        <v>-101</v>
      </c>
      <c r="BT138" s="229">
        <v>-0.1777</v>
      </c>
      <c r="BU138" s="230">
        <v>184607</v>
      </c>
      <c r="BV138" s="230">
        <v>490558</v>
      </c>
      <c r="BW138" s="230">
        <v>-305951</v>
      </c>
      <c r="BX138" s="229">
        <v>-0.62370000000000003</v>
      </c>
      <c r="BY138" s="230">
        <v>1144</v>
      </c>
      <c r="BZ138" s="230">
        <v>1140</v>
      </c>
      <c r="CA138" s="228">
        <v>4</v>
      </c>
      <c r="CB138" s="229">
        <v>3.7000000000000002E-3</v>
      </c>
      <c r="CC138" s="230">
        <v>1077</v>
      </c>
      <c r="CD138" s="230">
        <v>1075</v>
      </c>
      <c r="CE138" s="228">
        <v>1</v>
      </c>
      <c r="CF138" s="229">
        <v>1.2999999999999999E-3</v>
      </c>
      <c r="CG138" s="228">
        <v>65</v>
      </c>
      <c r="CH138" s="228">
        <v>63</v>
      </c>
      <c r="CI138" s="228">
        <v>2</v>
      </c>
      <c r="CJ138" s="229">
        <v>3.9199999999999999E-2</v>
      </c>
      <c r="CK138" s="228">
        <v>2</v>
      </c>
      <c r="CL138" s="228">
        <v>2</v>
      </c>
      <c r="CM138" s="228">
        <v>0</v>
      </c>
      <c r="CN138" s="229">
        <v>0.20830000000000001</v>
      </c>
      <c r="CO138" s="228">
        <v>281</v>
      </c>
      <c r="CP138" s="228">
        <v>287</v>
      </c>
      <c r="CQ138" s="228">
        <v>-6</v>
      </c>
      <c r="CR138" s="229">
        <v>-2.1100000000000001E-2</v>
      </c>
      <c r="CS138" s="228">
        <v>212</v>
      </c>
      <c r="CT138" s="228">
        <v>223</v>
      </c>
      <c r="CU138" s="228">
        <v>-11</v>
      </c>
      <c r="CV138" s="229">
        <v>-4.9700000000000001E-2</v>
      </c>
      <c r="CW138" s="230">
        <v>1637</v>
      </c>
      <c r="CX138" s="230">
        <v>1650</v>
      </c>
      <c r="CY138" s="228">
        <v>-13</v>
      </c>
      <c r="CZ138" s="229">
        <v>-7.9000000000000008E-3</v>
      </c>
      <c r="DA138" s="228">
        <v>39.61</v>
      </c>
      <c r="DB138" s="228">
        <v>35.29</v>
      </c>
      <c r="DC138" s="228">
        <v>4.32</v>
      </c>
      <c r="DD138" s="228">
        <v>4.32</v>
      </c>
      <c r="DE138" s="228">
        <v>36.44</v>
      </c>
      <c r="DF138" s="228">
        <v>36.450000000000003</v>
      </c>
      <c r="DG138" s="228">
        <v>3.17</v>
      </c>
      <c r="DH138" s="228">
        <v>-0.01</v>
      </c>
      <c r="DI138" s="228">
        <v>38.06</v>
      </c>
      <c r="DJ138" s="228">
        <v>33.43</v>
      </c>
      <c r="DK138" s="228">
        <v>4.63</v>
      </c>
      <c r="DL138" s="228">
        <v>4.63</v>
      </c>
      <c r="DM138" s="228">
        <v>41.97</v>
      </c>
      <c r="DN138" s="228">
        <v>37.729999999999997</v>
      </c>
      <c r="DO138" s="228">
        <v>4.24</v>
      </c>
      <c r="DP138" s="228">
        <v>4.24</v>
      </c>
      <c r="DQ138" s="228">
        <v>0.76</v>
      </c>
      <c r="DR138" s="228">
        <v>0.78</v>
      </c>
      <c r="DS138" s="228">
        <v>-0.02</v>
      </c>
      <c r="DT138" s="229">
        <v>-2.5600000000000001E-2</v>
      </c>
      <c r="DU138" s="231">
        <v>2600</v>
      </c>
      <c r="DV138" s="231">
        <v>2300</v>
      </c>
      <c r="DW138" s="228">
        <v>0.66</v>
      </c>
      <c r="DX138" s="228">
        <v>0.76</v>
      </c>
      <c r="DY138" s="228">
        <v>-0.1</v>
      </c>
      <c r="DZ138" s="229">
        <v>-0.13159999999999999</v>
      </c>
      <c r="EA138" s="229">
        <v>5.8599999999999999E-2</v>
      </c>
      <c r="EB138" s="230">
        <v>265925</v>
      </c>
      <c r="EC138" s="229">
        <v>2.5000000000000001E-3</v>
      </c>
      <c r="ED138" s="229">
        <v>5.8599999999999999E-2</v>
      </c>
      <c r="EE138" s="228">
        <v>10.79</v>
      </c>
      <c r="EF138" s="229">
        <v>4.4000000000000003E-3</v>
      </c>
      <c r="EG138" s="230">
        <v>68914</v>
      </c>
      <c r="EH138" s="230">
        <v>249876</v>
      </c>
      <c r="EI138" s="229">
        <v>-0.72419999999999995</v>
      </c>
      <c r="EJ138" s="229">
        <v>0.37330000000000002</v>
      </c>
      <c r="EK138" s="228">
        <v>212.68</v>
      </c>
      <c r="EL138" s="228">
        <v>129.41999999999999</v>
      </c>
      <c r="EM138" s="228">
        <v>133.63999999999999</v>
      </c>
      <c r="EN138" s="228">
        <v>36.880000000000003</v>
      </c>
      <c r="EO138" s="228">
        <v>475.74</v>
      </c>
      <c r="EP138" s="228">
        <v>576.89</v>
      </c>
      <c r="EQ138" s="228">
        <v>-101.15</v>
      </c>
      <c r="ER138" s="229">
        <v>-0.17530000000000001</v>
      </c>
      <c r="ES138" s="228">
        <v>281.7</v>
      </c>
      <c r="ET138" s="228">
        <v>198.5</v>
      </c>
      <c r="EU138" s="231">
        <v>1144.01</v>
      </c>
      <c r="EV138" s="231">
        <v>19838356</v>
      </c>
      <c r="EW138" s="231">
        <v>1624.21</v>
      </c>
      <c r="EX138" s="231">
        <v>1661.78</v>
      </c>
      <c r="EY138" s="228">
        <v>-37.57</v>
      </c>
      <c r="EZ138" s="229">
        <v>-2.2599999999999999E-2</v>
      </c>
      <c r="FA138" s="229">
        <v>0.34160000000000001</v>
      </c>
      <c r="FB138" s="227" t="s">
        <v>566</v>
      </c>
      <c r="FC138">
        <f t="shared" si="2"/>
        <v>67</v>
      </c>
    </row>
    <row r="139" spans="1:159" ht="17.25" thickBot="1" x14ac:dyDescent="0.3">
      <c r="A139" s="226">
        <v>46132</v>
      </c>
      <c r="B139" s="227" t="s">
        <v>175</v>
      </c>
      <c r="C139" s="227" t="s">
        <v>262</v>
      </c>
      <c r="D139" s="228">
        <v>275</v>
      </c>
      <c r="E139" s="228">
        <v>8</v>
      </c>
      <c r="F139" s="231">
        <v>3541.5</v>
      </c>
      <c r="G139" s="231">
        <v>3572</v>
      </c>
      <c r="H139" s="228">
        <v>-30.5</v>
      </c>
      <c r="I139" s="229">
        <v>-8.5000000000000006E-3</v>
      </c>
      <c r="J139" s="231">
        <v>3531.2</v>
      </c>
      <c r="K139" s="231">
        <v>3571.3</v>
      </c>
      <c r="L139" s="228">
        <v>-40.1</v>
      </c>
      <c r="M139" s="229">
        <v>-1.12E-2</v>
      </c>
      <c r="N139" s="231">
        <v>3541.5</v>
      </c>
      <c r="O139" s="231">
        <v>3572</v>
      </c>
      <c r="P139" s="228">
        <v>-30.5</v>
      </c>
      <c r="Q139" s="229">
        <v>-8.5000000000000006E-3</v>
      </c>
      <c r="R139" s="231">
        <v>3551.5</v>
      </c>
      <c r="S139" s="231">
        <v>3578.8</v>
      </c>
      <c r="T139" s="228">
        <v>-27.3</v>
      </c>
      <c r="U139" s="229">
        <v>-7.6E-3</v>
      </c>
      <c r="V139" s="231">
        <v>3561</v>
      </c>
      <c r="W139" s="231">
        <v>3595.2</v>
      </c>
      <c r="X139" s="228">
        <v>-34.200000000000003</v>
      </c>
      <c r="Y139" s="229">
        <v>-9.4999999999999998E-3</v>
      </c>
      <c r="Z139" s="228">
        <v>10.3</v>
      </c>
      <c r="AA139" s="228">
        <v>0.7</v>
      </c>
      <c r="AB139" s="228">
        <v>9.6</v>
      </c>
      <c r="AC139" s="229">
        <v>2.8999999999999998E-3</v>
      </c>
      <c r="AD139" s="228">
        <v>10.3</v>
      </c>
      <c r="AE139" s="228">
        <v>0.7</v>
      </c>
      <c r="AF139" s="228">
        <v>9.6</v>
      </c>
      <c r="AG139" s="229">
        <v>2.8999999999999998E-3</v>
      </c>
      <c r="AH139" s="228">
        <v>20.3</v>
      </c>
      <c r="AI139" s="228">
        <v>7.5</v>
      </c>
      <c r="AJ139" s="228">
        <v>12.8</v>
      </c>
      <c r="AK139" s="229">
        <v>5.7000000000000002E-3</v>
      </c>
      <c r="AL139" s="228">
        <v>29.8</v>
      </c>
      <c r="AM139" s="228">
        <v>23.9</v>
      </c>
      <c r="AN139" s="228">
        <v>5.9</v>
      </c>
      <c r="AO139" s="229">
        <v>8.3999999999999995E-3</v>
      </c>
      <c r="AP139" s="231">
        <v>3549.85</v>
      </c>
      <c r="AQ139" s="231">
        <v>3558.86</v>
      </c>
      <c r="AR139" s="228">
        <v>0</v>
      </c>
      <c r="AS139" s="228">
        <v>215</v>
      </c>
      <c r="AT139" s="228">
        <v>357</v>
      </c>
      <c r="AU139" s="228">
        <v>-142</v>
      </c>
      <c r="AV139" s="229">
        <v>-0.39839999999999998</v>
      </c>
      <c r="AW139" s="228">
        <v>198</v>
      </c>
      <c r="AX139" s="228">
        <v>310</v>
      </c>
      <c r="AY139" s="228">
        <v>-113</v>
      </c>
      <c r="AZ139" s="229">
        <v>-0.3634</v>
      </c>
      <c r="BA139" s="228">
        <v>16</v>
      </c>
      <c r="BB139" s="228">
        <v>45</v>
      </c>
      <c r="BC139" s="228">
        <v>-30</v>
      </c>
      <c r="BD139" s="229">
        <v>-0.6502</v>
      </c>
      <c r="BE139" s="228">
        <v>2</v>
      </c>
      <c r="BF139" s="228">
        <v>2</v>
      </c>
      <c r="BG139" s="228">
        <v>0</v>
      </c>
      <c r="BH139" s="229">
        <v>-5.8799999999999998E-2</v>
      </c>
      <c r="BI139" s="228">
        <v>636</v>
      </c>
      <c r="BJ139" s="230">
        <v>1729</v>
      </c>
      <c r="BK139" s="230">
        <v>-1093</v>
      </c>
      <c r="BL139" s="229">
        <v>-0.63200000000000001</v>
      </c>
      <c r="BM139" s="228">
        <v>289</v>
      </c>
      <c r="BN139" s="228">
        <v>886</v>
      </c>
      <c r="BO139" s="228">
        <v>-597</v>
      </c>
      <c r="BP139" s="229">
        <v>-0.67420000000000002</v>
      </c>
      <c r="BQ139" s="230">
        <v>1140</v>
      </c>
      <c r="BR139" s="230">
        <v>2972</v>
      </c>
      <c r="BS139" s="230">
        <v>-1833</v>
      </c>
      <c r="BT139" s="229">
        <v>-0.61650000000000005</v>
      </c>
      <c r="BU139" s="230">
        <v>438256</v>
      </c>
      <c r="BV139" s="230">
        <v>671923</v>
      </c>
      <c r="BW139" s="230">
        <v>-233667</v>
      </c>
      <c r="BX139" s="229">
        <v>-0.3478</v>
      </c>
      <c r="BY139" s="230">
        <v>1368</v>
      </c>
      <c r="BZ139" s="230">
        <v>1384</v>
      </c>
      <c r="CA139" s="228">
        <v>-16</v>
      </c>
      <c r="CB139" s="229">
        <v>-1.1299999999999999E-2</v>
      </c>
      <c r="CC139" s="230">
        <v>1284</v>
      </c>
      <c r="CD139" s="230">
        <v>1302</v>
      </c>
      <c r="CE139" s="228">
        <v>-18</v>
      </c>
      <c r="CF139" s="229">
        <v>-1.38E-2</v>
      </c>
      <c r="CG139" s="228">
        <v>75</v>
      </c>
      <c r="CH139" s="228">
        <v>74</v>
      </c>
      <c r="CI139" s="228">
        <v>2</v>
      </c>
      <c r="CJ139" s="229">
        <v>2.3800000000000002E-2</v>
      </c>
      <c r="CK139" s="228">
        <v>9</v>
      </c>
      <c r="CL139" s="228">
        <v>9</v>
      </c>
      <c r="CM139" s="228">
        <v>1</v>
      </c>
      <c r="CN139" s="229">
        <v>6.8199999999999997E-2</v>
      </c>
      <c r="CO139" s="228">
        <v>852</v>
      </c>
      <c r="CP139" s="228">
        <v>835</v>
      </c>
      <c r="CQ139" s="228">
        <v>17</v>
      </c>
      <c r="CR139" s="229">
        <v>2.01E-2</v>
      </c>
      <c r="CS139" s="228">
        <v>490</v>
      </c>
      <c r="CT139" s="228">
        <v>509</v>
      </c>
      <c r="CU139" s="228">
        <v>-19</v>
      </c>
      <c r="CV139" s="229">
        <v>-3.7499999999999999E-2</v>
      </c>
      <c r="CW139" s="230">
        <v>2711</v>
      </c>
      <c r="CX139" s="230">
        <v>2729</v>
      </c>
      <c r="CY139" s="228">
        <v>-18</v>
      </c>
      <c r="CZ139" s="229">
        <v>-6.6E-3</v>
      </c>
      <c r="DA139" s="228">
        <v>39.79</v>
      </c>
      <c r="DB139" s="228">
        <v>35.81</v>
      </c>
      <c r="DC139" s="228">
        <v>3.98</v>
      </c>
      <c r="DD139" s="228">
        <v>3.98</v>
      </c>
      <c r="DE139" s="228">
        <v>44.17</v>
      </c>
      <c r="DF139" s="228">
        <v>44.26</v>
      </c>
      <c r="DG139" s="228">
        <v>-4.38</v>
      </c>
      <c r="DH139" s="228">
        <v>-0.09</v>
      </c>
      <c r="DI139" s="228">
        <v>38.35</v>
      </c>
      <c r="DJ139" s="228">
        <v>34.75</v>
      </c>
      <c r="DK139" s="228">
        <v>3.6</v>
      </c>
      <c r="DL139" s="228">
        <v>3.6</v>
      </c>
      <c r="DM139" s="228">
        <v>42.96</v>
      </c>
      <c r="DN139" s="228">
        <v>37.869999999999997</v>
      </c>
      <c r="DO139" s="228">
        <v>5.09</v>
      </c>
      <c r="DP139" s="228">
        <v>5.09</v>
      </c>
      <c r="DQ139" s="228">
        <v>0.57999999999999996</v>
      </c>
      <c r="DR139" s="228">
        <v>0.61</v>
      </c>
      <c r="DS139" s="228">
        <v>-0.03</v>
      </c>
      <c r="DT139" s="229">
        <v>-4.9200000000000001E-2</v>
      </c>
      <c r="DU139" s="231">
        <v>3500</v>
      </c>
      <c r="DV139" s="231">
        <v>3500</v>
      </c>
      <c r="DW139" s="228">
        <v>0.45</v>
      </c>
      <c r="DX139" s="228">
        <v>0.51</v>
      </c>
      <c r="DY139" s="228">
        <v>-0.06</v>
      </c>
      <c r="DZ139" s="229">
        <v>-0.1176</v>
      </c>
      <c r="EA139" s="229">
        <v>6.1699999999999998E-2</v>
      </c>
      <c r="EB139" s="230">
        <v>231825</v>
      </c>
      <c r="EC139" s="229">
        <v>2.8E-3</v>
      </c>
      <c r="ED139" s="229">
        <v>6.1699999999999998E-2</v>
      </c>
      <c r="EE139" s="228">
        <v>9.01</v>
      </c>
      <c r="EF139" s="229">
        <v>2.5000000000000001E-3</v>
      </c>
      <c r="EG139" s="230">
        <v>197961</v>
      </c>
      <c r="EH139" s="230">
        <v>252755</v>
      </c>
      <c r="EI139" s="229">
        <v>-0.21679999999999999</v>
      </c>
      <c r="EJ139" s="229">
        <v>0.45169999999999999</v>
      </c>
      <c r="EK139" s="228">
        <v>671.14</v>
      </c>
      <c r="EL139" s="228">
        <v>281.5</v>
      </c>
      <c r="EM139" s="228">
        <v>215.6</v>
      </c>
      <c r="EN139" s="228">
        <v>37.85</v>
      </c>
      <c r="EO139" s="231">
        <v>1168.24</v>
      </c>
      <c r="EP139" s="231">
        <v>3052.36</v>
      </c>
      <c r="EQ139" s="231">
        <v>-1884.12</v>
      </c>
      <c r="ER139" s="229">
        <v>-0.61729999999999996</v>
      </c>
      <c r="ES139" s="228">
        <v>867.41</v>
      </c>
      <c r="ET139" s="228">
        <v>459.08</v>
      </c>
      <c r="EU139" s="231">
        <v>1368.51</v>
      </c>
      <c r="EV139" s="231">
        <v>16050690</v>
      </c>
      <c r="EW139" s="231">
        <v>2695</v>
      </c>
      <c r="EX139" s="231">
        <v>2721.54</v>
      </c>
      <c r="EY139" s="228">
        <v>-26.54</v>
      </c>
      <c r="EZ139" s="229">
        <v>-9.7999999999999997E-3</v>
      </c>
      <c r="FA139" s="229">
        <v>0.47689999999999999</v>
      </c>
      <c r="FB139" s="227" t="s">
        <v>567</v>
      </c>
      <c r="FC139">
        <f t="shared" si="2"/>
        <v>84</v>
      </c>
    </row>
    <row r="140" spans="1:159" ht="17.25" thickBot="1" x14ac:dyDescent="0.3">
      <c r="A140" s="226">
        <v>46132</v>
      </c>
      <c r="B140" s="227" t="s">
        <v>175</v>
      </c>
      <c r="C140" s="227" t="s">
        <v>486</v>
      </c>
      <c r="D140" s="228">
        <v>625</v>
      </c>
      <c r="E140" s="228">
        <v>8</v>
      </c>
      <c r="F140" s="231">
        <v>1003.5</v>
      </c>
      <c r="G140" s="231">
        <v>1000.05</v>
      </c>
      <c r="H140" s="228">
        <v>3.45</v>
      </c>
      <c r="I140" s="229">
        <v>3.3999999999999998E-3</v>
      </c>
      <c r="J140" s="231">
        <v>1003</v>
      </c>
      <c r="K140" s="231">
        <v>1015.05</v>
      </c>
      <c r="L140" s="228">
        <v>-12.05</v>
      </c>
      <c r="M140" s="229">
        <v>-1.1900000000000001E-2</v>
      </c>
      <c r="N140" s="231">
        <v>1003.5</v>
      </c>
      <c r="O140" s="231">
        <v>1000.05</v>
      </c>
      <c r="P140" s="228">
        <v>3.45</v>
      </c>
      <c r="Q140" s="229">
        <v>3.3999999999999998E-3</v>
      </c>
      <c r="R140" s="228">
        <v>994.55</v>
      </c>
      <c r="S140" s="228">
        <v>989.9</v>
      </c>
      <c r="T140" s="228">
        <v>4.6500000000000004</v>
      </c>
      <c r="U140" s="229">
        <v>4.7000000000000002E-3</v>
      </c>
      <c r="V140" s="228">
        <v>990.3</v>
      </c>
      <c r="W140" s="228">
        <v>969.15</v>
      </c>
      <c r="X140" s="228">
        <v>21.15</v>
      </c>
      <c r="Y140" s="229">
        <v>2.18E-2</v>
      </c>
      <c r="Z140" s="228">
        <v>0.5</v>
      </c>
      <c r="AA140" s="228">
        <v>-15</v>
      </c>
      <c r="AB140" s="228">
        <v>15.5</v>
      </c>
      <c r="AC140" s="229">
        <v>5.0000000000000001E-4</v>
      </c>
      <c r="AD140" s="228">
        <v>0.5</v>
      </c>
      <c r="AE140" s="228">
        <v>-15</v>
      </c>
      <c r="AF140" s="228">
        <v>15.5</v>
      </c>
      <c r="AG140" s="229">
        <v>5.0000000000000001E-4</v>
      </c>
      <c r="AH140" s="228">
        <v>-8.4499999999999993</v>
      </c>
      <c r="AI140" s="228">
        <v>-25.15</v>
      </c>
      <c r="AJ140" s="228">
        <v>16.7</v>
      </c>
      <c r="AK140" s="229">
        <v>-8.3999999999999995E-3</v>
      </c>
      <c r="AL140" s="228">
        <v>-12.7</v>
      </c>
      <c r="AM140" s="228">
        <v>-45.9</v>
      </c>
      <c r="AN140" s="228">
        <v>33.200000000000003</v>
      </c>
      <c r="AO140" s="229">
        <v>-1.2699999999999999E-2</v>
      </c>
      <c r="AP140" s="231">
        <v>1007.51</v>
      </c>
      <c r="AQ140" s="228">
        <v>999.08</v>
      </c>
      <c r="AR140" s="228">
        <v>0</v>
      </c>
      <c r="AS140" s="228">
        <v>88</v>
      </c>
      <c r="AT140" s="228">
        <v>154</v>
      </c>
      <c r="AU140" s="228">
        <v>-66</v>
      </c>
      <c r="AV140" s="229">
        <v>-0.42859999999999998</v>
      </c>
      <c r="AW140" s="228">
        <v>68</v>
      </c>
      <c r="AX140" s="228">
        <v>121</v>
      </c>
      <c r="AY140" s="228">
        <v>-53</v>
      </c>
      <c r="AZ140" s="229">
        <v>-0.43919999999999998</v>
      </c>
      <c r="BA140" s="228">
        <v>20</v>
      </c>
      <c r="BB140" s="228">
        <v>33</v>
      </c>
      <c r="BC140" s="228">
        <v>-13</v>
      </c>
      <c r="BD140" s="229">
        <v>-0.39539999999999997</v>
      </c>
      <c r="BE140" s="228">
        <v>0</v>
      </c>
      <c r="BF140" s="228">
        <v>0</v>
      </c>
      <c r="BG140" s="228">
        <v>0</v>
      </c>
      <c r="BH140" s="229">
        <v>0</v>
      </c>
      <c r="BI140" s="228">
        <v>174</v>
      </c>
      <c r="BJ140" s="228">
        <v>265</v>
      </c>
      <c r="BK140" s="228">
        <v>-91</v>
      </c>
      <c r="BL140" s="229">
        <v>-0.34429999999999999</v>
      </c>
      <c r="BM140" s="228">
        <v>49</v>
      </c>
      <c r="BN140" s="228">
        <v>68</v>
      </c>
      <c r="BO140" s="228">
        <v>-19</v>
      </c>
      <c r="BP140" s="229">
        <v>-0.2833</v>
      </c>
      <c r="BQ140" s="228">
        <v>311</v>
      </c>
      <c r="BR140" s="228">
        <v>487</v>
      </c>
      <c r="BS140" s="228">
        <v>-177</v>
      </c>
      <c r="BT140" s="229">
        <v>-0.36249999999999999</v>
      </c>
      <c r="BU140" s="230">
        <v>920725</v>
      </c>
      <c r="BV140" s="230">
        <v>2395614</v>
      </c>
      <c r="BW140" s="230">
        <v>-1474889</v>
      </c>
      <c r="BX140" s="229">
        <v>-0.61570000000000003</v>
      </c>
      <c r="BY140" s="228">
        <v>334</v>
      </c>
      <c r="BZ140" s="228">
        <v>320</v>
      </c>
      <c r="CA140" s="228">
        <v>14</v>
      </c>
      <c r="CB140" s="229">
        <v>4.5100000000000001E-2</v>
      </c>
      <c r="CC140" s="228">
        <v>299</v>
      </c>
      <c r="CD140" s="228">
        <v>292</v>
      </c>
      <c r="CE140" s="228">
        <v>6</v>
      </c>
      <c r="CF140" s="229">
        <v>2.2100000000000002E-2</v>
      </c>
      <c r="CG140" s="228">
        <v>35</v>
      </c>
      <c r="CH140" s="228">
        <v>27</v>
      </c>
      <c r="CI140" s="228">
        <v>8</v>
      </c>
      <c r="CJ140" s="229">
        <v>0.30049999999999999</v>
      </c>
      <c r="CK140" s="228">
        <v>0</v>
      </c>
      <c r="CL140" s="228">
        <v>1</v>
      </c>
      <c r="CM140" s="228">
        <v>0</v>
      </c>
      <c r="CN140" s="229">
        <v>-0.125</v>
      </c>
      <c r="CO140" s="228">
        <v>77</v>
      </c>
      <c r="CP140" s="228">
        <v>73</v>
      </c>
      <c r="CQ140" s="228">
        <v>3</v>
      </c>
      <c r="CR140" s="229">
        <v>4.7100000000000003E-2</v>
      </c>
      <c r="CS140" s="228">
        <v>50</v>
      </c>
      <c r="CT140" s="228">
        <v>53</v>
      </c>
      <c r="CU140" s="228">
        <v>-3</v>
      </c>
      <c r="CV140" s="229">
        <v>-5.5500000000000001E-2</v>
      </c>
      <c r="CW140" s="228">
        <v>461</v>
      </c>
      <c r="CX140" s="228">
        <v>446</v>
      </c>
      <c r="CY140" s="228">
        <v>15</v>
      </c>
      <c r="CZ140" s="229">
        <v>3.3500000000000002E-2</v>
      </c>
      <c r="DA140" s="228">
        <v>57.09</v>
      </c>
      <c r="DB140" s="228">
        <v>49.63</v>
      </c>
      <c r="DC140" s="228">
        <v>7.46</v>
      </c>
      <c r="DD140" s="228">
        <v>7.46</v>
      </c>
      <c r="DE140" s="228">
        <v>49.89</v>
      </c>
      <c r="DF140" s="228">
        <v>49.99</v>
      </c>
      <c r="DG140" s="228">
        <v>7.2</v>
      </c>
      <c r="DH140" s="228">
        <v>-0.1</v>
      </c>
      <c r="DI140" s="228">
        <v>55.5</v>
      </c>
      <c r="DJ140" s="228">
        <v>47.62</v>
      </c>
      <c r="DK140" s="228">
        <v>7.88</v>
      </c>
      <c r="DL140" s="228">
        <v>7.88</v>
      </c>
      <c r="DM140" s="228">
        <v>62.76</v>
      </c>
      <c r="DN140" s="228">
        <v>57.45</v>
      </c>
      <c r="DO140" s="228">
        <v>5.31</v>
      </c>
      <c r="DP140" s="228">
        <v>5.31</v>
      </c>
      <c r="DQ140" s="228">
        <v>0.65</v>
      </c>
      <c r="DR140" s="228">
        <v>0.73</v>
      </c>
      <c r="DS140" s="228">
        <v>-0.08</v>
      </c>
      <c r="DT140" s="229">
        <v>-0.1096</v>
      </c>
      <c r="DU140" s="231">
        <v>1000</v>
      </c>
      <c r="DV140" s="231">
        <v>1000</v>
      </c>
      <c r="DW140" s="228">
        <v>0.28000000000000003</v>
      </c>
      <c r="DX140" s="228">
        <v>0.26</v>
      </c>
      <c r="DY140" s="228">
        <v>0.02</v>
      </c>
      <c r="DZ140" s="229">
        <v>7.6899999999999996E-2</v>
      </c>
      <c r="EA140" s="229">
        <v>0.1053</v>
      </c>
      <c r="EB140" s="230">
        <v>271250</v>
      </c>
      <c r="EC140" s="229">
        <v>-8.8999999999999999E-3</v>
      </c>
      <c r="ED140" s="229">
        <v>0.1053</v>
      </c>
      <c r="EE140" s="228">
        <v>-8.43</v>
      </c>
      <c r="EF140" s="229">
        <v>-8.3999999999999995E-3</v>
      </c>
      <c r="EG140" s="230">
        <v>391881</v>
      </c>
      <c r="EH140" s="230">
        <v>1302884</v>
      </c>
      <c r="EI140" s="229">
        <v>-0.69920000000000004</v>
      </c>
      <c r="EJ140" s="229">
        <v>0.42559999999999998</v>
      </c>
      <c r="EK140" s="228">
        <v>185.23</v>
      </c>
      <c r="EL140" s="228">
        <v>45.19</v>
      </c>
      <c r="EM140" s="228">
        <v>88.3</v>
      </c>
      <c r="EN140" s="228">
        <v>19.010000000000002</v>
      </c>
      <c r="EO140" s="228">
        <v>318.72000000000003</v>
      </c>
      <c r="EP140" s="228">
        <v>488.64</v>
      </c>
      <c r="EQ140" s="228">
        <v>-169.92</v>
      </c>
      <c r="ER140" s="229">
        <v>-0.34770000000000001</v>
      </c>
      <c r="ES140" s="228">
        <v>76.48</v>
      </c>
      <c r="ET140" s="228">
        <v>43.96</v>
      </c>
      <c r="EU140" s="228">
        <v>333.72</v>
      </c>
      <c r="EV140" s="231">
        <v>26709548</v>
      </c>
      <c r="EW140" s="228">
        <v>454.17</v>
      </c>
      <c r="EX140" s="228">
        <v>436.36</v>
      </c>
      <c r="EY140" s="228">
        <v>17.809999999999999</v>
      </c>
      <c r="EZ140" s="229">
        <v>4.0800000000000003E-2</v>
      </c>
      <c r="FA140" s="229">
        <v>0.17199999999999999</v>
      </c>
      <c r="FB140" s="227" t="s">
        <v>555</v>
      </c>
      <c r="FC140">
        <f t="shared" si="2"/>
        <v>35</v>
      </c>
    </row>
    <row r="141" spans="1:159" ht="17.25" thickBot="1" x14ac:dyDescent="0.3">
      <c r="A141" s="226">
        <v>46132</v>
      </c>
      <c r="B141" s="227" t="s">
        <v>227</v>
      </c>
      <c r="C141" s="227" t="s">
        <v>263</v>
      </c>
      <c r="D141" s="228">
        <v>3750</v>
      </c>
      <c r="E141" s="228">
        <v>8</v>
      </c>
      <c r="F141" s="228">
        <v>427.1</v>
      </c>
      <c r="G141" s="228">
        <v>438.65</v>
      </c>
      <c r="H141" s="228">
        <v>-11.55</v>
      </c>
      <c r="I141" s="229">
        <v>-2.63E-2</v>
      </c>
      <c r="J141" s="228">
        <v>426.65</v>
      </c>
      <c r="K141" s="228">
        <v>438.75</v>
      </c>
      <c r="L141" s="228">
        <v>-12.1</v>
      </c>
      <c r="M141" s="229">
        <v>-2.76E-2</v>
      </c>
      <c r="N141" s="228">
        <v>427.1</v>
      </c>
      <c r="O141" s="228">
        <v>438.65</v>
      </c>
      <c r="P141" s="228">
        <v>-11.55</v>
      </c>
      <c r="Q141" s="229">
        <v>-2.63E-2</v>
      </c>
      <c r="R141" s="228">
        <v>429</v>
      </c>
      <c r="S141" s="228">
        <v>440.5</v>
      </c>
      <c r="T141" s="228">
        <v>-11.5</v>
      </c>
      <c r="U141" s="229">
        <v>-2.6100000000000002E-2</v>
      </c>
      <c r="V141" s="228">
        <v>431.15</v>
      </c>
      <c r="W141" s="228">
        <v>442.3</v>
      </c>
      <c r="X141" s="228">
        <v>-11.15</v>
      </c>
      <c r="Y141" s="229">
        <v>-2.52E-2</v>
      </c>
      <c r="Z141" s="228">
        <v>0.45</v>
      </c>
      <c r="AA141" s="228">
        <v>-0.1</v>
      </c>
      <c r="AB141" s="228">
        <v>0.55000000000000004</v>
      </c>
      <c r="AC141" s="229">
        <v>1.1000000000000001E-3</v>
      </c>
      <c r="AD141" s="228">
        <v>0.45</v>
      </c>
      <c r="AE141" s="228">
        <v>-0.1</v>
      </c>
      <c r="AF141" s="228">
        <v>0.55000000000000004</v>
      </c>
      <c r="AG141" s="229">
        <v>1.1000000000000001E-3</v>
      </c>
      <c r="AH141" s="228">
        <v>2.35</v>
      </c>
      <c r="AI141" s="228">
        <v>1.75</v>
      </c>
      <c r="AJ141" s="228">
        <v>0.6</v>
      </c>
      <c r="AK141" s="229">
        <v>5.4999999999999997E-3</v>
      </c>
      <c r="AL141" s="228">
        <v>4.5</v>
      </c>
      <c r="AM141" s="228">
        <v>3.55</v>
      </c>
      <c r="AN141" s="228">
        <v>0.95</v>
      </c>
      <c r="AO141" s="229">
        <v>1.0500000000000001E-2</v>
      </c>
      <c r="AP141" s="228">
        <v>427.52</v>
      </c>
      <c r="AQ141" s="228">
        <v>429.76</v>
      </c>
      <c r="AR141" s="228">
        <v>0</v>
      </c>
      <c r="AS141" s="228">
        <v>684</v>
      </c>
      <c r="AT141" s="228">
        <v>765</v>
      </c>
      <c r="AU141" s="228">
        <v>-81</v>
      </c>
      <c r="AV141" s="229">
        <v>-0.10580000000000001</v>
      </c>
      <c r="AW141" s="228">
        <v>535</v>
      </c>
      <c r="AX141" s="228">
        <v>659</v>
      </c>
      <c r="AY141" s="228">
        <v>-124</v>
      </c>
      <c r="AZ141" s="229">
        <v>-0.18859999999999999</v>
      </c>
      <c r="BA141" s="228">
        <v>140</v>
      </c>
      <c r="BB141" s="228">
        <v>97</v>
      </c>
      <c r="BC141" s="228">
        <v>43</v>
      </c>
      <c r="BD141" s="229">
        <v>0.44440000000000002</v>
      </c>
      <c r="BE141" s="228">
        <v>10</v>
      </c>
      <c r="BF141" s="228">
        <v>9</v>
      </c>
      <c r="BG141" s="228">
        <v>0</v>
      </c>
      <c r="BH141" s="229">
        <v>5.1700000000000003E-2</v>
      </c>
      <c r="BI141" s="230">
        <v>1658</v>
      </c>
      <c r="BJ141" s="230">
        <v>2593</v>
      </c>
      <c r="BK141" s="228">
        <v>-935</v>
      </c>
      <c r="BL141" s="229">
        <v>-0.36049999999999999</v>
      </c>
      <c r="BM141" s="228">
        <v>981</v>
      </c>
      <c r="BN141" s="230">
        <v>1416</v>
      </c>
      <c r="BO141" s="228">
        <v>-435</v>
      </c>
      <c r="BP141" s="229">
        <v>-0.30730000000000002</v>
      </c>
      <c r="BQ141" s="230">
        <v>3323</v>
      </c>
      <c r="BR141" s="230">
        <v>4773</v>
      </c>
      <c r="BS141" s="230">
        <v>-1450</v>
      </c>
      <c r="BT141" s="229">
        <v>-0.3039</v>
      </c>
      <c r="BU141" s="230">
        <v>8462998</v>
      </c>
      <c r="BV141" s="230">
        <v>9158674</v>
      </c>
      <c r="BW141" s="230">
        <v>-695676</v>
      </c>
      <c r="BX141" s="229">
        <v>-7.5999999999999998E-2</v>
      </c>
      <c r="BY141" s="230">
        <v>2347</v>
      </c>
      <c r="BZ141" s="230">
        <v>2311</v>
      </c>
      <c r="CA141" s="228">
        <v>36</v>
      </c>
      <c r="CB141" s="229">
        <v>1.55E-2</v>
      </c>
      <c r="CC141" s="230">
        <v>2159</v>
      </c>
      <c r="CD141" s="230">
        <v>2184</v>
      </c>
      <c r="CE141" s="228">
        <v>-25</v>
      </c>
      <c r="CF141" s="229">
        <v>-1.15E-2</v>
      </c>
      <c r="CG141" s="228">
        <v>167</v>
      </c>
      <c r="CH141" s="228">
        <v>109</v>
      </c>
      <c r="CI141" s="228">
        <v>58</v>
      </c>
      <c r="CJ141" s="229">
        <v>0.52939999999999998</v>
      </c>
      <c r="CK141" s="228">
        <v>22</v>
      </c>
      <c r="CL141" s="228">
        <v>19</v>
      </c>
      <c r="CM141" s="228">
        <v>3</v>
      </c>
      <c r="CN141" s="229">
        <v>0.1709</v>
      </c>
      <c r="CO141" s="230">
        <v>1549</v>
      </c>
      <c r="CP141" s="230">
        <v>1456</v>
      </c>
      <c r="CQ141" s="228">
        <v>93</v>
      </c>
      <c r="CR141" s="229">
        <v>6.3799999999999996E-2</v>
      </c>
      <c r="CS141" s="230">
        <v>1414</v>
      </c>
      <c r="CT141" s="230">
        <v>1454</v>
      </c>
      <c r="CU141" s="228">
        <v>-40</v>
      </c>
      <c r="CV141" s="229">
        <v>-2.7400000000000001E-2</v>
      </c>
      <c r="CW141" s="230">
        <v>5311</v>
      </c>
      <c r="CX141" s="230">
        <v>5222</v>
      </c>
      <c r="CY141" s="228">
        <v>89</v>
      </c>
      <c r="CZ141" s="229">
        <v>1.7000000000000001E-2</v>
      </c>
      <c r="DA141" s="228">
        <v>44.19</v>
      </c>
      <c r="DB141" s="228">
        <v>40.85</v>
      </c>
      <c r="DC141" s="228">
        <v>3.34</v>
      </c>
      <c r="DD141" s="228">
        <v>3.34</v>
      </c>
      <c r="DE141" s="228">
        <v>51.69</v>
      </c>
      <c r="DF141" s="228">
        <v>51.68</v>
      </c>
      <c r="DG141" s="228">
        <v>-7.5</v>
      </c>
      <c r="DH141" s="228">
        <v>0.01</v>
      </c>
      <c r="DI141" s="228">
        <v>43.7</v>
      </c>
      <c r="DJ141" s="228">
        <v>39.68</v>
      </c>
      <c r="DK141" s="228">
        <v>4.0199999999999996</v>
      </c>
      <c r="DL141" s="228">
        <v>4.0199999999999996</v>
      </c>
      <c r="DM141" s="228">
        <v>45.02</v>
      </c>
      <c r="DN141" s="228">
        <v>43</v>
      </c>
      <c r="DO141" s="228">
        <v>2.02</v>
      </c>
      <c r="DP141" s="228">
        <v>2.02</v>
      </c>
      <c r="DQ141" s="228">
        <v>0.91</v>
      </c>
      <c r="DR141" s="228">
        <v>1</v>
      </c>
      <c r="DS141" s="228">
        <v>-0.09</v>
      </c>
      <c r="DT141" s="229">
        <v>-0.09</v>
      </c>
      <c r="DU141" s="228">
        <v>440</v>
      </c>
      <c r="DV141" s="228">
        <v>400</v>
      </c>
      <c r="DW141" s="228">
        <v>0.59</v>
      </c>
      <c r="DX141" s="228">
        <v>0.55000000000000004</v>
      </c>
      <c r="DY141" s="228">
        <v>0.04</v>
      </c>
      <c r="DZ141" s="229">
        <v>7.2700000000000001E-2</v>
      </c>
      <c r="EA141" s="229">
        <v>8.0299999999999996E-2</v>
      </c>
      <c r="EB141" s="230">
        <v>2988750</v>
      </c>
      <c r="EC141" s="229">
        <v>4.4000000000000003E-3</v>
      </c>
      <c r="ED141" s="229">
        <v>8.0299999999999996E-2</v>
      </c>
      <c r="EE141" s="228">
        <v>2.2400000000000002</v>
      </c>
      <c r="EF141" s="229">
        <v>5.1999999999999998E-3</v>
      </c>
      <c r="EG141" s="230">
        <v>3338487</v>
      </c>
      <c r="EH141" s="230">
        <v>3801390</v>
      </c>
      <c r="EI141" s="229">
        <v>-0.12180000000000001</v>
      </c>
      <c r="EJ141" s="229">
        <v>0.39450000000000002</v>
      </c>
      <c r="EK141" s="231">
        <v>1755.62</v>
      </c>
      <c r="EL141" s="228">
        <v>961.67</v>
      </c>
      <c r="EM141" s="228">
        <v>685.39</v>
      </c>
      <c r="EN141" s="228">
        <v>55.79</v>
      </c>
      <c r="EO141" s="231">
        <v>3402.68</v>
      </c>
      <c r="EP141" s="231">
        <v>4935.96</v>
      </c>
      <c r="EQ141" s="231">
        <v>-1533.29</v>
      </c>
      <c r="ER141" s="229">
        <v>-0.31059999999999999</v>
      </c>
      <c r="ES141" s="231">
        <v>1567.06</v>
      </c>
      <c r="ET141" s="231">
        <v>1295.23</v>
      </c>
      <c r="EU141" s="231">
        <v>2348.13</v>
      </c>
      <c r="EV141" s="231">
        <v>134225816</v>
      </c>
      <c r="EW141" s="231">
        <v>5210.42</v>
      </c>
      <c r="EX141" s="231">
        <v>5173.59</v>
      </c>
      <c r="EY141" s="228">
        <v>36.83</v>
      </c>
      <c r="EZ141" s="229">
        <v>7.1000000000000004E-3</v>
      </c>
      <c r="FA141" s="229">
        <v>0.9264</v>
      </c>
      <c r="FB141" s="227" t="s">
        <v>566</v>
      </c>
      <c r="FC141">
        <f t="shared" si="2"/>
        <v>188</v>
      </c>
    </row>
    <row r="142" spans="1:159" ht="17.25" thickBot="1" x14ac:dyDescent="0.3">
      <c r="A142" s="226">
        <v>46132</v>
      </c>
      <c r="B142" s="227" t="s">
        <v>614</v>
      </c>
      <c r="C142" s="227" t="s">
        <v>264</v>
      </c>
      <c r="D142" s="228">
        <v>375</v>
      </c>
      <c r="E142" s="228">
        <v>8</v>
      </c>
      <c r="F142" s="231">
        <v>1066.45</v>
      </c>
      <c r="G142" s="231">
        <v>1055.5</v>
      </c>
      <c r="H142" s="228">
        <v>10.95</v>
      </c>
      <c r="I142" s="229">
        <v>1.04E-2</v>
      </c>
      <c r="J142" s="231">
        <v>1067.9000000000001</v>
      </c>
      <c r="K142" s="231">
        <v>1054.55</v>
      </c>
      <c r="L142" s="228">
        <v>13.35</v>
      </c>
      <c r="M142" s="229">
        <v>1.2699999999999999E-2</v>
      </c>
      <c r="N142" s="231">
        <v>1066.45</v>
      </c>
      <c r="O142" s="231">
        <v>1055.5</v>
      </c>
      <c r="P142" s="228">
        <v>10.95</v>
      </c>
      <c r="Q142" s="229">
        <v>1.04E-2</v>
      </c>
      <c r="R142" s="231">
        <v>1066.7</v>
      </c>
      <c r="S142" s="231">
        <v>1054</v>
      </c>
      <c r="T142" s="228">
        <v>12.7</v>
      </c>
      <c r="U142" s="229">
        <v>1.2E-2</v>
      </c>
      <c r="V142" s="231">
        <v>1065.6500000000001</v>
      </c>
      <c r="W142" s="231">
        <v>1057.05</v>
      </c>
      <c r="X142" s="228">
        <v>8.6</v>
      </c>
      <c r="Y142" s="229">
        <v>8.0999999999999996E-3</v>
      </c>
      <c r="Z142" s="228">
        <v>-1.45</v>
      </c>
      <c r="AA142" s="228">
        <v>0.95</v>
      </c>
      <c r="AB142" s="228">
        <v>-2.4</v>
      </c>
      <c r="AC142" s="229">
        <v>-1.4E-3</v>
      </c>
      <c r="AD142" s="228">
        <v>-1.45</v>
      </c>
      <c r="AE142" s="228">
        <v>0.95</v>
      </c>
      <c r="AF142" s="228">
        <v>-2.4</v>
      </c>
      <c r="AG142" s="229">
        <v>-1.4E-3</v>
      </c>
      <c r="AH142" s="228">
        <v>-1.2</v>
      </c>
      <c r="AI142" s="228">
        <v>-0.55000000000000004</v>
      </c>
      <c r="AJ142" s="228">
        <v>-0.65</v>
      </c>
      <c r="AK142" s="229">
        <v>-1.1000000000000001E-3</v>
      </c>
      <c r="AL142" s="228">
        <v>-2.25</v>
      </c>
      <c r="AM142" s="228">
        <v>2.5</v>
      </c>
      <c r="AN142" s="228">
        <v>-4.75</v>
      </c>
      <c r="AO142" s="229">
        <v>-2.0999999999999999E-3</v>
      </c>
      <c r="AP142" s="231">
        <v>1068.54</v>
      </c>
      <c r="AQ142" s="231">
        <v>1070.69</v>
      </c>
      <c r="AR142" s="228">
        <v>0</v>
      </c>
      <c r="AS142" s="228">
        <v>287</v>
      </c>
      <c r="AT142" s="228">
        <v>130</v>
      </c>
      <c r="AU142" s="228">
        <v>157</v>
      </c>
      <c r="AV142" s="229">
        <v>1.2087000000000001</v>
      </c>
      <c r="AW142" s="228">
        <v>193</v>
      </c>
      <c r="AX142" s="228">
        <v>122</v>
      </c>
      <c r="AY142" s="228">
        <v>71</v>
      </c>
      <c r="AZ142" s="229">
        <v>0.57950000000000002</v>
      </c>
      <c r="BA142" s="228">
        <v>93</v>
      </c>
      <c r="BB142" s="228">
        <v>7</v>
      </c>
      <c r="BC142" s="228">
        <v>86</v>
      </c>
      <c r="BD142" s="229">
        <v>11.759600000000001</v>
      </c>
      <c r="BE142" s="228">
        <v>1</v>
      </c>
      <c r="BF142" s="228">
        <v>1</v>
      </c>
      <c r="BG142" s="228">
        <v>1</v>
      </c>
      <c r="BH142" s="229">
        <v>0.63639999999999997</v>
      </c>
      <c r="BI142" s="228">
        <v>700</v>
      </c>
      <c r="BJ142" s="228">
        <v>251</v>
      </c>
      <c r="BK142" s="228">
        <v>449</v>
      </c>
      <c r="BL142" s="229">
        <v>1.7894000000000001</v>
      </c>
      <c r="BM142" s="228">
        <v>171</v>
      </c>
      <c r="BN142" s="228">
        <v>108</v>
      </c>
      <c r="BO142" s="228">
        <v>63</v>
      </c>
      <c r="BP142" s="229">
        <v>0.58430000000000004</v>
      </c>
      <c r="BQ142" s="230">
        <v>1158</v>
      </c>
      <c r="BR142" s="228">
        <v>489</v>
      </c>
      <c r="BS142" s="228">
        <v>669</v>
      </c>
      <c r="BT142" s="229">
        <v>1.3692</v>
      </c>
      <c r="BU142" s="230">
        <v>1223077</v>
      </c>
      <c r="BV142" s="230">
        <v>1055380</v>
      </c>
      <c r="BW142" s="230">
        <v>167697</v>
      </c>
      <c r="BX142" s="229">
        <v>0.15890000000000001</v>
      </c>
      <c r="BY142" s="230">
        <v>1046</v>
      </c>
      <c r="BZ142" s="230">
        <v>1062</v>
      </c>
      <c r="CA142" s="228">
        <v>-17</v>
      </c>
      <c r="CB142" s="229">
        <v>-1.5699999999999999E-2</v>
      </c>
      <c r="CC142" s="228">
        <v>941</v>
      </c>
      <c r="CD142" s="230">
        <v>1039</v>
      </c>
      <c r="CE142" s="228">
        <v>-98</v>
      </c>
      <c r="CF142" s="229">
        <v>-9.4399999999999998E-2</v>
      </c>
      <c r="CG142" s="228">
        <v>102</v>
      </c>
      <c r="CH142" s="228">
        <v>20</v>
      </c>
      <c r="CI142" s="228">
        <v>81</v>
      </c>
      <c r="CJ142" s="229">
        <v>4.0178000000000003</v>
      </c>
      <c r="CK142" s="228">
        <v>3</v>
      </c>
      <c r="CL142" s="228">
        <v>3</v>
      </c>
      <c r="CM142" s="228">
        <v>0</v>
      </c>
      <c r="CN142" s="229">
        <v>-2.5600000000000001E-2</v>
      </c>
      <c r="CO142" s="228">
        <v>395</v>
      </c>
      <c r="CP142" s="228">
        <v>332</v>
      </c>
      <c r="CQ142" s="228">
        <v>64</v>
      </c>
      <c r="CR142" s="229">
        <v>0.19259999999999999</v>
      </c>
      <c r="CS142" s="228">
        <v>175</v>
      </c>
      <c r="CT142" s="228">
        <v>144</v>
      </c>
      <c r="CU142" s="228">
        <v>31</v>
      </c>
      <c r="CV142" s="229">
        <v>0.216</v>
      </c>
      <c r="CW142" s="230">
        <v>1616</v>
      </c>
      <c r="CX142" s="230">
        <v>1538</v>
      </c>
      <c r="CY142" s="228">
        <v>78</v>
      </c>
      <c r="CZ142" s="229">
        <v>5.0799999999999998E-2</v>
      </c>
      <c r="DA142" s="228">
        <v>34.46</v>
      </c>
      <c r="DB142" s="228">
        <v>30.38</v>
      </c>
      <c r="DC142" s="228">
        <v>4.08</v>
      </c>
      <c r="DD142" s="228">
        <v>4.08</v>
      </c>
      <c r="DE142" s="228">
        <v>36.619999999999997</v>
      </c>
      <c r="DF142" s="228">
        <v>36.69</v>
      </c>
      <c r="DG142" s="228">
        <v>-2.16</v>
      </c>
      <c r="DH142" s="228">
        <v>-7.0000000000000007E-2</v>
      </c>
      <c r="DI142" s="228">
        <v>33.840000000000003</v>
      </c>
      <c r="DJ142" s="228">
        <v>29.16</v>
      </c>
      <c r="DK142" s="228">
        <v>4.68</v>
      </c>
      <c r="DL142" s="228">
        <v>4.68</v>
      </c>
      <c r="DM142" s="228">
        <v>36.979999999999997</v>
      </c>
      <c r="DN142" s="228">
        <v>33.24</v>
      </c>
      <c r="DO142" s="228">
        <v>3.74</v>
      </c>
      <c r="DP142" s="228">
        <v>3.74</v>
      </c>
      <c r="DQ142" s="228">
        <v>0.44</v>
      </c>
      <c r="DR142" s="228">
        <v>0.43</v>
      </c>
      <c r="DS142" s="228">
        <v>0.01</v>
      </c>
      <c r="DT142" s="229">
        <v>2.3300000000000001E-2</v>
      </c>
      <c r="DU142" s="231">
        <v>1080</v>
      </c>
      <c r="DV142" s="231">
        <v>1000</v>
      </c>
      <c r="DW142" s="228">
        <v>0.24</v>
      </c>
      <c r="DX142" s="228">
        <v>0.43</v>
      </c>
      <c r="DY142" s="228">
        <v>-0.19</v>
      </c>
      <c r="DZ142" s="229">
        <v>-0.44190000000000002</v>
      </c>
      <c r="EA142" s="229">
        <v>0.1002</v>
      </c>
      <c r="EB142" s="230">
        <v>219375</v>
      </c>
      <c r="EC142" s="229">
        <v>2.0000000000000001E-4</v>
      </c>
      <c r="ED142" s="229">
        <v>0.1002</v>
      </c>
      <c r="EE142" s="228">
        <v>2.15</v>
      </c>
      <c r="EF142" s="229">
        <v>2E-3</v>
      </c>
      <c r="EG142" s="230">
        <v>711731</v>
      </c>
      <c r="EH142" s="230">
        <v>567858</v>
      </c>
      <c r="EI142" s="229">
        <v>0.25340000000000001</v>
      </c>
      <c r="EJ142" s="229">
        <v>0.58189999999999997</v>
      </c>
      <c r="EK142" s="228">
        <v>725.47</v>
      </c>
      <c r="EL142" s="228">
        <v>166.08</v>
      </c>
      <c r="EM142" s="228">
        <v>288.17</v>
      </c>
      <c r="EN142" s="228">
        <v>43.62</v>
      </c>
      <c r="EO142" s="231">
        <v>1179.73</v>
      </c>
      <c r="EP142" s="228">
        <v>488.49</v>
      </c>
      <c r="EQ142" s="228">
        <v>691.24</v>
      </c>
      <c r="ER142" s="229">
        <v>1.415</v>
      </c>
      <c r="ES142" s="228">
        <v>397.04</v>
      </c>
      <c r="ET142" s="228">
        <v>164.43</v>
      </c>
      <c r="EU142" s="231">
        <v>1045.6500000000001</v>
      </c>
      <c r="EV142" s="231">
        <v>60562281</v>
      </c>
      <c r="EW142" s="231">
        <v>1607.12</v>
      </c>
      <c r="EX142" s="231">
        <v>1515.74</v>
      </c>
      <c r="EY142" s="228">
        <v>91.38</v>
      </c>
      <c r="EZ142" s="229">
        <v>6.0299999999999999E-2</v>
      </c>
      <c r="FA142" s="229">
        <v>0.25019999999999998</v>
      </c>
      <c r="FB142" s="227" t="s">
        <v>693</v>
      </c>
      <c r="FC142">
        <f t="shared" si="2"/>
        <v>105</v>
      </c>
    </row>
    <row r="143" spans="1:159" ht="17.25" thickBot="1" x14ac:dyDescent="0.3">
      <c r="A143" s="226">
        <v>46132</v>
      </c>
      <c r="B143" s="227" t="s">
        <v>206</v>
      </c>
      <c r="C143" s="227" t="s">
        <v>550</v>
      </c>
      <c r="D143" s="228">
        <v>6500</v>
      </c>
      <c r="E143" s="228">
        <v>8</v>
      </c>
      <c r="F143" s="228">
        <v>93.47</v>
      </c>
      <c r="G143" s="228">
        <v>94.45</v>
      </c>
      <c r="H143" s="228">
        <v>-0.98</v>
      </c>
      <c r="I143" s="229">
        <v>-1.04E-2</v>
      </c>
      <c r="J143" s="228">
        <v>93.32</v>
      </c>
      <c r="K143" s="228">
        <v>94.32</v>
      </c>
      <c r="L143" s="228">
        <v>-1</v>
      </c>
      <c r="M143" s="229">
        <v>-1.06E-2</v>
      </c>
      <c r="N143" s="228">
        <v>93.47</v>
      </c>
      <c r="O143" s="228">
        <v>94.45</v>
      </c>
      <c r="P143" s="228">
        <v>-0.98</v>
      </c>
      <c r="Q143" s="229">
        <v>-1.04E-2</v>
      </c>
      <c r="R143" s="228">
        <v>94.07</v>
      </c>
      <c r="S143" s="228">
        <v>95.03</v>
      </c>
      <c r="T143" s="228">
        <v>-0.96</v>
      </c>
      <c r="U143" s="229">
        <v>-1.01E-2</v>
      </c>
      <c r="V143" s="228">
        <v>94.64</v>
      </c>
      <c r="W143" s="228">
        <v>95.7</v>
      </c>
      <c r="X143" s="228">
        <v>-1.06</v>
      </c>
      <c r="Y143" s="229">
        <v>-1.11E-2</v>
      </c>
      <c r="Z143" s="228">
        <v>0.15</v>
      </c>
      <c r="AA143" s="228">
        <v>0.13</v>
      </c>
      <c r="AB143" s="228">
        <v>0.02</v>
      </c>
      <c r="AC143" s="229">
        <v>1.6000000000000001E-3</v>
      </c>
      <c r="AD143" s="228">
        <v>0.15</v>
      </c>
      <c r="AE143" s="228">
        <v>0.13</v>
      </c>
      <c r="AF143" s="228">
        <v>0.02</v>
      </c>
      <c r="AG143" s="229">
        <v>1.6000000000000001E-3</v>
      </c>
      <c r="AH143" s="228">
        <v>0.75</v>
      </c>
      <c r="AI143" s="228">
        <v>0.71</v>
      </c>
      <c r="AJ143" s="228">
        <v>0.04</v>
      </c>
      <c r="AK143" s="229">
        <v>8.0000000000000002E-3</v>
      </c>
      <c r="AL143" s="228">
        <v>1.32</v>
      </c>
      <c r="AM143" s="228">
        <v>1.38</v>
      </c>
      <c r="AN143" s="228">
        <v>-0.06</v>
      </c>
      <c r="AO143" s="229">
        <v>1.41E-2</v>
      </c>
      <c r="AP143" s="228">
        <v>94.11</v>
      </c>
      <c r="AQ143" s="228">
        <v>94.74</v>
      </c>
      <c r="AR143" s="228">
        <v>0</v>
      </c>
      <c r="AS143" s="228">
        <v>120</v>
      </c>
      <c r="AT143" s="228">
        <v>135</v>
      </c>
      <c r="AU143" s="228">
        <v>-15</v>
      </c>
      <c r="AV143" s="229">
        <v>-0.1128</v>
      </c>
      <c r="AW143" s="228">
        <v>70</v>
      </c>
      <c r="AX143" s="228">
        <v>95</v>
      </c>
      <c r="AY143" s="228">
        <v>-24</v>
      </c>
      <c r="AZ143" s="229">
        <v>-0.25640000000000002</v>
      </c>
      <c r="BA143" s="228">
        <v>47</v>
      </c>
      <c r="BB143" s="228">
        <v>38</v>
      </c>
      <c r="BC143" s="228">
        <v>8</v>
      </c>
      <c r="BD143" s="229">
        <v>0.22170000000000001</v>
      </c>
      <c r="BE143" s="228">
        <v>3</v>
      </c>
      <c r="BF143" s="228">
        <v>2</v>
      </c>
      <c r="BG143" s="228">
        <v>1</v>
      </c>
      <c r="BH143" s="229">
        <v>0.29409999999999997</v>
      </c>
      <c r="BI143" s="228">
        <v>120</v>
      </c>
      <c r="BJ143" s="228">
        <v>217</v>
      </c>
      <c r="BK143" s="228">
        <v>-96</v>
      </c>
      <c r="BL143" s="229">
        <v>-0.44519999999999998</v>
      </c>
      <c r="BM143" s="228">
        <v>69</v>
      </c>
      <c r="BN143" s="228">
        <v>91</v>
      </c>
      <c r="BO143" s="228">
        <v>-22</v>
      </c>
      <c r="BP143" s="229">
        <v>-0.24229999999999999</v>
      </c>
      <c r="BQ143" s="228">
        <v>309</v>
      </c>
      <c r="BR143" s="228">
        <v>442</v>
      </c>
      <c r="BS143" s="228">
        <v>-134</v>
      </c>
      <c r="BT143" s="229">
        <v>-0.30220000000000002</v>
      </c>
      <c r="BU143" s="230">
        <v>14525645</v>
      </c>
      <c r="BV143" s="230">
        <v>12279043</v>
      </c>
      <c r="BW143" s="230">
        <v>2246602</v>
      </c>
      <c r="BX143" s="229">
        <v>0.183</v>
      </c>
      <c r="BY143" s="228">
        <v>750</v>
      </c>
      <c r="BZ143" s="228">
        <v>740</v>
      </c>
      <c r="CA143" s="228">
        <v>10</v>
      </c>
      <c r="CB143" s="229">
        <v>1.37E-2</v>
      </c>
      <c r="CC143" s="228">
        <v>679</v>
      </c>
      <c r="CD143" s="228">
        <v>686</v>
      </c>
      <c r="CE143" s="228">
        <v>-7</v>
      </c>
      <c r="CF143" s="229">
        <v>-9.7999999999999997E-3</v>
      </c>
      <c r="CG143" s="228">
        <v>66</v>
      </c>
      <c r="CH143" s="228">
        <v>50</v>
      </c>
      <c r="CI143" s="228">
        <v>16</v>
      </c>
      <c r="CJ143" s="229">
        <v>0.32879999999999998</v>
      </c>
      <c r="CK143" s="228">
        <v>5</v>
      </c>
      <c r="CL143" s="228">
        <v>5</v>
      </c>
      <c r="CM143" s="228">
        <v>1</v>
      </c>
      <c r="CN143" s="229">
        <v>0.12820000000000001</v>
      </c>
      <c r="CO143" s="228">
        <v>185</v>
      </c>
      <c r="CP143" s="228">
        <v>187</v>
      </c>
      <c r="CQ143" s="228">
        <v>-2</v>
      </c>
      <c r="CR143" s="229">
        <v>-8.0999999999999996E-3</v>
      </c>
      <c r="CS143" s="228">
        <v>123</v>
      </c>
      <c r="CT143" s="228">
        <v>126</v>
      </c>
      <c r="CU143" s="228">
        <v>-3</v>
      </c>
      <c r="CV143" s="229">
        <v>-2.1700000000000001E-2</v>
      </c>
      <c r="CW143" s="230">
        <v>1059</v>
      </c>
      <c r="CX143" s="230">
        <v>1053</v>
      </c>
      <c r="CY143" s="228">
        <v>6</v>
      </c>
      <c r="CZ143" s="229">
        <v>5.5999999999999999E-3</v>
      </c>
      <c r="DA143" s="228">
        <v>46.12</v>
      </c>
      <c r="DB143" s="228">
        <v>42.22</v>
      </c>
      <c r="DC143" s="228">
        <v>3.9</v>
      </c>
      <c r="DD143" s="228">
        <v>3.9</v>
      </c>
      <c r="DE143" s="228">
        <v>51.74</v>
      </c>
      <c r="DF143" s="228">
        <v>51.85</v>
      </c>
      <c r="DG143" s="228">
        <v>-5.62</v>
      </c>
      <c r="DH143" s="228">
        <v>-0.11</v>
      </c>
      <c r="DI143" s="228">
        <v>43.85</v>
      </c>
      <c r="DJ143" s="228">
        <v>39.46</v>
      </c>
      <c r="DK143" s="228">
        <v>4.3899999999999997</v>
      </c>
      <c r="DL143" s="228">
        <v>4.3899999999999997</v>
      </c>
      <c r="DM143" s="228">
        <v>50.08</v>
      </c>
      <c r="DN143" s="228">
        <v>48.77</v>
      </c>
      <c r="DO143" s="228">
        <v>1.31</v>
      </c>
      <c r="DP143" s="228">
        <v>1.31</v>
      </c>
      <c r="DQ143" s="228">
        <v>0.67</v>
      </c>
      <c r="DR143" s="228">
        <v>0.67</v>
      </c>
      <c r="DS143" s="228">
        <v>0</v>
      </c>
      <c r="DT143" s="229">
        <v>0</v>
      </c>
      <c r="DU143" s="228">
        <v>105</v>
      </c>
      <c r="DV143" s="228">
        <v>85</v>
      </c>
      <c r="DW143" s="228">
        <v>0.56999999999999995</v>
      </c>
      <c r="DX143" s="228">
        <v>0.42</v>
      </c>
      <c r="DY143" s="228">
        <v>0.15</v>
      </c>
      <c r="DZ143" s="229">
        <v>0.35709999999999997</v>
      </c>
      <c r="EA143" s="229">
        <v>9.4799999999999995E-2</v>
      </c>
      <c r="EB143" s="230">
        <v>5804500</v>
      </c>
      <c r="EC143" s="229">
        <v>6.4000000000000003E-3</v>
      </c>
      <c r="ED143" s="229">
        <v>9.4799999999999995E-2</v>
      </c>
      <c r="EE143" s="228">
        <v>0.63</v>
      </c>
      <c r="EF143" s="229">
        <v>6.7000000000000002E-3</v>
      </c>
      <c r="EG143" s="230">
        <v>5132549</v>
      </c>
      <c r="EH143" s="230">
        <v>3538105</v>
      </c>
      <c r="EI143" s="229">
        <v>0.4506</v>
      </c>
      <c r="EJ143" s="229">
        <v>0.3533</v>
      </c>
      <c r="EK143" s="228">
        <v>127.21</v>
      </c>
      <c r="EL143" s="228">
        <v>66.989999999999995</v>
      </c>
      <c r="EM143" s="228">
        <v>120.68</v>
      </c>
      <c r="EN143" s="228">
        <v>14.57</v>
      </c>
      <c r="EO143" s="228">
        <v>314.88</v>
      </c>
      <c r="EP143" s="228">
        <v>451.88</v>
      </c>
      <c r="EQ143" s="228">
        <v>-137</v>
      </c>
      <c r="ER143" s="229">
        <v>-0.30320000000000003</v>
      </c>
      <c r="ES143" s="228">
        <v>186.48</v>
      </c>
      <c r="ET143" s="228">
        <v>113.47</v>
      </c>
      <c r="EU143" s="228">
        <v>750.64</v>
      </c>
      <c r="EV143" s="231">
        <v>154894704</v>
      </c>
      <c r="EW143" s="231">
        <v>1050.5899999999999</v>
      </c>
      <c r="EX143" s="231">
        <v>1051.53</v>
      </c>
      <c r="EY143" s="228">
        <v>-0.94</v>
      </c>
      <c r="EZ143" s="229">
        <v>-8.9999999999999998E-4</v>
      </c>
      <c r="FA143" s="229">
        <v>0.73150000000000004</v>
      </c>
      <c r="FB143" s="227" t="s">
        <v>566</v>
      </c>
      <c r="FC143">
        <f t="shared" si="2"/>
        <v>71</v>
      </c>
    </row>
    <row r="144" spans="1:159" ht="17.25" thickBot="1" x14ac:dyDescent="0.3">
      <c r="A144" s="226">
        <v>46132</v>
      </c>
      <c r="B144" s="227" t="s">
        <v>168</v>
      </c>
      <c r="C144" s="227" t="s">
        <v>265</v>
      </c>
      <c r="D144" s="228">
        <v>500</v>
      </c>
      <c r="E144" s="228">
        <v>8</v>
      </c>
      <c r="F144" s="231">
        <v>1287.7</v>
      </c>
      <c r="G144" s="231">
        <v>1286</v>
      </c>
      <c r="H144" s="228">
        <v>1.7</v>
      </c>
      <c r="I144" s="229">
        <v>1.2999999999999999E-3</v>
      </c>
      <c r="J144" s="231">
        <v>1286.4000000000001</v>
      </c>
      <c r="K144" s="231">
        <v>1285.5999999999999</v>
      </c>
      <c r="L144" s="228">
        <v>0.8</v>
      </c>
      <c r="M144" s="229">
        <v>5.9999999999999995E-4</v>
      </c>
      <c r="N144" s="231">
        <v>1287.7</v>
      </c>
      <c r="O144" s="231">
        <v>1286</v>
      </c>
      <c r="P144" s="228">
        <v>1.7</v>
      </c>
      <c r="Q144" s="229">
        <v>1.2999999999999999E-3</v>
      </c>
      <c r="R144" s="231">
        <v>1293.4000000000001</v>
      </c>
      <c r="S144" s="231">
        <v>1293.5</v>
      </c>
      <c r="T144" s="228">
        <v>-0.1</v>
      </c>
      <c r="U144" s="229">
        <v>-1E-4</v>
      </c>
      <c r="V144" s="231">
        <v>1303</v>
      </c>
      <c r="W144" s="231">
        <v>1301.0999999999999</v>
      </c>
      <c r="X144" s="228">
        <v>1.9</v>
      </c>
      <c r="Y144" s="229">
        <v>1.5E-3</v>
      </c>
      <c r="Z144" s="228">
        <v>1.3</v>
      </c>
      <c r="AA144" s="228">
        <v>0.4</v>
      </c>
      <c r="AB144" s="228">
        <v>0.9</v>
      </c>
      <c r="AC144" s="229">
        <v>1E-3</v>
      </c>
      <c r="AD144" s="228">
        <v>1.3</v>
      </c>
      <c r="AE144" s="228">
        <v>0.4</v>
      </c>
      <c r="AF144" s="228">
        <v>0.9</v>
      </c>
      <c r="AG144" s="229">
        <v>1E-3</v>
      </c>
      <c r="AH144" s="228">
        <v>7</v>
      </c>
      <c r="AI144" s="228">
        <v>7.9</v>
      </c>
      <c r="AJ144" s="228">
        <v>-0.9</v>
      </c>
      <c r="AK144" s="229">
        <v>5.4000000000000003E-3</v>
      </c>
      <c r="AL144" s="228">
        <v>16.600000000000001</v>
      </c>
      <c r="AM144" s="228">
        <v>15.5</v>
      </c>
      <c r="AN144" s="228">
        <v>1.1000000000000001</v>
      </c>
      <c r="AO144" s="229">
        <v>1.29E-2</v>
      </c>
      <c r="AP144" s="231">
        <v>1286.8800000000001</v>
      </c>
      <c r="AQ144" s="231">
        <v>1292.0999999999999</v>
      </c>
      <c r="AR144" s="228">
        <v>0</v>
      </c>
      <c r="AS144" s="228">
        <v>339</v>
      </c>
      <c r="AT144" s="228">
        <v>260</v>
      </c>
      <c r="AU144" s="228">
        <v>79</v>
      </c>
      <c r="AV144" s="229">
        <v>0.30590000000000001</v>
      </c>
      <c r="AW144" s="228">
        <v>299</v>
      </c>
      <c r="AX144" s="228">
        <v>238</v>
      </c>
      <c r="AY144" s="228">
        <v>62</v>
      </c>
      <c r="AZ144" s="229">
        <v>0.25969999999999999</v>
      </c>
      <c r="BA144" s="228">
        <v>36</v>
      </c>
      <c r="BB144" s="228">
        <v>21</v>
      </c>
      <c r="BC144" s="228">
        <v>15</v>
      </c>
      <c r="BD144" s="229">
        <v>0.70430000000000004</v>
      </c>
      <c r="BE144" s="228">
        <v>4</v>
      </c>
      <c r="BF144" s="228">
        <v>1</v>
      </c>
      <c r="BG144" s="228">
        <v>3</v>
      </c>
      <c r="BH144" s="229">
        <v>3.1429</v>
      </c>
      <c r="BI144" s="230">
        <v>1016</v>
      </c>
      <c r="BJ144" s="230">
        <v>1283</v>
      </c>
      <c r="BK144" s="228">
        <v>-267</v>
      </c>
      <c r="BL144" s="229">
        <v>-0.2084</v>
      </c>
      <c r="BM144" s="228">
        <v>333</v>
      </c>
      <c r="BN144" s="228">
        <v>335</v>
      </c>
      <c r="BO144" s="228">
        <v>-2</v>
      </c>
      <c r="BP144" s="229">
        <v>-6.0000000000000001E-3</v>
      </c>
      <c r="BQ144" s="230">
        <v>1687</v>
      </c>
      <c r="BR144" s="230">
        <v>1877</v>
      </c>
      <c r="BS144" s="228">
        <v>-190</v>
      </c>
      <c r="BT144" s="229">
        <v>-0.1012</v>
      </c>
      <c r="BU144" s="230">
        <v>1228797</v>
      </c>
      <c r="BV144" s="230">
        <v>2070753</v>
      </c>
      <c r="BW144" s="230">
        <v>-841956</v>
      </c>
      <c r="BX144" s="229">
        <v>-0.40660000000000002</v>
      </c>
      <c r="BY144" s="230">
        <v>2446</v>
      </c>
      <c r="BZ144" s="230">
        <v>2439</v>
      </c>
      <c r="CA144" s="228">
        <v>7</v>
      </c>
      <c r="CB144" s="229">
        <v>2.8999999999999998E-3</v>
      </c>
      <c r="CC144" s="230">
        <v>2274</v>
      </c>
      <c r="CD144" s="230">
        <v>2269</v>
      </c>
      <c r="CE144" s="228">
        <v>4</v>
      </c>
      <c r="CF144" s="229">
        <v>1.8E-3</v>
      </c>
      <c r="CG144" s="228">
        <v>79</v>
      </c>
      <c r="CH144" s="228">
        <v>74</v>
      </c>
      <c r="CI144" s="228">
        <v>4</v>
      </c>
      <c r="CJ144" s="229">
        <v>5.7099999999999998E-2</v>
      </c>
      <c r="CK144" s="228">
        <v>93</v>
      </c>
      <c r="CL144" s="228">
        <v>95</v>
      </c>
      <c r="CM144" s="228">
        <v>-1</v>
      </c>
      <c r="CN144" s="229">
        <v>-1.49E-2</v>
      </c>
      <c r="CO144" s="228">
        <v>628</v>
      </c>
      <c r="CP144" s="228">
        <v>539</v>
      </c>
      <c r="CQ144" s="228">
        <v>89</v>
      </c>
      <c r="CR144" s="229">
        <v>0.16600000000000001</v>
      </c>
      <c r="CS144" s="228">
        <v>339</v>
      </c>
      <c r="CT144" s="228">
        <v>303</v>
      </c>
      <c r="CU144" s="228">
        <v>36</v>
      </c>
      <c r="CV144" s="229">
        <v>0.11849999999999999</v>
      </c>
      <c r="CW144" s="230">
        <v>3412</v>
      </c>
      <c r="CX144" s="230">
        <v>3280</v>
      </c>
      <c r="CY144" s="228">
        <v>132</v>
      </c>
      <c r="CZ144" s="229">
        <v>4.0300000000000002E-2</v>
      </c>
      <c r="DA144" s="228">
        <v>36.07</v>
      </c>
      <c r="DB144" s="228">
        <v>28.7</v>
      </c>
      <c r="DC144" s="228">
        <v>7.37</v>
      </c>
      <c r="DD144" s="228">
        <v>7.37</v>
      </c>
      <c r="DE144" s="228">
        <v>23.52</v>
      </c>
      <c r="DF144" s="228">
        <v>23.57</v>
      </c>
      <c r="DG144" s="228">
        <v>12.55</v>
      </c>
      <c r="DH144" s="228">
        <v>-0.05</v>
      </c>
      <c r="DI144" s="228">
        <v>36.08</v>
      </c>
      <c r="DJ144" s="228">
        <v>28.27</v>
      </c>
      <c r="DK144" s="228">
        <v>7.81</v>
      </c>
      <c r="DL144" s="228">
        <v>7.81</v>
      </c>
      <c r="DM144" s="228">
        <v>36.04</v>
      </c>
      <c r="DN144" s="228">
        <v>30.36</v>
      </c>
      <c r="DO144" s="228">
        <v>5.68</v>
      </c>
      <c r="DP144" s="228">
        <v>5.68</v>
      </c>
      <c r="DQ144" s="228">
        <v>0.54</v>
      </c>
      <c r="DR144" s="228">
        <v>0.56000000000000005</v>
      </c>
      <c r="DS144" s="228">
        <v>-0.02</v>
      </c>
      <c r="DT144" s="229">
        <v>-3.5700000000000003E-2</v>
      </c>
      <c r="DU144" s="231">
        <v>1300</v>
      </c>
      <c r="DV144" s="231">
        <v>1250</v>
      </c>
      <c r="DW144" s="228">
        <v>0.33</v>
      </c>
      <c r="DX144" s="228">
        <v>0.26</v>
      </c>
      <c r="DY144" s="228">
        <v>7.0000000000000007E-2</v>
      </c>
      <c r="DZ144" s="229">
        <v>0.26919999999999999</v>
      </c>
      <c r="EA144" s="229">
        <v>7.0300000000000001E-2</v>
      </c>
      <c r="EB144" s="230">
        <v>1314000</v>
      </c>
      <c r="EC144" s="229">
        <v>4.4000000000000003E-3</v>
      </c>
      <c r="ED144" s="229">
        <v>7.0300000000000001E-2</v>
      </c>
      <c r="EE144" s="228">
        <v>5.22</v>
      </c>
      <c r="EF144" s="229">
        <v>4.1000000000000003E-3</v>
      </c>
      <c r="EG144" s="230">
        <v>584027</v>
      </c>
      <c r="EH144" s="230">
        <v>1138206</v>
      </c>
      <c r="EI144" s="229">
        <v>-0.4869</v>
      </c>
      <c r="EJ144" s="229">
        <v>0.4753</v>
      </c>
      <c r="EK144" s="231">
        <v>1051.8599999999999</v>
      </c>
      <c r="EL144" s="228">
        <v>327.66000000000003</v>
      </c>
      <c r="EM144" s="228">
        <v>338.9</v>
      </c>
      <c r="EN144" s="228">
        <v>45.32</v>
      </c>
      <c r="EO144" s="231">
        <v>1718.42</v>
      </c>
      <c r="EP144" s="231">
        <v>1913.02</v>
      </c>
      <c r="EQ144" s="228">
        <v>-194.6</v>
      </c>
      <c r="ER144" s="229">
        <v>-0.1017</v>
      </c>
      <c r="ES144" s="228">
        <v>628.80999999999995</v>
      </c>
      <c r="ET144" s="228">
        <v>319.08</v>
      </c>
      <c r="EU144" s="231">
        <v>2447.06</v>
      </c>
      <c r="EV144" s="231">
        <v>71801274</v>
      </c>
      <c r="EW144" s="231">
        <v>3394.95</v>
      </c>
      <c r="EX144" s="231">
        <v>3256.52</v>
      </c>
      <c r="EY144" s="228">
        <v>138.43</v>
      </c>
      <c r="EZ144" s="229">
        <v>4.2500000000000003E-2</v>
      </c>
      <c r="FA144" s="229">
        <v>0.36909999999999998</v>
      </c>
      <c r="FB144" s="227" t="s">
        <v>555</v>
      </c>
      <c r="FC144">
        <f t="shared" si="2"/>
        <v>172</v>
      </c>
    </row>
    <row r="145" spans="1:159" ht="17.25" thickBot="1" x14ac:dyDescent="0.3">
      <c r="A145" s="226">
        <v>46132</v>
      </c>
      <c r="B145" s="227" t="s">
        <v>161</v>
      </c>
      <c r="C145" s="227" t="s">
        <v>584</v>
      </c>
      <c r="D145" s="228">
        <v>6400</v>
      </c>
      <c r="E145" s="228">
        <v>8</v>
      </c>
      <c r="F145" s="228">
        <v>82.7</v>
      </c>
      <c r="G145" s="228">
        <v>82.41</v>
      </c>
      <c r="H145" s="228">
        <v>0.28999999999999998</v>
      </c>
      <c r="I145" s="229">
        <v>3.5000000000000001E-3</v>
      </c>
      <c r="J145" s="228">
        <v>83.1</v>
      </c>
      <c r="K145" s="228">
        <v>83.56</v>
      </c>
      <c r="L145" s="228">
        <v>-0.46</v>
      </c>
      <c r="M145" s="229">
        <v>-5.4999999999999997E-3</v>
      </c>
      <c r="N145" s="228">
        <v>82.7</v>
      </c>
      <c r="O145" s="228">
        <v>82.41</v>
      </c>
      <c r="P145" s="228">
        <v>0.28999999999999998</v>
      </c>
      <c r="Q145" s="229">
        <v>3.5000000000000001E-3</v>
      </c>
      <c r="R145" s="228">
        <v>82.7</v>
      </c>
      <c r="S145" s="228">
        <v>82.5</v>
      </c>
      <c r="T145" s="228">
        <v>0.2</v>
      </c>
      <c r="U145" s="229">
        <v>2.3999999999999998E-3</v>
      </c>
      <c r="V145" s="228">
        <v>82.94</v>
      </c>
      <c r="W145" s="228">
        <v>82.93</v>
      </c>
      <c r="X145" s="228">
        <v>0.01</v>
      </c>
      <c r="Y145" s="229">
        <v>1E-4</v>
      </c>
      <c r="Z145" s="228">
        <v>-0.4</v>
      </c>
      <c r="AA145" s="228">
        <v>-1.1499999999999999</v>
      </c>
      <c r="AB145" s="228">
        <v>0.75</v>
      </c>
      <c r="AC145" s="229">
        <v>-4.7999999999999996E-3</v>
      </c>
      <c r="AD145" s="228">
        <v>-0.4</v>
      </c>
      <c r="AE145" s="228">
        <v>-1.1499999999999999</v>
      </c>
      <c r="AF145" s="228">
        <v>0.75</v>
      </c>
      <c r="AG145" s="229">
        <v>-4.7999999999999996E-3</v>
      </c>
      <c r="AH145" s="228">
        <v>-0.4</v>
      </c>
      <c r="AI145" s="228">
        <v>-1.06</v>
      </c>
      <c r="AJ145" s="228">
        <v>0.66</v>
      </c>
      <c r="AK145" s="229">
        <v>-4.7999999999999996E-3</v>
      </c>
      <c r="AL145" s="228">
        <v>-0.16</v>
      </c>
      <c r="AM145" s="228">
        <v>-0.63</v>
      </c>
      <c r="AN145" s="228">
        <v>0.47</v>
      </c>
      <c r="AO145" s="229">
        <v>-1.9E-3</v>
      </c>
      <c r="AP145" s="228">
        <v>82.6</v>
      </c>
      <c r="AQ145" s="228">
        <v>82.59</v>
      </c>
      <c r="AR145" s="228">
        <v>0</v>
      </c>
      <c r="AS145" s="228">
        <v>168</v>
      </c>
      <c r="AT145" s="228">
        <v>357</v>
      </c>
      <c r="AU145" s="228">
        <v>-189</v>
      </c>
      <c r="AV145" s="229">
        <v>-0.52939999999999998</v>
      </c>
      <c r="AW145" s="228">
        <v>127</v>
      </c>
      <c r="AX145" s="228">
        <v>304</v>
      </c>
      <c r="AY145" s="228">
        <v>-177</v>
      </c>
      <c r="AZ145" s="229">
        <v>-0.58340000000000003</v>
      </c>
      <c r="BA145" s="228">
        <v>39</v>
      </c>
      <c r="BB145" s="228">
        <v>47</v>
      </c>
      <c r="BC145" s="228">
        <v>-8</v>
      </c>
      <c r="BD145" s="229">
        <v>-0.16309999999999999</v>
      </c>
      <c r="BE145" s="228">
        <v>2</v>
      </c>
      <c r="BF145" s="228">
        <v>6</v>
      </c>
      <c r="BG145" s="228">
        <v>-4</v>
      </c>
      <c r="BH145" s="229">
        <v>-0.64349999999999996</v>
      </c>
      <c r="BI145" s="228">
        <v>313</v>
      </c>
      <c r="BJ145" s="228">
        <v>502</v>
      </c>
      <c r="BK145" s="228">
        <v>-189</v>
      </c>
      <c r="BL145" s="229">
        <v>-0.3765</v>
      </c>
      <c r="BM145" s="228">
        <v>153</v>
      </c>
      <c r="BN145" s="228">
        <v>215</v>
      </c>
      <c r="BO145" s="228">
        <v>-62</v>
      </c>
      <c r="BP145" s="229">
        <v>-0.2893</v>
      </c>
      <c r="BQ145" s="228">
        <v>634</v>
      </c>
      <c r="BR145" s="230">
        <v>1074</v>
      </c>
      <c r="BS145" s="228">
        <v>-440</v>
      </c>
      <c r="BT145" s="229">
        <v>-0.40989999999999999</v>
      </c>
      <c r="BU145" s="230">
        <v>18441290</v>
      </c>
      <c r="BV145" s="230">
        <v>52883630</v>
      </c>
      <c r="BW145" s="230">
        <v>-34442340</v>
      </c>
      <c r="BX145" s="229">
        <v>-0.65129999999999999</v>
      </c>
      <c r="BY145" s="228">
        <v>720</v>
      </c>
      <c r="BZ145" s="228">
        <v>705</v>
      </c>
      <c r="CA145" s="228">
        <v>15</v>
      </c>
      <c r="CB145" s="229">
        <v>2.12E-2</v>
      </c>
      <c r="CC145" s="228">
        <v>657</v>
      </c>
      <c r="CD145" s="228">
        <v>659</v>
      </c>
      <c r="CE145" s="228">
        <v>-2</v>
      </c>
      <c r="CF145" s="229">
        <v>-2.5000000000000001E-3</v>
      </c>
      <c r="CG145" s="228">
        <v>57</v>
      </c>
      <c r="CH145" s="228">
        <v>40</v>
      </c>
      <c r="CI145" s="228">
        <v>17</v>
      </c>
      <c r="CJ145" s="229">
        <v>0.41909999999999997</v>
      </c>
      <c r="CK145" s="228">
        <v>6</v>
      </c>
      <c r="CL145" s="228">
        <v>6</v>
      </c>
      <c r="CM145" s="228">
        <v>0</v>
      </c>
      <c r="CN145" s="229">
        <v>-1.67E-2</v>
      </c>
      <c r="CO145" s="228">
        <v>296</v>
      </c>
      <c r="CP145" s="228">
        <v>312</v>
      </c>
      <c r="CQ145" s="228">
        <v>-16</v>
      </c>
      <c r="CR145" s="229">
        <v>-5.1700000000000003E-2</v>
      </c>
      <c r="CS145" s="228">
        <v>250</v>
      </c>
      <c r="CT145" s="228">
        <v>251</v>
      </c>
      <c r="CU145" s="228">
        <v>-1</v>
      </c>
      <c r="CV145" s="229">
        <v>-4.5999999999999999E-3</v>
      </c>
      <c r="CW145" s="230">
        <v>1266</v>
      </c>
      <c r="CX145" s="230">
        <v>1268</v>
      </c>
      <c r="CY145" s="228">
        <v>-2</v>
      </c>
      <c r="CZ145" s="229">
        <v>-1.8E-3</v>
      </c>
      <c r="DA145" s="228">
        <v>33.93</v>
      </c>
      <c r="DB145" s="228">
        <v>31.46</v>
      </c>
      <c r="DC145" s="228">
        <v>2.4700000000000002</v>
      </c>
      <c r="DD145" s="228">
        <v>2.4700000000000002</v>
      </c>
      <c r="DE145" s="228">
        <v>34.869999999999997</v>
      </c>
      <c r="DF145" s="228">
        <v>34.950000000000003</v>
      </c>
      <c r="DG145" s="228">
        <v>-0.94</v>
      </c>
      <c r="DH145" s="228">
        <v>-0.08</v>
      </c>
      <c r="DI145" s="228">
        <v>33.630000000000003</v>
      </c>
      <c r="DJ145" s="228">
        <v>31.44</v>
      </c>
      <c r="DK145" s="228">
        <v>2.19</v>
      </c>
      <c r="DL145" s="228">
        <v>2.19</v>
      </c>
      <c r="DM145" s="228">
        <v>34.54</v>
      </c>
      <c r="DN145" s="228">
        <v>31.52</v>
      </c>
      <c r="DO145" s="228">
        <v>3.02</v>
      </c>
      <c r="DP145" s="228">
        <v>3.02</v>
      </c>
      <c r="DQ145" s="228">
        <v>0.84</v>
      </c>
      <c r="DR145" s="228">
        <v>0.8</v>
      </c>
      <c r="DS145" s="228">
        <v>0.04</v>
      </c>
      <c r="DT145" s="229">
        <v>0.05</v>
      </c>
      <c r="DU145" s="228">
        <v>90</v>
      </c>
      <c r="DV145" s="228">
        <v>77</v>
      </c>
      <c r="DW145" s="228">
        <v>0.49</v>
      </c>
      <c r="DX145" s="228">
        <v>0.43</v>
      </c>
      <c r="DY145" s="228">
        <v>0.06</v>
      </c>
      <c r="DZ145" s="229">
        <v>0.13950000000000001</v>
      </c>
      <c r="EA145" s="229">
        <v>8.7300000000000003E-2</v>
      </c>
      <c r="EB145" s="230">
        <v>5593600</v>
      </c>
      <c r="EC145" s="229">
        <v>0</v>
      </c>
      <c r="ED145" s="229">
        <v>8.7300000000000003E-2</v>
      </c>
      <c r="EE145" s="228">
        <v>-0.01</v>
      </c>
      <c r="EF145" s="229">
        <v>-1E-4</v>
      </c>
      <c r="EG145" s="230">
        <v>6220674</v>
      </c>
      <c r="EH145" s="230">
        <v>31580380</v>
      </c>
      <c r="EI145" s="229">
        <v>-0.80300000000000005</v>
      </c>
      <c r="EJ145" s="229">
        <v>0.33729999999999999</v>
      </c>
      <c r="EK145" s="228">
        <v>325.64</v>
      </c>
      <c r="EL145" s="228">
        <v>149.56</v>
      </c>
      <c r="EM145" s="228">
        <v>167.74</v>
      </c>
      <c r="EN145" s="228">
        <v>39.21</v>
      </c>
      <c r="EO145" s="228">
        <v>642.94000000000005</v>
      </c>
      <c r="EP145" s="231">
        <v>1083.8800000000001</v>
      </c>
      <c r="EQ145" s="228">
        <v>-440.94</v>
      </c>
      <c r="ER145" s="229">
        <v>-0.40679999999999999</v>
      </c>
      <c r="ES145" s="228">
        <v>299.42</v>
      </c>
      <c r="ET145" s="228">
        <v>230.45</v>
      </c>
      <c r="EU145" s="228">
        <v>720.26</v>
      </c>
      <c r="EV145" s="231">
        <v>491233252</v>
      </c>
      <c r="EW145" s="231">
        <v>1250.1300000000001</v>
      </c>
      <c r="EX145" s="231">
        <v>1248.8900000000001</v>
      </c>
      <c r="EY145" s="228">
        <v>1.24</v>
      </c>
      <c r="EZ145" s="229">
        <v>1E-3</v>
      </c>
      <c r="FA145" s="229">
        <v>0.31159999999999999</v>
      </c>
      <c r="FB145" s="227" t="s">
        <v>555</v>
      </c>
      <c r="FC145">
        <f t="shared" si="2"/>
        <v>63</v>
      </c>
    </row>
    <row r="146" spans="1:159" ht="17.25" thickBot="1" x14ac:dyDescent="0.3">
      <c r="A146" s="226">
        <v>46132</v>
      </c>
      <c r="B146" s="227" t="s">
        <v>181</v>
      </c>
      <c r="C146" s="227" t="s">
        <v>266</v>
      </c>
      <c r="D146" s="228">
        <v>65</v>
      </c>
      <c r="E146" s="228">
        <v>8</v>
      </c>
      <c r="F146" s="231">
        <v>24331.8</v>
      </c>
      <c r="G146" s="231">
        <v>24368</v>
      </c>
      <c r="H146" s="228">
        <v>-36.200000000000003</v>
      </c>
      <c r="I146" s="229">
        <v>-1.5E-3</v>
      </c>
      <c r="J146" s="231">
        <v>24364.85</v>
      </c>
      <c r="K146" s="231">
        <v>24353.55</v>
      </c>
      <c r="L146" s="228">
        <v>11.3</v>
      </c>
      <c r="M146" s="229">
        <v>5.0000000000000001E-4</v>
      </c>
      <c r="N146" s="231">
        <v>24331.8</v>
      </c>
      <c r="O146" s="231">
        <v>24368</v>
      </c>
      <c r="P146" s="228">
        <v>-36.200000000000003</v>
      </c>
      <c r="Q146" s="229">
        <v>-1.5E-3</v>
      </c>
      <c r="R146" s="231">
        <v>24471.3</v>
      </c>
      <c r="S146" s="231">
        <v>24500.400000000001</v>
      </c>
      <c r="T146" s="228">
        <v>-29.1</v>
      </c>
      <c r="U146" s="229">
        <v>-1.1999999999999999E-3</v>
      </c>
      <c r="V146" s="231">
        <v>24606.7</v>
      </c>
      <c r="W146" s="231">
        <v>24653</v>
      </c>
      <c r="X146" s="228">
        <v>-46.3</v>
      </c>
      <c r="Y146" s="229">
        <v>-1.9E-3</v>
      </c>
      <c r="Z146" s="228">
        <v>-33.049999999999997</v>
      </c>
      <c r="AA146" s="228">
        <v>14.45</v>
      </c>
      <c r="AB146" s="228">
        <v>-47.5</v>
      </c>
      <c r="AC146" s="229">
        <v>-1.4E-3</v>
      </c>
      <c r="AD146" s="228">
        <v>-33.049999999999997</v>
      </c>
      <c r="AE146" s="228">
        <v>14.45</v>
      </c>
      <c r="AF146" s="228">
        <v>-47.5</v>
      </c>
      <c r="AG146" s="229">
        <v>-1.4E-3</v>
      </c>
      <c r="AH146" s="228">
        <v>106.45</v>
      </c>
      <c r="AI146" s="228">
        <v>146.85</v>
      </c>
      <c r="AJ146" s="228">
        <v>-40.4</v>
      </c>
      <c r="AK146" s="229">
        <v>4.4000000000000003E-3</v>
      </c>
      <c r="AL146" s="228">
        <v>241.85</v>
      </c>
      <c r="AM146" s="228">
        <v>299.45</v>
      </c>
      <c r="AN146" s="228">
        <v>-57.6</v>
      </c>
      <c r="AO146" s="229">
        <v>9.9000000000000008E-3</v>
      </c>
      <c r="AP146" s="231">
        <v>24379.74</v>
      </c>
      <c r="AQ146" s="231">
        <v>24507.69</v>
      </c>
      <c r="AR146" s="228">
        <v>0</v>
      </c>
      <c r="AS146" s="230">
        <v>13476</v>
      </c>
      <c r="AT146" s="230">
        <v>9914</v>
      </c>
      <c r="AU146" s="230">
        <v>3562</v>
      </c>
      <c r="AV146" s="229">
        <v>0.35930000000000001</v>
      </c>
      <c r="AW146" s="230">
        <v>10771</v>
      </c>
      <c r="AX146" s="230">
        <v>8173</v>
      </c>
      <c r="AY146" s="230">
        <v>2599</v>
      </c>
      <c r="AZ146" s="229">
        <v>0.31790000000000002</v>
      </c>
      <c r="BA146" s="230">
        <v>2108</v>
      </c>
      <c r="BB146" s="230">
        <v>1285</v>
      </c>
      <c r="BC146" s="228">
        <v>823</v>
      </c>
      <c r="BD146" s="229">
        <v>0.6401</v>
      </c>
      <c r="BE146" s="228">
        <v>597</v>
      </c>
      <c r="BF146" s="228">
        <v>456</v>
      </c>
      <c r="BG146" s="228">
        <v>141</v>
      </c>
      <c r="BH146" s="229">
        <v>0.31009999999999999</v>
      </c>
      <c r="BI146" s="230">
        <v>9802691</v>
      </c>
      <c r="BJ146" s="230">
        <v>5984386</v>
      </c>
      <c r="BK146" s="230">
        <v>3818305</v>
      </c>
      <c r="BL146" s="229">
        <v>0.63800000000000001</v>
      </c>
      <c r="BM146" s="230">
        <v>8940103</v>
      </c>
      <c r="BN146" s="230">
        <v>5030718</v>
      </c>
      <c r="BO146" s="230">
        <v>3909385</v>
      </c>
      <c r="BP146" s="229">
        <v>0.77710000000000001</v>
      </c>
      <c r="BQ146" s="230">
        <v>18756270</v>
      </c>
      <c r="BR146" s="230">
        <v>11025018</v>
      </c>
      <c r="BS146" s="230">
        <v>7731252</v>
      </c>
      <c r="BT146" s="229">
        <v>0.70120000000000005</v>
      </c>
      <c r="BU146" s="228">
        <v>0</v>
      </c>
      <c r="BV146" s="228">
        <v>0</v>
      </c>
      <c r="BW146" s="228">
        <v>0</v>
      </c>
      <c r="BX146" s="229">
        <v>0</v>
      </c>
      <c r="BY146" s="230">
        <v>49141</v>
      </c>
      <c r="BZ146" s="230">
        <v>49987</v>
      </c>
      <c r="CA146" s="228">
        <v>-846</v>
      </c>
      <c r="CB146" s="229">
        <v>-1.6899999999999998E-2</v>
      </c>
      <c r="CC146" s="230">
        <v>40722</v>
      </c>
      <c r="CD146" s="230">
        <v>41855</v>
      </c>
      <c r="CE146" s="230">
        <v>-1132</v>
      </c>
      <c r="CF146" s="229">
        <v>-2.7099999999999999E-2</v>
      </c>
      <c r="CG146" s="230">
        <v>6235</v>
      </c>
      <c r="CH146" s="230">
        <v>6000</v>
      </c>
      <c r="CI146" s="228">
        <v>235</v>
      </c>
      <c r="CJ146" s="229">
        <v>3.9199999999999999E-2</v>
      </c>
      <c r="CK146" s="230">
        <v>2184</v>
      </c>
      <c r="CL146" s="230">
        <v>2132</v>
      </c>
      <c r="CM146" s="228">
        <v>51</v>
      </c>
      <c r="CN146" s="229">
        <v>2.4E-2</v>
      </c>
      <c r="CO146" s="230">
        <v>570530</v>
      </c>
      <c r="CP146" s="230">
        <v>578838</v>
      </c>
      <c r="CQ146" s="230">
        <v>-8308</v>
      </c>
      <c r="CR146" s="229">
        <v>-1.44E-2</v>
      </c>
      <c r="CS146" s="230">
        <v>646843</v>
      </c>
      <c r="CT146" s="230">
        <v>633689</v>
      </c>
      <c r="CU146" s="230">
        <v>13154</v>
      </c>
      <c r="CV146" s="229">
        <v>2.0799999999999999E-2</v>
      </c>
      <c r="CW146" s="230">
        <v>1266514</v>
      </c>
      <c r="CX146" s="230">
        <v>1262514</v>
      </c>
      <c r="CY146" s="230">
        <v>4000</v>
      </c>
      <c r="CZ146" s="229">
        <v>3.2000000000000002E-3</v>
      </c>
      <c r="DA146" s="228">
        <v>20.350000000000001</v>
      </c>
      <c r="DB146" s="228">
        <v>18.309999999999999</v>
      </c>
      <c r="DC146" s="228">
        <v>2.04</v>
      </c>
      <c r="DD146" s="228">
        <v>2.04</v>
      </c>
      <c r="DE146" s="228">
        <v>17.66</v>
      </c>
      <c r="DF146" s="228">
        <v>17.7</v>
      </c>
      <c r="DG146" s="228">
        <v>2.69</v>
      </c>
      <c r="DH146" s="228">
        <v>-0.04</v>
      </c>
      <c r="DI146" s="228">
        <v>18.809999999999999</v>
      </c>
      <c r="DJ146" s="228">
        <v>15.94</v>
      </c>
      <c r="DK146" s="228">
        <v>2.87</v>
      </c>
      <c r="DL146" s="228">
        <v>2.87</v>
      </c>
      <c r="DM146" s="228">
        <v>22.03</v>
      </c>
      <c r="DN146" s="228">
        <v>20.46</v>
      </c>
      <c r="DO146" s="228">
        <v>1.57</v>
      </c>
      <c r="DP146" s="228">
        <v>1.57</v>
      </c>
      <c r="DQ146" s="228">
        <v>1.1299999999999999</v>
      </c>
      <c r="DR146" s="228">
        <v>1.0900000000000001</v>
      </c>
      <c r="DS146" s="228">
        <v>0.04</v>
      </c>
      <c r="DT146" s="229">
        <v>3.6700000000000003E-2</v>
      </c>
      <c r="DU146" s="231">
        <v>25000</v>
      </c>
      <c r="DV146" s="231">
        <v>23500</v>
      </c>
      <c r="DW146" s="228">
        <v>0.91</v>
      </c>
      <c r="DX146" s="228">
        <v>0.84</v>
      </c>
      <c r="DY146" s="228">
        <v>7.0000000000000007E-2</v>
      </c>
      <c r="DZ146" s="229">
        <v>8.3299999999999999E-2</v>
      </c>
      <c r="EA146" s="229">
        <v>0.17130000000000001</v>
      </c>
      <c r="EB146" s="230">
        <v>3342430</v>
      </c>
      <c r="EC146" s="229">
        <v>5.7000000000000002E-3</v>
      </c>
      <c r="ED146" s="229">
        <v>0.17130000000000001</v>
      </c>
      <c r="EE146" s="228">
        <v>127.95</v>
      </c>
      <c r="EF146" s="229">
        <v>5.1999999999999998E-3</v>
      </c>
      <c r="EG146" s="228">
        <v>0</v>
      </c>
      <c r="EH146" s="228">
        <v>0</v>
      </c>
      <c r="EI146" s="229">
        <v>0</v>
      </c>
      <c r="EJ146" s="229">
        <v>0</v>
      </c>
      <c r="EK146" s="231">
        <v>9993331.9100000001</v>
      </c>
      <c r="EL146" s="231">
        <v>8833712.0399999991</v>
      </c>
      <c r="EM146" s="231">
        <v>13520.56</v>
      </c>
      <c r="EN146" s="228">
        <v>794.81</v>
      </c>
      <c r="EO146" s="231">
        <v>18840564.510000002</v>
      </c>
      <c r="EP146" s="231">
        <v>11015337.859999999</v>
      </c>
      <c r="EQ146" s="231">
        <v>7825226.6500000004</v>
      </c>
      <c r="ER146" s="229">
        <v>0.71040000000000003</v>
      </c>
      <c r="ES146" s="231">
        <v>586708.23</v>
      </c>
      <c r="ET146" s="231">
        <v>621487.28</v>
      </c>
      <c r="EU146" s="231">
        <v>49201.599999999999</v>
      </c>
      <c r="EV146" s="228">
        <v>0</v>
      </c>
      <c r="EW146" s="231">
        <v>1257397.1100000001</v>
      </c>
      <c r="EX146" s="231">
        <v>1252872.27</v>
      </c>
      <c r="EY146" s="231">
        <v>4524.84</v>
      </c>
      <c r="EZ146" s="229">
        <v>3.5999999999999999E-3</v>
      </c>
      <c r="FA146" s="229">
        <v>0</v>
      </c>
      <c r="FB146" s="227" t="s">
        <v>567</v>
      </c>
      <c r="FC146">
        <f t="shared" si="2"/>
        <v>8419</v>
      </c>
    </row>
    <row r="147" spans="1:159" ht="17.25" thickBot="1" x14ac:dyDescent="0.3">
      <c r="A147" s="226">
        <v>46132</v>
      </c>
      <c r="B147" s="227" t="s">
        <v>181</v>
      </c>
      <c r="C147" s="227" t="s">
        <v>565</v>
      </c>
      <c r="D147" s="228">
        <v>25</v>
      </c>
      <c r="E147" s="228">
        <v>8</v>
      </c>
      <c r="F147" s="231">
        <v>70229.600000000006</v>
      </c>
      <c r="G147" s="231">
        <v>70321.2</v>
      </c>
      <c r="H147" s="228">
        <v>-91.6</v>
      </c>
      <c r="I147" s="229">
        <v>-1.2999999999999999E-3</v>
      </c>
      <c r="J147" s="231">
        <v>70341</v>
      </c>
      <c r="K147" s="231">
        <v>70273.8</v>
      </c>
      <c r="L147" s="228">
        <v>67.2</v>
      </c>
      <c r="M147" s="229">
        <v>1E-3</v>
      </c>
      <c r="N147" s="231">
        <v>70229.600000000006</v>
      </c>
      <c r="O147" s="231">
        <v>70321.2</v>
      </c>
      <c r="P147" s="228">
        <v>-91.6</v>
      </c>
      <c r="Q147" s="229">
        <v>-1.2999999999999999E-3</v>
      </c>
      <c r="R147" s="231">
        <v>70550.8</v>
      </c>
      <c r="S147" s="231">
        <v>70620.2</v>
      </c>
      <c r="T147" s="228">
        <v>-69.400000000000006</v>
      </c>
      <c r="U147" s="229">
        <v>-1E-3</v>
      </c>
      <c r="V147" s="231">
        <v>67400</v>
      </c>
      <c r="W147" s="231">
        <v>67400</v>
      </c>
      <c r="X147" s="228">
        <v>0</v>
      </c>
      <c r="Y147" s="229">
        <v>0</v>
      </c>
      <c r="Z147" s="228">
        <v>-111.4</v>
      </c>
      <c r="AA147" s="228">
        <v>47.4</v>
      </c>
      <c r="AB147" s="228">
        <v>-158.80000000000001</v>
      </c>
      <c r="AC147" s="229">
        <v>-1.6000000000000001E-3</v>
      </c>
      <c r="AD147" s="228">
        <v>-111.4</v>
      </c>
      <c r="AE147" s="228">
        <v>47.4</v>
      </c>
      <c r="AF147" s="228">
        <v>-158.80000000000001</v>
      </c>
      <c r="AG147" s="229">
        <v>-1.6000000000000001E-3</v>
      </c>
      <c r="AH147" s="228">
        <v>209.8</v>
      </c>
      <c r="AI147" s="228">
        <v>346.4</v>
      </c>
      <c r="AJ147" s="228">
        <v>-136.6</v>
      </c>
      <c r="AK147" s="229">
        <v>3.0000000000000001E-3</v>
      </c>
      <c r="AL147" s="231">
        <v>-2941</v>
      </c>
      <c r="AM147" s="231">
        <v>-2873.8</v>
      </c>
      <c r="AN147" s="228">
        <v>-67.2</v>
      </c>
      <c r="AO147" s="229">
        <v>-4.1799999999999997E-2</v>
      </c>
      <c r="AP147" s="231">
        <v>70300.89</v>
      </c>
      <c r="AQ147" s="231">
        <v>70720</v>
      </c>
      <c r="AR147" s="228">
        <v>0</v>
      </c>
      <c r="AS147" s="228">
        <v>71</v>
      </c>
      <c r="AT147" s="228">
        <v>54</v>
      </c>
      <c r="AU147" s="228">
        <v>17</v>
      </c>
      <c r="AV147" s="229">
        <v>0.32140000000000002</v>
      </c>
      <c r="AW147" s="228">
        <v>55</v>
      </c>
      <c r="AX147" s="228">
        <v>44</v>
      </c>
      <c r="AY147" s="228">
        <v>12</v>
      </c>
      <c r="AZ147" s="229">
        <v>0.2742</v>
      </c>
      <c r="BA147" s="228">
        <v>16</v>
      </c>
      <c r="BB147" s="228">
        <v>11</v>
      </c>
      <c r="BC147" s="228">
        <v>5</v>
      </c>
      <c r="BD147" s="229">
        <v>0.51670000000000005</v>
      </c>
      <c r="BE147" s="228">
        <v>0</v>
      </c>
      <c r="BF147" s="228">
        <v>0</v>
      </c>
      <c r="BG147" s="228">
        <v>0</v>
      </c>
      <c r="BH147" s="229">
        <v>0</v>
      </c>
      <c r="BI147" s="228">
        <v>99</v>
      </c>
      <c r="BJ147" s="228">
        <v>141</v>
      </c>
      <c r="BK147" s="228">
        <v>-42</v>
      </c>
      <c r="BL147" s="229">
        <v>-0.30059999999999998</v>
      </c>
      <c r="BM147" s="228">
        <v>24</v>
      </c>
      <c r="BN147" s="228">
        <v>30</v>
      </c>
      <c r="BO147" s="228">
        <v>-6</v>
      </c>
      <c r="BP147" s="229">
        <v>-0.19769999999999999</v>
      </c>
      <c r="BQ147" s="228">
        <v>195</v>
      </c>
      <c r="BR147" s="228">
        <v>226</v>
      </c>
      <c r="BS147" s="228">
        <v>-31</v>
      </c>
      <c r="BT147" s="229">
        <v>-0.13769999999999999</v>
      </c>
      <c r="BU147" s="228">
        <v>0</v>
      </c>
      <c r="BV147" s="228">
        <v>0</v>
      </c>
      <c r="BW147" s="228">
        <v>0</v>
      </c>
      <c r="BX147" s="229">
        <v>0</v>
      </c>
      <c r="BY147" s="228">
        <v>155</v>
      </c>
      <c r="BZ147" s="228">
        <v>146</v>
      </c>
      <c r="CA147" s="228">
        <v>9</v>
      </c>
      <c r="CB147" s="229">
        <v>6.3799999999999996E-2</v>
      </c>
      <c r="CC147" s="228">
        <v>134</v>
      </c>
      <c r="CD147" s="228">
        <v>130</v>
      </c>
      <c r="CE147" s="228">
        <v>4</v>
      </c>
      <c r="CF147" s="229">
        <v>2.7E-2</v>
      </c>
      <c r="CG147" s="228">
        <v>21</v>
      </c>
      <c r="CH147" s="228">
        <v>15</v>
      </c>
      <c r="CI147" s="228">
        <v>6</v>
      </c>
      <c r="CJ147" s="229">
        <v>0.375</v>
      </c>
      <c r="CK147" s="228">
        <v>0</v>
      </c>
      <c r="CL147" s="228">
        <v>0</v>
      </c>
      <c r="CM147" s="228">
        <v>0</v>
      </c>
      <c r="CN147" s="229">
        <v>0</v>
      </c>
      <c r="CO147" s="228">
        <v>96</v>
      </c>
      <c r="CP147" s="228">
        <v>96</v>
      </c>
      <c r="CQ147" s="228">
        <v>0</v>
      </c>
      <c r="CR147" s="229">
        <v>0</v>
      </c>
      <c r="CS147" s="228">
        <v>38</v>
      </c>
      <c r="CT147" s="228">
        <v>34</v>
      </c>
      <c r="CU147" s="228">
        <v>3</v>
      </c>
      <c r="CV147" s="229">
        <v>9.69E-2</v>
      </c>
      <c r="CW147" s="228">
        <v>289</v>
      </c>
      <c r="CX147" s="228">
        <v>276</v>
      </c>
      <c r="CY147" s="228">
        <v>13</v>
      </c>
      <c r="CZ147" s="229">
        <v>4.58E-2</v>
      </c>
      <c r="DA147" s="228">
        <v>22.25</v>
      </c>
      <c r="DB147" s="228">
        <v>19.28</v>
      </c>
      <c r="DC147" s="228">
        <v>2.97</v>
      </c>
      <c r="DD147" s="228">
        <v>2.97</v>
      </c>
      <c r="DE147" s="228">
        <v>23.23</v>
      </c>
      <c r="DF147" s="228">
        <v>23.29</v>
      </c>
      <c r="DG147" s="228">
        <v>-0.98</v>
      </c>
      <c r="DH147" s="228">
        <v>-0.06</v>
      </c>
      <c r="DI147" s="228">
        <v>23.25</v>
      </c>
      <c r="DJ147" s="228">
        <v>18.98</v>
      </c>
      <c r="DK147" s="228">
        <v>4.2699999999999996</v>
      </c>
      <c r="DL147" s="228">
        <v>4.2699999999999996</v>
      </c>
      <c r="DM147" s="228">
        <v>18.16</v>
      </c>
      <c r="DN147" s="228">
        <v>20.68</v>
      </c>
      <c r="DO147" s="228">
        <v>-2.52</v>
      </c>
      <c r="DP147" s="228">
        <v>-2.52</v>
      </c>
      <c r="DQ147" s="228">
        <v>0.39</v>
      </c>
      <c r="DR147" s="228">
        <v>0.36</v>
      </c>
      <c r="DS147" s="228">
        <v>0.03</v>
      </c>
      <c r="DT147" s="229">
        <v>8.3299999999999999E-2</v>
      </c>
      <c r="DU147" s="231">
        <v>70000</v>
      </c>
      <c r="DV147" s="231">
        <v>54000</v>
      </c>
      <c r="DW147" s="228">
        <v>0.25</v>
      </c>
      <c r="DX147" s="228">
        <v>0.21</v>
      </c>
      <c r="DY147" s="228">
        <v>0.04</v>
      </c>
      <c r="DZ147" s="229">
        <v>0.1905</v>
      </c>
      <c r="EA147" s="229">
        <v>0.13800000000000001</v>
      </c>
      <c r="EB147" s="230">
        <v>2225</v>
      </c>
      <c r="EC147" s="229">
        <v>4.5999999999999999E-3</v>
      </c>
      <c r="ED147" s="229">
        <v>0.13800000000000001</v>
      </c>
      <c r="EE147" s="228">
        <v>419.11</v>
      </c>
      <c r="EF147" s="229">
        <v>6.0000000000000001E-3</v>
      </c>
      <c r="EG147" s="228">
        <v>0</v>
      </c>
      <c r="EH147" s="228">
        <v>0</v>
      </c>
      <c r="EI147" s="229">
        <v>0</v>
      </c>
      <c r="EJ147" s="229">
        <v>0</v>
      </c>
      <c r="EK147" s="228">
        <v>100.18</v>
      </c>
      <c r="EL147" s="228">
        <v>23.43</v>
      </c>
      <c r="EM147" s="228">
        <v>71.63</v>
      </c>
      <c r="EN147" s="228">
        <v>0</v>
      </c>
      <c r="EO147" s="228">
        <v>195.23</v>
      </c>
      <c r="EP147" s="228">
        <v>225.84</v>
      </c>
      <c r="EQ147" s="228">
        <v>-30.61</v>
      </c>
      <c r="ER147" s="229">
        <v>-0.13550000000000001</v>
      </c>
      <c r="ES147" s="228">
        <v>94.8</v>
      </c>
      <c r="ET147" s="228">
        <v>33.840000000000003</v>
      </c>
      <c r="EU147" s="228">
        <v>155.30000000000001</v>
      </c>
      <c r="EV147" s="228">
        <v>0</v>
      </c>
      <c r="EW147" s="228">
        <v>283.94</v>
      </c>
      <c r="EX147" s="228">
        <v>271.42</v>
      </c>
      <c r="EY147" s="228">
        <v>12.52</v>
      </c>
      <c r="EZ147" s="229">
        <v>4.6100000000000002E-2</v>
      </c>
      <c r="FA147" s="229">
        <v>0</v>
      </c>
      <c r="FB147" s="227" t="s">
        <v>566</v>
      </c>
      <c r="FC147">
        <f t="shared" si="2"/>
        <v>21</v>
      </c>
    </row>
    <row r="148" spans="1:159" ht="17.25" thickBot="1" x14ac:dyDescent="0.3">
      <c r="A148" s="226">
        <v>46132</v>
      </c>
      <c r="B148" s="227" t="s">
        <v>227</v>
      </c>
      <c r="C148" s="227" t="s">
        <v>267</v>
      </c>
      <c r="D148" s="228">
        <v>6750</v>
      </c>
      <c r="E148" s="228">
        <v>8</v>
      </c>
      <c r="F148" s="228">
        <v>88.77</v>
      </c>
      <c r="G148" s="228">
        <v>89.95</v>
      </c>
      <c r="H148" s="228">
        <v>-1.18</v>
      </c>
      <c r="I148" s="229">
        <v>-1.3100000000000001E-2</v>
      </c>
      <c r="J148" s="228">
        <v>88.9</v>
      </c>
      <c r="K148" s="228">
        <v>89.78</v>
      </c>
      <c r="L148" s="228">
        <v>-0.88</v>
      </c>
      <c r="M148" s="229">
        <v>-9.7999999999999997E-3</v>
      </c>
      <c r="N148" s="228">
        <v>88.77</v>
      </c>
      <c r="O148" s="228">
        <v>89.95</v>
      </c>
      <c r="P148" s="228">
        <v>-1.18</v>
      </c>
      <c r="Q148" s="229">
        <v>-1.3100000000000001E-2</v>
      </c>
      <c r="R148" s="228">
        <v>89.24</v>
      </c>
      <c r="S148" s="228">
        <v>90.45</v>
      </c>
      <c r="T148" s="228">
        <v>-1.21</v>
      </c>
      <c r="U148" s="229">
        <v>-1.34E-2</v>
      </c>
      <c r="V148" s="228">
        <v>89.87</v>
      </c>
      <c r="W148" s="228">
        <v>90.89</v>
      </c>
      <c r="X148" s="228">
        <v>-1.02</v>
      </c>
      <c r="Y148" s="229">
        <v>-1.12E-2</v>
      </c>
      <c r="Z148" s="228">
        <v>-0.13</v>
      </c>
      <c r="AA148" s="228">
        <v>0.17</v>
      </c>
      <c r="AB148" s="228">
        <v>-0.3</v>
      </c>
      <c r="AC148" s="229">
        <v>-1.5E-3</v>
      </c>
      <c r="AD148" s="228">
        <v>-0.13</v>
      </c>
      <c r="AE148" s="228">
        <v>0.17</v>
      </c>
      <c r="AF148" s="228">
        <v>-0.3</v>
      </c>
      <c r="AG148" s="229">
        <v>-1.5E-3</v>
      </c>
      <c r="AH148" s="228">
        <v>0.34</v>
      </c>
      <c r="AI148" s="228">
        <v>0.67</v>
      </c>
      <c r="AJ148" s="228">
        <v>-0.33</v>
      </c>
      <c r="AK148" s="229">
        <v>3.8E-3</v>
      </c>
      <c r="AL148" s="228">
        <v>0.97</v>
      </c>
      <c r="AM148" s="228">
        <v>1.1100000000000001</v>
      </c>
      <c r="AN148" s="228">
        <v>-0.14000000000000001</v>
      </c>
      <c r="AO148" s="229">
        <v>1.09E-2</v>
      </c>
      <c r="AP148" s="228">
        <v>89.25</v>
      </c>
      <c r="AQ148" s="228">
        <v>89.91</v>
      </c>
      <c r="AR148" s="228">
        <v>0</v>
      </c>
      <c r="AS148" s="228">
        <v>337</v>
      </c>
      <c r="AT148" s="228">
        <v>450</v>
      </c>
      <c r="AU148" s="228">
        <v>-113</v>
      </c>
      <c r="AV148" s="229">
        <v>-0.252</v>
      </c>
      <c r="AW148" s="228">
        <v>249</v>
      </c>
      <c r="AX148" s="228">
        <v>348</v>
      </c>
      <c r="AY148" s="228">
        <v>-99</v>
      </c>
      <c r="AZ148" s="229">
        <v>-0.2838</v>
      </c>
      <c r="BA148" s="228">
        <v>83</v>
      </c>
      <c r="BB148" s="228">
        <v>59</v>
      </c>
      <c r="BC148" s="228">
        <v>24</v>
      </c>
      <c r="BD148" s="229">
        <v>0.40179999999999999</v>
      </c>
      <c r="BE148" s="228">
        <v>5</v>
      </c>
      <c r="BF148" s="228">
        <v>43</v>
      </c>
      <c r="BG148" s="228">
        <v>-38</v>
      </c>
      <c r="BH148" s="229">
        <v>-0.88519999999999999</v>
      </c>
      <c r="BI148" s="228">
        <v>612</v>
      </c>
      <c r="BJ148" s="230">
        <v>1483</v>
      </c>
      <c r="BK148" s="228">
        <v>-871</v>
      </c>
      <c r="BL148" s="229">
        <v>-0.58730000000000004</v>
      </c>
      <c r="BM148" s="228">
        <v>281</v>
      </c>
      <c r="BN148" s="228">
        <v>509</v>
      </c>
      <c r="BO148" s="228">
        <v>-228</v>
      </c>
      <c r="BP148" s="229">
        <v>-0.4476</v>
      </c>
      <c r="BQ148" s="230">
        <v>1230</v>
      </c>
      <c r="BR148" s="230">
        <v>2442</v>
      </c>
      <c r="BS148" s="230">
        <v>-1212</v>
      </c>
      <c r="BT148" s="229">
        <v>-0.49640000000000001</v>
      </c>
      <c r="BU148" s="230">
        <v>32455377</v>
      </c>
      <c r="BV148" s="230">
        <v>44723434</v>
      </c>
      <c r="BW148" s="230">
        <v>-12268057</v>
      </c>
      <c r="BX148" s="229">
        <v>-0.27429999999999999</v>
      </c>
      <c r="BY148" s="230">
        <v>2853</v>
      </c>
      <c r="BZ148" s="230">
        <v>2898</v>
      </c>
      <c r="CA148" s="228">
        <v>-45</v>
      </c>
      <c r="CB148" s="229">
        <v>-1.54E-2</v>
      </c>
      <c r="CC148" s="230">
        <v>2644</v>
      </c>
      <c r="CD148" s="230">
        <v>2722</v>
      </c>
      <c r="CE148" s="228">
        <v>-78</v>
      </c>
      <c r="CF148" s="229">
        <v>-2.87E-2</v>
      </c>
      <c r="CG148" s="228">
        <v>160</v>
      </c>
      <c r="CH148" s="228">
        <v>128</v>
      </c>
      <c r="CI148" s="228">
        <v>32</v>
      </c>
      <c r="CJ148" s="229">
        <v>0.24859999999999999</v>
      </c>
      <c r="CK148" s="228">
        <v>49</v>
      </c>
      <c r="CL148" s="228">
        <v>48</v>
      </c>
      <c r="CM148" s="228">
        <v>2</v>
      </c>
      <c r="CN148" s="229">
        <v>3.4000000000000002E-2</v>
      </c>
      <c r="CO148" s="228">
        <v>721</v>
      </c>
      <c r="CP148" s="228">
        <v>711</v>
      </c>
      <c r="CQ148" s="228">
        <v>10</v>
      </c>
      <c r="CR148" s="229">
        <v>1.34E-2</v>
      </c>
      <c r="CS148" s="228">
        <v>468</v>
      </c>
      <c r="CT148" s="228">
        <v>488</v>
      </c>
      <c r="CU148" s="228">
        <v>-21</v>
      </c>
      <c r="CV148" s="229">
        <v>-4.2099999999999999E-2</v>
      </c>
      <c r="CW148" s="230">
        <v>4042</v>
      </c>
      <c r="CX148" s="230">
        <v>4097</v>
      </c>
      <c r="CY148" s="228">
        <v>-56</v>
      </c>
      <c r="CZ148" s="229">
        <v>-1.3599999999999999E-2</v>
      </c>
      <c r="DA148" s="228">
        <v>35.76</v>
      </c>
      <c r="DB148" s="228">
        <v>33.1</v>
      </c>
      <c r="DC148" s="228">
        <v>2.66</v>
      </c>
      <c r="DD148" s="228">
        <v>2.66</v>
      </c>
      <c r="DE148" s="228">
        <v>39.03</v>
      </c>
      <c r="DF148" s="228">
        <v>39.090000000000003</v>
      </c>
      <c r="DG148" s="228">
        <v>-3.27</v>
      </c>
      <c r="DH148" s="228">
        <v>-0.06</v>
      </c>
      <c r="DI148" s="228">
        <v>34.729999999999997</v>
      </c>
      <c r="DJ148" s="228">
        <v>32.17</v>
      </c>
      <c r="DK148" s="228">
        <v>2.56</v>
      </c>
      <c r="DL148" s="228">
        <v>2.56</v>
      </c>
      <c r="DM148" s="228">
        <v>38.01</v>
      </c>
      <c r="DN148" s="228">
        <v>35.799999999999997</v>
      </c>
      <c r="DO148" s="228">
        <v>2.21</v>
      </c>
      <c r="DP148" s="228">
        <v>2.21</v>
      </c>
      <c r="DQ148" s="228">
        <v>0.65</v>
      </c>
      <c r="DR148" s="228">
        <v>0.69</v>
      </c>
      <c r="DS148" s="228">
        <v>-0.04</v>
      </c>
      <c r="DT148" s="229">
        <v>-5.8000000000000003E-2</v>
      </c>
      <c r="DU148" s="228">
        <v>90</v>
      </c>
      <c r="DV148" s="228">
        <v>80</v>
      </c>
      <c r="DW148" s="228">
        <v>0.46</v>
      </c>
      <c r="DX148" s="228">
        <v>0.34</v>
      </c>
      <c r="DY148" s="228">
        <v>0.12</v>
      </c>
      <c r="DZ148" s="229">
        <v>0.35289999999999999</v>
      </c>
      <c r="EA148" s="229">
        <v>7.3300000000000004E-2</v>
      </c>
      <c r="EB148" s="230">
        <v>19804500</v>
      </c>
      <c r="EC148" s="229">
        <v>5.3E-3</v>
      </c>
      <c r="ED148" s="229">
        <v>7.3300000000000004E-2</v>
      </c>
      <c r="EE148" s="228">
        <v>0.66</v>
      </c>
      <c r="EF148" s="229">
        <v>7.4000000000000003E-3</v>
      </c>
      <c r="EG148" s="230">
        <v>18402762</v>
      </c>
      <c r="EH148" s="230">
        <v>21621115</v>
      </c>
      <c r="EI148" s="229">
        <v>-0.1489</v>
      </c>
      <c r="EJ148" s="229">
        <v>0.56699999999999995</v>
      </c>
      <c r="EK148" s="228">
        <v>642.59</v>
      </c>
      <c r="EL148" s="228">
        <v>274.77</v>
      </c>
      <c r="EM148" s="228">
        <v>339.24</v>
      </c>
      <c r="EN148" s="228">
        <v>61.74</v>
      </c>
      <c r="EO148" s="231">
        <v>1256.5999999999999</v>
      </c>
      <c r="EP148" s="231">
        <v>2496.6799999999998</v>
      </c>
      <c r="EQ148" s="231">
        <v>-1240.08</v>
      </c>
      <c r="ER148" s="229">
        <v>-0.49669999999999997</v>
      </c>
      <c r="ES148" s="228">
        <v>719.94</v>
      </c>
      <c r="ET148" s="228">
        <v>424.06</v>
      </c>
      <c r="EU148" s="231">
        <v>2854.9</v>
      </c>
      <c r="EV148" s="231">
        <v>517037525</v>
      </c>
      <c r="EW148" s="231">
        <v>3998.89</v>
      </c>
      <c r="EX148" s="231">
        <v>4089.62</v>
      </c>
      <c r="EY148" s="228">
        <v>-90.73</v>
      </c>
      <c r="EZ148" s="229">
        <v>-2.2200000000000001E-2</v>
      </c>
      <c r="FA148" s="229">
        <v>0.88060000000000005</v>
      </c>
      <c r="FB148" s="227" t="s">
        <v>567</v>
      </c>
      <c r="FC148">
        <f>BY221-CC221</f>
        <v>0</v>
      </c>
    </row>
    <row r="149" spans="1:159" ht="17.25" thickBot="1" x14ac:dyDescent="0.3">
      <c r="A149" s="226">
        <v>46132</v>
      </c>
      <c r="B149" s="227" t="s">
        <v>161</v>
      </c>
      <c r="C149" s="227" t="s">
        <v>268</v>
      </c>
      <c r="D149" s="228">
        <v>1500</v>
      </c>
      <c r="E149" s="228">
        <v>8</v>
      </c>
      <c r="F149" s="228">
        <v>398.3</v>
      </c>
      <c r="G149" s="228">
        <v>395.2</v>
      </c>
      <c r="H149" s="228">
        <v>3.1</v>
      </c>
      <c r="I149" s="229">
        <v>7.7999999999999996E-3</v>
      </c>
      <c r="J149" s="228">
        <v>398</v>
      </c>
      <c r="K149" s="228">
        <v>393.6</v>
      </c>
      <c r="L149" s="228">
        <v>4.4000000000000004</v>
      </c>
      <c r="M149" s="229">
        <v>1.12E-2</v>
      </c>
      <c r="N149" s="228">
        <v>398.3</v>
      </c>
      <c r="O149" s="228">
        <v>395.2</v>
      </c>
      <c r="P149" s="228">
        <v>3.1</v>
      </c>
      <c r="Q149" s="229">
        <v>7.7999999999999996E-3</v>
      </c>
      <c r="R149" s="228">
        <v>400.35</v>
      </c>
      <c r="S149" s="228">
        <v>397.1</v>
      </c>
      <c r="T149" s="228">
        <v>3.25</v>
      </c>
      <c r="U149" s="229">
        <v>8.2000000000000007E-3</v>
      </c>
      <c r="V149" s="228">
        <v>403.15</v>
      </c>
      <c r="W149" s="228">
        <v>399.1</v>
      </c>
      <c r="X149" s="228">
        <v>4.05</v>
      </c>
      <c r="Y149" s="229">
        <v>1.01E-2</v>
      </c>
      <c r="Z149" s="228">
        <v>0.3</v>
      </c>
      <c r="AA149" s="228">
        <v>1.6</v>
      </c>
      <c r="AB149" s="228">
        <v>-1.3</v>
      </c>
      <c r="AC149" s="229">
        <v>8.0000000000000004E-4</v>
      </c>
      <c r="AD149" s="228">
        <v>0.3</v>
      </c>
      <c r="AE149" s="228">
        <v>1.6</v>
      </c>
      <c r="AF149" s="228">
        <v>-1.3</v>
      </c>
      <c r="AG149" s="229">
        <v>8.0000000000000004E-4</v>
      </c>
      <c r="AH149" s="228">
        <v>2.35</v>
      </c>
      <c r="AI149" s="228">
        <v>3.5</v>
      </c>
      <c r="AJ149" s="228">
        <v>-1.1499999999999999</v>
      </c>
      <c r="AK149" s="229">
        <v>5.8999999999999999E-3</v>
      </c>
      <c r="AL149" s="228">
        <v>5.15</v>
      </c>
      <c r="AM149" s="228">
        <v>5.5</v>
      </c>
      <c r="AN149" s="228">
        <v>-0.35</v>
      </c>
      <c r="AO149" s="229">
        <v>1.29E-2</v>
      </c>
      <c r="AP149" s="228">
        <v>398.53</v>
      </c>
      <c r="AQ149" s="228">
        <v>400.38</v>
      </c>
      <c r="AR149" s="228">
        <v>0</v>
      </c>
      <c r="AS149" s="228">
        <v>846</v>
      </c>
      <c r="AT149" s="228">
        <v>819</v>
      </c>
      <c r="AU149" s="228">
        <v>27</v>
      </c>
      <c r="AV149" s="229">
        <v>3.2399999999999998E-2</v>
      </c>
      <c r="AW149" s="228">
        <v>666</v>
      </c>
      <c r="AX149" s="228">
        <v>668</v>
      </c>
      <c r="AY149" s="228">
        <v>-2</v>
      </c>
      <c r="AZ149" s="229">
        <v>-3.5000000000000001E-3</v>
      </c>
      <c r="BA149" s="228">
        <v>110</v>
      </c>
      <c r="BB149" s="228">
        <v>146</v>
      </c>
      <c r="BC149" s="228">
        <v>-36</v>
      </c>
      <c r="BD149" s="229">
        <v>-0.24629999999999999</v>
      </c>
      <c r="BE149" s="228">
        <v>70</v>
      </c>
      <c r="BF149" s="228">
        <v>5</v>
      </c>
      <c r="BG149" s="228">
        <v>65</v>
      </c>
      <c r="BH149" s="229">
        <v>13.7468</v>
      </c>
      <c r="BI149" s="230">
        <v>4361</v>
      </c>
      <c r="BJ149" s="230">
        <v>3385</v>
      </c>
      <c r="BK149" s="228">
        <v>976</v>
      </c>
      <c r="BL149" s="229">
        <v>0.2883</v>
      </c>
      <c r="BM149" s="230">
        <v>1982</v>
      </c>
      <c r="BN149" s="230">
        <v>1601</v>
      </c>
      <c r="BO149" s="228">
        <v>381</v>
      </c>
      <c r="BP149" s="229">
        <v>0.23769999999999999</v>
      </c>
      <c r="BQ149" s="230">
        <v>7188</v>
      </c>
      <c r="BR149" s="230">
        <v>5805</v>
      </c>
      <c r="BS149" s="230">
        <v>1383</v>
      </c>
      <c r="BT149" s="229">
        <v>0.23830000000000001</v>
      </c>
      <c r="BU149" s="230">
        <v>10702238</v>
      </c>
      <c r="BV149" s="230">
        <v>15936041</v>
      </c>
      <c r="BW149" s="230">
        <v>-5233803</v>
      </c>
      <c r="BX149" s="229">
        <v>-0.32840000000000003</v>
      </c>
      <c r="BY149" s="230">
        <v>4158</v>
      </c>
      <c r="BZ149" s="230">
        <v>3905</v>
      </c>
      <c r="CA149" s="228">
        <v>254</v>
      </c>
      <c r="CB149" s="229">
        <v>6.5000000000000002E-2</v>
      </c>
      <c r="CC149" s="230">
        <v>3434</v>
      </c>
      <c r="CD149" s="230">
        <v>3291</v>
      </c>
      <c r="CE149" s="228">
        <v>144</v>
      </c>
      <c r="CF149" s="229">
        <v>4.36E-2</v>
      </c>
      <c r="CG149" s="228">
        <v>527</v>
      </c>
      <c r="CH149" s="228">
        <v>480</v>
      </c>
      <c r="CI149" s="228">
        <v>47</v>
      </c>
      <c r="CJ149" s="229">
        <v>9.7100000000000006E-2</v>
      </c>
      <c r="CK149" s="228">
        <v>197</v>
      </c>
      <c r="CL149" s="228">
        <v>134</v>
      </c>
      <c r="CM149" s="228">
        <v>63</v>
      </c>
      <c r="CN149" s="229">
        <v>0.47299999999999998</v>
      </c>
      <c r="CO149" s="230">
        <v>2726</v>
      </c>
      <c r="CP149" s="230">
        <v>2364</v>
      </c>
      <c r="CQ149" s="228">
        <v>362</v>
      </c>
      <c r="CR149" s="229">
        <v>0.1532</v>
      </c>
      <c r="CS149" s="230">
        <v>1445</v>
      </c>
      <c r="CT149" s="230">
        <v>1248</v>
      </c>
      <c r="CU149" s="228">
        <v>198</v>
      </c>
      <c r="CV149" s="229">
        <v>0.1583</v>
      </c>
      <c r="CW149" s="230">
        <v>8329</v>
      </c>
      <c r="CX149" s="230">
        <v>7516</v>
      </c>
      <c r="CY149" s="228">
        <v>813</v>
      </c>
      <c r="CZ149" s="229">
        <v>0.1082</v>
      </c>
      <c r="DA149" s="228">
        <v>21.01</v>
      </c>
      <c r="DB149" s="228">
        <v>19.97</v>
      </c>
      <c r="DC149" s="228">
        <v>1.04</v>
      </c>
      <c r="DD149" s="228">
        <v>1.04</v>
      </c>
      <c r="DE149" s="228">
        <v>27.39</v>
      </c>
      <c r="DF149" s="228">
        <v>27.42</v>
      </c>
      <c r="DG149" s="228">
        <v>-6.38</v>
      </c>
      <c r="DH149" s="228">
        <v>-0.03</v>
      </c>
      <c r="DI149" s="228">
        <v>20.3</v>
      </c>
      <c r="DJ149" s="228">
        <v>19.21</v>
      </c>
      <c r="DK149" s="228">
        <v>1.0900000000000001</v>
      </c>
      <c r="DL149" s="228">
        <v>1.0900000000000001</v>
      </c>
      <c r="DM149" s="228">
        <v>22.57</v>
      </c>
      <c r="DN149" s="228">
        <v>21.58</v>
      </c>
      <c r="DO149" s="228">
        <v>0.99</v>
      </c>
      <c r="DP149" s="228">
        <v>0.99</v>
      </c>
      <c r="DQ149" s="228">
        <v>0.53</v>
      </c>
      <c r="DR149" s="228">
        <v>0.53</v>
      </c>
      <c r="DS149" s="228">
        <v>0</v>
      </c>
      <c r="DT149" s="229">
        <v>0</v>
      </c>
      <c r="DU149" s="228">
        <v>400</v>
      </c>
      <c r="DV149" s="228">
        <v>380</v>
      </c>
      <c r="DW149" s="228">
        <v>0.45</v>
      </c>
      <c r="DX149" s="228">
        <v>0.47</v>
      </c>
      <c r="DY149" s="228">
        <v>-0.02</v>
      </c>
      <c r="DZ149" s="229">
        <v>-4.2599999999999999E-2</v>
      </c>
      <c r="EA149" s="229">
        <v>0.1741</v>
      </c>
      <c r="EB149" s="230">
        <v>15417000</v>
      </c>
      <c r="EC149" s="229">
        <v>5.1000000000000004E-3</v>
      </c>
      <c r="ED149" s="229">
        <v>0.1741</v>
      </c>
      <c r="EE149" s="228">
        <v>1.85</v>
      </c>
      <c r="EF149" s="229">
        <v>4.5999999999999999E-3</v>
      </c>
      <c r="EG149" s="230">
        <v>5815796</v>
      </c>
      <c r="EH149" s="230">
        <v>10153267</v>
      </c>
      <c r="EI149" s="229">
        <v>-0.42720000000000002</v>
      </c>
      <c r="EJ149" s="229">
        <v>0.54339999999999999</v>
      </c>
      <c r="EK149" s="231">
        <v>4453.37</v>
      </c>
      <c r="EL149" s="231">
        <v>1956.13</v>
      </c>
      <c r="EM149" s="228">
        <v>847.38</v>
      </c>
      <c r="EN149" s="228">
        <v>101.66</v>
      </c>
      <c r="EO149" s="231">
        <v>7256.88</v>
      </c>
      <c r="EP149" s="231">
        <v>5800.16</v>
      </c>
      <c r="EQ149" s="231">
        <v>1456.72</v>
      </c>
      <c r="ER149" s="229">
        <v>0.25119999999999998</v>
      </c>
      <c r="ES149" s="231">
        <v>2688.64</v>
      </c>
      <c r="ET149" s="231">
        <v>1365.54</v>
      </c>
      <c r="EU149" s="231">
        <v>4163.49</v>
      </c>
      <c r="EV149" s="231">
        <v>550512361</v>
      </c>
      <c r="EW149" s="231">
        <v>8217.67</v>
      </c>
      <c r="EX149" s="231">
        <v>7361.99</v>
      </c>
      <c r="EY149" s="228">
        <v>855.68</v>
      </c>
      <c r="EZ149" s="229">
        <v>0.1162</v>
      </c>
      <c r="FA149" s="229">
        <v>0.37990000000000002</v>
      </c>
      <c r="FB149" s="227" t="s">
        <v>555</v>
      </c>
      <c r="FC149">
        <f t="shared" ref="FC149:FC194" si="3">BY220-CC220</f>
        <v>50</v>
      </c>
    </row>
    <row r="150" spans="1:159" ht="17.25" thickBot="1" x14ac:dyDescent="0.3">
      <c r="A150" s="226">
        <v>46132</v>
      </c>
      <c r="B150" s="227" t="s">
        <v>175</v>
      </c>
      <c r="C150" s="227" t="s">
        <v>683</v>
      </c>
      <c r="D150" s="228">
        <v>500</v>
      </c>
      <c r="E150" s="228">
        <v>8</v>
      </c>
      <c r="F150" s="231">
        <v>1379.9</v>
      </c>
      <c r="G150" s="231">
        <v>1394.8</v>
      </c>
      <c r="H150" s="228">
        <v>-14.9</v>
      </c>
      <c r="I150" s="229">
        <v>-1.0699999999999999E-2</v>
      </c>
      <c r="J150" s="231">
        <v>1379.1</v>
      </c>
      <c r="K150" s="231">
        <v>1400.7</v>
      </c>
      <c r="L150" s="228">
        <v>-21.6</v>
      </c>
      <c r="M150" s="229">
        <v>-1.54E-2</v>
      </c>
      <c r="N150" s="231">
        <v>1379.9</v>
      </c>
      <c r="O150" s="231">
        <v>1394.8</v>
      </c>
      <c r="P150" s="228">
        <v>-14.9</v>
      </c>
      <c r="Q150" s="229">
        <v>-1.0699999999999999E-2</v>
      </c>
      <c r="R150" s="231">
        <v>1371.4</v>
      </c>
      <c r="S150" s="231">
        <v>1384.8</v>
      </c>
      <c r="T150" s="228">
        <v>-13.4</v>
      </c>
      <c r="U150" s="229">
        <v>-9.7000000000000003E-3</v>
      </c>
      <c r="V150" s="231">
        <v>1364</v>
      </c>
      <c r="W150" s="231">
        <v>1375.9</v>
      </c>
      <c r="X150" s="228">
        <v>-11.9</v>
      </c>
      <c r="Y150" s="229">
        <v>-8.6E-3</v>
      </c>
      <c r="Z150" s="228">
        <v>0.8</v>
      </c>
      <c r="AA150" s="228">
        <v>-5.9</v>
      </c>
      <c r="AB150" s="228">
        <v>6.7</v>
      </c>
      <c r="AC150" s="229">
        <v>5.9999999999999995E-4</v>
      </c>
      <c r="AD150" s="228">
        <v>0.8</v>
      </c>
      <c r="AE150" s="228">
        <v>-5.9</v>
      </c>
      <c r="AF150" s="228">
        <v>6.7</v>
      </c>
      <c r="AG150" s="229">
        <v>5.9999999999999995E-4</v>
      </c>
      <c r="AH150" s="228">
        <v>-7.7</v>
      </c>
      <c r="AI150" s="228">
        <v>-15.9</v>
      </c>
      <c r="AJ150" s="228">
        <v>8.1999999999999993</v>
      </c>
      <c r="AK150" s="229">
        <v>-5.5999999999999999E-3</v>
      </c>
      <c r="AL150" s="228">
        <v>-15.1</v>
      </c>
      <c r="AM150" s="228">
        <v>-24.8</v>
      </c>
      <c r="AN150" s="228">
        <v>9.6999999999999993</v>
      </c>
      <c r="AO150" s="229">
        <v>-1.09E-2</v>
      </c>
      <c r="AP150" s="231">
        <v>1381.47</v>
      </c>
      <c r="AQ150" s="231">
        <v>1369.81</v>
      </c>
      <c r="AR150" s="228">
        <v>0</v>
      </c>
      <c r="AS150" s="228">
        <v>57</v>
      </c>
      <c r="AT150" s="228">
        <v>94</v>
      </c>
      <c r="AU150" s="228">
        <v>-37</v>
      </c>
      <c r="AV150" s="229">
        <v>-0.39340000000000003</v>
      </c>
      <c r="AW150" s="228">
        <v>47</v>
      </c>
      <c r="AX150" s="228">
        <v>78</v>
      </c>
      <c r="AY150" s="228">
        <v>-32</v>
      </c>
      <c r="AZ150" s="229">
        <v>-0.40460000000000002</v>
      </c>
      <c r="BA150" s="228">
        <v>10</v>
      </c>
      <c r="BB150" s="228">
        <v>15</v>
      </c>
      <c r="BC150" s="228">
        <v>-5</v>
      </c>
      <c r="BD150" s="229">
        <v>-0.36070000000000002</v>
      </c>
      <c r="BE150" s="228">
        <v>1</v>
      </c>
      <c r="BF150" s="228">
        <v>0</v>
      </c>
      <c r="BG150" s="228">
        <v>0</v>
      </c>
      <c r="BH150" s="229">
        <v>1</v>
      </c>
      <c r="BI150" s="228">
        <v>170</v>
      </c>
      <c r="BJ150" s="228">
        <v>194</v>
      </c>
      <c r="BK150" s="228">
        <v>-24</v>
      </c>
      <c r="BL150" s="229">
        <v>-0.1221</v>
      </c>
      <c r="BM150" s="228">
        <v>256</v>
      </c>
      <c r="BN150" s="228">
        <v>57</v>
      </c>
      <c r="BO150" s="228">
        <v>199</v>
      </c>
      <c r="BP150" s="229">
        <v>3.5114999999999998</v>
      </c>
      <c r="BQ150" s="228">
        <v>483</v>
      </c>
      <c r="BR150" s="228">
        <v>344</v>
      </c>
      <c r="BS150" s="228">
        <v>139</v>
      </c>
      <c r="BT150" s="229">
        <v>0.40300000000000002</v>
      </c>
      <c r="BU150" s="230">
        <v>388420</v>
      </c>
      <c r="BV150" s="230">
        <v>389302</v>
      </c>
      <c r="BW150" s="228">
        <v>-882</v>
      </c>
      <c r="BX150" s="229">
        <v>-2.3E-3</v>
      </c>
      <c r="BY150" s="228">
        <v>280</v>
      </c>
      <c r="BZ150" s="228">
        <v>281</v>
      </c>
      <c r="CA150" s="228">
        <v>-2</v>
      </c>
      <c r="CB150" s="229">
        <v>-5.8999999999999999E-3</v>
      </c>
      <c r="CC150" s="228">
        <v>253</v>
      </c>
      <c r="CD150" s="228">
        <v>259</v>
      </c>
      <c r="CE150" s="228">
        <v>-6</v>
      </c>
      <c r="CF150" s="229">
        <v>-2.3400000000000001E-2</v>
      </c>
      <c r="CG150" s="228">
        <v>24</v>
      </c>
      <c r="CH150" s="228">
        <v>20</v>
      </c>
      <c r="CI150" s="228">
        <v>4</v>
      </c>
      <c r="CJ150" s="229">
        <v>0.21329999999999999</v>
      </c>
      <c r="CK150" s="228">
        <v>3</v>
      </c>
      <c r="CL150" s="228">
        <v>2</v>
      </c>
      <c r="CM150" s="228">
        <v>0</v>
      </c>
      <c r="CN150" s="229">
        <v>8.5699999999999998E-2</v>
      </c>
      <c r="CO150" s="228">
        <v>139</v>
      </c>
      <c r="CP150" s="228">
        <v>133</v>
      </c>
      <c r="CQ150" s="228">
        <v>6</v>
      </c>
      <c r="CR150" s="229">
        <v>4.82E-2</v>
      </c>
      <c r="CS150" s="228">
        <v>111</v>
      </c>
      <c r="CT150" s="228">
        <v>113</v>
      </c>
      <c r="CU150" s="228">
        <v>-1</v>
      </c>
      <c r="CV150" s="229">
        <v>-1.23E-2</v>
      </c>
      <c r="CW150" s="228">
        <v>530</v>
      </c>
      <c r="CX150" s="228">
        <v>527</v>
      </c>
      <c r="CY150" s="228">
        <v>3</v>
      </c>
      <c r="CZ150" s="229">
        <v>6.4000000000000003E-3</v>
      </c>
      <c r="DA150" s="228">
        <v>53.02</v>
      </c>
      <c r="DB150" s="228">
        <v>40.909999999999997</v>
      </c>
      <c r="DC150" s="228">
        <v>12.11</v>
      </c>
      <c r="DD150" s="228">
        <v>12.11</v>
      </c>
      <c r="DE150" s="228">
        <v>50.91</v>
      </c>
      <c r="DF150" s="228">
        <v>51.01</v>
      </c>
      <c r="DG150" s="228">
        <v>2.11</v>
      </c>
      <c r="DH150" s="228">
        <v>-0.1</v>
      </c>
      <c r="DI150" s="228">
        <v>39.229999999999997</v>
      </c>
      <c r="DJ150" s="228">
        <v>38.950000000000003</v>
      </c>
      <c r="DK150" s="228">
        <v>0.28000000000000003</v>
      </c>
      <c r="DL150" s="228">
        <v>0.28000000000000003</v>
      </c>
      <c r="DM150" s="228">
        <v>62.18</v>
      </c>
      <c r="DN150" s="228">
        <v>47.62</v>
      </c>
      <c r="DO150" s="228">
        <v>14.56</v>
      </c>
      <c r="DP150" s="228">
        <v>14.56</v>
      </c>
      <c r="DQ150" s="228">
        <v>0.8</v>
      </c>
      <c r="DR150" s="228">
        <v>0.85</v>
      </c>
      <c r="DS150" s="228">
        <v>-0.05</v>
      </c>
      <c r="DT150" s="229">
        <v>-5.8799999999999998E-2</v>
      </c>
      <c r="DU150" s="231">
        <v>1480</v>
      </c>
      <c r="DV150" s="231">
        <v>1300</v>
      </c>
      <c r="DW150" s="228">
        <v>1.51</v>
      </c>
      <c r="DX150" s="228">
        <v>0.28999999999999998</v>
      </c>
      <c r="DY150" s="228">
        <v>1.22</v>
      </c>
      <c r="DZ150" s="229">
        <v>4.2069000000000001</v>
      </c>
      <c r="EA150" s="229">
        <v>9.5000000000000001E-2</v>
      </c>
      <c r="EB150" s="230">
        <v>160500</v>
      </c>
      <c r="EC150" s="229">
        <v>-6.1999999999999998E-3</v>
      </c>
      <c r="ED150" s="229">
        <v>9.5000000000000001E-2</v>
      </c>
      <c r="EE150" s="228">
        <v>-11.66</v>
      </c>
      <c r="EF150" s="229">
        <v>-8.3999999999999995E-3</v>
      </c>
      <c r="EG150" s="230">
        <v>180486</v>
      </c>
      <c r="EH150" s="230">
        <v>169158</v>
      </c>
      <c r="EI150" s="229">
        <v>6.7000000000000004E-2</v>
      </c>
      <c r="EJ150" s="229">
        <v>0.4647</v>
      </c>
      <c r="EK150" s="228">
        <v>183.83</v>
      </c>
      <c r="EL150" s="228">
        <v>216.23</v>
      </c>
      <c r="EM150" s="228">
        <v>56.9</v>
      </c>
      <c r="EN150" s="228">
        <v>9.4499999999999993</v>
      </c>
      <c r="EO150" s="228">
        <v>456.96</v>
      </c>
      <c r="EP150" s="228">
        <v>351.33</v>
      </c>
      <c r="EQ150" s="228">
        <v>105.63</v>
      </c>
      <c r="ER150" s="229">
        <v>0.30070000000000002</v>
      </c>
      <c r="ES150" s="228">
        <v>137.16</v>
      </c>
      <c r="ET150" s="228">
        <v>97.12</v>
      </c>
      <c r="EU150" s="228">
        <v>279.39</v>
      </c>
      <c r="EV150" s="231">
        <v>12490416</v>
      </c>
      <c r="EW150" s="228">
        <v>513.66999999999996</v>
      </c>
      <c r="EX150" s="228">
        <v>512.37</v>
      </c>
      <c r="EY150" s="228">
        <v>1.3</v>
      </c>
      <c r="EZ150" s="229">
        <v>2.5000000000000001E-3</v>
      </c>
      <c r="FA150" s="229">
        <v>0.30759999999999998</v>
      </c>
      <c r="FB150" s="227" t="s">
        <v>567</v>
      </c>
      <c r="FC150">
        <f t="shared" si="3"/>
        <v>0</v>
      </c>
    </row>
    <row r="151" spans="1:159" ht="17.25" thickBot="1" x14ac:dyDescent="0.3">
      <c r="A151" s="226">
        <v>46132</v>
      </c>
      <c r="B151" s="227" t="s">
        <v>614</v>
      </c>
      <c r="C151" s="227" t="s">
        <v>612</v>
      </c>
      <c r="D151" s="228">
        <v>3125</v>
      </c>
      <c r="E151" s="228">
        <v>8</v>
      </c>
      <c r="F151" s="228">
        <v>265.18</v>
      </c>
      <c r="G151" s="228">
        <v>270.02999999999997</v>
      </c>
      <c r="H151" s="228">
        <v>-4.8499999999999996</v>
      </c>
      <c r="I151" s="229">
        <v>-1.7999999999999999E-2</v>
      </c>
      <c r="J151" s="228">
        <v>264.55</v>
      </c>
      <c r="K151" s="228">
        <v>269.66000000000003</v>
      </c>
      <c r="L151" s="228">
        <v>-5.1100000000000003</v>
      </c>
      <c r="M151" s="229">
        <v>-1.89E-2</v>
      </c>
      <c r="N151" s="228">
        <v>265.18</v>
      </c>
      <c r="O151" s="228">
        <v>270.02999999999997</v>
      </c>
      <c r="P151" s="228">
        <v>-4.8499999999999996</v>
      </c>
      <c r="Q151" s="229">
        <v>-1.7999999999999999E-2</v>
      </c>
      <c r="R151" s="228">
        <v>266.20999999999998</v>
      </c>
      <c r="S151" s="228">
        <v>270.89</v>
      </c>
      <c r="T151" s="228">
        <v>-4.68</v>
      </c>
      <c r="U151" s="229">
        <v>-1.7299999999999999E-2</v>
      </c>
      <c r="V151" s="228">
        <v>268.39999999999998</v>
      </c>
      <c r="W151" s="228">
        <v>270</v>
      </c>
      <c r="X151" s="228">
        <v>-1.6</v>
      </c>
      <c r="Y151" s="229">
        <v>-5.8999999999999999E-3</v>
      </c>
      <c r="Z151" s="228">
        <v>0.63</v>
      </c>
      <c r="AA151" s="228">
        <v>0.37</v>
      </c>
      <c r="AB151" s="228">
        <v>0.26</v>
      </c>
      <c r="AC151" s="229">
        <v>2.3999999999999998E-3</v>
      </c>
      <c r="AD151" s="228">
        <v>0.63</v>
      </c>
      <c r="AE151" s="228">
        <v>0.37</v>
      </c>
      <c r="AF151" s="228">
        <v>0.26</v>
      </c>
      <c r="AG151" s="229">
        <v>2.3999999999999998E-3</v>
      </c>
      <c r="AH151" s="228">
        <v>1.66</v>
      </c>
      <c r="AI151" s="228">
        <v>1.23</v>
      </c>
      <c r="AJ151" s="228">
        <v>0.43</v>
      </c>
      <c r="AK151" s="229">
        <v>6.3E-3</v>
      </c>
      <c r="AL151" s="228">
        <v>3.85</v>
      </c>
      <c r="AM151" s="228">
        <v>0.34</v>
      </c>
      <c r="AN151" s="228">
        <v>3.51</v>
      </c>
      <c r="AO151" s="229">
        <v>1.46E-2</v>
      </c>
      <c r="AP151" s="228">
        <v>267.47000000000003</v>
      </c>
      <c r="AQ151" s="228">
        <v>268.56</v>
      </c>
      <c r="AR151" s="228">
        <v>0</v>
      </c>
      <c r="AS151" s="228">
        <v>119</v>
      </c>
      <c r="AT151" s="228">
        <v>126</v>
      </c>
      <c r="AU151" s="228">
        <v>-7</v>
      </c>
      <c r="AV151" s="229">
        <v>-5.91E-2</v>
      </c>
      <c r="AW151" s="228">
        <v>100</v>
      </c>
      <c r="AX151" s="228">
        <v>109</v>
      </c>
      <c r="AY151" s="228">
        <v>-9</v>
      </c>
      <c r="AZ151" s="229">
        <v>-7.9399999999999998E-2</v>
      </c>
      <c r="BA151" s="228">
        <v>18</v>
      </c>
      <c r="BB151" s="228">
        <v>16</v>
      </c>
      <c r="BC151" s="228">
        <v>2</v>
      </c>
      <c r="BD151" s="229">
        <v>0.12690000000000001</v>
      </c>
      <c r="BE151" s="228">
        <v>0</v>
      </c>
      <c r="BF151" s="228">
        <v>1</v>
      </c>
      <c r="BG151" s="228">
        <v>-1</v>
      </c>
      <c r="BH151" s="229">
        <v>-0.6875</v>
      </c>
      <c r="BI151" s="228">
        <v>299</v>
      </c>
      <c r="BJ151" s="228">
        <v>332</v>
      </c>
      <c r="BK151" s="228">
        <v>-32</v>
      </c>
      <c r="BL151" s="229">
        <v>-9.7900000000000001E-2</v>
      </c>
      <c r="BM151" s="228">
        <v>102</v>
      </c>
      <c r="BN151" s="228">
        <v>124</v>
      </c>
      <c r="BO151" s="228">
        <v>-22</v>
      </c>
      <c r="BP151" s="229">
        <v>-0.17549999999999999</v>
      </c>
      <c r="BQ151" s="228">
        <v>520</v>
      </c>
      <c r="BR151" s="228">
        <v>582</v>
      </c>
      <c r="BS151" s="228">
        <v>-62</v>
      </c>
      <c r="BT151" s="229">
        <v>-0.106</v>
      </c>
      <c r="BU151" s="230">
        <v>3063217</v>
      </c>
      <c r="BV151" s="230">
        <v>3779759</v>
      </c>
      <c r="BW151" s="230">
        <v>-716542</v>
      </c>
      <c r="BX151" s="229">
        <v>-0.18959999999999999</v>
      </c>
      <c r="BY151" s="230">
        <v>1209</v>
      </c>
      <c r="BZ151" s="230">
        <v>1208</v>
      </c>
      <c r="CA151" s="228">
        <v>1</v>
      </c>
      <c r="CB151" s="229">
        <v>5.0000000000000001E-4</v>
      </c>
      <c r="CC151" s="230">
        <v>1166</v>
      </c>
      <c r="CD151" s="230">
        <v>1175</v>
      </c>
      <c r="CE151" s="228">
        <v>-9</v>
      </c>
      <c r="CF151" s="229">
        <v>-7.7000000000000002E-3</v>
      </c>
      <c r="CG151" s="228">
        <v>41</v>
      </c>
      <c r="CH151" s="228">
        <v>31</v>
      </c>
      <c r="CI151" s="228">
        <v>9</v>
      </c>
      <c r="CJ151" s="229">
        <v>0.30320000000000003</v>
      </c>
      <c r="CK151" s="228">
        <v>2</v>
      </c>
      <c r="CL151" s="228">
        <v>2</v>
      </c>
      <c r="CM151" s="228">
        <v>0</v>
      </c>
      <c r="CN151" s="229">
        <v>0.1154</v>
      </c>
      <c r="CO151" s="228">
        <v>292</v>
      </c>
      <c r="CP151" s="228">
        <v>203</v>
      </c>
      <c r="CQ151" s="228">
        <v>89</v>
      </c>
      <c r="CR151" s="229">
        <v>0.43880000000000002</v>
      </c>
      <c r="CS151" s="228">
        <v>133</v>
      </c>
      <c r="CT151" s="228">
        <v>143</v>
      </c>
      <c r="CU151" s="228">
        <v>-10</v>
      </c>
      <c r="CV151" s="229">
        <v>-7.0499999999999993E-2</v>
      </c>
      <c r="CW151" s="230">
        <v>1635</v>
      </c>
      <c r="CX151" s="230">
        <v>1555</v>
      </c>
      <c r="CY151" s="228">
        <v>80</v>
      </c>
      <c r="CZ151" s="229">
        <v>5.1299999999999998E-2</v>
      </c>
      <c r="DA151" s="228">
        <v>34.39</v>
      </c>
      <c r="DB151" s="228">
        <v>29.56</v>
      </c>
      <c r="DC151" s="228">
        <v>4.83</v>
      </c>
      <c r="DD151" s="228">
        <v>4.83</v>
      </c>
      <c r="DE151" s="228">
        <v>36.03</v>
      </c>
      <c r="DF151" s="228">
        <v>36.020000000000003</v>
      </c>
      <c r="DG151" s="228">
        <v>-1.64</v>
      </c>
      <c r="DH151" s="228">
        <v>0.01</v>
      </c>
      <c r="DI151" s="228">
        <v>34.4</v>
      </c>
      <c r="DJ151" s="228">
        <v>28.27</v>
      </c>
      <c r="DK151" s="228">
        <v>6.13</v>
      </c>
      <c r="DL151" s="228">
        <v>6.13</v>
      </c>
      <c r="DM151" s="228">
        <v>34.36</v>
      </c>
      <c r="DN151" s="228">
        <v>33.03</v>
      </c>
      <c r="DO151" s="228">
        <v>1.33</v>
      </c>
      <c r="DP151" s="228">
        <v>1.33</v>
      </c>
      <c r="DQ151" s="228">
        <v>0.46</v>
      </c>
      <c r="DR151" s="228">
        <v>0.71</v>
      </c>
      <c r="DS151" s="228">
        <v>-0.25</v>
      </c>
      <c r="DT151" s="229">
        <v>-0.35210000000000002</v>
      </c>
      <c r="DU151" s="228">
        <v>275</v>
      </c>
      <c r="DV151" s="228">
        <v>250</v>
      </c>
      <c r="DW151" s="228">
        <v>0.34</v>
      </c>
      <c r="DX151" s="228">
        <v>0.37</v>
      </c>
      <c r="DY151" s="228">
        <v>-0.03</v>
      </c>
      <c r="DZ151" s="229">
        <v>-8.1100000000000005E-2</v>
      </c>
      <c r="EA151" s="229">
        <v>3.56E-2</v>
      </c>
      <c r="EB151" s="230">
        <v>1256250</v>
      </c>
      <c r="EC151" s="229">
        <v>3.8999999999999998E-3</v>
      </c>
      <c r="ED151" s="229">
        <v>3.56E-2</v>
      </c>
      <c r="EE151" s="228">
        <v>1.0900000000000001</v>
      </c>
      <c r="EF151" s="229">
        <v>4.1000000000000003E-3</v>
      </c>
      <c r="EG151" s="230">
        <v>1320350</v>
      </c>
      <c r="EH151" s="230">
        <v>1893254</v>
      </c>
      <c r="EI151" s="229">
        <v>-0.30259999999999998</v>
      </c>
      <c r="EJ151" s="229">
        <v>0.43099999999999999</v>
      </c>
      <c r="EK151" s="228">
        <v>313.62</v>
      </c>
      <c r="EL151" s="228">
        <v>101</v>
      </c>
      <c r="EM151" s="228">
        <v>119.85</v>
      </c>
      <c r="EN151" s="228">
        <v>11.56</v>
      </c>
      <c r="EO151" s="228">
        <v>534.47</v>
      </c>
      <c r="EP151" s="228">
        <v>594.09</v>
      </c>
      <c r="EQ151" s="228">
        <v>-59.61</v>
      </c>
      <c r="ER151" s="229">
        <v>-0.1003</v>
      </c>
      <c r="ES151" s="228">
        <v>298.43</v>
      </c>
      <c r="ET151" s="228">
        <v>124.88</v>
      </c>
      <c r="EU151" s="231">
        <v>1208.99</v>
      </c>
      <c r="EV151" s="231">
        <v>205669742</v>
      </c>
      <c r="EW151" s="231">
        <v>1632.3</v>
      </c>
      <c r="EX151" s="231">
        <v>1570.98</v>
      </c>
      <c r="EY151" s="228">
        <v>61.32</v>
      </c>
      <c r="EZ151" s="229">
        <v>3.9E-2</v>
      </c>
      <c r="FA151" s="229">
        <v>0.29970000000000002</v>
      </c>
      <c r="FB151" s="227" t="s">
        <v>566</v>
      </c>
      <c r="FC151">
        <f t="shared" si="3"/>
        <v>0</v>
      </c>
    </row>
    <row r="152" spans="1:159" ht="17.25" thickBot="1" x14ac:dyDescent="0.3">
      <c r="A152" s="226">
        <v>46132</v>
      </c>
      <c r="B152" s="227" t="s">
        <v>206</v>
      </c>
      <c r="C152" s="227" t="s">
        <v>528</v>
      </c>
      <c r="D152" s="228">
        <v>350</v>
      </c>
      <c r="E152" s="228">
        <v>8</v>
      </c>
      <c r="F152" s="231">
        <v>1698.8</v>
      </c>
      <c r="G152" s="231">
        <v>1713.1</v>
      </c>
      <c r="H152" s="228">
        <v>-14.3</v>
      </c>
      <c r="I152" s="229">
        <v>-8.3000000000000001E-3</v>
      </c>
      <c r="J152" s="231">
        <v>1694.9</v>
      </c>
      <c r="K152" s="231">
        <v>1710.6</v>
      </c>
      <c r="L152" s="228">
        <v>-15.7</v>
      </c>
      <c r="M152" s="229">
        <v>-9.1999999999999998E-3</v>
      </c>
      <c r="N152" s="231">
        <v>1698.8</v>
      </c>
      <c r="O152" s="231">
        <v>1713.1</v>
      </c>
      <c r="P152" s="228">
        <v>-14.3</v>
      </c>
      <c r="Q152" s="229">
        <v>-8.3000000000000001E-3</v>
      </c>
      <c r="R152" s="231">
        <v>1675.4</v>
      </c>
      <c r="S152" s="231">
        <v>1687.9</v>
      </c>
      <c r="T152" s="228">
        <v>-12.5</v>
      </c>
      <c r="U152" s="229">
        <v>-7.4000000000000003E-3</v>
      </c>
      <c r="V152" s="231">
        <v>1667.3</v>
      </c>
      <c r="W152" s="231">
        <v>1671.5</v>
      </c>
      <c r="X152" s="228">
        <v>-4.2</v>
      </c>
      <c r="Y152" s="229">
        <v>-2.5000000000000001E-3</v>
      </c>
      <c r="Z152" s="228">
        <v>3.9</v>
      </c>
      <c r="AA152" s="228">
        <v>2.5</v>
      </c>
      <c r="AB152" s="228">
        <v>1.4</v>
      </c>
      <c r="AC152" s="229">
        <v>2.3E-3</v>
      </c>
      <c r="AD152" s="228">
        <v>3.9</v>
      </c>
      <c r="AE152" s="228">
        <v>2.5</v>
      </c>
      <c r="AF152" s="228">
        <v>1.4</v>
      </c>
      <c r="AG152" s="229">
        <v>2.3E-3</v>
      </c>
      <c r="AH152" s="228">
        <v>-19.5</v>
      </c>
      <c r="AI152" s="228">
        <v>-22.7</v>
      </c>
      <c r="AJ152" s="228">
        <v>3.2</v>
      </c>
      <c r="AK152" s="229">
        <v>-1.15E-2</v>
      </c>
      <c r="AL152" s="228">
        <v>-27.6</v>
      </c>
      <c r="AM152" s="228">
        <v>-39.1</v>
      </c>
      <c r="AN152" s="228">
        <v>11.5</v>
      </c>
      <c r="AO152" s="229">
        <v>-1.6299999999999999E-2</v>
      </c>
      <c r="AP152" s="231">
        <v>1704.1</v>
      </c>
      <c r="AQ152" s="231">
        <v>1679.43</v>
      </c>
      <c r="AR152" s="228">
        <v>0</v>
      </c>
      <c r="AS152" s="228">
        <v>125</v>
      </c>
      <c r="AT152" s="228">
        <v>125</v>
      </c>
      <c r="AU152" s="228">
        <v>0</v>
      </c>
      <c r="AV152" s="229">
        <v>-3.3E-3</v>
      </c>
      <c r="AW152" s="228">
        <v>112</v>
      </c>
      <c r="AX152" s="228">
        <v>101</v>
      </c>
      <c r="AY152" s="228">
        <v>11</v>
      </c>
      <c r="AZ152" s="229">
        <v>0.10920000000000001</v>
      </c>
      <c r="BA152" s="228">
        <v>12</v>
      </c>
      <c r="BB152" s="228">
        <v>24</v>
      </c>
      <c r="BC152" s="228">
        <v>-11</v>
      </c>
      <c r="BD152" s="229">
        <v>-0.48249999999999998</v>
      </c>
      <c r="BE152" s="228">
        <v>0</v>
      </c>
      <c r="BF152" s="228">
        <v>0</v>
      </c>
      <c r="BG152" s="228">
        <v>0</v>
      </c>
      <c r="BH152" s="229">
        <v>0</v>
      </c>
      <c r="BI152" s="228">
        <v>68</v>
      </c>
      <c r="BJ152" s="228">
        <v>86</v>
      </c>
      <c r="BK152" s="228">
        <v>-18</v>
      </c>
      <c r="BL152" s="229">
        <v>-0.2137</v>
      </c>
      <c r="BM152" s="228">
        <v>84</v>
      </c>
      <c r="BN152" s="228">
        <v>71</v>
      </c>
      <c r="BO152" s="228">
        <v>13</v>
      </c>
      <c r="BP152" s="229">
        <v>0.1893</v>
      </c>
      <c r="BQ152" s="228">
        <v>277</v>
      </c>
      <c r="BR152" s="228">
        <v>282</v>
      </c>
      <c r="BS152" s="228">
        <v>-5</v>
      </c>
      <c r="BT152" s="229">
        <v>-1.9E-2</v>
      </c>
      <c r="BU152" s="230">
        <v>676394</v>
      </c>
      <c r="BV152" s="230">
        <v>516948</v>
      </c>
      <c r="BW152" s="230">
        <v>159446</v>
      </c>
      <c r="BX152" s="229">
        <v>0.30840000000000001</v>
      </c>
      <c r="BY152" s="230">
        <v>1657</v>
      </c>
      <c r="BZ152" s="230">
        <v>1692</v>
      </c>
      <c r="CA152" s="228">
        <v>-35</v>
      </c>
      <c r="CB152" s="229">
        <v>-2.0899999999999998E-2</v>
      </c>
      <c r="CC152" s="230">
        <v>1443</v>
      </c>
      <c r="CD152" s="230">
        <v>1479</v>
      </c>
      <c r="CE152" s="228">
        <v>-36</v>
      </c>
      <c r="CF152" s="229">
        <v>-2.46E-2</v>
      </c>
      <c r="CG152" s="228">
        <v>213</v>
      </c>
      <c r="CH152" s="228">
        <v>212</v>
      </c>
      <c r="CI152" s="228">
        <v>1</v>
      </c>
      <c r="CJ152" s="229">
        <v>4.1999999999999997E-3</v>
      </c>
      <c r="CK152" s="228">
        <v>2</v>
      </c>
      <c r="CL152" s="228">
        <v>1</v>
      </c>
      <c r="CM152" s="228">
        <v>0</v>
      </c>
      <c r="CN152" s="229">
        <v>0.12</v>
      </c>
      <c r="CO152" s="228">
        <v>205</v>
      </c>
      <c r="CP152" s="228">
        <v>202</v>
      </c>
      <c r="CQ152" s="228">
        <v>3</v>
      </c>
      <c r="CR152" s="229">
        <v>1.44E-2</v>
      </c>
      <c r="CS152" s="228">
        <v>193</v>
      </c>
      <c r="CT152" s="228">
        <v>188</v>
      </c>
      <c r="CU152" s="228">
        <v>5</v>
      </c>
      <c r="CV152" s="229">
        <v>2.53E-2</v>
      </c>
      <c r="CW152" s="230">
        <v>2054</v>
      </c>
      <c r="CX152" s="230">
        <v>2082</v>
      </c>
      <c r="CY152" s="228">
        <v>-28</v>
      </c>
      <c r="CZ152" s="229">
        <v>-1.3299999999999999E-2</v>
      </c>
      <c r="DA152" s="228">
        <v>38.590000000000003</v>
      </c>
      <c r="DB152" s="228">
        <v>32.4</v>
      </c>
      <c r="DC152" s="228">
        <v>6.19</v>
      </c>
      <c r="DD152" s="228">
        <v>6.19</v>
      </c>
      <c r="DE152" s="228">
        <v>36.880000000000003</v>
      </c>
      <c r="DF152" s="228">
        <v>36.950000000000003</v>
      </c>
      <c r="DG152" s="228">
        <v>1.71</v>
      </c>
      <c r="DH152" s="228">
        <v>-7.0000000000000007E-2</v>
      </c>
      <c r="DI152" s="228">
        <v>34.68</v>
      </c>
      <c r="DJ152" s="228">
        <v>30.6</v>
      </c>
      <c r="DK152" s="228">
        <v>4.08</v>
      </c>
      <c r="DL152" s="228">
        <v>4.08</v>
      </c>
      <c r="DM152" s="228">
        <v>41.72</v>
      </c>
      <c r="DN152" s="228">
        <v>34.58</v>
      </c>
      <c r="DO152" s="228">
        <v>7.14</v>
      </c>
      <c r="DP152" s="228">
        <v>7.14</v>
      </c>
      <c r="DQ152" s="228">
        <v>0.94</v>
      </c>
      <c r="DR152" s="228">
        <v>0.93</v>
      </c>
      <c r="DS152" s="228">
        <v>0.01</v>
      </c>
      <c r="DT152" s="229">
        <v>1.0800000000000001E-2</v>
      </c>
      <c r="DU152" s="231">
        <v>1800</v>
      </c>
      <c r="DV152" s="231">
        <v>1600</v>
      </c>
      <c r="DW152" s="228">
        <v>1.25</v>
      </c>
      <c r="DX152" s="228">
        <v>0.83</v>
      </c>
      <c r="DY152" s="228">
        <v>0.42</v>
      </c>
      <c r="DZ152" s="229">
        <v>0.50600000000000001</v>
      </c>
      <c r="EA152" s="229">
        <v>0.1293</v>
      </c>
      <c r="EB152" s="230">
        <v>1255100</v>
      </c>
      <c r="EC152" s="229">
        <v>-1.38E-2</v>
      </c>
      <c r="ED152" s="229">
        <v>0.1293</v>
      </c>
      <c r="EE152" s="228">
        <v>-24.67</v>
      </c>
      <c r="EF152" s="229">
        <v>-1.4500000000000001E-2</v>
      </c>
      <c r="EG152" s="230">
        <v>350246</v>
      </c>
      <c r="EH152" s="230">
        <v>323385</v>
      </c>
      <c r="EI152" s="229">
        <v>8.3099999999999993E-2</v>
      </c>
      <c r="EJ152" s="229">
        <v>0.51780000000000004</v>
      </c>
      <c r="EK152" s="228">
        <v>70.5</v>
      </c>
      <c r="EL152" s="228">
        <v>80.86</v>
      </c>
      <c r="EM152" s="228">
        <v>125.07</v>
      </c>
      <c r="EN152" s="228">
        <v>32.68</v>
      </c>
      <c r="EO152" s="228">
        <v>276.43</v>
      </c>
      <c r="EP152" s="228">
        <v>285.07</v>
      </c>
      <c r="EQ152" s="228">
        <v>-8.64</v>
      </c>
      <c r="ER152" s="229">
        <v>-3.0300000000000001E-2</v>
      </c>
      <c r="ES152" s="228">
        <v>193.28</v>
      </c>
      <c r="ET152" s="228">
        <v>173.2</v>
      </c>
      <c r="EU152" s="231">
        <v>1653.9</v>
      </c>
      <c r="EV152" s="231">
        <v>17614093</v>
      </c>
      <c r="EW152" s="231">
        <v>2020.38</v>
      </c>
      <c r="EX152" s="231">
        <v>2061.71</v>
      </c>
      <c r="EY152" s="228">
        <v>-41.33</v>
      </c>
      <c r="EZ152" s="229">
        <v>-0.02</v>
      </c>
      <c r="FA152" s="229">
        <v>0.6865</v>
      </c>
      <c r="FB152" s="227" t="s">
        <v>567</v>
      </c>
      <c r="FC152">
        <f t="shared" si="3"/>
        <v>0</v>
      </c>
    </row>
    <row r="153" spans="1:159" ht="17.25" thickBot="1" x14ac:dyDescent="0.3">
      <c r="A153" s="226">
        <v>46132</v>
      </c>
      <c r="B153" s="227" t="s">
        <v>221</v>
      </c>
      <c r="C153" s="227" t="s">
        <v>518</v>
      </c>
      <c r="D153" s="228">
        <v>75</v>
      </c>
      <c r="E153" s="228">
        <v>8</v>
      </c>
      <c r="F153" s="231">
        <v>8106</v>
      </c>
      <c r="G153" s="231">
        <v>8011.5</v>
      </c>
      <c r="H153" s="228">
        <v>94.5</v>
      </c>
      <c r="I153" s="229">
        <v>1.18E-2</v>
      </c>
      <c r="J153" s="231">
        <v>8082.5</v>
      </c>
      <c r="K153" s="231">
        <v>7992.5</v>
      </c>
      <c r="L153" s="228">
        <v>90</v>
      </c>
      <c r="M153" s="229">
        <v>1.1299999999999999E-2</v>
      </c>
      <c r="N153" s="231">
        <v>8106</v>
      </c>
      <c r="O153" s="231">
        <v>8011.5</v>
      </c>
      <c r="P153" s="228">
        <v>94.5</v>
      </c>
      <c r="Q153" s="229">
        <v>1.18E-2</v>
      </c>
      <c r="R153" s="231">
        <v>7959</v>
      </c>
      <c r="S153" s="231">
        <v>7879.5</v>
      </c>
      <c r="T153" s="228">
        <v>79.5</v>
      </c>
      <c r="U153" s="229">
        <v>1.01E-2</v>
      </c>
      <c r="V153" s="231">
        <v>7900</v>
      </c>
      <c r="W153" s="231">
        <v>7807</v>
      </c>
      <c r="X153" s="228">
        <v>93</v>
      </c>
      <c r="Y153" s="229">
        <v>1.1900000000000001E-2</v>
      </c>
      <c r="Z153" s="228">
        <v>23.5</v>
      </c>
      <c r="AA153" s="228">
        <v>19</v>
      </c>
      <c r="AB153" s="228">
        <v>4.5</v>
      </c>
      <c r="AC153" s="229">
        <v>2.8999999999999998E-3</v>
      </c>
      <c r="AD153" s="228">
        <v>23.5</v>
      </c>
      <c r="AE153" s="228">
        <v>19</v>
      </c>
      <c r="AF153" s="228">
        <v>4.5</v>
      </c>
      <c r="AG153" s="229">
        <v>2.8999999999999998E-3</v>
      </c>
      <c r="AH153" s="228">
        <v>-123.5</v>
      </c>
      <c r="AI153" s="228">
        <v>-113</v>
      </c>
      <c r="AJ153" s="228">
        <v>-10.5</v>
      </c>
      <c r="AK153" s="229">
        <v>-1.5299999999999999E-2</v>
      </c>
      <c r="AL153" s="228">
        <v>-182.5</v>
      </c>
      <c r="AM153" s="228">
        <v>-185.5</v>
      </c>
      <c r="AN153" s="228">
        <v>3</v>
      </c>
      <c r="AO153" s="229">
        <v>-2.2599999999999999E-2</v>
      </c>
      <c r="AP153" s="231">
        <v>8081.62</v>
      </c>
      <c r="AQ153" s="231">
        <v>7946.8</v>
      </c>
      <c r="AR153" s="228">
        <v>0</v>
      </c>
      <c r="AS153" s="228">
        <v>398</v>
      </c>
      <c r="AT153" s="228">
        <v>212</v>
      </c>
      <c r="AU153" s="228">
        <v>186</v>
      </c>
      <c r="AV153" s="229">
        <v>0.87580000000000002</v>
      </c>
      <c r="AW153" s="228">
        <v>317</v>
      </c>
      <c r="AX153" s="228">
        <v>171</v>
      </c>
      <c r="AY153" s="228">
        <v>146</v>
      </c>
      <c r="AZ153" s="229">
        <v>0.85819999999999996</v>
      </c>
      <c r="BA153" s="228">
        <v>79</v>
      </c>
      <c r="BB153" s="228">
        <v>38</v>
      </c>
      <c r="BC153" s="228">
        <v>41</v>
      </c>
      <c r="BD153" s="229">
        <v>1.0653999999999999</v>
      </c>
      <c r="BE153" s="228">
        <v>2</v>
      </c>
      <c r="BF153" s="228">
        <v>3</v>
      </c>
      <c r="BG153" s="228">
        <v>-1</v>
      </c>
      <c r="BH153" s="229">
        <v>-0.434</v>
      </c>
      <c r="BI153" s="230">
        <v>1050</v>
      </c>
      <c r="BJ153" s="230">
        <v>1201</v>
      </c>
      <c r="BK153" s="228">
        <v>-151</v>
      </c>
      <c r="BL153" s="229">
        <v>-0.12540000000000001</v>
      </c>
      <c r="BM153" s="228">
        <v>647</v>
      </c>
      <c r="BN153" s="230">
        <v>1009</v>
      </c>
      <c r="BO153" s="228">
        <v>-362</v>
      </c>
      <c r="BP153" s="229">
        <v>-0.3589</v>
      </c>
      <c r="BQ153" s="230">
        <v>2095</v>
      </c>
      <c r="BR153" s="230">
        <v>2422</v>
      </c>
      <c r="BS153" s="228">
        <v>-327</v>
      </c>
      <c r="BT153" s="229">
        <v>-0.1351</v>
      </c>
      <c r="BU153" s="230">
        <v>280775</v>
      </c>
      <c r="BV153" s="230">
        <v>189689</v>
      </c>
      <c r="BW153" s="230">
        <v>91086</v>
      </c>
      <c r="BX153" s="229">
        <v>0.48020000000000002</v>
      </c>
      <c r="BY153" s="230">
        <v>1250</v>
      </c>
      <c r="BZ153" s="230">
        <v>1164</v>
      </c>
      <c r="CA153" s="228">
        <v>86</v>
      </c>
      <c r="CB153" s="229">
        <v>7.3700000000000002E-2</v>
      </c>
      <c r="CC153" s="230">
        <v>1151</v>
      </c>
      <c r="CD153" s="230">
        <v>1091</v>
      </c>
      <c r="CE153" s="228">
        <v>60</v>
      </c>
      <c r="CF153" s="229">
        <v>5.5100000000000003E-2</v>
      </c>
      <c r="CG153" s="228">
        <v>89</v>
      </c>
      <c r="CH153" s="228">
        <v>64</v>
      </c>
      <c r="CI153" s="228">
        <v>26</v>
      </c>
      <c r="CJ153" s="229">
        <v>0.40400000000000003</v>
      </c>
      <c r="CK153" s="228">
        <v>9</v>
      </c>
      <c r="CL153" s="228">
        <v>9</v>
      </c>
      <c r="CM153" s="228">
        <v>0</v>
      </c>
      <c r="CN153" s="229">
        <v>-6.8999999999999999E-3</v>
      </c>
      <c r="CO153" s="228">
        <v>485</v>
      </c>
      <c r="CP153" s="228">
        <v>430</v>
      </c>
      <c r="CQ153" s="228">
        <v>54</v>
      </c>
      <c r="CR153" s="229">
        <v>0.1255</v>
      </c>
      <c r="CS153" s="228">
        <v>498</v>
      </c>
      <c r="CT153" s="228">
        <v>486</v>
      </c>
      <c r="CU153" s="228">
        <v>11</v>
      </c>
      <c r="CV153" s="229">
        <v>2.3300000000000001E-2</v>
      </c>
      <c r="CW153" s="230">
        <v>2232</v>
      </c>
      <c r="CX153" s="230">
        <v>2081</v>
      </c>
      <c r="CY153" s="228">
        <v>151</v>
      </c>
      <c r="CZ153" s="229">
        <v>7.2599999999999998E-2</v>
      </c>
      <c r="DA153" s="228">
        <v>48.15</v>
      </c>
      <c r="DB153" s="228">
        <v>41.94</v>
      </c>
      <c r="DC153" s="228">
        <v>6.21</v>
      </c>
      <c r="DD153" s="228">
        <v>6.21</v>
      </c>
      <c r="DE153" s="228">
        <v>40.03</v>
      </c>
      <c r="DF153" s="228">
        <v>40.1</v>
      </c>
      <c r="DG153" s="228">
        <v>8.1199999999999992</v>
      </c>
      <c r="DH153" s="228">
        <v>-7.0000000000000007E-2</v>
      </c>
      <c r="DI153" s="228">
        <v>46.52</v>
      </c>
      <c r="DJ153" s="228">
        <v>37.479999999999997</v>
      </c>
      <c r="DK153" s="228">
        <v>9.0399999999999991</v>
      </c>
      <c r="DL153" s="228">
        <v>9.0399999999999991</v>
      </c>
      <c r="DM153" s="228">
        <v>50.8</v>
      </c>
      <c r="DN153" s="228">
        <v>47.25</v>
      </c>
      <c r="DO153" s="228">
        <v>3.55</v>
      </c>
      <c r="DP153" s="228">
        <v>3.55</v>
      </c>
      <c r="DQ153" s="228">
        <v>1.03</v>
      </c>
      <c r="DR153" s="228">
        <v>1.1299999999999999</v>
      </c>
      <c r="DS153" s="228">
        <v>-0.1</v>
      </c>
      <c r="DT153" s="229">
        <v>-8.8499999999999995E-2</v>
      </c>
      <c r="DU153" s="231">
        <v>8000</v>
      </c>
      <c r="DV153" s="231">
        <v>7000</v>
      </c>
      <c r="DW153" s="228">
        <v>0.62</v>
      </c>
      <c r="DX153" s="228">
        <v>0.84</v>
      </c>
      <c r="DY153" s="228">
        <v>-0.22</v>
      </c>
      <c r="DZ153" s="229">
        <v>-0.26190000000000002</v>
      </c>
      <c r="EA153" s="229">
        <v>7.85E-2</v>
      </c>
      <c r="EB153" s="230">
        <v>89400</v>
      </c>
      <c r="EC153" s="229">
        <v>-1.8100000000000002E-2</v>
      </c>
      <c r="ED153" s="229">
        <v>7.85E-2</v>
      </c>
      <c r="EE153" s="228">
        <v>-134.82</v>
      </c>
      <c r="EF153" s="229">
        <v>-1.67E-2</v>
      </c>
      <c r="EG153" s="230">
        <v>136974</v>
      </c>
      <c r="EH153" s="230">
        <v>67245</v>
      </c>
      <c r="EI153" s="229">
        <v>1.0368999999999999</v>
      </c>
      <c r="EJ153" s="229">
        <v>0.48780000000000001</v>
      </c>
      <c r="EK153" s="231">
        <v>1095.75</v>
      </c>
      <c r="EL153" s="228">
        <v>603.33000000000004</v>
      </c>
      <c r="EM153" s="228">
        <v>394.99</v>
      </c>
      <c r="EN153" s="228">
        <v>33.299999999999997</v>
      </c>
      <c r="EO153" s="231">
        <v>2094.0700000000002</v>
      </c>
      <c r="EP153" s="231">
        <v>2335.7800000000002</v>
      </c>
      <c r="EQ153" s="228">
        <v>-241.71</v>
      </c>
      <c r="ER153" s="229">
        <v>-0.10349999999999999</v>
      </c>
      <c r="ES153" s="228">
        <v>464.58</v>
      </c>
      <c r="ET153" s="228">
        <v>442.4</v>
      </c>
      <c r="EU153" s="231">
        <v>1247.74</v>
      </c>
      <c r="EV153" s="231">
        <v>3594855</v>
      </c>
      <c r="EW153" s="231">
        <v>2154.71</v>
      </c>
      <c r="EX153" s="231">
        <v>1984.49</v>
      </c>
      <c r="EY153" s="228">
        <v>170.22</v>
      </c>
      <c r="EZ153" s="229">
        <v>8.5800000000000001E-2</v>
      </c>
      <c r="FA153" s="229">
        <v>0.76590000000000003</v>
      </c>
      <c r="FB153" s="227" t="s">
        <v>555</v>
      </c>
      <c r="FC153">
        <f t="shared" si="3"/>
        <v>0</v>
      </c>
    </row>
    <row r="154" spans="1:159" ht="17.25" thickBot="1" x14ac:dyDescent="0.3">
      <c r="A154" s="226">
        <v>46132</v>
      </c>
      <c r="B154" s="227" t="s">
        <v>193</v>
      </c>
      <c r="C154" s="227" t="s">
        <v>586</v>
      </c>
      <c r="D154" s="228">
        <v>1400</v>
      </c>
      <c r="E154" s="228">
        <v>8</v>
      </c>
      <c r="F154" s="228">
        <v>471.35</v>
      </c>
      <c r="G154" s="228">
        <v>470.6</v>
      </c>
      <c r="H154" s="228">
        <v>0.75</v>
      </c>
      <c r="I154" s="229">
        <v>1.6000000000000001E-3</v>
      </c>
      <c r="J154" s="228">
        <v>471.7</v>
      </c>
      <c r="K154" s="228">
        <v>470.1</v>
      </c>
      <c r="L154" s="228">
        <v>1.6</v>
      </c>
      <c r="M154" s="229">
        <v>3.3999999999999998E-3</v>
      </c>
      <c r="N154" s="228">
        <v>471.35</v>
      </c>
      <c r="O154" s="228">
        <v>470.6</v>
      </c>
      <c r="P154" s="228">
        <v>0.75</v>
      </c>
      <c r="Q154" s="229">
        <v>1.6000000000000001E-3</v>
      </c>
      <c r="R154" s="228">
        <v>468.9</v>
      </c>
      <c r="S154" s="228">
        <v>467.25</v>
      </c>
      <c r="T154" s="228">
        <v>1.65</v>
      </c>
      <c r="U154" s="229">
        <v>3.5000000000000001E-3</v>
      </c>
      <c r="V154" s="228">
        <v>465.9</v>
      </c>
      <c r="W154" s="228">
        <v>465.45</v>
      </c>
      <c r="X154" s="228">
        <v>0.45</v>
      </c>
      <c r="Y154" s="229">
        <v>1E-3</v>
      </c>
      <c r="Z154" s="228">
        <v>-0.35</v>
      </c>
      <c r="AA154" s="228">
        <v>0.5</v>
      </c>
      <c r="AB154" s="228">
        <v>-0.85</v>
      </c>
      <c r="AC154" s="229">
        <v>-6.9999999999999999E-4</v>
      </c>
      <c r="AD154" s="228">
        <v>-0.35</v>
      </c>
      <c r="AE154" s="228">
        <v>0.5</v>
      </c>
      <c r="AF154" s="228">
        <v>-0.85</v>
      </c>
      <c r="AG154" s="229">
        <v>-6.9999999999999999E-4</v>
      </c>
      <c r="AH154" s="228">
        <v>-2.8</v>
      </c>
      <c r="AI154" s="228">
        <v>-2.85</v>
      </c>
      <c r="AJ154" s="228">
        <v>0.05</v>
      </c>
      <c r="AK154" s="229">
        <v>-5.8999999999999999E-3</v>
      </c>
      <c r="AL154" s="228">
        <v>-5.8</v>
      </c>
      <c r="AM154" s="228">
        <v>-4.6500000000000004</v>
      </c>
      <c r="AN154" s="228">
        <v>-1.1499999999999999</v>
      </c>
      <c r="AO154" s="229">
        <v>-1.23E-2</v>
      </c>
      <c r="AP154" s="228">
        <v>471.8</v>
      </c>
      <c r="AQ154" s="228">
        <v>469.01</v>
      </c>
      <c r="AR154" s="228">
        <v>0</v>
      </c>
      <c r="AS154" s="228">
        <v>172</v>
      </c>
      <c r="AT154" s="228">
        <v>133</v>
      </c>
      <c r="AU154" s="228">
        <v>38</v>
      </c>
      <c r="AV154" s="229">
        <v>0.2883</v>
      </c>
      <c r="AW154" s="228">
        <v>141</v>
      </c>
      <c r="AX154" s="228">
        <v>110</v>
      </c>
      <c r="AY154" s="228">
        <v>31</v>
      </c>
      <c r="AZ154" s="229">
        <v>0.28370000000000001</v>
      </c>
      <c r="BA154" s="228">
        <v>30</v>
      </c>
      <c r="BB154" s="228">
        <v>23</v>
      </c>
      <c r="BC154" s="228">
        <v>8</v>
      </c>
      <c r="BD154" s="229">
        <v>0.33429999999999999</v>
      </c>
      <c r="BE154" s="228">
        <v>1</v>
      </c>
      <c r="BF154" s="228">
        <v>1</v>
      </c>
      <c r="BG154" s="228">
        <v>0</v>
      </c>
      <c r="BH154" s="229">
        <v>-0.16669999999999999</v>
      </c>
      <c r="BI154" s="228">
        <v>444</v>
      </c>
      <c r="BJ154" s="228">
        <v>454</v>
      </c>
      <c r="BK154" s="228">
        <v>-10</v>
      </c>
      <c r="BL154" s="229">
        <v>-2.1399999999999999E-2</v>
      </c>
      <c r="BM154" s="228">
        <v>133</v>
      </c>
      <c r="BN154" s="228">
        <v>147</v>
      </c>
      <c r="BO154" s="228">
        <v>-14</v>
      </c>
      <c r="BP154" s="229">
        <v>-9.8199999999999996E-2</v>
      </c>
      <c r="BQ154" s="228">
        <v>748</v>
      </c>
      <c r="BR154" s="228">
        <v>734</v>
      </c>
      <c r="BS154" s="228">
        <v>14</v>
      </c>
      <c r="BT154" s="229">
        <v>1.95E-2</v>
      </c>
      <c r="BU154" s="230">
        <v>3579799</v>
      </c>
      <c r="BV154" s="230">
        <v>3719983</v>
      </c>
      <c r="BW154" s="230">
        <v>-140184</v>
      </c>
      <c r="BX154" s="229">
        <v>-3.7699999999999997E-2</v>
      </c>
      <c r="BY154" s="228">
        <v>959</v>
      </c>
      <c r="BZ154" s="230">
        <v>1012</v>
      </c>
      <c r="CA154" s="228">
        <v>-52</v>
      </c>
      <c r="CB154" s="229">
        <v>-5.1499999999999997E-2</v>
      </c>
      <c r="CC154" s="228">
        <v>905</v>
      </c>
      <c r="CD154" s="228">
        <v>963</v>
      </c>
      <c r="CE154" s="228">
        <v>-58</v>
      </c>
      <c r="CF154" s="229">
        <v>-0.06</v>
      </c>
      <c r="CG154" s="228">
        <v>46</v>
      </c>
      <c r="CH154" s="228">
        <v>40</v>
      </c>
      <c r="CI154" s="228">
        <v>6</v>
      </c>
      <c r="CJ154" s="229">
        <v>0.1527</v>
      </c>
      <c r="CK154" s="228">
        <v>8</v>
      </c>
      <c r="CL154" s="228">
        <v>9</v>
      </c>
      <c r="CM154" s="228">
        <v>0</v>
      </c>
      <c r="CN154" s="229">
        <v>-5.4300000000000001E-2</v>
      </c>
      <c r="CO154" s="228">
        <v>489</v>
      </c>
      <c r="CP154" s="228">
        <v>527</v>
      </c>
      <c r="CQ154" s="228">
        <v>-38</v>
      </c>
      <c r="CR154" s="229">
        <v>-7.1599999999999997E-2</v>
      </c>
      <c r="CS154" s="228">
        <v>220</v>
      </c>
      <c r="CT154" s="228">
        <v>230</v>
      </c>
      <c r="CU154" s="228">
        <v>-11</v>
      </c>
      <c r="CV154" s="229">
        <v>-4.7E-2</v>
      </c>
      <c r="CW154" s="230">
        <v>1668</v>
      </c>
      <c r="CX154" s="230">
        <v>1769</v>
      </c>
      <c r="CY154" s="228">
        <v>-101</v>
      </c>
      <c r="CZ154" s="229">
        <v>-5.6899999999999999E-2</v>
      </c>
      <c r="DA154" s="228">
        <v>33.78</v>
      </c>
      <c r="DB154" s="228">
        <v>31.09</v>
      </c>
      <c r="DC154" s="228">
        <v>2.69</v>
      </c>
      <c r="DD154" s="228">
        <v>2.69</v>
      </c>
      <c r="DE154" s="228">
        <v>41.53</v>
      </c>
      <c r="DF154" s="228">
        <v>41.63</v>
      </c>
      <c r="DG154" s="228">
        <v>-7.75</v>
      </c>
      <c r="DH154" s="228">
        <v>-0.1</v>
      </c>
      <c r="DI154" s="228">
        <v>33.75</v>
      </c>
      <c r="DJ154" s="228">
        <v>30.89</v>
      </c>
      <c r="DK154" s="228">
        <v>2.86</v>
      </c>
      <c r="DL154" s="228">
        <v>2.86</v>
      </c>
      <c r="DM154" s="228">
        <v>33.880000000000003</v>
      </c>
      <c r="DN154" s="228">
        <v>31.71</v>
      </c>
      <c r="DO154" s="228">
        <v>2.17</v>
      </c>
      <c r="DP154" s="228">
        <v>2.17</v>
      </c>
      <c r="DQ154" s="228">
        <v>0.45</v>
      </c>
      <c r="DR154" s="228">
        <v>0.44</v>
      </c>
      <c r="DS154" s="228">
        <v>0.01</v>
      </c>
      <c r="DT154" s="229">
        <v>2.2700000000000001E-2</v>
      </c>
      <c r="DU154" s="228">
        <v>500</v>
      </c>
      <c r="DV154" s="228">
        <v>470</v>
      </c>
      <c r="DW154" s="228">
        <v>0.3</v>
      </c>
      <c r="DX154" s="228">
        <v>0.32</v>
      </c>
      <c r="DY154" s="228">
        <v>-0.02</v>
      </c>
      <c r="DZ154" s="229">
        <v>-6.25E-2</v>
      </c>
      <c r="EA154" s="229">
        <v>5.67E-2</v>
      </c>
      <c r="EB154" s="230">
        <v>1033200</v>
      </c>
      <c r="EC154" s="229">
        <v>-5.1999999999999998E-3</v>
      </c>
      <c r="ED154" s="229">
        <v>5.67E-2</v>
      </c>
      <c r="EE154" s="228">
        <v>-2.79</v>
      </c>
      <c r="EF154" s="229">
        <v>-5.8999999999999999E-3</v>
      </c>
      <c r="EG154" s="230">
        <v>1968823</v>
      </c>
      <c r="EH154" s="230">
        <v>1962223</v>
      </c>
      <c r="EI154" s="229">
        <v>3.3999999999999998E-3</v>
      </c>
      <c r="EJ154" s="229">
        <v>0.55000000000000004</v>
      </c>
      <c r="EK154" s="228">
        <v>465.66</v>
      </c>
      <c r="EL154" s="228">
        <v>130.25</v>
      </c>
      <c r="EM154" s="228">
        <v>171.88</v>
      </c>
      <c r="EN154" s="228">
        <v>27.22</v>
      </c>
      <c r="EO154" s="228">
        <v>767.78</v>
      </c>
      <c r="EP154" s="228">
        <v>747.84</v>
      </c>
      <c r="EQ154" s="228">
        <v>19.940000000000001</v>
      </c>
      <c r="ER154" s="229">
        <v>2.6700000000000002E-2</v>
      </c>
      <c r="ES154" s="228">
        <v>521.29</v>
      </c>
      <c r="ET154" s="228">
        <v>214.48</v>
      </c>
      <c r="EU154" s="228">
        <v>959.15</v>
      </c>
      <c r="EV154" s="231">
        <v>105756420</v>
      </c>
      <c r="EW154" s="231">
        <v>1694.91</v>
      </c>
      <c r="EX154" s="231">
        <v>1796.01</v>
      </c>
      <c r="EY154" s="228">
        <v>-101.1</v>
      </c>
      <c r="EZ154" s="229">
        <v>-5.6300000000000003E-2</v>
      </c>
      <c r="FA154" s="229">
        <v>0.3347</v>
      </c>
      <c r="FB154" s="227" t="s">
        <v>693</v>
      </c>
      <c r="FC154">
        <f t="shared" si="3"/>
        <v>0</v>
      </c>
    </row>
    <row r="155" spans="1:159" ht="17.25" thickBot="1" x14ac:dyDescent="0.3">
      <c r="A155" s="226">
        <v>46132</v>
      </c>
      <c r="B155" s="227" t="s">
        <v>193</v>
      </c>
      <c r="C155" s="227" t="s">
        <v>269</v>
      </c>
      <c r="D155" s="228">
        <v>2250</v>
      </c>
      <c r="E155" s="228">
        <v>8</v>
      </c>
      <c r="F155" s="228">
        <v>284</v>
      </c>
      <c r="G155" s="228">
        <v>284.89999999999998</v>
      </c>
      <c r="H155" s="228">
        <v>-0.9</v>
      </c>
      <c r="I155" s="229">
        <v>-3.2000000000000002E-3</v>
      </c>
      <c r="J155" s="228">
        <v>283.35000000000002</v>
      </c>
      <c r="K155" s="228">
        <v>284.05</v>
      </c>
      <c r="L155" s="228">
        <v>-0.7</v>
      </c>
      <c r="M155" s="229">
        <v>-2.5000000000000001E-3</v>
      </c>
      <c r="N155" s="228">
        <v>284</v>
      </c>
      <c r="O155" s="228">
        <v>284.89999999999998</v>
      </c>
      <c r="P155" s="228">
        <v>-0.9</v>
      </c>
      <c r="Q155" s="229">
        <v>-3.2000000000000002E-3</v>
      </c>
      <c r="R155" s="228">
        <v>285.3</v>
      </c>
      <c r="S155" s="228">
        <v>286.35000000000002</v>
      </c>
      <c r="T155" s="228">
        <v>-1.05</v>
      </c>
      <c r="U155" s="229">
        <v>-3.7000000000000002E-3</v>
      </c>
      <c r="V155" s="228">
        <v>287.2</v>
      </c>
      <c r="W155" s="228">
        <v>288.10000000000002</v>
      </c>
      <c r="X155" s="228">
        <v>-0.9</v>
      </c>
      <c r="Y155" s="229">
        <v>-3.0999999999999999E-3</v>
      </c>
      <c r="Z155" s="228">
        <v>0.65</v>
      </c>
      <c r="AA155" s="228">
        <v>0.85</v>
      </c>
      <c r="AB155" s="228">
        <v>-0.2</v>
      </c>
      <c r="AC155" s="229">
        <v>2.3E-3</v>
      </c>
      <c r="AD155" s="228">
        <v>0.65</v>
      </c>
      <c r="AE155" s="228">
        <v>0.85</v>
      </c>
      <c r="AF155" s="228">
        <v>-0.2</v>
      </c>
      <c r="AG155" s="229">
        <v>2.3E-3</v>
      </c>
      <c r="AH155" s="228">
        <v>1.95</v>
      </c>
      <c r="AI155" s="228">
        <v>2.2999999999999998</v>
      </c>
      <c r="AJ155" s="228">
        <v>-0.35</v>
      </c>
      <c r="AK155" s="229">
        <v>6.8999999999999999E-3</v>
      </c>
      <c r="AL155" s="228">
        <v>3.85</v>
      </c>
      <c r="AM155" s="228">
        <v>4.05</v>
      </c>
      <c r="AN155" s="228">
        <v>-0.2</v>
      </c>
      <c r="AO155" s="229">
        <v>1.3599999999999999E-2</v>
      </c>
      <c r="AP155" s="228">
        <v>284.49</v>
      </c>
      <c r="AQ155" s="228">
        <v>285.98</v>
      </c>
      <c r="AR155" s="228">
        <v>0</v>
      </c>
      <c r="AS155" s="228">
        <v>289</v>
      </c>
      <c r="AT155" s="228">
        <v>383</v>
      </c>
      <c r="AU155" s="228">
        <v>-94</v>
      </c>
      <c r="AV155" s="229">
        <v>-0.2447</v>
      </c>
      <c r="AW155" s="228">
        <v>226</v>
      </c>
      <c r="AX155" s="228">
        <v>291</v>
      </c>
      <c r="AY155" s="228">
        <v>-65</v>
      </c>
      <c r="AZ155" s="229">
        <v>-0.223</v>
      </c>
      <c r="BA155" s="228">
        <v>60</v>
      </c>
      <c r="BB155" s="228">
        <v>38</v>
      </c>
      <c r="BC155" s="228">
        <v>22</v>
      </c>
      <c r="BD155" s="229">
        <v>0.58950000000000002</v>
      </c>
      <c r="BE155" s="228">
        <v>3</v>
      </c>
      <c r="BF155" s="228">
        <v>54</v>
      </c>
      <c r="BG155" s="228">
        <v>-51</v>
      </c>
      <c r="BH155" s="229">
        <v>-0.95</v>
      </c>
      <c r="BI155" s="230">
        <v>1770</v>
      </c>
      <c r="BJ155" s="230">
        <v>1595</v>
      </c>
      <c r="BK155" s="228">
        <v>175</v>
      </c>
      <c r="BL155" s="229">
        <v>0.10970000000000001</v>
      </c>
      <c r="BM155" s="228">
        <v>584</v>
      </c>
      <c r="BN155" s="228">
        <v>709</v>
      </c>
      <c r="BO155" s="228">
        <v>-125</v>
      </c>
      <c r="BP155" s="229">
        <v>-0.17630000000000001</v>
      </c>
      <c r="BQ155" s="230">
        <v>2643</v>
      </c>
      <c r="BR155" s="230">
        <v>2686</v>
      </c>
      <c r="BS155" s="228">
        <v>-44</v>
      </c>
      <c r="BT155" s="229">
        <v>-1.6199999999999999E-2</v>
      </c>
      <c r="BU155" s="230">
        <v>11338983</v>
      </c>
      <c r="BV155" s="230">
        <v>18639168</v>
      </c>
      <c r="BW155" s="230">
        <v>-7300185</v>
      </c>
      <c r="BX155" s="229">
        <v>-0.39169999999999999</v>
      </c>
      <c r="BY155" s="230">
        <v>2789</v>
      </c>
      <c r="BZ155" s="230">
        <v>2741</v>
      </c>
      <c r="CA155" s="228">
        <v>47</v>
      </c>
      <c r="CB155" s="229">
        <v>1.7299999999999999E-2</v>
      </c>
      <c r="CC155" s="230">
        <v>2461</v>
      </c>
      <c r="CD155" s="230">
        <v>2453</v>
      </c>
      <c r="CE155" s="228">
        <v>8</v>
      </c>
      <c r="CF155" s="229">
        <v>3.2000000000000002E-3</v>
      </c>
      <c r="CG155" s="228">
        <v>131</v>
      </c>
      <c r="CH155" s="228">
        <v>92</v>
      </c>
      <c r="CI155" s="228">
        <v>39</v>
      </c>
      <c r="CJ155" s="229">
        <v>0.42159999999999997</v>
      </c>
      <c r="CK155" s="228">
        <v>197</v>
      </c>
      <c r="CL155" s="228">
        <v>196</v>
      </c>
      <c r="CM155" s="228">
        <v>1</v>
      </c>
      <c r="CN155" s="229">
        <v>4.1999999999999997E-3</v>
      </c>
      <c r="CO155" s="230">
        <v>2707</v>
      </c>
      <c r="CP155" s="230">
        <v>2760</v>
      </c>
      <c r="CQ155" s="228">
        <v>-53</v>
      </c>
      <c r="CR155" s="229">
        <v>-1.9199999999999998E-2</v>
      </c>
      <c r="CS155" s="230">
        <v>1016</v>
      </c>
      <c r="CT155" s="230">
        <v>1028</v>
      </c>
      <c r="CU155" s="228">
        <v>-11</v>
      </c>
      <c r="CV155" s="229">
        <v>-1.09E-2</v>
      </c>
      <c r="CW155" s="230">
        <v>6512</v>
      </c>
      <c r="CX155" s="230">
        <v>6528</v>
      </c>
      <c r="CY155" s="228">
        <v>-17</v>
      </c>
      <c r="CZ155" s="229">
        <v>-2.5000000000000001E-3</v>
      </c>
      <c r="DA155" s="228">
        <v>26.77</v>
      </c>
      <c r="DB155" s="228">
        <v>24.42</v>
      </c>
      <c r="DC155" s="228">
        <v>2.35</v>
      </c>
      <c r="DD155" s="228">
        <v>2.35</v>
      </c>
      <c r="DE155" s="228">
        <v>31.65</v>
      </c>
      <c r="DF155" s="228">
        <v>31.73</v>
      </c>
      <c r="DG155" s="228">
        <v>-4.88</v>
      </c>
      <c r="DH155" s="228">
        <v>-0.08</v>
      </c>
      <c r="DI155" s="228">
        <v>26.56</v>
      </c>
      <c r="DJ155" s="228">
        <v>23.91</v>
      </c>
      <c r="DK155" s="228">
        <v>2.65</v>
      </c>
      <c r="DL155" s="228">
        <v>2.65</v>
      </c>
      <c r="DM155" s="228">
        <v>27.42</v>
      </c>
      <c r="DN155" s="228">
        <v>25.58</v>
      </c>
      <c r="DO155" s="228">
        <v>1.84</v>
      </c>
      <c r="DP155" s="228">
        <v>1.84</v>
      </c>
      <c r="DQ155" s="228">
        <v>0.38</v>
      </c>
      <c r="DR155" s="228">
        <v>0.37</v>
      </c>
      <c r="DS155" s="228">
        <v>0.01</v>
      </c>
      <c r="DT155" s="229">
        <v>2.7E-2</v>
      </c>
      <c r="DU155" s="228">
        <v>290</v>
      </c>
      <c r="DV155" s="228">
        <v>270</v>
      </c>
      <c r="DW155" s="228">
        <v>0.33</v>
      </c>
      <c r="DX155" s="228">
        <v>0.44</v>
      </c>
      <c r="DY155" s="228">
        <v>-0.11</v>
      </c>
      <c r="DZ155" s="229">
        <v>-0.25</v>
      </c>
      <c r="EA155" s="229">
        <v>0.11749999999999999</v>
      </c>
      <c r="EB155" s="230">
        <v>10140750</v>
      </c>
      <c r="EC155" s="229">
        <v>4.5999999999999999E-3</v>
      </c>
      <c r="ED155" s="229">
        <v>0.11749999999999999</v>
      </c>
      <c r="EE155" s="228">
        <v>1.49</v>
      </c>
      <c r="EF155" s="229">
        <v>5.1999999999999998E-3</v>
      </c>
      <c r="EG155" s="230">
        <v>7108517</v>
      </c>
      <c r="EH155" s="230">
        <v>12382494</v>
      </c>
      <c r="EI155" s="229">
        <v>-0.4259</v>
      </c>
      <c r="EJ155" s="229">
        <v>0.62690000000000001</v>
      </c>
      <c r="EK155" s="231">
        <v>1848.11</v>
      </c>
      <c r="EL155" s="228">
        <v>579.25</v>
      </c>
      <c r="EM155" s="228">
        <v>289.86</v>
      </c>
      <c r="EN155" s="228">
        <v>63.78</v>
      </c>
      <c r="EO155" s="231">
        <v>2717.22</v>
      </c>
      <c r="EP155" s="231">
        <v>2745.7</v>
      </c>
      <c r="EQ155" s="228">
        <v>-28.49</v>
      </c>
      <c r="ER155" s="229">
        <v>-1.04E-2</v>
      </c>
      <c r="ES155" s="231">
        <v>2811.81</v>
      </c>
      <c r="ET155" s="228">
        <v>981.93</v>
      </c>
      <c r="EU155" s="231">
        <v>2791.6</v>
      </c>
      <c r="EV155" s="231">
        <v>711370982</v>
      </c>
      <c r="EW155" s="231">
        <v>6585.34</v>
      </c>
      <c r="EX155" s="231">
        <v>6618.84</v>
      </c>
      <c r="EY155" s="228">
        <v>-33.5</v>
      </c>
      <c r="EZ155" s="229">
        <v>-5.1000000000000004E-3</v>
      </c>
      <c r="FA155" s="229">
        <v>0.32229999999999998</v>
      </c>
      <c r="FB155" s="227" t="s">
        <v>566</v>
      </c>
      <c r="FC155">
        <f t="shared" si="3"/>
        <v>0</v>
      </c>
    </row>
    <row r="156" spans="1:159" ht="17.25" thickBot="1" x14ac:dyDescent="0.3">
      <c r="A156" s="226">
        <v>46132</v>
      </c>
      <c r="B156" s="227" t="s">
        <v>197</v>
      </c>
      <c r="C156" s="227" t="s">
        <v>270</v>
      </c>
      <c r="D156" s="228">
        <v>15</v>
      </c>
      <c r="E156" s="228">
        <v>8</v>
      </c>
      <c r="F156" s="231">
        <v>38365</v>
      </c>
      <c r="G156" s="231">
        <v>37930</v>
      </c>
      <c r="H156" s="228">
        <v>435</v>
      </c>
      <c r="I156" s="229">
        <v>1.15E-2</v>
      </c>
      <c r="J156" s="231">
        <v>38405</v>
      </c>
      <c r="K156" s="231">
        <v>37975</v>
      </c>
      <c r="L156" s="228">
        <v>430</v>
      </c>
      <c r="M156" s="229">
        <v>1.1299999999999999E-2</v>
      </c>
      <c r="N156" s="231">
        <v>38365</v>
      </c>
      <c r="O156" s="231">
        <v>37930</v>
      </c>
      <c r="P156" s="228">
        <v>435</v>
      </c>
      <c r="Q156" s="229">
        <v>1.15E-2</v>
      </c>
      <c r="R156" s="231">
        <v>38175</v>
      </c>
      <c r="S156" s="231">
        <v>37715</v>
      </c>
      <c r="T156" s="228">
        <v>460</v>
      </c>
      <c r="U156" s="229">
        <v>1.2200000000000001E-2</v>
      </c>
      <c r="V156" s="231">
        <v>38085</v>
      </c>
      <c r="W156" s="231">
        <v>37590</v>
      </c>
      <c r="X156" s="228">
        <v>495</v>
      </c>
      <c r="Y156" s="229">
        <v>1.32E-2</v>
      </c>
      <c r="Z156" s="228">
        <v>-40</v>
      </c>
      <c r="AA156" s="228">
        <v>-45</v>
      </c>
      <c r="AB156" s="228">
        <v>5</v>
      </c>
      <c r="AC156" s="229">
        <v>-1E-3</v>
      </c>
      <c r="AD156" s="228">
        <v>-40</v>
      </c>
      <c r="AE156" s="228">
        <v>-45</v>
      </c>
      <c r="AF156" s="228">
        <v>5</v>
      </c>
      <c r="AG156" s="229">
        <v>-1E-3</v>
      </c>
      <c r="AH156" s="228">
        <v>-230</v>
      </c>
      <c r="AI156" s="228">
        <v>-260</v>
      </c>
      <c r="AJ156" s="228">
        <v>30</v>
      </c>
      <c r="AK156" s="229">
        <v>-6.0000000000000001E-3</v>
      </c>
      <c r="AL156" s="228">
        <v>-320</v>
      </c>
      <c r="AM156" s="228">
        <v>-385</v>
      </c>
      <c r="AN156" s="228">
        <v>65</v>
      </c>
      <c r="AO156" s="229">
        <v>-8.3000000000000001E-3</v>
      </c>
      <c r="AP156" s="231">
        <v>38098.17</v>
      </c>
      <c r="AQ156" s="231">
        <v>37911.24</v>
      </c>
      <c r="AR156" s="228">
        <v>0</v>
      </c>
      <c r="AS156" s="228">
        <v>209</v>
      </c>
      <c r="AT156" s="228">
        <v>314</v>
      </c>
      <c r="AU156" s="228">
        <v>-105</v>
      </c>
      <c r="AV156" s="229">
        <v>-0.33489999999999998</v>
      </c>
      <c r="AW156" s="228">
        <v>179</v>
      </c>
      <c r="AX156" s="228">
        <v>283</v>
      </c>
      <c r="AY156" s="228">
        <v>-105</v>
      </c>
      <c r="AZ156" s="229">
        <v>-0.36980000000000002</v>
      </c>
      <c r="BA156" s="228">
        <v>29</v>
      </c>
      <c r="BB156" s="228">
        <v>29</v>
      </c>
      <c r="BC156" s="228">
        <v>0</v>
      </c>
      <c r="BD156" s="229">
        <v>0.01</v>
      </c>
      <c r="BE156" s="228">
        <v>1</v>
      </c>
      <c r="BF156" s="228">
        <v>2</v>
      </c>
      <c r="BG156" s="228">
        <v>-1</v>
      </c>
      <c r="BH156" s="229">
        <v>-0.37140000000000001</v>
      </c>
      <c r="BI156" s="228">
        <v>263</v>
      </c>
      <c r="BJ156" s="228">
        <v>647</v>
      </c>
      <c r="BK156" s="228">
        <v>-384</v>
      </c>
      <c r="BL156" s="229">
        <v>-0.59360000000000002</v>
      </c>
      <c r="BM156" s="228">
        <v>487</v>
      </c>
      <c r="BN156" s="228">
        <v>394</v>
      </c>
      <c r="BO156" s="228">
        <v>93</v>
      </c>
      <c r="BP156" s="229">
        <v>0.23569999999999999</v>
      </c>
      <c r="BQ156" s="228">
        <v>959</v>
      </c>
      <c r="BR156" s="230">
        <v>1355</v>
      </c>
      <c r="BS156" s="228">
        <v>-396</v>
      </c>
      <c r="BT156" s="229">
        <v>-0.29249999999999998</v>
      </c>
      <c r="BU156" s="230">
        <v>50015</v>
      </c>
      <c r="BV156" s="230">
        <v>66226</v>
      </c>
      <c r="BW156" s="230">
        <v>-16211</v>
      </c>
      <c r="BX156" s="229">
        <v>-0.24479999999999999</v>
      </c>
      <c r="BY156" s="230">
        <v>1385</v>
      </c>
      <c r="BZ156" s="230">
        <v>1388</v>
      </c>
      <c r="CA156" s="228">
        <v>-3</v>
      </c>
      <c r="CB156" s="229">
        <v>-2.3999999999999998E-3</v>
      </c>
      <c r="CC156" s="230">
        <v>1324</v>
      </c>
      <c r="CD156" s="230">
        <v>1341</v>
      </c>
      <c r="CE156" s="228">
        <v>-17</v>
      </c>
      <c r="CF156" s="229">
        <v>-1.26E-2</v>
      </c>
      <c r="CG156" s="228">
        <v>57</v>
      </c>
      <c r="CH156" s="228">
        <v>44</v>
      </c>
      <c r="CI156" s="228">
        <v>13</v>
      </c>
      <c r="CJ156" s="229">
        <v>0.29389999999999999</v>
      </c>
      <c r="CK156" s="228">
        <v>4</v>
      </c>
      <c r="CL156" s="228">
        <v>4</v>
      </c>
      <c r="CM156" s="228">
        <v>0</v>
      </c>
      <c r="CN156" s="229">
        <v>0.13109999999999999</v>
      </c>
      <c r="CO156" s="228">
        <v>248</v>
      </c>
      <c r="CP156" s="228">
        <v>259</v>
      </c>
      <c r="CQ156" s="228">
        <v>-11</v>
      </c>
      <c r="CR156" s="229">
        <v>-4.3499999999999997E-2</v>
      </c>
      <c r="CS156" s="228">
        <v>313</v>
      </c>
      <c r="CT156" s="228">
        <v>283</v>
      </c>
      <c r="CU156" s="228">
        <v>29</v>
      </c>
      <c r="CV156" s="229">
        <v>0.1038</v>
      </c>
      <c r="CW156" s="230">
        <v>1946</v>
      </c>
      <c r="CX156" s="230">
        <v>1931</v>
      </c>
      <c r="CY156" s="228">
        <v>15</v>
      </c>
      <c r="CZ156" s="229">
        <v>7.6E-3</v>
      </c>
      <c r="DA156" s="228">
        <v>31.69</v>
      </c>
      <c r="DB156" s="228">
        <v>29.38</v>
      </c>
      <c r="DC156" s="228">
        <v>2.31</v>
      </c>
      <c r="DD156" s="228">
        <v>2.31</v>
      </c>
      <c r="DE156" s="228">
        <v>28.91</v>
      </c>
      <c r="DF156" s="228">
        <v>28.94</v>
      </c>
      <c r="DG156" s="228">
        <v>2.78</v>
      </c>
      <c r="DH156" s="228">
        <v>-0.03</v>
      </c>
      <c r="DI156" s="228">
        <v>31.02</v>
      </c>
      <c r="DJ156" s="228">
        <v>28.18</v>
      </c>
      <c r="DK156" s="228">
        <v>2.84</v>
      </c>
      <c r="DL156" s="228">
        <v>2.84</v>
      </c>
      <c r="DM156" s="228">
        <v>32.06</v>
      </c>
      <c r="DN156" s="228">
        <v>31.35</v>
      </c>
      <c r="DO156" s="228">
        <v>0.71</v>
      </c>
      <c r="DP156" s="228">
        <v>0.71</v>
      </c>
      <c r="DQ156" s="228">
        <v>1.26</v>
      </c>
      <c r="DR156" s="228">
        <v>1.0900000000000001</v>
      </c>
      <c r="DS156" s="228">
        <v>0.17</v>
      </c>
      <c r="DT156" s="229">
        <v>0.156</v>
      </c>
      <c r="DU156" s="231">
        <v>33000</v>
      </c>
      <c r="DV156" s="231">
        <v>32000</v>
      </c>
      <c r="DW156" s="228">
        <v>1.85</v>
      </c>
      <c r="DX156" s="228">
        <v>0.61</v>
      </c>
      <c r="DY156" s="228">
        <v>1.24</v>
      </c>
      <c r="DZ156" s="229">
        <v>2.0327999999999999</v>
      </c>
      <c r="EA156" s="229">
        <v>4.4200000000000003E-2</v>
      </c>
      <c r="EB156" s="230">
        <v>12450</v>
      </c>
      <c r="EC156" s="229">
        <v>-5.0000000000000001E-3</v>
      </c>
      <c r="ED156" s="229">
        <v>4.4200000000000003E-2</v>
      </c>
      <c r="EE156" s="228">
        <v>-186.93</v>
      </c>
      <c r="EF156" s="229">
        <v>-4.8999999999999998E-3</v>
      </c>
      <c r="EG156" s="230">
        <v>30183</v>
      </c>
      <c r="EH156" s="230">
        <v>42074</v>
      </c>
      <c r="EI156" s="229">
        <v>-0.28260000000000002</v>
      </c>
      <c r="EJ156" s="229">
        <v>0.60350000000000004</v>
      </c>
      <c r="EK156" s="228">
        <v>270.97000000000003</v>
      </c>
      <c r="EL156" s="228">
        <v>424.91</v>
      </c>
      <c r="EM156" s="228">
        <v>207.35</v>
      </c>
      <c r="EN156" s="228">
        <v>44.38</v>
      </c>
      <c r="EO156" s="228">
        <v>903.23</v>
      </c>
      <c r="EP156" s="231">
        <v>1342.02</v>
      </c>
      <c r="EQ156" s="228">
        <v>-438.78</v>
      </c>
      <c r="ER156" s="229">
        <v>-0.32700000000000001</v>
      </c>
      <c r="ES156" s="228">
        <v>233.31</v>
      </c>
      <c r="ET156" s="228">
        <v>279.74</v>
      </c>
      <c r="EU156" s="231">
        <v>1384.68</v>
      </c>
      <c r="EV156" s="231">
        <v>955549</v>
      </c>
      <c r="EW156" s="231">
        <v>1897.73</v>
      </c>
      <c r="EX156" s="231">
        <v>1870.79</v>
      </c>
      <c r="EY156" s="228">
        <v>26.94</v>
      </c>
      <c r="EZ156" s="229">
        <v>1.44E-2</v>
      </c>
      <c r="FA156" s="229">
        <v>0.53080000000000005</v>
      </c>
      <c r="FB156" s="227" t="s">
        <v>693</v>
      </c>
      <c r="FC156">
        <f t="shared" si="3"/>
        <v>0</v>
      </c>
    </row>
    <row r="157" spans="1:159" ht="17.25" thickBot="1" x14ac:dyDescent="0.3">
      <c r="A157" s="226">
        <v>46132</v>
      </c>
      <c r="B157" s="227" t="s">
        <v>168</v>
      </c>
      <c r="C157" s="227" t="s">
        <v>664</v>
      </c>
      <c r="D157" s="228">
        <v>900</v>
      </c>
      <c r="E157" s="228">
        <v>8</v>
      </c>
      <c r="F157" s="228">
        <v>459.5</v>
      </c>
      <c r="G157" s="228">
        <v>469</v>
      </c>
      <c r="H157" s="228">
        <v>-9.5</v>
      </c>
      <c r="I157" s="229">
        <v>-2.0299999999999999E-2</v>
      </c>
      <c r="J157" s="228">
        <v>459.65</v>
      </c>
      <c r="K157" s="228">
        <v>468.3</v>
      </c>
      <c r="L157" s="228">
        <v>-8.65</v>
      </c>
      <c r="M157" s="229">
        <v>-1.8499999999999999E-2</v>
      </c>
      <c r="N157" s="228">
        <v>459.5</v>
      </c>
      <c r="O157" s="228">
        <v>469</v>
      </c>
      <c r="P157" s="228">
        <v>-9.5</v>
      </c>
      <c r="Q157" s="229">
        <v>-2.0299999999999999E-2</v>
      </c>
      <c r="R157" s="228">
        <v>462.25</v>
      </c>
      <c r="S157" s="228">
        <v>471.4</v>
      </c>
      <c r="T157" s="228">
        <v>-9.15</v>
      </c>
      <c r="U157" s="229">
        <v>-1.9400000000000001E-2</v>
      </c>
      <c r="V157" s="228">
        <v>463.85</v>
      </c>
      <c r="W157" s="228">
        <v>473.8</v>
      </c>
      <c r="X157" s="228">
        <v>-9.9499999999999993</v>
      </c>
      <c r="Y157" s="229">
        <v>-2.1000000000000001E-2</v>
      </c>
      <c r="Z157" s="228">
        <v>-0.15</v>
      </c>
      <c r="AA157" s="228">
        <v>0.7</v>
      </c>
      <c r="AB157" s="228">
        <v>-0.85</v>
      </c>
      <c r="AC157" s="229">
        <v>-2.9999999999999997E-4</v>
      </c>
      <c r="AD157" s="228">
        <v>-0.15</v>
      </c>
      <c r="AE157" s="228">
        <v>0.7</v>
      </c>
      <c r="AF157" s="228">
        <v>-0.85</v>
      </c>
      <c r="AG157" s="229">
        <v>-2.9999999999999997E-4</v>
      </c>
      <c r="AH157" s="228">
        <v>2.6</v>
      </c>
      <c r="AI157" s="228">
        <v>3.1</v>
      </c>
      <c r="AJ157" s="228">
        <v>-0.5</v>
      </c>
      <c r="AK157" s="229">
        <v>5.7000000000000002E-3</v>
      </c>
      <c r="AL157" s="228">
        <v>4.2</v>
      </c>
      <c r="AM157" s="228">
        <v>5.5</v>
      </c>
      <c r="AN157" s="228">
        <v>-1.3</v>
      </c>
      <c r="AO157" s="229">
        <v>9.1000000000000004E-3</v>
      </c>
      <c r="AP157" s="228">
        <v>461.18</v>
      </c>
      <c r="AQ157" s="228">
        <v>463.26</v>
      </c>
      <c r="AR157" s="228">
        <v>0</v>
      </c>
      <c r="AS157" s="228">
        <v>163</v>
      </c>
      <c r="AT157" s="228">
        <v>252</v>
      </c>
      <c r="AU157" s="228">
        <v>-88</v>
      </c>
      <c r="AV157" s="229">
        <v>-0.35110000000000002</v>
      </c>
      <c r="AW157" s="228">
        <v>134</v>
      </c>
      <c r="AX157" s="228">
        <v>219</v>
      </c>
      <c r="AY157" s="228">
        <v>-85</v>
      </c>
      <c r="AZ157" s="229">
        <v>-0.38690000000000002</v>
      </c>
      <c r="BA157" s="228">
        <v>28</v>
      </c>
      <c r="BB157" s="228">
        <v>32</v>
      </c>
      <c r="BC157" s="228">
        <v>-4</v>
      </c>
      <c r="BD157" s="229">
        <v>-0.12</v>
      </c>
      <c r="BE157" s="228">
        <v>1</v>
      </c>
      <c r="BF157" s="228">
        <v>1</v>
      </c>
      <c r="BG157" s="228">
        <v>0</v>
      </c>
      <c r="BH157" s="229">
        <v>0.21049999999999999</v>
      </c>
      <c r="BI157" s="228">
        <v>214</v>
      </c>
      <c r="BJ157" s="228">
        <v>573</v>
      </c>
      <c r="BK157" s="228">
        <v>-360</v>
      </c>
      <c r="BL157" s="229">
        <v>-0.62770000000000004</v>
      </c>
      <c r="BM157" s="228">
        <v>71</v>
      </c>
      <c r="BN157" s="228">
        <v>123</v>
      </c>
      <c r="BO157" s="228">
        <v>-51</v>
      </c>
      <c r="BP157" s="229">
        <v>-0.41849999999999998</v>
      </c>
      <c r="BQ157" s="228">
        <v>448</v>
      </c>
      <c r="BR157" s="228">
        <v>948</v>
      </c>
      <c r="BS157" s="228">
        <v>-500</v>
      </c>
      <c r="BT157" s="229">
        <v>-0.52710000000000001</v>
      </c>
      <c r="BU157" s="230">
        <v>2416496</v>
      </c>
      <c r="BV157" s="230">
        <v>2788424</v>
      </c>
      <c r="BW157" s="230">
        <v>-371928</v>
      </c>
      <c r="BX157" s="229">
        <v>-0.13339999999999999</v>
      </c>
      <c r="BY157" s="230">
        <v>1608</v>
      </c>
      <c r="BZ157" s="230">
        <v>1585</v>
      </c>
      <c r="CA157" s="228">
        <v>24</v>
      </c>
      <c r="CB157" s="229">
        <v>1.49E-2</v>
      </c>
      <c r="CC157" s="230">
        <v>1575</v>
      </c>
      <c r="CD157" s="230">
        <v>1563</v>
      </c>
      <c r="CE157" s="228">
        <v>12</v>
      </c>
      <c r="CF157" s="229">
        <v>7.6E-3</v>
      </c>
      <c r="CG157" s="228">
        <v>30</v>
      </c>
      <c r="CH157" s="228">
        <v>19</v>
      </c>
      <c r="CI157" s="228">
        <v>11</v>
      </c>
      <c r="CJ157" s="229">
        <v>0.57299999999999995</v>
      </c>
      <c r="CK157" s="228">
        <v>3</v>
      </c>
      <c r="CL157" s="228">
        <v>2</v>
      </c>
      <c r="CM157" s="228">
        <v>1</v>
      </c>
      <c r="CN157" s="229">
        <v>0.29310000000000003</v>
      </c>
      <c r="CO157" s="228">
        <v>264</v>
      </c>
      <c r="CP157" s="228">
        <v>238</v>
      </c>
      <c r="CQ157" s="228">
        <v>26</v>
      </c>
      <c r="CR157" s="229">
        <v>0.10730000000000001</v>
      </c>
      <c r="CS157" s="228">
        <v>141</v>
      </c>
      <c r="CT157" s="228">
        <v>139</v>
      </c>
      <c r="CU157" s="228">
        <v>2</v>
      </c>
      <c r="CV157" s="229">
        <v>1.5100000000000001E-2</v>
      </c>
      <c r="CW157" s="230">
        <v>2013</v>
      </c>
      <c r="CX157" s="230">
        <v>1962</v>
      </c>
      <c r="CY157" s="228">
        <v>51</v>
      </c>
      <c r="CZ157" s="229">
        <v>2.6200000000000001E-2</v>
      </c>
      <c r="DA157" s="228">
        <v>37.57</v>
      </c>
      <c r="DB157" s="228">
        <v>30.98</v>
      </c>
      <c r="DC157" s="228">
        <v>6.59</v>
      </c>
      <c r="DD157" s="228">
        <v>6.59</v>
      </c>
      <c r="DE157" s="228">
        <v>32.28</v>
      </c>
      <c r="DF157" s="228">
        <v>32.25</v>
      </c>
      <c r="DG157" s="228">
        <v>5.29</v>
      </c>
      <c r="DH157" s="228">
        <v>0.03</v>
      </c>
      <c r="DI157" s="228">
        <v>37.43</v>
      </c>
      <c r="DJ157" s="228">
        <v>31.02</v>
      </c>
      <c r="DK157" s="228">
        <v>6.41</v>
      </c>
      <c r="DL157" s="228">
        <v>6.41</v>
      </c>
      <c r="DM157" s="228">
        <v>38.01</v>
      </c>
      <c r="DN157" s="228">
        <v>30.79</v>
      </c>
      <c r="DO157" s="228">
        <v>7.22</v>
      </c>
      <c r="DP157" s="228">
        <v>7.22</v>
      </c>
      <c r="DQ157" s="228">
        <v>0.54</v>
      </c>
      <c r="DR157" s="228">
        <v>0.59</v>
      </c>
      <c r="DS157" s="228">
        <v>-0.05</v>
      </c>
      <c r="DT157" s="229">
        <v>-8.4699999999999998E-2</v>
      </c>
      <c r="DU157" s="228">
        <v>480</v>
      </c>
      <c r="DV157" s="228">
        <v>510</v>
      </c>
      <c r="DW157" s="228">
        <v>0.33</v>
      </c>
      <c r="DX157" s="228">
        <v>0.21</v>
      </c>
      <c r="DY157" s="228">
        <v>0.12</v>
      </c>
      <c r="DZ157" s="229">
        <v>0.57140000000000002</v>
      </c>
      <c r="EA157" s="229">
        <v>2.0799999999999999E-2</v>
      </c>
      <c r="EB157" s="230">
        <v>471600</v>
      </c>
      <c r="EC157" s="229">
        <v>6.0000000000000001E-3</v>
      </c>
      <c r="ED157" s="229">
        <v>2.0799999999999999E-2</v>
      </c>
      <c r="EE157" s="228">
        <v>2.08</v>
      </c>
      <c r="EF157" s="229">
        <v>4.4999999999999997E-3</v>
      </c>
      <c r="EG157" s="230">
        <v>1049104</v>
      </c>
      <c r="EH157" s="230">
        <v>1432085</v>
      </c>
      <c r="EI157" s="229">
        <v>-0.26740000000000003</v>
      </c>
      <c r="EJ157" s="229">
        <v>0.43409999999999999</v>
      </c>
      <c r="EK157" s="228">
        <v>224.96</v>
      </c>
      <c r="EL157" s="228">
        <v>72.599999999999994</v>
      </c>
      <c r="EM157" s="228">
        <v>164.17</v>
      </c>
      <c r="EN157" s="228">
        <v>41.15</v>
      </c>
      <c r="EO157" s="228">
        <v>461.73</v>
      </c>
      <c r="EP157" s="228">
        <v>997.32</v>
      </c>
      <c r="EQ157" s="228">
        <v>-535.59</v>
      </c>
      <c r="ER157" s="229">
        <v>-0.53700000000000003</v>
      </c>
      <c r="ES157" s="228">
        <v>280.01</v>
      </c>
      <c r="ET157" s="228">
        <v>148.38</v>
      </c>
      <c r="EU157" s="231">
        <v>1608.55</v>
      </c>
      <c r="EV157" s="231">
        <v>51786533</v>
      </c>
      <c r="EW157" s="231">
        <v>2036.95</v>
      </c>
      <c r="EX157" s="231">
        <v>2017.48</v>
      </c>
      <c r="EY157" s="228">
        <v>19.47</v>
      </c>
      <c r="EZ157" s="229">
        <v>9.7000000000000003E-3</v>
      </c>
      <c r="FA157" s="229">
        <v>0.84609999999999996</v>
      </c>
      <c r="FB157" s="227" t="s">
        <v>566</v>
      </c>
      <c r="FC157">
        <f t="shared" si="3"/>
        <v>0</v>
      </c>
    </row>
    <row r="158" spans="1:159" ht="17.25" thickBot="1" x14ac:dyDescent="0.3">
      <c r="A158" s="226">
        <v>46132</v>
      </c>
      <c r="B158" s="227" t="s">
        <v>614</v>
      </c>
      <c r="C158" s="227" t="s">
        <v>574</v>
      </c>
      <c r="D158" s="228">
        <v>725</v>
      </c>
      <c r="E158" s="228">
        <v>8</v>
      </c>
      <c r="F158" s="231">
        <v>1162.7</v>
      </c>
      <c r="G158" s="231">
        <v>1161.7</v>
      </c>
      <c r="H158" s="228">
        <v>1</v>
      </c>
      <c r="I158" s="229">
        <v>8.9999999999999998E-4</v>
      </c>
      <c r="J158" s="231">
        <v>1161.3499999999999</v>
      </c>
      <c r="K158" s="231">
        <v>1161.6500000000001</v>
      </c>
      <c r="L158" s="228">
        <v>-0.3</v>
      </c>
      <c r="M158" s="229">
        <v>-2.9999999999999997E-4</v>
      </c>
      <c r="N158" s="231">
        <v>1162.7</v>
      </c>
      <c r="O158" s="231">
        <v>1161.7</v>
      </c>
      <c r="P158" s="228">
        <v>1</v>
      </c>
      <c r="Q158" s="229">
        <v>8.9999999999999998E-4</v>
      </c>
      <c r="R158" s="231">
        <v>1168.8</v>
      </c>
      <c r="S158" s="231">
        <v>1166.6500000000001</v>
      </c>
      <c r="T158" s="228">
        <v>2.15</v>
      </c>
      <c r="U158" s="229">
        <v>1.8E-3</v>
      </c>
      <c r="V158" s="231">
        <v>1174.3499999999999</v>
      </c>
      <c r="W158" s="231">
        <v>1175.8</v>
      </c>
      <c r="X158" s="228">
        <v>-1.45</v>
      </c>
      <c r="Y158" s="229">
        <v>-1.1999999999999999E-3</v>
      </c>
      <c r="Z158" s="228">
        <v>1.35</v>
      </c>
      <c r="AA158" s="228">
        <v>0.05</v>
      </c>
      <c r="AB158" s="228">
        <v>1.3</v>
      </c>
      <c r="AC158" s="229">
        <v>1.1999999999999999E-3</v>
      </c>
      <c r="AD158" s="228">
        <v>1.35</v>
      </c>
      <c r="AE158" s="228">
        <v>0.05</v>
      </c>
      <c r="AF158" s="228">
        <v>1.3</v>
      </c>
      <c r="AG158" s="229">
        <v>1.1999999999999999E-3</v>
      </c>
      <c r="AH158" s="228">
        <v>7.45</v>
      </c>
      <c r="AI158" s="228">
        <v>5</v>
      </c>
      <c r="AJ158" s="228">
        <v>2.4500000000000002</v>
      </c>
      <c r="AK158" s="229">
        <v>6.4000000000000003E-3</v>
      </c>
      <c r="AL158" s="228">
        <v>13</v>
      </c>
      <c r="AM158" s="228">
        <v>14.15</v>
      </c>
      <c r="AN158" s="228">
        <v>-1.1499999999999999</v>
      </c>
      <c r="AO158" s="229">
        <v>1.12E-2</v>
      </c>
      <c r="AP158" s="231">
        <v>1167.5999999999999</v>
      </c>
      <c r="AQ158" s="231">
        <v>1173.23</v>
      </c>
      <c r="AR158" s="228">
        <v>0</v>
      </c>
      <c r="AS158" s="228">
        <v>234</v>
      </c>
      <c r="AT158" s="228">
        <v>251</v>
      </c>
      <c r="AU158" s="228">
        <v>-17</v>
      </c>
      <c r="AV158" s="229">
        <v>-6.8500000000000005E-2</v>
      </c>
      <c r="AW158" s="228">
        <v>191</v>
      </c>
      <c r="AX158" s="228">
        <v>227</v>
      </c>
      <c r="AY158" s="228">
        <v>-36</v>
      </c>
      <c r="AZ158" s="229">
        <v>-0.1598</v>
      </c>
      <c r="BA158" s="228">
        <v>40</v>
      </c>
      <c r="BB158" s="228">
        <v>23</v>
      </c>
      <c r="BC158" s="228">
        <v>16</v>
      </c>
      <c r="BD158" s="229">
        <v>0.70909999999999995</v>
      </c>
      <c r="BE158" s="228">
        <v>3</v>
      </c>
      <c r="BF158" s="228">
        <v>1</v>
      </c>
      <c r="BG158" s="228">
        <v>3</v>
      </c>
      <c r="BH158" s="229">
        <v>4</v>
      </c>
      <c r="BI158" s="228">
        <v>626</v>
      </c>
      <c r="BJ158" s="228">
        <v>758</v>
      </c>
      <c r="BK158" s="228">
        <v>-132</v>
      </c>
      <c r="BL158" s="229">
        <v>-0.17469999999999999</v>
      </c>
      <c r="BM158" s="228">
        <v>487</v>
      </c>
      <c r="BN158" s="228">
        <v>547</v>
      </c>
      <c r="BO158" s="228">
        <v>-60</v>
      </c>
      <c r="BP158" s="229">
        <v>-0.10979999999999999</v>
      </c>
      <c r="BQ158" s="230">
        <v>1346</v>
      </c>
      <c r="BR158" s="230">
        <v>1556</v>
      </c>
      <c r="BS158" s="228">
        <v>-210</v>
      </c>
      <c r="BT158" s="229">
        <v>-0.13469999999999999</v>
      </c>
      <c r="BU158" s="230">
        <v>1581525</v>
      </c>
      <c r="BV158" s="230">
        <v>1766172</v>
      </c>
      <c r="BW158" s="230">
        <v>-184647</v>
      </c>
      <c r="BX158" s="229">
        <v>-0.1045</v>
      </c>
      <c r="BY158" s="230">
        <v>1784</v>
      </c>
      <c r="BZ158" s="230">
        <v>1816</v>
      </c>
      <c r="CA158" s="228">
        <v>-32</v>
      </c>
      <c r="CB158" s="229">
        <v>-1.7399999999999999E-2</v>
      </c>
      <c r="CC158" s="230">
        <v>1692</v>
      </c>
      <c r="CD158" s="230">
        <v>1731</v>
      </c>
      <c r="CE158" s="228">
        <v>-38</v>
      </c>
      <c r="CF158" s="229">
        <v>-2.2100000000000002E-2</v>
      </c>
      <c r="CG158" s="228">
        <v>88</v>
      </c>
      <c r="CH158" s="228">
        <v>81</v>
      </c>
      <c r="CI158" s="228">
        <v>8</v>
      </c>
      <c r="CJ158" s="229">
        <v>9.3100000000000002E-2</v>
      </c>
      <c r="CK158" s="228">
        <v>4</v>
      </c>
      <c r="CL158" s="228">
        <v>5</v>
      </c>
      <c r="CM158" s="228">
        <v>-1</v>
      </c>
      <c r="CN158" s="229">
        <v>-0.16070000000000001</v>
      </c>
      <c r="CO158" s="228">
        <v>760</v>
      </c>
      <c r="CP158" s="228">
        <v>740</v>
      </c>
      <c r="CQ158" s="228">
        <v>21</v>
      </c>
      <c r="CR158" s="229">
        <v>2.8299999999999999E-2</v>
      </c>
      <c r="CS158" s="228">
        <v>743</v>
      </c>
      <c r="CT158" s="228">
        <v>710</v>
      </c>
      <c r="CU158" s="228">
        <v>33</v>
      </c>
      <c r="CV158" s="229">
        <v>4.6399999999999997E-2</v>
      </c>
      <c r="CW158" s="230">
        <v>3288</v>
      </c>
      <c r="CX158" s="230">
        <v>3266</v>
      </c>
      <c r="CY158" s="228">
        <v>22</v>
      </c>
      <c r="CZ158" s="229">
        <v>6.7999999999999996E-3</v>
      </c>
      <c r="DA158" s="228">
        <v>40.42</v>
      </c>
      <c r="DB158" s="228">
        <v>37.31</v>
      </c>
      <c r="DC158" s="228">
        <v>3.11</v>
      </c>
      <c r="DD158" s="228">
        <v>3.11</v>
      </c>
      <c r="DE158" s="228">
        <v>52.61</v>
      </c>
      <c r="DF158" s="228">
        <v>52.74</v>
      </c>
      <c r="DG158" s="228">
        <v>-12.19</v>
      </c>
      <c r="DH158" s="228">
        <v>-0.13</v>
      </c>
      <c r="DI158" s="228">
        <v>37.880000000000003</v>
      </c>
      <c r="DJ158" s="228">
        <v>35.18</v>
      </c>
      <c r="DK158" s="228">
        <v>2.7</v>
      </c>
      <c r="DL158" s="228">
        <v>2.7</v>
      </c>
      <c r="DM158" s="228">
        <v>43.69</v>
      </c>
      <c r="DN158" s="228">
        <v>40.25</v>
      </c>
      <c r="DO158" s="228">
        <v>3.44</v>
      </c>
      <c r="DP158" s="228">
        <v>3.44</v>
      </c>
      <c r="DQ158" s="228">
        <v>0.98</v>
      </c>
      <c r="DR158" s="228">
        <v>0.96</v>
      </c>
      <c r="DS158" s="228">
        <v>0.02</v>
      </c>
      <c r="DT158" s="229">
        <v>2.0799999999999999E-2</v>
      </c>
      <c r="DU158" s="231">
        <v>1100</v>
      </c>
      <c r="DV158" s="231">
        <v>1100</v>
      </c>
      <c r="DW158" s="228">
        <v>0.78</v>
      </c>
      <c r="DX158" s="228">
        <v>0.72</v>
      </c>
      <c r="DY158" s="228">
        <v>0.06</v>
      </c>
      <c r="DZ158" s="229">
        <v>8.3299999999999999E-2</v>
      </c>
      <c r="EA158" s="229">
        <v>5.16E-2</v>
      </c>
      <c r="EB158" s="230">
        <v>733700</v>
      </c>
      <c r="EC158" s="229">
        <v>5.1999999999999998E-3</v>
      </c>
      <c r="ED158" s="229">
        <v>5.16E-2</v>
      </c>
      <c r="EE158" s="228">
        <v>5.63</v>
      </c>
      <c r="EF158" s="229">
        <v>4.7999999999999996E-3</v>
      </c>
      <c r="EG158" s="230">
        <v>556365</v>
      </c>
      <c r="EH158" s="230">
        <v>716694</v>
      </c>
      <c r="EI158" s="229">
        <v>-0.22370000000000001</v>
      </c>
      <c r="EJ158" s="229">
        <v>0.3518</v>
      </c>
      <c r="EK158" s="228">
        <v>650.74</v>
      </c>
      <c r="EL158" s="228">
        <v>466.65</v>
      </c>
      <c r="EM158" s="228">
        <v>235.21</v>
      </c>
      <c r="EN158" s="228">
        <v>30.21</v>
      </c>
      <c r="EO158" s="231">
        <v>1352.6</v>
      </c>
      <c r="EP158" s="231">
        <v>1555.21</v>
      </c>
      <c r="EQ158" s="228">
        <v>-202.6</v>
      </c>
      <c r="ER158" s="229">
        <v>-0.1303</v>
      </c>
      <c r="ES158" s="228">
        <v>738.59</v>
      </c>
      <c r="ET158" s="228">
        <v>680.7</v>
      </c>
      <c r="EU158" s="231">
        <v>1784.96</v>
      </c>
      <c r="EV158" s="231">
        <v>95930888</v>
      </c>
      <c r="EW158" s="231">
        <v>3204.25</v>
      </c>
      <c r="EX158" s="231">
        <v>3177.65</v>
      </c>
      <c r="EY158" s="228">
        <v>26.6</v>
      </c>
      <c r="EZ158" s="229">
        <v>8.3999999999999995E-3</v>
      </c>
      <c r="FA158" s="229">
        <v>0.29480000000000001</v>
      </c>
      <c r="FB158" s="227" t="s">
        <v>693</v>
      </c>
      <c r="FC158">
        <f t="shared" si="3"/>
        <v>0</v>
      </c>
    </row>
    <row r="159" spans="1:159" ht="17.25" thickBot="1" x14ac:dyDescent="0.3">
      <c r="A159" s="226">
        <v>46132</v>
      </c>
      <c r="B159" s="227" t="s">
        <v>221</v>
      </c>
      <c r="C159" s="227" t="s">
        <v>529</v>
      </c>
      <c r="D159" s="228">
        <v>100</v>
      </c>
      <c r="E159" s="228">
        <v>8</v>
      </c>
      <c r="F159" s="231">
        <v>5330.4</v>
      </c>
      <c r="G159" s="231">
        <v>5452.2</v>
      </c>
      <c r="H159" s="228">
        <v>-121.8</v>
      </c>
      <c r="I159" s="229">
        <v>-2.23E-2</v>
      </c>
      <c r="J159" s="231">
        <v>5325.2</v>
      </c>
      <c r="K159" s="231">
        <v>5446.5</v>
      </c>
      <c r="L159" s="228">
        <v>-121.3</v>
      </c>
      <c r="M159" s="229">
        <v>-2.23E-2</v>
      </c>
      <c r="N159" s="231">
        <v>5330.4</v>
      </c>
      <c r="O159" s="231">
        <v>5452.2</v>
      </c>
      <c r="P159" s="228">
        <v>-121.8</v>
      </c>
      <c r="Q159" s="229">
        <v>-2.23E-2</v>
      </c>
      <c r="R159" s="231">
        <v>5238.8</v>
      </c>
      <c r="S159" s="231">
        <v>5359.1</v>
      </c>
      <c r="T159" s="228">
        <v>-120.3</v>
      </c>
      <c r="U159" s="229">
        <v>-2.24E-2</v>
      </c>
      <c r="V159" s="231">
        <v>5213.7</v>
      </c>
      <c r="W159" s="231">
        <v>5293.6</v>
      </c>
      <c r="X159" s="228">
        <v>-79.900000000000006</v>
      </c>
      <c r="Y159" s="229">
        <v>-1.5100000000000001E-2</v>
      </c>
      <c r="Z159" s="228">
        <v>5.2</v>
      </c>
      <c r="AA159" s="228">
        <v>5.7</v>
      </c>
      <c r="AB159" s="228">
        <v>-0.5</v>
      </c>
      <c r="AC159" s="229">
        <v>1E-3</v>
      </c>
      <c r="AD159" s="228">
        <v>5.2</v>
      </c>
      <c r="AE159" s="228">
        <v>5.7</v>
      </c>
      <c r="AF159" s="228">
        <v>-0.5</v>
      </c>
      <c r="AG159" s="229">
        <v>1E-3</v>
      </c>
      <c r="AH159" s="228">
        <v>-86.4</v>
      </c>
      <c r="AI159" s="228">
        <v>-87.4</v>
      </c>
      <c r="AJ159" s="228">
        <v>1</v>
      </c>
      <c r="AK159" s="229">
        <v>-1.6199999999999999E-2</v>
      </c>
      <c r="AL159" s="228">
        <v>-111.5</v>
      </c>
      <c r="AM159" s="228">
        <v>-152.9</v>
      </c>
      <c r="AN159" s="228">
        <v>41.4</v>
      </c>
      <c r="AO159" s="229">
        <v>-2.0899999999999998E-2</v>
      </c>
      <c r="AP159" s="231">
        <v>5383.39</v>
      </c>
      <c r="AQ159" s="231">
        <v>5295.29</v>
      </c>
      <c r="AR159" s="228">
        <v>0</v>
      </c>
      <c r="AS159" s="230">
        <v>1024</v>
      </c>
      <c r="AT159" s="228">
        <v>826</v>
      </c>
      <c r="AU159" s="228">
        <v>198</v>
      </c>
      <c r="AV159" s="229">
        <v>0.24010000000000001</v>
      </c>
      <c r="AW159" s="228">
        <v>879</v>
      </c>
      <c r="AX159" s="228">
        <v>721</v>
      </c>
      <c r="AY159" s="228">
        <v>159</v>
      </c>
      <c r="AZ159" s="229">
        <v>0.22040000000000001</v>
      </c>
      <c r="BA159" s="228">
        <v>140</v>
      </c>
      <c r="BB159" s="228">
        <v>103</v>
      </c>
      <c r="BC159" s="228">
        <v>37</v>
      </c>
      <c r="BD159" s="229">
        <v>0.36449999999999999</v>
      </c>
      <c r="BE159" s="228">
        <v>5</v>
      </c>
      <c r="BF159" s="228">
        <v>3</v>
      </c>
      <c r="BG159" s="228">
        <v>2</v>
      </c>
      <c r="BH159" s="229">
        <v>0.8085</v>
      </c>
      <c r="BI159" s="230">
        <v>1821</v>
      </c>
      <c r="BJ159" s="230">
        <v>1168</v>
      </c>
      <c r="BK159" s="228">
        <v>652</v>
      </c>
      <c r="BL159" s="229">
        <v>0.55859999999999999</v>
      </c>
      <c r="BM159" s="230">
        <v>1147</v>
      </c>
      <c r="BN159" s="228">
        <v>941</v>
      </c>
      <c r="BO159" s="228">
        <v>206</v>
      </c>
      <c r="BP159" s="229">
        <v>0.21909999999999999</v>
      </c>
      <c r="BQ159" s="230">
        <v>3992</v>
      </c>
      <c r="BR159" s="230">
        <v>2935</v>
      </c>
      <c r="BS159" s="230">
        <v>1057</v>
      </c>
      <c r="BT159" s="229">
        <v>0.36009999999999998</v>
      </c>
      <c r="BU159" s="230">
        <v>1034959</v>
      </c>
      <c r="BV159" s="230">
        <v>854309</v>
      </c>
      <c r="BW159" s="230">
        <v>180650</v>
      </c>
      <c r="BX159" s="229">
        <v>0.21149999999999999</v>
      </c>
      <c r="BY159" s="230">
        <v>3213</v>
      </c>
      <c r="BZ159" s="230">
        <v>3196</v>
      </c>
      <c r="CA159" s="228">
        <v>17</v>
      </c>
      <c r="CB159" s="229">
        <v>5.4000000000000003E-3</v>
      </c>
      <c r="CC159" s="230">
        <v>2700</v>
      </c>
      <c r="CD159" s="230">
        <v>2770</v>
      </c>
      <c r="CE159" s="228">
        <v>-70</v>
      </c>
      <c r="CF159" s="229">
        <v>-2.52E-2</v>
      </c>
      <c r="CG159" s="228">
        <v>495</v>
      </c>
      <c r="CH159" s="228">
        <v>411</v>
      </c>
      <c r="CI159" s="228">
        <v>85</v>
      </c>
      <c r="CJ159" s="229">
        <v>0.20610000000000001</v>
      </c>
      <c r="CK159" s="228">
        <v>18</v>
      </c>
      <c r="CL159" s="228">
        <v>15</v>
      </c>
      <c r="CM159" s="228">
        <v>2</v>
      </c>
      <c r="CN159" s="229">
        <v>0.16250000000000001</v>
      </c>
      <c r="CO159" s="228">
        <v>753</v>
      </c>
      <c r="CP159" s="228">
        <v>644</v>
      </c>
      <c r="CQ159" s="228">
        <v>109</v>
      </c>
      <c r="CR159" s="229">
        <v>0.16930000000000001</v>
      </c>
      <c r="CS159" s="228">
        <v>596</v>
      </c>
      <c r="CT159" s="228">
        <v>615</v>
      </c>
      <c r="CU159" s="228">
        <v>-19</v>
      </c>
      <c r="CV159" s="229">
        <v>-3.1600000000000003E-2</v>
      </c>
      <c r="CW159" s="230">
        <v>4562</v>
      </c>
      <c r="CX159" s="230">
        <v>4455</v>
      </c>
      <c r="CY159" s="228">
        <v>107</v>
      </c>
      <c r="CZ159" s="229">
        <v>2.4E-2</v>
      </c>
      <c r="DA159" s="228">
        <v>58.36</v>
      </c>
      <c r="DB159" s="228">
        <v>49.82</v>
      </c>
      <c r="DC159" s="228">
        <v>8.5399999999999991</v>
      </c>
      <c r="DD159" s="228">
        <v>8.5399999999999991</v>
      </c>
      <c r="DE159" s="228">
        <v>40.1</v>
      </c>
      <c r="DF159" s="228">
        <v>40.08</v>
      </c>
      <c r="DG159" s="228">
        <v>18.260000000000002</v>
      </c>
      <c r="DH159" s="228">
        <v>0.02</v>
      </c>
      <c r="DI159" s="228">
        <v>57.68</v>
      </c>
      <c r="DJ159" s="228">
        <v>48.35</v>
      </c>
      <c r="DK159" s="228">
        <v>9.33</v>
      </c>
      <c r="DL159" s="228">
        <v>9.33</v>
      </c>
      <c r="DM159" s="228">
        <v>59.42</v>
      </c>
      <c r="DN159" s="228">
        <v>51.66</v>
      </c>
      <c r="DO159" s="228">
        <v>7.76</v>
      </c>
      <c r="DP159" s="228">
        <v>7.76</v>
      </c>
      <c r="DQ159" s="228">
        <v>0.79</v>
      </c>
      <c r="DR159" s="228">
        <v>0.96</v>
      </c>
      <c r="DS159" s="228">
        <v>-0.17</v>
      </c>
      <c r="DT159" s="229">
        <v>-0.17710000000000001</v>
      </c>
      <c r="DU159" s="231">
        <v>5500</v>
      </c>
      <c r="DV159" s="231">
        <v>5300</v>
      </c>
      <c r="DW159" s="228">
        <v>0.63</v>
      </c>
      <c r="DX159" s="228">
        <v>0.81</v>
      </c>
      <c r="DY159" s="228">
        <v>-0.18</v>
      </c>
      <c r="DZ159" s="229">
        <v>-0.22220000000000001</v>
      </c>
      <c r="EA159" s="229">
        <v>0.15959999999999999</v>
      </c>
      <c r="EB159" s="230">
        <v>798800</v>
      </c>
      <c r="EC159" s="229">
        <v>-1.72E-2</v>
      </c>
      <c r="ED159" s="229">
        <v>0.15959999999999999</v>
      </c>
      <c r="EE159" s="228">
        <v>-88.1</v>
      </c>
      <c r="EF159" s="229">
        <v>-1.6400000000000001E-2</v>
      </c>
      <c r="EG159" s="230">
        <v>503071</v>
      </c>
      <c r="EH159" s="230">
        <v>285792</v>
      </c>
      <c r="EI159" s="229">
        <v>0.76029999999999998</v>
      </c>
      <c r="EJ159" s="229">
        <v>0.48609999999999998</v>
      </c>
      <c r="EK159" s="231">
        <v>1937.54</v>
      </c>
      <c r="EL159" s="231">
        <v>1155.33</v>
      </c>
      <c r="EM159" s="231">
        <v>1031.6099999999999</v>
      </c>
      <c r="EN159" s="228">
        <v>115.52</v>
      </c>
      <c r="EO159" s="231">
        <v>4124.49</v>
      </c>
      <c r="EP159" s="231">
        <v>3041.72</v>
      </c>
      <c r="EQ159" s="231">
        <v>1082.77</v>
      </c>
      <c r="ER159" s="229">
        <v>0.35599999999999998</v>
      </c>
      <c r="ES159" s="228">
        <v>772.34</v>
      </c>
      <c r="ET159" s="228">
        <v>559.54</v>
      </c>
      <c r="EU159" s="231">
        <v>3204.48</v>
      </c>
      <c r="EV159" s="231">
        <v>16286398</v>
      </c>
      <c r="EW159" s="231">
        <v>4536.3599999999997</v>
      </c>
      <c r="EX159" s="231">
        <v>4500.4399999999996</v>
      </c>
      <c r="EY159" s="228">
        <v>35.92</v>
      </c>
      <c r="EZ159" s="229">
        <v>8.0000000000000002E-3</v>
      </c>
      <c r="FA159" s="229">
        <v>0.52549999999999997</v>
      </c>
      <c r="FB159" s="227" t="s">
        <v>566</v>
      </c>
      <c r="FC159">
        <f t="shared" si="3"/>
        <v>0</v>
      </c>
    </row>
    <row r="160" spans="1:159" ht="17.25" thickBot="1" x14ac:dyDescent="0.3">
      <c r="A160" s="226">
        <v>46132</v>
      </c>
      <c r="B160" s="227" t="s">
        <v>193</v>
      </c>
      <c r="C160" s="227" t="s">
        <v>272</v>
      </c>
      <c r="D160" s="228">
        <v>1900</v>
      </c>
      <c r="E160" s="228">
        <v>8</v>
      </c>
      <c r="F160" s="228">
        <v>272.26</v>
      </c>
      <c r="G160" s="228">
        <v>273.19</v>
      </c>
      <c r="H160" s="228">
        <v>-0.93</v>
      </c>
      <c r="I160" s="229">
        <v>-3.3999999999999998E-3</v>
      </c>
      <c r="J160" s="228">
        <v>272.13</v>
      </c>
      <c r="K160" s="228">
        <v>273.22000000000003</v>
      </c>
      <c r="L160" s="228">
        <v>-1.0900000000000001</v>
      </c>
      <c r="M160" s="229">
        <v>-4.0000000000000001E-3</v>
      </c>
      <c r="N160" s="228">
        <v>272.26</v>
      </c>
      <c r="O160" s="228">
        <v>273.19</v>
      </c>
      <c r="P160" s="228">
        <v>-0.93</v>
      </c>
      <c r="Q160" s="229">
        <v>-3.3999999999999998E-3</v>
      </c>
      <c r="R160" s="228">
        <v>271.42</v>
      </c>
      <c r="S160" s="228">
        <v>272.39</v>
      </c>
      <c r="T160" s="228">
        <v>-0.97</v>
      </c>
      <c r="U160" s="229">
        <v>-3.5999999999999999E-3</v>
      </c>
      <c r="V160" s="228">
        <v>272.83999999999997</v>
      </c>
      <c r="W160" s="228">
        <v>273.25</v>
      </c>
      <c r="X160" s="228">
        <v>-0.41</v>
      </c>
      <c r="Y160" s="229">
        <v>-1.5E-3</v>
      </c>
      <c r="Z160" s="228">
        <v>0.13</v>
      </c>
      <c r="AA160" s="228">
        <v>-0.03</v>
      </c>
      <c r="AB160" s="228">
        <v>0.16</v>
      </c>
      <c r="AC160" s="229">
        <v>5.0000000000000001E-4</v>
      </c>
      <c r="AD160" s="228">
        <v>0.13</v>
      </c>
      <c r="AE160" s="228">
        <v>-0.03</v>
      </c>
      <c r="AF160" s="228">
        <v>0.16</v>
      </c>
      <c r="AG160" s="229">
        <v>5.0000000000000001E-4</v>
      </c>
      <c r="AH160" s="228">
        <v>-0.71</v>
      </c>
      <c r="AI160" s="228">
        <v>-0.83</v>
      </c>
      <c r="AJ160" s="228">
        <v>0.12</v>
      </c>
      <c r="AK160" s="229">
        <v>-2.5999999999999999E-3</v>
      </c>
      <c r="AL160" s="228">
        <v>0.71</v>
      </c>
      <c r="AM160" s="228">
        <v>0.03</v>
      </c>
      <c r="AN160" s="228">
        <v>0.68</v>
      </c>
      <c r="AO160" s="229">
        <v>2.5999999999999999E-3</v>
      </c>
      <c r="AP160" s="228">
        <v>272.25</v>
      </c>
      <c r="AQ160" s="228">
        <v>271.86</v>
      </c>
      <c r="AR160" s="228">
        <v>0</v>
      </c>
      <c r="AS160" s="228">
        <v>73</v>
      </c>
      <c r="AT160" s="228">
        <v>76</v>
      </c>
      <c r="AU160" s="228">
        <v>-3</v>
      </c>
      <c r="AV160" s="229">
        <v>-3.95E-2</v>
      </c>
      <c r="AW160" s="228">
        <v>58</v>
      </c>
      <c r="AX160" s="228">
        <v>62</v>
      </c>
      <c r="AY160" s="228">
        <v>-4</v>
      </c>
      <c r="AZ160" s="229">
        <v>-5.8700000000000002E-2</v>
      </c>
      <c r="BA160" s="228">
        <v>14</v>
      </c>
      <c r="BB160" s="228">
        <v>13</v>
      </c>
      <c r="BC160" s="228">
        <v>1</v>
      </c>
      <c r="BD160" s="229">
        <v>4.2299999999999997E-2</v>
      </c>
      <c r="BE160" s="228">
        <v>1</v>
      </c>
      <c r="BF160" s="228">
        <v>1</v>
      </c>
      <c r="BG160" s="228">
        <v>0</v>
      </c>
      <c r="BH160" s="229">
        <v>6.6699999999999995E-2</v>
      </c>
      <c r="BI160" s="228">
        <v>119</v>
      </c>
      <c r="BJ160" s="228">
        <v>181</v>
      </c>
      <c r="BK160" s="228">
        <v>-62</v>
      </c>
      <c r="BL160" s="229">
        <v>-0.34289999999999998</v>
      </c>
      <c r="BM160" s="228">
        <v>57</v>
      </c>
      <c r="BN160" s="228">
        <v>79</v>
      </c>
      <c r="BO160" s="228">
        <v>-22</v>
      </c>
      <c r="BP160" s="229">
        <v>-0.27479999999999999</v>
      </c>
      <c r="BQ160" s="228">
        <v>249</v>
      </c>
      <c r="BR160" s="228">
        <v>336</v>
      </c>
      <c r="BS160" s="228">
        <v>-87</v>
      </c>
      <c r="BT160" s="229">
        <v>-0.25829999999999997</v>
      </c>
      <c r="BU160" s="230">
        <v>2667646</v>
      </c>
      <c r="BV160" s="230">
        <v>1935460</v>
      </c>
      <c r="BW160" s="230">
        <v>732186</v>
      </c>
      <c r="BX160" s="229">
        <v>0.37830000000000003</v>
      </c>
      <c r="BY160" s="228">
        <v>963</v>
      </c>
      <c r="BZ160" s="228">
        <v>974</v>
      </c>
      <c r="CA160" s="228">
        <v>-11</v>
      </c>
      <c r="CB160" s="229">
        <v>-1.1299999999999999E-2</v>
      </c>
      <c r="CC160" s="228">
        <v>924</v>
      </c>
      <c r="CD160" s="228">
        <v>938</v>
      </c>
      <c r="CE160" s="228">
        <v>-14</v>
      </c>
      <c r="CF160" s="229">
        <v>-1.52E-2</v>
      </c>
      <c r="CG160" s="228">
        <v>36</v>
      </c>
      <c r="CH160" s="228">
        <v>33</v>
      </c>
      <c r="CI160" s="228">
        <v>3</v>
      </c>
      <c r="CJ160" s="229">
        <v>0.09</v>
      </c>
      <c r="CK160" s="228">
        <v>4</v>
      </c>
      <c r="CL160" s="228">
        <v>4</v>
      </c>
      <c r="CM160" s="228">
        <v>0</v>
      </c>
      <c r="CN160" s="229">
        <v>9.8599999999999993E-2</v>
      </c>
      <c r="CO160" s="228">
        <v>417</v>
      </c>
      <c r="CP160" s="228">
        <v>431</v>
      </c>
      <c r="CQ160" s="228">
        <v>-14</v>
      </c>
      <c r="CR160" s="229">
        <v>-3.3000000000000002E-2</v>
      </c>
      <c r="CS160" s="228">
        <v>272</v>
      </c>
      <c r="CT160" s="228">
        <v>277</v>
      </c>
      <c r="CU160" s="228">
        <v>-5</v>
      </c>
      <c r="CV160" s="229">
        <v>-1.9800000000000002E-2</v>
      </c>
      <c r="CW160" s="230">
        <v>1651</v>
      </c>
      <c r="CX160" s="230">
        <v>1682</v>
      </c>
      <c r="CY160" s="228">
        <v>-31</v>
      </c>
      <c r="CZ160" s="229">
        <v>-1.8200000000000001E-2</v>
      </c>
      <c r="DA160" s="228">
        <v>42.79</v>
      </c>
      <c r="DB160" s="228">
        <v>38.69</v>
      </c>
      <c r="DC160" s="228">
        <v>4.0999999999999996</v>
      </c>
      <c r="DD160" s="228">
        <v>4.0999999999999996</v>
      </c>
      <c r="DE160" s="228">
        <v>39.06</v>
      </c>
      <c r="DF160" s="228">
        <v>39.159999999999997</v>
      </c>
      <c r="DG160" s="228">
        <v>3.73</v>
      </c>
      <c r="DH160" s="228">
        <v>-0.1</v>
      </c>
      <c r="DI160" s="228">
        <v>42.13</v>
      </c>
      <c r="DJ160" s="228">
        <v>38.21</v>
      </c>
      <c r="DK160" s="228">
        <v>3.92</v>
      </c>
      <c r="DL160" s="228">
        <v>3.92</v>
      </c>
      <c r="DM160" s="228">
        <v>44.15</v>
      </c>
      <c r="DN160" s="228">
        <v>39.770000000000003</v>
      </c>
      <c r="DO160" s="228">
        <v>4.38</v>
      </c>
      <c r="DP160" s="228">
        <v>4.38</v>
      </c>
      <c r="DQ160" s="228">
        <v>0.65</v>
      </c>
      <c r="DR160" s="228">
        <v>0.64</v>
      </c>
      <c r="DS160" s="228">
        <v>0.01</v>
      </c>
      <c r="DT160" s="229">
        <v>1.5599999999999999E-2</v>
      </c>
      <c r="DU160" s="228">
        <v>300</v>
      </c>
      <c r="DV160" s="228">
        <v>250</v>
      </c>
      <c r="DW160" s="228">
        <v>0.48</v>
      </c>
      <c r="DX160" s="228">
        <v>0.44</v>
      </c>
      <c r="DY160" s="228">
        <v>0.04</v>
      </c>
      <c r="DZ160" s="229">
        <v>9.0899999999999995E-2</v>
      </c>
      <c r="EA160" s="229">
        <v>4.1200000000000001E-2</v>
      </c>
      <c r="EB160" s="230">
        <v>1337600</v>
      </c>
      <c r="EC160" s="229">
        <v>-3.0999999999999999E-3</v>
      </c>
      <c r="ED160" s="229">
        <v>4.1200000000000001E-2</v>
      </c>
      <c r="EE160" s="228">
        <v>-0.39</v>
      </c>
      <c r="EF160" s="229">
        <v>-1.4E-3</v>
      </c>
      <c r="EG160" s="230">
        <v>1443657</v>
      </c>
      <c r="EH160" s="230">
        <v>1038202</v>
      </c>
      <c r="EI160" s="229">
        <v>0.39050000000000001</v>
      </c>
      <c r="EJ160" s="229">
        <v>0.54120000000000001</v>
      </c>
      <c r="EK160" s="228">
        <v>126.35</v>
      </c>
      <c r="EL160" s="228">
        <v>55.22</v>
      </c>
      <c r="EM160" s="228">
        <v>72.87</v>
      </c>
      <c r="EN160" s="228">
        <v>17.649999999999999</v>
      </c>
      <c r="EO160" s="228">
        <v>254.44</v>
      </c>
      <c r="EP160" s="228">
        <v>344.21</v>
      </c>
      <c r="EQ160" s="228">
        <v>-89.77</v>
      </c>
      <c r="ER160" s="229">
        <v>-0.26079999999999998</v>
      </c>
      <c r="ES160" s="228">
        <v>431.73</v>
      </c>
      <c r="ET160" s="228">
        <v>255.28</v>
      </c>
      <c r="EU160" s="228">
        <v>963.15</v>
      </c>
      <c r="EV160" s="231">
        <v>112500013</v>
      </c>
      <c r="EW160" s="231">
        <v>1650.16</v>
      </c>
      <c r="EX160" s="231">
        <v>1684.12</v>
      </c>
      <c r="EY160" s="228">
        <v>-33.96</v>
      </c>
      <c r="EZ160" s="229">
        <v>-2.0199999999999999E-2</v>
      </c>
      <c r="FA160" s="229">
        <v>0.53920000000000001</v>
      </c>
      <c r="FB160" s="227" t="s">
        <v>567</v>
      </c>
      <c r="FC160">
        <f t="shared" si="3"/>
        <v>0</v>
      </c>
    </row>
    <row r="161" spans="1:159" ht="17.25" thickBot="1" x14ac:dyDescent="0.3">
      <c r="A161" s="226">
        <v>46132</v>
      </c>
      <c r="B161" s="227" t="s">
        <v>175</v>
      </c>
      <c r="C161" s="227" t="s">
        <v>273</v>
      </c>
      <c r="D161" s="228">
        <v>1300</v>
      </c>
      <c r="E161" s="228">
        <v>8</v>
      </c>
      <c r="F161" s="228">
        <v>474.3</v>
      </c>
      <c r="G161" s="228">
        <v>466</v>
      </c>
      <c r="H161" s="228">
        <v>8.3000000000000007</v>
      </c>
      <c r="I161" s="229">
        <v>1.78E-2</v>
      </c>
      <c r="J161" s="228">
        <v>472.85</v>
      </c>
      <c r="K161" s="228">
        <v>464.85</v>
      </c>
      <c r="L161" s="228">
        <v>8</v>
      </c>
      <c r="M161" s="229">
        <v>1.72E-2</v>
      </c>
      <c r="N161" s="228">
        <v>474.3</v>
      </c>
      <c r="O161" s="228">
        <v>466</v>
      </c>
      <c r="P161" s="228">
        <v>8.3000000000000007</v>
      </c>
      <c r="Q161" s="229">
        <v>1.78E-2</v>
      </c>
      <c r="R161" s="228">
        <v>476.95</v>
      </c>
      <c r="S161" s="228">
        <v>468</v>
      </c>
      <c r="T161" s="228">
        <v>8.9499999999999993</v>
      </c>
      <c r="U161" s="229">
        <v>1.9099999999999999E-2</v>
      </c>
      <c r="V161" s="228">
        <v>477.2</v>
      </c>
      <c r="W161" s="228">
        <v>469.7</v>
      </c>
      <c r="X161" s="228">
        <v>7.5</v>
      </c>
      <c r="Y161" s="229">
        <v>1.6E-2</v>
      </c>
      <c r="Z161" s="228">
        <v>1.45</v>
      </c>
      <c r="AA161" s="228">
        <v>1.1499999999999999</v>
      </c>
      <c r="AB161" s="228">
        <v>0.3</v>
      </c>
      <c r="AC161" s="229">
        <v>3.0999999999999999E-3</v>
      </c>
      <c r="AD161" s="228">
        <v>1.45</v>
      </c>
      <c r="AE161" s="228">
        <v>1.1499999999999999</v>
      </c>
      <c r="AF161" s="228">
        <v>0.3</v>
      </c>
      <c r="AG161" s="229">
        <v>3.0999999999999999E-3</v>
      </c>
      <c r="AH161" s="228">
        <v>4.0999999999999996</v>
      </c>
      <c r="AI161" s="228">
        <v>3.15</v>
      </c>
      <c r="AJ161" s="228">
        <v>0.95</v>
      </c>
      <c r="AK161" s="229">
        <v>8.6999999999999994E-3</v>
      </c>
      <c r="AL161" s="228">
        <v>4.3499999999999996</v>
      </c>
      <c r="AM161" s="228">
        <v>4.8499999999999996</v>
      </c>
      <c r="AN161" s="228">
        <v>-0.5</v>
      </c>
      <c r="AO161" s="229">
        <v>9.1999999999999998E-3</v>
      </c>
      <c r="AP161" s="228">
        <v>471.58</v>
      </c>
      <c r="AQ161" s="228">
        <v>474.66</v>
      </c>
      <c r="AR161" s="228">
        <v>0</v>
      </c>
      <c r="AS161" s="228">
        <v>991</v>
      </c>
      <c r="AT161" s="228">
        <v>567</v>
      </c>
      <c r="AU161" s="228">
        <v>424</v>
      </c>
      <c r="AV161" s="229">
        <v>0.74739999999999995</v>
      </c>
      <c r="AW161" s="228">
        <v>762</v>
      </c>
      <c r="AX161" s="228">
        <v>477</v>
      </c>
      <c r="AY161" s="228">
        <v>285</v>
      </c>
      <c r="AZ161" s="229">
        <v>0.59789999999999999</v>
      </c>
      <c r="BA161" s="228">
        <v>211</v>
      </c>
      <c r="BB161" s="228">
        <v>75</v>
      </c>
      <c r="BC161" s="228">
        <v>136</v>
      </c>
      <c r="BD161" s="229">
        <v>1.8048</v>
      </c>
      <c r="BE161" s="228">
        <v>18</v>
      </c>
      <c r="BF161" s="228">
        <v>15</v>
      </c>
      <c r="BG161" s="228">
        <v>3</v>
      </c>
      <c r="BH161" s="229">
        <v>0.1958</v>
      </c>
      <c r="BI161" s="230">
        <v>2907</v>
      </c>
      <c r="BJ161" s="230">
        <v>2367</v>
      </c>
      <c r="BK161" s="228">
        <v>541</v>
      </c>
      <c r="BL161" s="229">
        <v>0.22850000000000001</v>
      </c>
      <c r="BM161" s="230">
        <v>1669</v>
      </c>
      <c r="BN161" s="230">
        <v>1240</v>
      </c>
      <c r="BO161" s="228">
        <v>428</v>
      </c>
      <c r="BP161" s="229">
        <v>0.34549999999999997</v>
      </c>
      <c r="BQ161" s="230">
        <v>5567</v>
      </c>
      <c r="BR161" s="230">
        <v>4174</v>
      </c>
      <c r="BS161" s="230">
        <v>1393</v>
      </c>
      <c r="BT161" s="229">
        <v>0.3337</v>
      </c>
      <c r="BU161" s="230">
        <v>11756466</v>
      </c>
      <c r="BV161" s="230">
        <v>10884602</v>
      </c>
      <c r="BW161" s="230">
        <v>871864</v>
      </c>
      <c r="BX161" s="229">
        <v>8.0100000000000005E-2</v>
      </c>
      <c r="BY161" s="230">
        <v>2896</v>
      </c>
      <c r="BZ161" s="230">
        <v>2755</v>
      </c>
      <c r="CA161" s="228">
        <v>141</v>
      </c>
      <c r="CB161" s="229">
        <v>5.11E-2</v>
      </c>
      <c r="CC161" s="230">
        <v>2407</v>
      </c>
      <c r="CD161" s="230">
        <v>2371</v>
      </c>
      <c r="CE161" s="228">
        <v>36</v>
      </c>
      <c r="CF161" s="229">
        <v>1.5299999999999999E-2</v>
      </c>
      <c r="CG161" s="228">
        <v>465</v>
      </c>
      <c r="CH161" s="228">
        <v>358</v>
      </c>
      <c r="CI161" s="228">
        <v>107</v>
      </c>
      <c r="CJ161" s="229">
        <v>0.29799999999999999</v>
      </c>
      <c r="CK161" s="228">
        <v>24</v>
      </c>
      <c r="CL161" s="228">
        <v>26</v>
      </c>
      <c r="CM161" s="228">
        <v>-2</v>
      </c>
      <c r="CN161" s="229">
        <v>-0.08</v>
      </c>
      <c r="CO161" s="230">
        <v>1250</v>
      </c>
      <c r="CP161" s="230">
        <v>1287</v>
      </c>
      <c r="CQ161" s="228">
        <v>-37</v>
      </c>
      <c r="CR161" s="229">
        <v>-2.8799999999999999E-2</v>
      </c>
      <c r="CS161" s="230">
        <v>1047</v>
      </c>
      <c r="CT161" s="228">
        <v>942</v>
      </c>
      <c r="CU161" s="228">
        <v>105</v>
      </c>
      <c r="CV161" s="229">
        <v>0.112</v>
      </c>
      <c r="CW161" s="230">
        <v>5193</v>
      </c>
      <c r="CX161" s="230">
        <v>4984</v>
      </c>
      <c r="CY161" s="228">
        <v>209</v>
      </c>
      <c r="CZ161" s="229">
        <v>4.2000000000000003E-2</v>
      </c>
      <c r="DA161" s="228">
        <v>35.76</v>
      </c>
      <c r="DB161" s="228">
        <v>33.450000000000003</v>
      </c>
      <c r="DC161" s="228">
        <v>2.31</v>
      </c>
      <c r="DD161" s="228">
        <v>2.31</v>
      </c>
      <c r="DE161" s="228">
        <v>42.31</v>
      </c>
      <c r="DF161" s="228">
        <v>42.35</v>
      </c>
      <c r="DG161" s="228">
        <v>-6.55</v>
      </c>
      <c r="DH161" s="228">
        <v>-0.04</v>
      </c>
      <c r="DI161" s="228">
        <v>33.21</v>
      </c>
      <c r="DJ161" s="228">
        <v>32.03</v>
      </c>
      <c r="DK161" s="228">
        <v>1.18</v>
      </c>
      <c r="DL161" s="228">
        <v>1.18</v>
      </c>
      <c r="DM161" s="228">
        <v>40.21</v>
      </c>
      <c r="DN161" s="228">
        <v>36.17</v>
      </c>
      <c r="DO161" s="228">
        <v>4.04</v>
      </c>
      <c r="DP161" s="228">
        <v>4.04</v>
      </c>
      <c r="DQ161" s="228">
        <v>0.84</v>
      </c>
      <c r="DR161" s="228">
        <v>0.73</v>
      </c>
      <c r="DS161" s="228">
        <v>0.11</v>
      </c>
      <c r="DT161" s="229">
        <v>0.1507</v>
      </c>
      <c r="DU161" s="228">
        <v>400</v>
      </c>
      <c r="DV161" s="228">
        <v>450</v>
      </c>
      <c r="DW161" s="228">
        <v>0.56999999999999995</v>
      </c>
      <c r="DX161" s="228">
        <v>0.52</v>
      </c>
      <c r="DY161" s="228">
        <v>0.05</v>
      </c>
      <c r="DZ161" s="229">
        <v>9.6199999999999994E-2</v>
      </c>
      <c r="EA161" s="229">
        <v>0.16880000000000001</v>
      </c>
      <c r="EB161" s="230">
        <v>8100300</v>
      </c>
      <c r="EC161" s="229">
        <v>5.5999999999999999E-3</v>
      </c>
      <c r="ED161" s="229">
        <v>0.16880000000000001</v>
      </c>
      <c r="EE161" s="228">
        <v>3.08</v>
      </c>
      <c r="EF161" s="229">
        <v>6.4999999999999997E-3</v>
      </c>
      <c r="EG161" s="230">
        <v>5260800</v>
      </c>
      <c r="EH161" s="230">
        <v>4969953</v>
      </c>
      <c r="EI161" s="229">
        <v>5.8500000000000003E-2</v>
      </c>
      <c r="EJ161" s="229">
        <v>0.44750000000000001</v>
      </c>
      <c r="EK161" s="231">
        <v>2985.17</v>
      </c>
      <c r="EL161" s="231">
        <v>1619.73</v>
      </c>
      <c r="EM161" s="228">
        <v>986.65</v>
      </c>
      <c r="EN161" s="228">
        <v>106.67</v>
      </c>
      <c r="EO161" s="231">
        <v>5591.55</v>
      </c>
      <c r="EP161" s="231">
        <v>4141.09</v>
      </c>
      <c r="EQ161" s="231">
        <v>1450.46</v>
      </c>
      <c r="ER161" s="229">
        <v>0.3503</v>
      </c>
      <c r="ES161" s="231">
        <v>1186.02</v>
      </c>
      <c r="ET161" s="228">
        <v>944.49</v>
      </c>
      <c r="EU161" s="231">
        <v>2898.74</v>
      </c>
      <c r="EV161" s="231">
        <v>217835555</v>
      </c>
      <c r="EW161" s="231">
        <v>5029.25</v>
      </c>
      <c r="EX161" s="231">
        <v>4759.43</v>
      </c>
      <c r="EY161" s="228">
        <v>269.82</v>
      </c>
      <c r="EZ161" s="229">
        <v>5.67E-2</v>
      </c>
      <c r="FA161" s="229">
        <v>0.50270000000000004</v>
      </c>
      <c r="FB161" s="227" t="s">
        <v>555</v>
      </c>
      <c r="FC161">
        <f t="shared" si="3"/>
        <v>0</v>
      </c>
    </row>
    <row r="162" spans="1:159" ht="17.25" thickBot="1" x14ac:dyDescent="0.3">
      <c r="A162" s="226">
        <v>46132</v>
      </c>
      <c r="B162" s="227" t="s">
        <v>184</v>
      </c>
      <c r="C162" s="227" t="s">
        <v>678</v>
      </c>
      <c r="D162" s="228">
        <v>950</v>
      </c>
      <c r="E162" s="228">
        <v>8</v>
      </c>
      <c r="F162" s="228">
        <v>560.35</v>
      </c>
      <c r="G162" s="228">
        <v>562.65</v>
      </c>
      <c r="H162" s="228">
        <v>-2.2999999999999998</v>
      </c>
      <c r="I162" s="229">
        <v>-4.1000000000000003E-3</v>
      </c>
      <c r="J162" s="228">
        <v>559.04999999999995</v>
      </c>
      <c r="K162" s="228">
        <v>561.4</v>
      </c>
      <c r="L162" s="228">
        <v>-2.35</v>
      </c>
      <c r="M162" s="229">
        <v>-4.1999999999999997E-3</v>
      </c>
      <c r="N162" s="228">
        <v>560.35</v>
      </c>
      <c r="O162" s="228">
        <v>562.65</v>
      </c>
      <c r="P162" s="228">
        <v>-2.2999999999999998</v>
      </c>
      <c r="Q162" s="229">
        <v>-4.1000000000000003E-3</v>
      </c>
      <c r="R162" s="228">
        <v>549.70000000000005</v>
      </c>
      <c r="S162" s="228">
        <v>551.45000000000005</v>
      </c>
      <c r="T162" s="228">
        <v>-1.75</v>
      </c>
      <c r="U162" s="229">
        <v>-3.2000000000000002E-3</v>
      </c>
      <c r="V162" s="228">
        <v>543.85</v>
      </c>
      <c r="W162" s="228">
        <v>545.9</v>
      </c>
      <c r="X162" s="228">
        <v>-2.0499999999999998</v>
      </c>
      <c r="Y162" s="229">
        <v>-3.8E-3</v>
      </c>
      <c r="Z162" s="228">
        <v>1.3</v>
      </c>
      <c r="AA162" s="228">
        <v>1.25</v>
      </c>
      <c r="AB162" s="228">
        <v>0.05</v>
      </c>
      <c r="AC162" s="229">
        <v>2.3E-3</v>
      </c>
      <c r="AD162" s="228">
        <v>1.3</v>
      </c>
      <c r="AE162" s="228">
        <v>1.25</v>
      </c>
      <c r="AF162" s="228">
        <v>0.05</v>
      </c>
      <c r="AG162" s="229">
        <v>2.3E-3</v>
      </c>
      <c r="AH162" s="228">
        <v>-9.35</v>
      </c>
      <c r="AI162" s="228">
        <v>-9.9499999999999993</v>
      </c>
      <c r="AJ162" s="228">
        <v>0.6</v>
      </c>
      <c r="AK162" s="229">
        <v>-1.67E-2</v>
      </c>
      <c r="AL162" s="228">
        <v>-15.2</v>
      </c>
      <c r="AM162" s="228">
        <v>-15.5</v>
      </c>
      <c r="AN162" s="228">
        <v>0.3</v>
      </c>
      <c r="AO162" s="229">
        <v>-2.7199999999999998E-2</v>
      </c>
      <c r="AP162" s="228">
        <v>561</v>
      </c>
      <c r="AQ162" s="228">
        <v>551.21</v>
      </c>
      <c r="AR162" s="228">
        <v>0</v>
      </c>
      <c r="AS162" s="228">
        <v>171</v>
      </c>
      <c r="AT162" s="228">
        <v>231</v>
      </c>
      <c r="AU162" s="228">
        <v>-60</v>
      </c>
      <c r="AV162" s="229">
        <v>-0.2581</v>
      </c>
      <c r="AW162" s="228">
        <v>131</v>
      </c>
      <c r="AX162" s="228">
        <v>184</v>
      </c>
      <c r="AY162" s="228">
        <v>-52</v>
      </c>
      <c r="AZ162" s="229">
        <v>-0.2853</v>
      </c>
      <c r="BA162" s="228">
        <v>37</v>
      </c>
      <c r="BB162" s="228">
        <v>40</v>
      </c>
      <c r="BC162" s="228">
        <v>-4</v>
      </c>
      <c r="BD162" s="229">
        <v>-8.7099999999999997E-2</v>
      </c>
      <c r="BE162" s="228">
        <v>3</v>
      </c>
      <c r="BF162" s="228">
        <v>6</v>
      </c>
      <c r="BG162" s="228">
        <v>-4</v>
      </c>
      <c r="BH162" s="229">
        <v>-0.56410000000000005</v>
      </c>
      <c r="BI162" s="228">
        <v>412</v>
      </c>
      <c r="BJ162" s="228">
        <v>567</v>
      </c>
      <c r="BK162" s="228">
        <v>-155</v>
      </c>
      <c r="BL162" s="229">
        <v>-0.27350000000000002</v>
      </c>
      <c r="BM162" s="228">
        <v>404</v>
      </c>
      <c r="BN162" s="228">
        <v>573</v>
      </c>
      <c r="BO162" s="228">
        <v>-169</v>
      </c>
      <c r="BP162" s="229">
        <v>-0.29559999999999997</v>
      </c>
      <c r="BQ162" s="228">
        <v>986</v>
      </c>
      <c r="BR162" s="230">
        <v>1370</v>
      </c>
      <c r="BS162" s="228">
        <v>-384</v>
      </c>
      <c r="BT162" s="229">
        <v>-0.2802</v>
      </c>
      <c r="BU162" s="230">
        <v>2366898</v>
      </c>
      <c r="BV162" s="230">
        <v>2973655</v>
      </c>
      <c r="BW162" s="230">
        <v>-606757</v>
      </c>
      <c r="BX162" s="229">
        <v>-0.20399999999999999</v>
      </c>
      <c r="BY162" s="228">
        <v>899</v>
      </c>
      <c r="BZ162" s="228">
        <v>894</v>
      </c>
      <c r="CA162" s="228">
        <v>5</v>
      </c>
      <c r="CB162" s="229">
        <v>5.4000000000000003E-3</v>
      </c>
      <c r="CC162" s="228">
        <v>751</v>
      </c>
      <c r="CD162" s="228">
        <v>751</v>
      </c>
      <c r="CE162" s="228">
        <v>0</v>
      </c>
      <c r="CF162" s="229">
        <v>-2.9999999999999997E-4</v>
      </c>
      <c r="CG162" s="228">
        <v>127</v>
      </c>
      <c r="CH162" s="228">
        <v>122</v>
      </c>
      <c r="CI162" s="228">
        <v>5</v>
      </c>
      <c r="CJ162" s="229">
        <v>3.7400000000000003E-2</v>
      </c>
      <c r="CK162" s="228">
        <v>21</v>
      </c>
      <c r="CL162" s="228">
        <v>20</v>
      </c>
      <c r="CM162" s="228">
        <v>0</v>
      </c>
      <c r="CN162" s="229">
        <v>2.35E-2</v>
      </c>
      <c r="CO162" s="228">
        <v>469</v>
      </c>
      <c r="CP162" s="228">
        <v>478</v>
      </c>
      <c r="CQ162" s="228">
        <v>-9</v>
      </c>
      <c r="CR162" s="229">
        <v>-1.8599999999999998E-2</v>
      </c>
      <c r="CS162" s="228">
        <v>548</v>
      </c>
      <c r="CT162" s="228">
        <v>565</v>
      </c>
      <c r="CU162" s="228">
        <v>-18</v>
      </c>
      <c r="CV162" s="229">
        <v>-3.1399999999999997E-2</v>
      </c>
      <c r="CW162" s="230">
        <v>1916</v>
      </c>
      <c r="CX162" s="230">
        <v>1937</v>
      </c>
      <c r="CY162" s="228">
        <v>-22</v>
      </c>
      <c r="CZ162" s="229">
        <v>-1.1299999999999999E-2</v>
      </c>
      <c r="DA162" s="228">
        <v>54.69</v>
      </c>
      <c r="DB162" s="228">
        <v>53.01</v>
      </c>
      <c r="DC162" s="228">
        <v>1.68</v>
      </c>
      <c r="DD162" s="228">
        <v>1.68</v>
      </c>
      <c r="DE162" s="228">
        <v>68.05</v>
      </c>
      <c r="DF162" s="228">
        <v>68.22</v>
      </c>
      <c r="DG162" s="228">
        <v>-13.36</v>
      </c>
      <c r="DH162" s="228">
        <v>-0.17</v>
      </c>
      <c r="DI162" s="228">
        <v>52.1</v>
      </c>
      <c r="DJ162" s="228">
        <v>49.6</v>
      </c>
      <c r="DK162" s="228">
        <v>2.5</v>
      </c>
      <c r="DL162" s="228">
        <v>2.5</v>
      </c>
      <c r="DM162" s="228">
        <v>57.34</v>
      </c>
      <c r="DN162" s="228">
        <v>56.38</v>
      </c>
      <c r="DO162" s="228">
        <v>0.96</v>
      </c>
      <c r="DP162" s="228">
        <v>0.96</v>
      </c>
      <c r="DQ162" s="228">
        <v>1.17</v>
      </c>
      <c r="DR162" s="228">
        <v>1.18</v>
      </c>
      <c r="DS162" s="228">
        <v>-0.01</v>
      </c>
      <c r="DT162" s="229">
        <v>-8.5000000000000006E-3</v>
      </c>
      <c r="DU162" s="228">
        <v>560</v>
      </c>
      <c r="DV162" s="228">
        <v>500</v>
      </c>
      <c r="DW162" s="228">
        <v>0.98</v>
      </c>
      <c r="DX162" s="228">
        <v>1.01</v>
      </c>
      <c r="DY162" s="228">
        <v>-0.03</v>
      </c>
      <c r="DZ162" s="229">
        <v>-2.9700000000000001E-2</v>
      </c>
      <c r="EA162" s="229">
        <v>0.16450000000000001</v>
      </c>
      <c r="EB162" s="230">
        <v>2547900</v>
      </c>
      <c r="EC162" s="229">
        <v>-1.9E-2</v>
      </c>
      <c r="ED162" s="229">
        <v>0.16450000000000001</v>
      </c>
      <c r="EE162" s="228">
        <v>-9.7899999999999991</v>
      </c>
      <c r="EF162" s="229">
        <v>-1.7500000000000002E-2</v>
      </c>
      <c r="EG162" s="230">
        <v>492217</v>
      </c>
      <c r="EH162" s="230">
        <v>752986</v>
      </c>
      <c r="EI162" s="229">
        <v>-0.3463</v>
      </c>
      <c r="EJ162" s="229">
        <v>0.20799999999999999</v>
      </c>
      <c r="EK162" s="228">
        <v>434.69</v>
      </c>
      <c r="EL162" s="228">
        <v>382.14</v>
      </c>
      <c r="EM162" s="228">
        <v>170.51</v>
      </c>
      <c r="EN162" s="228">
        <v>66.42</v>
      </c>
      <c r="EO162" s="228">
        <v>987.34</v>
      </c>
      <c r="EP162" s="231">
        <v>1362.33</v>
      </c>
      <c r="EQ162" s="228">
        <v>-374.99</v>
      </c>
      <c r="ER162" s="229">
        <v>-0.27529999999999999</v>
      </c>
      <c r="ES162" s="228">
        <v>450.01</v>
      </c>
      <c r="ET162" s="228">
        <v>476.01</v>
      </c>
      <c r="EU162" s="228">
        <v>895.55</v>
      </c>
      <c r="EV162" s="231">
        <v>24101986</v>
      </c>
      <c r="EW162" s="231">
        <v>1821.56</v>
      </c>
      <c r="EX162" s="231">
        <v>1843.75</v>
      </c>
      <c r="EY162" s="228">
        <v>-22.19</v>
      </c>
      <c r="EZ162" s="229">
        <v>-1.2E-2</v>
      </c>
      <c r="FA162" s="229">
        <v>1.4184000000000001</v>
      </c>
      <c r="FB162" s="227" t="s">
        <v>566</v>
      </c>
      <c r="FC162">
        <f t="shared" si="3"/>
        <v>0</v>
      </c>
    </row>
    <row r="163" spans="1:159" ht="17.25" thickBot="1" x14ac:dyDescent="0.3">
      <c r="A163" s="226">
        <v>46132</v>
      </c>
      <c r="B163" s="227" t="s">
        <v>206</v>
      </c>
      <c r="C163" s="227" t="s">
        <v>644</v>
      </c>
      <c r="D163" s="228">
        <v>350</v>
      </c>
      <c r="E163" s="228">
        <v>8</v>
      </c>
      <c r="F163" s="231">
        <v>1772.5</v>
      </c>
      <c r="G163" s="231">
        <v>1798.6</v>
      </c>
      <c r="H163" s="228">
        <v>-26.1</v>
      </c>
      <c r="I163" s="229">
        <v>-1.4500000000000001E-2</v>
      </c>
      <c r="J163" s="231">
        <v>1767.9</v>
      </c>
      <c r="K163" s="231">
        <v>1792.2</v>
      </c>
      <c r="L163" s="228">
        <v>-24.3</v>
      </c>
      <c r="M163" s="229">
        <v>-1.3599999999999999E-2</v>
      </c>
      <c r="N163" s="231">
        <v>1772.5</v>
      </c>
      <c r="O163" s="231">
        <v>1798.6</v>
      </c>
      <c r="P163" s="228">
        <v>-26.1</v>
      </c>
      <c r="Q163" s="229">
        <v>-1.4500000000000001E-2</v>
      </c>
      <c r="R163" s="231">
        <v>1778.6</v>
      </c>
      <c r="S163" s="231">
        <v>1807.9</v>
      </c>
      <c r="T163" s="228">
        <v>-29.3</v>
      </c>
      <c r="U163" s="229">
        <v>-1.6199999999999999E-2</v>
      </c>
      <c r="V163" s="231">
        <v>1801.7</v>
      </c>
      <c r="W163" s="231">
        <v>1801.7</v>
      </c>
      <c r="X163" s="228">
        <v>0</v>
      </c>
      <c r="Y163" s="229">
        <v>0</v>
      </c>
      <c r="Z163" s="228">
        <v>4.5999999999999996</v>
      </c>
      <c r="AA163" s="228">
        <v>6.4</v>
      </c>
      <c r="AB163" s="228">
        <v>-1.8</v>
      </c>
      <c r="AC163" s="229">
        <v>2.5999999999999999E-3</v>
      </c>
      <c r="AD163" s="228">
        <v>4.5999999999999996</v>
      </c>
      <c r="AE163" s="228">
        <v>6.4</v>
      </c>
      <c r="AF163" s="228">
        <v>-1.8</v>
      </c>
      <c r="AG163" s="229">
        <v>2.5999999999999999E-3</v>
      </c>
      <c r="AH163" s="228">
        <v>10.7</v>
      </c>
      <c r="AI163" s="228">
        <v>15.7</v>
      </c>
      <c r="AJ163" s="228">
        <v>-5</v>
      </c>
      <c r="AK163" s="229">
        <v>6.1000000000000004E-3</v>
      </c>
      <c r="AL163" s="228">
        <v>33.799999999999997</v>
      </c>
      <c r="AM163" s="228">
        <v>9.5</v>
      </c>
      <c r="AN163" s="228">
        <v>24.3</v>
      </c>
      <c r="AO163" s="229">
        <v>1.9099999999999999E-2</v>
      </c>
      <c r="AP163" s="231">
        <v>1777.69</v>
      </c>
      <c r="AQ163" s="231">
        <v>1786.6</v>
      </c>
      <c r="AR163" s="228">
        <v>0</v>
      </c>
      <c r="AS163" s="228">
        <v>108</v>
      </c>
      <c r="AT163" s="228">
        <v>40</v>
      </c>
      <c r="AU163" s="228">
        <v>68</v>
      </c>
      <c r="AV163" s="229">
        <v>1.6909000000000001</v>
      </c>
      <c r="AW163" s="228">
        <v>101</v>
      </c>
      <c r="AX163" s="228">
        <v>38</v>
      </c>
      <c r="AY163" s="228">
        <v>62</v>
      </c>
      <c r="AZ163" s="229">
        <v>1.6161000000000001</v>
      </c>
      <c r="BA163" s="228">
        <v>7</v>
      </c>
      <c r="BB163" s="228">
        <v>2</v>
      </c>
      <c r="BC163" s="228">
        <v>6</v>
      </c>
      <c r="BD163" s="229">
        <v>3.4074</v>
      </c>
      <c r="BE163" s="228">
        <v>0</v>
      </c>
      <c r="BF163" s="228">
        <v>0</v>
      </c>
      <c r="BG163" s="228">
        <v>0</v>
      </c>
      <c r="BH163" s="229">
        <v>0</v>
      </c>
      <c r="BI163" s="228">
        <v>49</v>
      </c>
      <c r="BJ163" s="228">
        <v>76</v>
      </c>
      <c r="BK163" s="228">
        <v>-28</v>
      </c>
      <c r="BL163" s="229">
        <v>-0.36359999999999998</v>
      </c>
      <c r="BM163" s="228">
        <v>46</v>
      </c>
      <c r="BN163" s="228">
        <v>55</v>
      </c>
      <c r="BO163" s="228">
        <v>-9</v>
      </c>
      <c r="BP163" s="229">
        <v>-0.1663</v>
      </c>
      <c r="BQ163" s="228">
        <v>203</v>
      </c>
      <c r="BR163" s="228">
        <v>172</v>
      </c>
      <c r="BS163" s="228">
        <v>31</v>
      </c>
      <c r="BT163" s="229">
        <v>0.17979999999999999</v>
      </c>
      <c r="BU163" s="230">
        <v>627892</v>
      </c>
      <c r="BV163" s="230">
        <v>416379</v>
      </c>
      <c r="BW163" s="230">
        <v>211513</v>
      </c>
      <c r="BX163" s="229">
        <v>0.50800000000000001</v>
      </c>
      <c r="BY163" s="228">
        <v>682</v>
      </c>
      <c r="BZ163" s="228">
        <v>671</v>
      </c>
      <c r="CA163" s="228">
        <v>11</v>
      </c>
      <c r="CB163" s="229">
        <v>1.6E-2</v>
      </c>
      <c r="CC163" s="228">
        <v>612</v>
      </c>
      <c r="CD163" s="228">
        <v>605</v>
      </c>
      <c r="CE163" s="228">
        <v>7</v>
      </c>
      <c r="CF163" s="229">
        <v>1.1599999999999999E-2</v>
      </c>
      <c r="CG163" s="228">
        <v>8</v>
      </c>
      <c r="CH163" s="228">
        <v>4</v>
      </c>
      <c r="CI163" s="228">
        <v>4</v>
      </c>
      <c r="CJ163" s="229">
        <v>0.95240000000000002</v>
      </c>
      <c r="CK163" s="228">
        <v>63</v>
      </c>
      <c r="CL163" s="228">
        <v>63</v>
      </c>
      <c r="CM163" s="228">
        <v>0</v>
      </c>
      <c r="CN163" s="229">
        <v>0</v>
      </c>
      <c r="CO163" s="228">
        <v>137</v>
      </c>
      <c r="CP163" s="228">
        <v>131</v>
      </c>
      <c r="CQ163" s="228">
        <v>6</v>
      </c>
      <c r="CR163" s="229">
        <v>4.5100000000000001E-2</v>
      </c>
      <c r="CS163" s="228">
        <v>109</v>
      </c>
      <c r="CT163" s="228">
        <v>112</v>
      </c>
      <c r="CU163" s="228">
        <v>-2</v>
      </c>
      <c r="CV163" s="229">
        <v>-2.1600000000000001E-2</v>
      </c>
      <c r="CW163" s="228">
        <v>928</v>
      </c>
      <c r="CX163" s="228">
        <v>914</v>
      </c>
      <c r="CY163" s="228">
        <v>14</v>
      </c>
      <c r="CZ163" s="229">
        <v>1.55E-2</v>
      </c>
      <c r="DA163" s="228">
        <v>37.26</v>
      </c>
      <c r="DB163" s="228">
        <v>34.42</v>
      </c>
      <c r="DC163" s="228">
        <v>2.84</v>
      </c>
      <c r="DD163" s="228">
        <v>2.84</v>
      </c>
      <c r="DE163" s="228">
        <v>39.97</v>
      </c>
      <c r="DF163" s="228">
        <v>40.020000000000003</v>
      </c>
      <c r="DG163" s="228">
        <v>-2.71</v>
      </c>
      <c r="DH163" s="228">
        <v>-0.05</v>
      </c>
      <c r="DI163" s="228">
        <v>32.909999999999997</v>
      </c>
      <c r="DJ163" s="228">
        <v>29.09</v>
      </c>
      <c r="DK163" s="228">
        <v>3.82</v>
      </c>
      <c r="DL163" s="228">
        <v>3.82</v>
      </c>
      <c r="DM163" s="228">
        <v>41.86</v>
      </c>
      <c r="DN163" s="228">
        <v>41.79</v>
      </c>
      <c r="DO163" s="228">
        <v>7.0000000000000007E-2</v>
      </c>
      <c r="DP163" s="228">
        <v>7.0000000000000007E-2</v>
      </c>
      <c r="DQ163" s="228">
        <v>0.8</v>
      </c>
      <c r="DR163" s="228">
        <v>0.86</v>
      </c>
      <c r="DS163" s="228">
        <v>-0.06</v>
      </c>
      <c r="DT163" s="229">
        <v>-6.9800000000000001E-2</v>
      </c>
      <c r="DU163" s="231">
        <v>1900</v>
      </c>
      <c r="DV163" s="231">
        <v>1500</v>
      </c>
      <c r="DW163" s="228">
        <v>0.95</v>
      </c>
      <c r="DX163" s="228">
        <v>0.72</v>
      </c>
      <c r="DY163" s="228">
        <v>0.23</v>
      </c>
      <c r="DZ163" s="229">
        <v>0.31940000000000002</v>
      </c>
      <c r="EA163" s="229">
        <v>0.10290000000000001</v>
      </c>
      <c r="EB163" s="230">
        <v>374850</v>
      </c>
      <c r="EC163" s="229">
        <v>3.3999999999999998E-3</v>
      </c>
      <c r="ED163" s="229">
        <v>0.10290000000000001</v>
      </c>
      <c r="EE163" s="228">
        <v>8.91</v>
      </c>
      <c r="EF163" s="229">
        <v>5.0000000000000001E-3</v>
      </c>
      <c r="EG163" s="230">
        <v>373975</v>
      </c>
      <c r="EH163" s="230">
        <v>275877</v>
      </c>
      <c r="EI163" s="229">
        <v>0.35560000000000003</v>
      </c>
      <c r="EJ163" s="229">
        <v>0.59560000000000002</v>
      </c>
      <c r="EK163" s="228">
        <v>50.85</v>
      </c>
      <c r="EL163" s="228">
        <v>42.6</v>
      </c>
      <c r="EM163" s="228">
        <v>108.36</v>
      </c>
      <c r="EN163" s="228">
        <v>12.95</v>
      </c>
      <c r="EO163" s="228">
        <v>201.81</v>
      </c>
      <c r="EP163" s="228">
        <v>171.34</v>
      </c>
      <c r="EQ163" s="228">
        <v>30.47</v>
      </c>
      <c r="ER163" s="229">
        <v>0.17780000000000001</v>
      </c>
      <c r="ES163" s="228">
        <v>135.13</v>
      </c>
      <c r="ET163" s="228">
        <v>96.84</v>
      </c>
      <c r="EU163" s="228">
        <v>682.91</v>
      </c>
      <c r="EV163" s="231">
        <v>21502901</v>
      </c>
      <c r="EW163" s="228">
        <v>914.88</v>
      </c>
      <c r="EX163" s="228">
        <v>909</v>
      </c>
      <c r="EY163" s="228">
        <v>5.88</v>
      </c>
      <c r="EZ163" s="229">
        <v>6.4999999999999997E-3</v>
      </c>
      <c r="FA163" s="229">
        <v>0.24340000000000001</v>
      </c>
      <c r="FB163" s="227" t="s">
        <v>566</v>
      </c>
      <c r="FC163">
        <f t="shared" si="3"/>
        <v>0</v>
      </c>
    </row>
    <row r="164" spans="1:159" ht="17.25" thickBot="1" x14ac:dyDescent="0.3">
      <c r="A164" s="226">
        <v>46132</v>
      </c>
      <c r="B164" s="227" t="s">
        <v>168</v>
      </c>
      <c r="C164" s="227" t="s">
        <v>274</v>
      </c>
      <c r="D164" s="228">
        <v>500</v>
      </c>
      <c r="E164" s="228">
        <v>8</v>
      </c>
      <c r="F164" s="231">
        <v>1393.3</v>
      </c>
      <c r="G164" s="231">
        <v>1396.9</v>
      </c>
      <c r="H164" s="228">
        <v>-3.6</v>
      </c>
      <c r="I164" s="229">
        <v>-2.5999999999999999E-3</v>
      </c>
      <c r="J164" s="231">
        <v>1390.5</v>
      </c>
      <c r="K164" s="231">
        <v>1393.4</v>
      </c>
      <c r="L164" s="228">
        <v>-2.9</v>
      </c>
      <c r="M164" s="229">
        <v>-2.0999999999999999E-3</v>
      </c>
      <c r="N164" s="231">
        <v>1393.3</v>
      </c>
      <c r="O164" s="231">
        <v>1396.9</v>
      </c>
      <c r="P164" s="228">
        <v>-3.6</v>
      </c>
      <c r="Q164" s="229">
        <v>-2.5999999999999999E-3</v>
      </c>
      <c r="R164" s="231">
        <v>1397.4</v>
      </c>
      <c r="S164" s="231">
        <v>1402.3</v>
      </c>
      <c r="T164" s="228">
        <v>-4.9000000000000004</v>
      </c>
      <c r="U164" s="229">
        <v>-3.5000000000000001E-3</v>
      </c>
      <c r="V164" s="231">
        <v>1406.6</v>
      </c>
      <c r="W164" s="231">
        <v>1406.8</v>
      </c>
      <c r="X164" s="228">
        <v>-0.2</v>
      </c>
      <c r="Y164" s="229">
        <v>-1E-4</v>
      </c>
      <c r="Z164" s="228">
        <v>2.8</v>
      </c>
      <c r="AA164" s="228">
        <v>3.5</v>
      </c>
      <c r="AB164" s="228">
        <v>-0.7</v>
      </c>
      <c r="AC164" s="229">
        <v>2E-3</v>
      </c>
      <c r="AD164" s="228">
        <v>2.8</v>
      </c>
      <c r="AE164" s="228">
        <v>3.5</v>
      </c>
      <c r="AF164" s="228">
        <v>-0.7</v>
      </c>
      <c r="AG164" s="229">
        <v>2E-3</v>
      </c>
      <c r="AH164" s="228">
        <v>6.9</v>
      </c>
      <c r="AI164" s="228">
        <v>8.9</v>
      </c>
      <c r="AJ164" s="228">
        <v>-2</v>
      </c>
      <c r="AK164" s="229">
        <v>5.0000000000000001E-3</v>
      </c>
      <c r="AL164" s="228">
        <v>16.100000000000001</v>
      </c>
      <c r="AM164" s="228">
        <v>13.4</v>
      </c>
      <c r="AN164" s="228">
        <v>2.7</v>
      </c>
      <c r="AO164" s="229">
        <v>1.1599999999999999E-2</v>
      </c>
      <c r="AP164" s="231">
        <v>1392.29</v>
      </c>
      <c r="AQ164" s="231">
        <v>1397.29</v>
      </c>
      <c r="AR164" s="228">
        <v>0</v>
      </c>
      <c r="AS164" s="228">
        <v>158</v>
      </c>
      <c r="AT164" s="228">
        <v>376</v>
      </c>
      <c r="AU164" s="228">
        <v>-218</v>
      </c>
      <c r="AV164" s="229">
        <v>-0.57989999999999997</v>
      </c>
      <c r="AW164" s="228">
        <v>145</v>
      </c>
      <c r="AX164" s="228">
        <v>339</v>
      </c>
      <c r="AY164" s="228">
        <v>-194</v>
      </c>
      <c r="AZ164" s="229">
        <v>-0.57210000000000005</v>
      </c>
      <c r="BA164" s="228">
        <v>12</v>
      </c>
      <c r="BB164" s="228">
        <v>33</v>
      </c>
      <c r="BC164" s="228">
        <v>-21</v>
      </c>
      <c r="BD164" s="229">
        <v>-0.64539999999999997</v>
      </c>
      <c r="BE164" s="228">
        <v>1</v>
      </c>
      <c r="BF164" s="228">
        <v>4</v>
      </c>
      <c r="BG164" s="228">
        <v>-3</v>
      </c>
      <c r="BH164" s="229">
        <v>-0.69489999999999996</v>
      </c>
      <c r="BI164" s="228">
        <v>205</v>
      </c>
      <c r="BJ164" s="230">
        <v>1180</v>
      </c>
      <c r="BK164" s="228">
        <v>-975</v>
      </c>
      <c r="BL164" s="229">
        <v>-0.82650000000000001</v>
      </c>
      <c r="BM164" s="228">
        <v>125</v>
      </c>
      <c r="BN164" s="228">
        <v>389</v>
      </c>
      <c r="BO164" s="228">
        <v>-264</v>
      </c>
      <c r="BP164" s="229">
        <v>-0.67969999999999997</v>
      </c>
      <c r="BQ164" s="228">
        <v>487</v>
      </c>
      <c r="BR164" s="230">
        <v>1945</v>
      </c>
      <c r="BS164" s="230">
        <v>-1458</v>
      </c>
      <c r="BT164" s="229">
        <v>-0.74950000000000006</v>
      </c>
      <c r="BU164" s="230">
        <v>919143</v>
      </c>
      <c r="BV164" s="230">
        <v>2394391</v>
      </c>
      <c r="BW164" s="230">
        <v>-1475248</v>
      </c>
      <c r="BX164" s="229">
        <v>-0.61609999999999998</v>
      </c>
      <c r="BY164" s="230">
        <v>1203</v>
      </c>
      <c r="BZ164" s="230">
        <v>1211</v>
      </c>
      <c r="CA164" s="228">
        <v>-8</v>
      </c>
      <c r="CB164" s="229">
        <v>-6.4999999999999997E-3</v>
      </c>
      <c r="CC164" s="230">
        <v>1162</v>
      </c>
      <c r="CD164" s="230">
        <v>1173</v>
      </c>
      <c r="CE164" s="228">
        <v>-11</v>
      </c>
      <c r="CF164" s="229">
        <v>-9.4999999999999998E-3</v>
      </c>
      <c r="CG164" s="228">
        <v>37</v>
      </c>
      <c r="CH164" s="228">
        <v>35</v>
      </c>
      <c r="CI164" s="228">
        <v>3</v>
      </c>
      <c r="CJ164" s="229">
        <v>7.85E-2</v>
      </c>
      <c r="CK164" s="228">
        <v>4</v>
      </c>
      <c r="CL164" s="228">
        <v>3</v>
      </c>
      <c r="CM164" s="228">
        <v>1</v>
      </c>
      <c r="CN164" s="229">
        <v>0.1739</v>
      </c>
      <c r="CO164" s="228">
        <v>230</v>
      </c>
      <c r="CP164" s="228">
        <v>245</v>
      </c>
      <c r="CQ164" s="228">
        <v>-15</v>
      </c>
      <c r="CR164" s="229">
        <v>-6.2700000000000006E-2</v>
      </c>
      <c r="CS164" s="228">
        <v>152</v>
      </c>
      <c r="CT164" s="228">
        <v>161</v>
      </c>
      <c r="CU164" s="228">
        <v>-8</v>
      </c>
      <c r="CV164" s="229">
        <v>-5.2400000000000002E-2</v>
      </c>
      <c r="CW164" s="230">
        <v>1585</v>
      </c>
      <c r="CX164" s="230">
        <v>1617</v>
      </c>
      <c r="CY164" s="228">
        <v>-32</v>
      </c>
      <c r="CZ164" s="229">
        <v>-1.9599999999999999E-2</v>
      </c>
      <c r="DA164" s="228">
        <v>31.38</v>
      </c>
      <c r="DB164" s="228">
        <v>29.17</v>
      </c>
      <c r="DC164" s="228">
        <v>2.21</v>
      </c>
      <c r="DD164" s="228">
        <v>2.21</v>
      </c>
      <c r="DE164" s="228">
        <v>26.16</v>
      </c>
      <c r="DF164" s="228">
        <v>26.22</v>
      </c>
      <c r="DG164" s="228">
        <v>5.22</v>
      </c>
      <c r="DH164" s="228">
        <v>-0.06</v>
      </c>
      <c r="DI164" s="228">
        <v>30.28</v>
      </c>
      <c r="DJ164" s="228">
        <v>28.45</v>
      </c>
      <c r="DK164" s="228">
        <v>1.83</v>
      </c>
      <c r="DL164" s="228">
        <v>1.83</v>
      </c>
      <c r="DM164" s="228">
        <v>33.18</v>
      </c>
      <c r="DN164" s="228">
        <v>31.35</v>
      </c>
      <c r="DO164" s="228">
        <v>1.83</v>
      </c>
      <c r="DP164" s="228">
        <v>1.83</v>
      </c>
      <c r="DQ164" s="228">
        <v>0.66</v>
      </c>
      <c r="DR164" s="228">
        <v>0.66</v>
      </c>
      <c r="DS164" s="228">
        <v>0</v>
      </c>
      <c r="DT164" s="229">
        <v>0</v>
      </c>
      <c r="DU164" s="231">
        <v>1400</v>
      </c>
      <c r="DV164" s="231">
        <v>1300</v>
      </c>
      <c r="DW164" s="228">
        <v>0.61</v>
      </c>
      <c r="DX164" s="228">
        <v>0.33</v>
      </c>
      <c r="DY164" s="228">
        <v>0.28000000000000003</v>
      </c>
      <c r="DZ164" s="229">
        <v>0.84850000000000003</v>
      </c>
      <c r="EA164" s="229">
        <v>3.4200000000000001E-2</v>
      </c>
      <c r="EB164" s="230">
        <v>271500</v>
      </c>
      <c r="EC164" s="229">
        <v>2.8999999999999998E-3</v>
      </c>
      <c r="ED164" s="229">
        <v>3.4200000000000001E-2</v>
      </c>
      <c r="EE164" s="228">
        <v>5</v>
      </c>
      <c r="EF164" s="229">
        <v>3.5999999999999999E-3</v>
      </c>
      <c r="EG164" s="230">
        <v>596974</v>
      </c>
      <c r="EH164" s="230">
        <v>1421726</v>
      </c>
      <c r="EI164" s="229">
        <v>-0.58009999999999995</v>
      </c>
      <c r="EJ164" s="229">
        <v>0.64949999999999997</v>
      </c>
      <c r="EK164" s="228">
        <v>212.07</v>
      </c>
      <c r="EL164" s="228">
        <v>122.45</v>
      </c>
      <c r="EM164" s="228">
        <v>157.87</v>
      </c>
      <c r="EN164" s="228">
        <v>43.54</v>
      </c>
      <c r="EO164" s="228">
        <v>492.38</v>
      </c>
      <c r="EP164" s="231">
        <v>1956.51</v>
      </c>
      <c r="EQ164" s="231">
        <v>-1464.12</v>
      </c>
      <c r="ER164" s="229">
        <v>-0.74829999999999997</v>
      </c>
      <c r="ES164" s="228">
        <v>232.51</v>
      </c>
      <c r="ET164" s="228">
        <v>143.62</v>
      </c>
      <c r="EU164" s="231">
        <v>1203.19</v>
      </c>
      <c r="EV164" s="231">
        <v>31214205</v>
      </c>
      <c r="EW164" s="231">
        <v>1579.32</v>
      </c>
      <c r="EX164" s="231">
        <v>1613.63</v>
      </c>
      <c r="EY164" s="228">
        <v>-34.31</v>
      </c>
      <c r="EZ164" s="229">
        <v>-2.1299999999999999E-2</v>
      </c>
      <c r="FA164" s="229">
        <v>0.36449999999999999</v>
      </c>
      <c r="FB164" s="227" t="s">
        <v>567</v>
      </c>
      <c r="FC164">
        <f t="shared" si="3"/>
        <v>0</v>
      </c>
    </row>
    <row r="165" spans="1:159" ht="17.25" thickBot="1" x14ac:dyDescent="0.3">
      <c r="A165" s="226">
        <v>46132</v>
      </c>
      <c r="B165" s="227" t="s">
        <v>498</v>
      </c>
      <c r="C165" s="227" t="s">
        <v>483</v>
      </c>
      <c r="D165" s="228">
        <v>175</v>
      </c>
      <c r="E165" s="228">
        <v>8</v>
      </c>
      <c r="F165" s="231">
        <v>3020.8</v>
      </c>
      <c r="G165" s="231">
        <v>3116.8</v>
      </c>
      <c r="H165" s="228">
        <v>-96</v>
      </c>
      <c r="I165" s="229">
        <v>-3.0800000000000001E-2</v>
      </c>
      <c r="J165" s="231">
        <v>3037</v>
      </c>
      <c r="K165" s="231">
        <v>3139.7</v>
      </c>
      <c r="L165" s="228">
        <v>-102.7</v>
      </c>
      <c r="M165" s="229">
        <v>-3.27E-2</v>
      </c>
      <c r="N165" s="231">
        <v>3020.8</v>
      </c>
      <c r="O165" s="231">
        <v>3116.8</v>
      </c>
      <c r="P165" s="228">
        <v>-96</v>
      </c>
      <c r="Q165" s="229">
        <v>-3.0800000000000001E-2</v>
      </c>
      <c r="R165" s="231">
        <v>2993.1</v>
      </c>
      <c r="S165" s="231">
        <v>3084.2</v>
      </c>
      <c r="T165" s="228">
        <v>-91.1</v>
      </c>
      <c r="U165" s="229">
        <v>-2.9499999999999998E-2</v>
      </c>
      <c r="V165" s="231">
        <v>2989</v>
      </c>
      <c r="W165" s="231">
        <v>3080.7</v>
      </c>
      <c r="X165" s="228">
        <v>-91.7</v>
      </c>
      <c r="Y165" s="229">
        <v>-2.98E-2</v>
      </c>
      <c r="Z165" s="228">
        <v>-16.2</v>
      </c>
      <c r="AA165" s="228">
        <v>-22.9</v>
      </c>
      <c r="AB165" s="228">
        <v>6.7</v>
      </c>
      <c r="AC165" s="229">
        <v>-5.3E-3</v>
      </c>
      <c r="AD165" s="228">
        <v>-16.2</v>
      </c>
      <c r="AE165" s="228">
        <v>-22.9</v>
      </c>
      <c r="AF165" s="228">
        <v>6.7</v>
      </c>
      <c r="AG165" s="229">
        <v>-5.3E-3</v>
      </c>
      <c r="AH165" s="228">
        <v>-43.9</v>
      </c>
      <c r="AI165" s="228">
        <v>-55.5</v>
      </c>
      <c r="AJ165" s="228">
        <v>11.6</v>
      </c>
      <c r="AK165" s="229">
        <v>-1.4500000000000001E-2</v>
      </c>
      <c r="AL165" s="228">
        <v>-48</v>
      </c>
      <c r="AM165" s="228">
        <v>-59</v>
      </c>
      <c r="AN165" s="228">
        <v>11</v>
      </c>
      <c r="AO165" s="229">
        <v>-1.5800000000000002E-2</v>
      </c>
      <c r="AP165" s="231">
        <v>3063.04</v>
      </c>
      <c r="AQ165" s="231">
        <v>3039.1</v>
      </c>
      <c r="AR165" s="228">
        <v>0</v>
      </c>
      <c r="AS165" s="228">
        <v>164</v>
      </c>
      <c r="AT165" s="228">
        <v>203</v>
      </c>
      <c r="AU165" s="228">
        <v>-39</v>
      </c>
      <c r="AV165" s="229">
        <v>-0.19020000000000001</v>
      </c>
      <c r="AW165" s="228">
        <v>118</v>
      </c>
      <c r="AX165" s="228">
        <v>161</v>
      </c>
      <c r="AY165" s="228">
        <v>-43</v>
      </c>
      <c r="AZ165" s="229">
        <v>-0.26790000000000003</v>
      </c>
      <c r="BA165" s="228">
        <v>43</v>
      </c>
      <c r="BB165" s="228">
        <v>40</v>
      </c>
      <c r="BC165" s="228">
        <v>3</v>
      </c>
      <c r="BD165" s="229">
        <v>8.3599999999999994E-2</v>
      </c>
      <c r="BE165" s="228">
        <v>3</v>
      </c>
      <c r="BF165" s="228">
        <v>2</v>
      </c>
      <c r="BG165" s="228">
        <v>1</v>
      </c>
      <c r="BH165" s="229">
        <v>0.63890000000000002</v>
      </c>
      <c r="BI165" s="228">
        <v>185</v>
      </c>
      <c r="BJ165" s="228">
        <v>280</v>
      </c>
      <c r="BK165" s="228">
        <v>-95</v>
      </c>
      <c r="BL165" s="229">
        <v>-0.34010000000000001</v>
      </c>
      <c r="BM165" s="228">
        <v>151</v>
      </c>
      <c r="BN165" s="228">
        <v>161</v>
      </c>
      <c r="BO165" s="228">
        <v>-10</v>
      </c>
      <c r="BP165" s="229">
        <v>-5.9700000000000003E-2</v>
      </c>
      <c r="BQ165" s="228">
        <v>500</v>
      </c>
      <c r="BR165" s="228">
        <v>644</v>
      </c>
      <c r="BS165" s="228">
        <v>-143</v>
      </c>
      <c r="BT165" s="229">
        <v>-0.2228</v>
      </c>
      <c r="BU165" s="230">
        <v>252905</v>
      </c>
      <c r="BV165" s="230">
        <v>477114</v>
      </c>
      <c r="BW165" s="230">
        <v>-224209</v>
      </c>
      <c r="BX165" s="229">
        <v>-0.46989999999999998</v>
      </c>
      <c r="BY165" s="228">
        <v>839</v>
      </c>
      <c r="BZ165" s="228">
        <v>807</v>
      </c>
      <c r="CA165" s="228">
        <v>31</v>
      </c>
      <c r="CB165" s="229">
        <v>3.8699999999999998E-2</v>
      </c>
      <c r="CC165" s="228">
        <v>769</v>
      </c>
      <c r="CD165" s="228">
        <v>754</v>
      </c>
      <c r="CE165" s="228">
        <v>14</v>
      </c>
      <c r="CF165" s="229">
        <v>1.9099999999999999E-2</v>
      </c>
      <c r="CG165" s="228">
        <v>64</v>
      </c>
      <c r="CH165" s="228">
        <v>50</v>
      </c>
      <c r="CI165" s="228">
        <v>14</v>
      </c>
      <c r="CJ165" s="229">
        <v>0.2853</v>
      </c>
      <c r="CK165" s="228">
        <v>6</v>
      </c>
      <c r="CL165" s="228">
        <v>3</v>
      </c>
      <c r="CM165" s="228">
        <v>3</v>
      </c>
      <c r="CN165" s="229">
        <v>0.7903</v>
      </c>
      <c r="CO165" s="228">
        <v>224</v>
      </c>
      <c r="CP165" s="228">
        <v>202</v>
      </c>
      <c r="CQ165" s="228">
        <v>23</v>
      </c>
      <c r="CR165" s="229">
        <v>0.1115</v>
      </c>
      <c r="CS165" s="228">
        <v>190</v>
      </c>
      <c r="CT165" s="228">
        <v>203</v>
      </c>
      <c r="CU165" s="228">
        <v>-13</v>
      </c>
      <c r="CV165" s="229">
        <v>-6.3899999999999998E-2</v>
      </c>
      <c r="CW165" s="230">
        <v>1254</v>
      </c>
      <c r="CX165" s="230">
        <v>1213</v>
      </c>
      <c r="CY165" s="228">
        <v>41</v>
      </c>
      <c r="CZ165" s="229">
        <v>3.3599999999999998E-2</v>
      </c>
      <c r="DA165" s="228">
        <v>35.229999999999997</v>
      </c>
      <c r="DB165" s="228">
        <v>30.37</v>
      </c>
      <c r="DC165" s="228">
        <v>4.8600000000000003</v>
      </c>
      <c r="DD165" s="228">
        <v>4.8600000000000003</v>
      </c>
      <c r="DE165" s="228">
        <v>31.82</v>
      </c>
      <c r="DF165" s="228">
        <v>31.58</v>
      </c>
      <c r="DG165" s="228">
        <v>3.41</v>
      </c>
      <c r="DH165" s="228">
        <v>0.24</v>
      </c>
      <c r="DI165" s="228">
        <v>34.25</v>
      </c>
      <c r="DJ165" s="228">
        <v>28.73</v>
      </c>
      <c r="DK165" s="228">
        <v>5.52</v>
      </c>
      <c r="DL165" s="228">
        <v>5.52</v>
      </c>
      <c r="DM165" s="228">
        <v>36.43</v>
      </c>
      <c r="DN165" s="228">
        <v>33.22</v>
      </c>
      <c r="DO165" s="228">
        <v>3.21</v>
      </c>
      <c r="DP165" s="228">
        <v>3.21</v>
      </c>
      <c r="DQ165" s="228">
        <v>0.85</v>
      </c>
      <c r="DR165" s="228">
        <v>1.01</v>
      </c>
      <c r="DS165" s="228">
        <v>-0.16</v>
      </c>
      <c r="DT165" s="229">
        <v>-0.15840000000000001</v>
      </c>
      <c r="DU165" s="231">
        <v>3300</v>
      </c>
      <c r="DV165" s="231">
        <v>2700</v>
      </c>
      <c r="DW165" s="228">
        <v>0.82</v>
      </c>
      <c r="DX165" s="228">
        <v>0.56999999999999995</v>
      </c>
      <c r="DY165" s="228">
        <v>0.25</v>
      </c>
      <c r="DZ165" s="229">
        <v>0.43859999999999999</v>
      </c>
      <c r="EA165" s="229">
        <v>8.3400000000000002E-2</v>
      </c>
      <c r="EB165" s="230">
        <v>175875</v>
      </c>
      <c r="EC165" s="229">
        <v>-9.1999999999999998E-3</v>
      </c>
      <c r="ED165" s="229">
        <v>8.3400000000000002E-2</v>
      </c>
      <c r="EE165" s="228">
        <v>-23.94</v>
      </c>
      <c r="EF165" s="229">
        <v>-7.7999999999999996E-3</v>
      </c>
      <c r="EG165" s="230">
        <v>112284</v>
      </c>
      <c r="EH165" s="230">
        <v>232345</v>
      </c>
      <c r="EI165" s="229">
        <v>-0.51670000000000005</v>
      </c>
      <c r="EJ165" s="229">
        <v>0.44400000000000001</v>
      </c>
      <c r="EK165" s="228">
        <v>195.93</v>
      </c>
      <c r="EL165" s="228">
        <v>149</v>
      </c>
      <c r="EM165" s="228">
        <v>165.95</v>
      </c>
      <c r="EN165" s="228">
        <v>30.4</v>
      </c>
      <c r="EO165" s="228">
        <v>510.88</v>
      </c>
      <c r="EP165" s="228">
        <v>668.61</v>
      </c>
      <c r="EQ165" s="228">
        <v>-157.72999999999999</v>
      </c>
      <c r="ER165" s="229">
        <v>-0.2359</v>
      </c>
      <c r="ES165" s="228">
        <v>230.79</v>
      </c>
      <c r="ET165" s="228">
        <v>180.57</v>
      </c>
      <c r="EU165" s="228">
        <v>838.09</v>
      </c>
      <c r="EV165" s="231">
        <v>8178275</v>
      </c>
      <c r="EW165" s="231">
        <v>1249.45</v>
      </c>
      <c r="EX165" s="231">
        <v>1232.3800000000001</v>
      </c>
      <c r="EY165" s="228">
        <v>17.07</v>
      </c>
      <c r="EZ165" s="229">
        <v>1.3899999999999999E-2</v>
      </c>
      <c r="FA165" s="229">
        <v>0.50749999999999995</v>
      </c>
      <c r="FB165" s="227" t="s">
        <v>566</v>
      </c>
      <c r="FC165">
        <f t="shared" si="3"/>
        <v>0</v>
      </c>
    </row>
    <row r="166" spans="1:159" ht="17.25" thickBot="1" x14ac:dyDescent="0.3">
      <c r="A166" s="226">
        <v>46132</v>
      </c>
      <c r="B166" s="227" t="s">
        <v>172</v>
      </c>
      <c r="C166" s="227" t="s">
        <v>275</v>
      </c>
      <c r="D166" s="228">
        <v>8000</v>
      </c>
      <c r="E166" s="228">
        <v>8</v>
      </c>
      <c r="F166" s="228">
        <v>113.9</v>
      </c>
      <c r="G166" s="228">
        <v>114.73</v>
      </c>
      <c r="H166" s="228">
        <v>-0.83</v>
      </c>
      <c r="I166" s="229">
        <v>-7.1999999999999998E-3</v>
      </c>
      <c r="J166" s="228">
        <v>113.74</v>
      </c>
      <c r="K166" s="228">
        <v>114.48</v>
      </c>
      <c r="L166" s="228">
        <v>-0.74</v>
      </c>
      <c r="M166" s="229">
        <v>-6.4999999999999997E-3</v>
      </c>
      <c r="N166" s="228">
        <v>113.9</v>
      </c>
      <c r="O166" s="228">
        <v>114.73</v>
      </c>
      <c r="P166" s="228">
        <v>-0.83</v>
      </c>
      <c r="Q166" s="229">
        <v>-7.1999999999999998E-3</v>
      </c>
      <c r="R166" s="228">
        <v>114.48</v>
      </c>
      <c r="S166" s="228">
        <v>115.37</v>
      </c>
      <c r="T166" s="228">
        <v>-0.89</v>
      </c>
      <c r="U166" s="229">
        <v>-7.7000000000000002E-3</v>
      </c>
      <c r="V166" s="228">
        <v>115.21</v>
      </c>
      <c r="W166" s="228">
        <v>115.93</v>
      </c>
      <c r="X166" s="228">
        <v>-0.72</v>
      </c>
      <c r="Y166" s="229">
        <v>-6.1999999999999998E-3</v>
      </c>
      <c r="Z166" s="228">
        <v>0.16</v>
      </c>
      <c r="AA166" s="228">
        <v>0.25</v>
      </c>
      <c r="AB166" s="228">
        <v>-0.09</v>
      </c>
      <c r="AC166" s="229">
        <v>1.4E-3</v>
      </c>
      <c r="AD166" s="228">
        <v>0.16</v>
      </c>
      <c r="AE166" s="228">
        <v>0.25</v>
      </c>
      <c r="AF166" s="228">
        <v>-0.09</v>
      </c>
      <c r="AG166" s="229">
        <v>1.4E-3</v>
      </c>
      <c r="AH166" s="228">
        <v>0.74</v>
      </c>
      <c r="AI166" s="228">
        <v>0.89</v>
      </c>
      <c r="AJ166" s="228">
        <v>-0.15</v>
      </c>
      <c r="AK166" s="229">
        <v>6.4999999999999997E-3</v>
      </c>
      <c r="AL166" s="228">
        <v>1.47</v>
      </c>
      <c r="AM166" s="228">
        <v>1.45</v>
      </c>
      <c r="AN166" s="228">
        <v>0.02</v>
      </c>
      <c r="AO166" s="229">
        <v>1.29E-2</v>
      </c>
      <c r="AP166" s="228">
        <v>114.59</v>
      </c>
      <c r="AQ166" s="228">
        <v>115.12</v>
      </c>
      <c r="AR166" s="228">
        <v>0</v>
      </c>
      <c r="AS166" s="228">
        <v>596</v>
      </c>
      <c r="AT166" s="228">
        <v>480</v>
      </c>
      <c r="AU166" s="228">
        <v>116</v>
      </c>
      <c r="AV166" s="229">
        <v>0.2407</v>
      </c>
      <c r="AW166" s="228">
        <v>462</v>
      </c>
      <c r="AX166" s="228">
        <v>383</v>
      </c>
      <c r="AY166" s="228">
        <v>80</v>
      </c>
      <c r="AZ166" s="229">
        <v>0.20799999999999999</v>
      </c>
      <c r="BA166" s="228">
        <v>122</v>
      </c>
      <c r="BB166" s="228">
        <v>89</v>
      </c>
      <c r="BC166" s="228">
        <v>34</v>
      </c>
      <c r="BD166" s="229">
        <v>0.38069999999999998</v>
      </c>
      <c r="BE166" s="228">
        <v>11</v>
      </c>
      <c r="BF166" s="228">
        <v>9</v>
      </c>
      <c r="BG166" s="228">
        <v>2</v>
      </c>
      <c r="BH166" s="229">
        <v>0.25</v>
      </c>
      <c r="BI166" s="230">
        <v>1027</v>
      </c>
      <c r="BJ166" s="228">
        <v>941</v>
      </c>
      <c r="BK166" s="228">
        <v>86</v>
      </c>
      <c r="BL166" s="229">
        <v>9.1899999999999996E-2</v>
      </c>
      <c r="BM166" s="228">
        <v>555</v>
      </c>
      <c r="BN166" s="228">
        <v>556</v>
      </c>
      <c r="BO166" s="228">
        <v>-1</v>
      </c>
      <c r="BP166" s="229">
        <v>-2.5000000000000001E-3</v>
      </c>
      <c r="BQ166" s="230">
        <v>2178</v>
      </c>
      <c r="BR166" s="230">
        <v>1977</v>
      </c>
      <c r="BS166" s="228">
        <v>201</v>
      </c>
      <c r="BT166" s="229">
        <v>0.10150000000000001</v>
      </c>
      <c r="BU166" s="230">
        <v>17566851</v>
      </c>
      <c r="BV166" s="230">
        <v>15061346</v>
      </c>
      <c r="BW166" s="230">
        <v>2505505</v>
      </c>
      <c r="BX166" s="229">
        <v>0.16639999999999999</v>
      </c>
      <c r="BY166" s="230">
        <v>3008</v>
      </c>
      <c r="BZ166" s="230">
        <v>3069</v>
      </c>
      <c r="CA166" s="228">
        <v>-62</v>
      </c>
      <c r="CB166" s="229">
        <v>-0.02</v>
      </c>
      <c r="CC166" s="230">
        <v>2522</v>
      </c>
      <c r="CD166" s="230">
        <v>2647</v>
      </c>
      <c r="CE166" s="228">
        <v>-125</v>
      </c>
      <c r="CF166" s="229">
        <v>-4.7199999999999999E-2</v>
      </c>
      <c r="CG166" s="228">
        <v>360</v>
      </c>
      <c r="CH166" s="228">
        <v>302</v>
      </c>
      <c r="CI166" s="228">
        <v>57</v>
      </c>
      <c r="CJ166" s="229">
        <v>0.18890000000000001</v>
      </c>
      <c r="CK166" s="228">
        <v>126</v>
      </c>
      <c r="CL166" s="228">
        <v>119</v>
      </c>
      <c r="CM166" s="228">
        <v>6</v>
      </c>
      <c r="CN166" s="229">
        <v>5.3400000000000003E-2</v>
      </c>
      <c r="CO166" s="228">
        <v>962</v>
      </c>
      <c r="CP166" s="228">
        <v>941</v>
      </c>
      <c r="CQ166" s="228">
        <v>21</v>
      </c>
      <c r="CR166" s="229">
        <v>2.23E-2</v>
      </c>
      <c r="CS166" s="228">
        <v>836</v>
      </c>
      <c r="CT166" s="228">
        <v>827</v>
      </c>
      <c r="CU166" s="228">
        <v>9</v>
      </c>
      <c r="CV166" s="229">
        <v>1.09E-2</v>
      </c>
      <c r="CW166" s="230">
        <v>4806</v>
      </c>
      <c r="CX166" s="230">
        <v>4838</v>
      </c>
      <c r="CY166" s="228">
        <v>-32</v>
      </c>
      <c r="CZ166" s="229">
        <v>-6.4999999999999997E-3</v>
      </c>
      <c r="DA166" s="228">
        <v>36.590000000000003</v>
      </c>
      <c r="DB166" s="228">
        <v>33.46</v>
      </c>
      <c r="DC166" s="228">
        <v>3.13</v>
      </c>
      <c r="DD166" s="228">
        <v>3.13</v>
      </c>
      <c r="DE166" s="228">
        <v>37.89</v>
      </c>
      <c r="DF166" s="228">
        <v>37.97</v>
      </c>
      <c r="DG166" s="228">
        <v>-1.3</v>
      </c>
      <c r="DH166" s="228">
        <v>-0.08</v>
      </c>
      <c r="DI166" s="228">
        <v>35.270000000000003</v>
      </c>
      <c r="DJ166" s="228">
        <v>32.090000000000003</v>
      </c>
      <c r="DK166" s="228">
        <v>3.18</v>
      </c>
      <c r="DL166" s="228">
        <v>3.18</v>
      </c>
      <c r="DM166" s="228">
        <v>39.020000000000003</v>
      </c>
      <c r="DN166" s="228">
        <v>35.770000000000003</v>
      </c>
      <c r="DO166" s="228">
        <v>3.25</v>
      </c>
      <c r="DP166" s="228">
        <v>3.25</v>
      </c>
      <c r="DQ166" s="228">
        <v>0.87</v>
      </c>
      <c r="DR166" s="228">
        <v>0.88</v>
      </c>
      <c r="DS166" s="228">
        <v>-0.01</v>
      </c>
      <c r="DT166" s="229">
        <v>-1.14E-2</v>
      </c>
      <c r="DU166" s="228">
        <v>115</v>
      </c>
      <c r="DV166" s="228">
        <v>110</v>
      </c>
      <c r="DW166" s="228">
        <v>0.54</v>
      </c>
      <c r="DX166" s="228">
        <v>0.59</v>
      </c>
      <c r="DY166" s="228">
        <v>-0.05</v>
      </c>
      <c r="DZ166" s="229">
        <v>-8.4699999999999998E-2</v>
      </c>
      <c r="EA166" s="229">
        <v>0.16139999999999999</v>
      </c>
      <c r="EB166" s="230">
        <v>37040000</v>
      </c>
      <c r="EC166" s="229">
        <v>5.1000000000000004E-3</v>
      </c>
      <c r="ED166" s="229">
        <v>0.16139999999999999</v>
      </c>
      <c r="EE166" s="228">
        <v>0.53</v>
      </c>
      <c r="EF166" s="229">
        <v>4.5999999999999999E-3</v>
      </c>
      <c r="EG166" s="230">
        <v>7353175</v>
      </c>
      <c r="EH166" s="230">
        <v>6723442</v>
      </c>
      <c r="EI166" s="229">
        <v>9.3700000000000006E-2</v>
      </c>
      <c r="EJ166" s="229">
        <v>0.41860000000000003</v>
      </c>
      <c r="EK166" s="231">
        <v>1078.3599999999999</v>
      </c>
      <c r="EL166" s="228">
        <v>550.85</v>
      </c>
      <c r="EM166" s="228">
        <v>599.91</v>
      </c>
      <c r="EN166" s="228">
        <v>56.66</v>
      </c>
      <c r="EO166" s="231">
        <v>2229.12</v>
      </c>
      <c r="EP166" s="231">
        <v>2017.13</v>
      </c>
      <c r="EQ166" s="228">
        <v>211.99</v>
      </c>
      <c r="ER166" s="229">
        <v>0.1051</v>
      </c>
      <c r="ES166" s="228">
        <v>983.86</v>
      </c>
      <c r="ET166" s="228">
        <v>798.34</v>
      </c>
      <c r="EU166" s="231">
        <v>3011.15</v>
      </c>
      <c r="EV166" s="231">
        <v>515822637</v>
      </c>
      <c r="EW166" s="231">
        <v>4793.3500000000004</v>
      </c>
      <c r="EX166" s="231">
        <v>4846.49</v>
      </c>
      <c r="EY166" s="228">
        <v>-53.14</v>
      </c>
      <c r="EZ166" s="229">
        <v>-1.0999999999999999E-2</v>
      </c>
      <c r="FA166" s="229">
        <v>0.81810000000000005</v>
      </c>
      <c r="FB166" s="227" t="s">
        <v>567</v>
      </c>
      <c r="FC166">
        <f t="shared" si="3"/>
        <v>0</v>
      </c>
    </row>
    <row r="167" spans="1:159" ht="17.25" thickBot="1" x14ac:dyDescent="0.3">
      <c r="A167" s="226">
        <v>46132</v>
      </c>
      <c r="B167" s="227" t="s">
        <v>175</v>
      </c>
      <c r="C167" s="227" t="s">
        <v>668</v>
      </c>
      <c r="D167" s="228">
        <v>650</v>
      </c>
      <c r="E167" s="228">
        <v>8</v>
      </c>
      <c r="F167" s="228">
        <v>908.05</v>
      </c>
      <c r="G167" s="228">
        <v>924.4</v>
      </c>
      <c r="H167" s="228">
        <v>-16.350000000000001</v>
      </c>
      <c r="I167" s="229">
        <v>-1.77E-2</v>
      </c>
      <c r="J167" s="228">
        <v>906.75</v>
      </c>
      <c r="K167" s="228">
        <v>923.7</v>
      </c>
      <c r="L167" s="228">
        <v>-16.95</v>
      </c>
      <c r="M167" s="229">
        <v>-1.84E-2</v>
      </c>
      <c r="N167" s="228">
        <v>908.05</v>
      </c>
      <c r="O167" s="228">
        <v>924.4</v>
      </c>
      <c r="P167" s="228">
        <v>-16.350000000000001</v>
      </c>
      <c r="Q167" s="229">
        <v>-1.77E-2</v>
      </c>
      <c r="R167" s="228">
        <v>911.95</v>
      </c>
      <c r="S167" s="228">
        <v>928.45</v>
      </c>
      <c r="T167" s="228">
        <v>-16.5</v>
      </c>
      <c r="U167" s="229">
        <v>-1.78E-2</v>
      </c>
      <c r="V167" s="228">
        <v>917.95</v>
      </c>
      <c r="W167" s="228">
        <v>933</v>
      </c>
      <c r="X167" s="228">
        <v>-15.05</v>
      </c>
      <c r="Y167" s="229">
        <v>-1.61E-2</v>
      </c>
      <c r="Z167" s="228">
        <v>1.3</v>
      </c>
      <c r="AA167" s="228">
        <v>0.7</v>
      </c>
      <c r="AB167" s="228">
        <v>0.6</v>
      </c>
      <c r="AC167" s="229">
        <v>1.4E-3</v>
      </c>
      <c r="AD167" s="228">
        <v>1.3</v>
      </c>
      <c r="AE167" s="228">
        <v>0.7</v>
      </c>
      <c r="AF167" s="228">
        <v>0.6</v>
      </c>
      <c r="AG167" s="229">
        <v>1.4E-3</v>
      </c>
      <c r="AH167" s="228">
        <v>5.2</v>
      </c>
      <c r="AI167" s="228">
        <v>4.75</v>
      </c>
      <c r="AJ167" s="228">
        <v>0.45</v>
      </c>
      <c r="AK167" s="229">
        <v>5.7000000000000002E-3</v>
      </c>
      <c r="AL167" s="228">
        <v>11.2</v>
      </c>
      <c r="AM167" s="228">
        <v>9.3000000000000007</v>
      </c>
      <c r="AN167" s="228">
        <v>1.9</v>
      </c>
      <c r="AO167" s="229">
        <v>1.24E-2</v>
      </c>
      <c r="AP167" s="228">
        <v>916.8</v>
      </c>
      <c r="AQ167" s="228">
        <v>920.1</v>
      </c>
      <c r="AR167" s="228">
        <v>0</v>
      </c>
      <c r="AS167" s="228">
        <v>332</v>
      </c>
      <c r="AT167" s="228">
        <v>385</v>
      </c>
      <c r="AU167" s="228">
        <v>-53</v>
      </c>
      <c r="AV167" s="229">
        <v>-0.1371</v>
      </c>
      <c r="AW167" s="228">
        <v>307</v>
      </c>
      <c r="AX167" s="228">
        <v>360</v>
      </c>
      <c r="AY167" s="228">
        <v>-53</v>
      </c>
      <c r="AZ167" s="229">
        <v>-0.14760000000000001</v>
      </c>
      <c r="BA167" s="228">
        <v>24</v>
      </c>
      <c r="BB167" s="228">
        <v>25</v>
      </c>
      <c r="BC167" s="228">
        <v>-1</v>
      </c>
      <c r="BD167" s="229">
        <v>-3.3500000000000002E-2</v>
      </c>
      <c r="BE167" s="228">
        <v>2</v>
      </c>
      <c r="BF167" s="228">
        <v>1</v>
      </c>
      <c r="BG167" s="228">
        <v>1</v>
      </c>
      <c r="BH167" s="229">
        <v>1.9</v>
      </c>
      <c r="BI167" s="228">
        <v>990</v>
      </c>
      <c r="BJ167" s="228">
        <v>816</v>
      </c>
      <c r="BK167" s="228">
        <v>174</v>
      </c>
      <c r="BL167" s="229">
        <v>0.2135</v>
      </c>
      <c r="BM167" s="228">
        <v>591</v>
      </c>
      <c r="BN167" s="228">
        <v>277</v>
      </c>
      <c r="BO167" s="228">
        <v>314</v>
      </c>
      <c r="BP167" s="229">
        <v>1.1354</v>
      </c>
      <c r="BQ167" s="230">
        <v>1913</v>
      </c>
      <c r="BR167" s="230">
        <v>1478</v>
      </c>
      <c r="BS167" s="228">
        <v>436</v>
      </c>
      <c r="BT167" s="229">
        <v>0.29480000000000001</v>
      </c>
      <c r="BU167" s="230">
        <v>1584678</v>
      </c>
      <c r="BV167" s="230">
        <v>2169893</v>
      </c>
      <c r="BW167" s="230">
        <v>-585215</v>
      </c>
      <c r="BX167" s="229">
        <v>-0.2697</v>
      </c>
      <c r="BY167" s="230">
        <v>1276</v>
      </c>
      <c r="BZ167" s="230">
        <v>1251</v>
      </c>
      <c r="CA167" s="228">
        <v>25</v>
      </c>
      <c r="CB167" s="229">
        <v>2.01E-2</v>
      </c>
      <c r="CC167" s="230">
        <v>1234</v>
      </c>
      <c r="CD167" s="230">
        <v>1218</v>
      </c>
      <c r="CE167" s="228">
        <v>16</v>
      </c>
      <c r="CF167" s="229">
        <v>1.3100000000000001E-2</v>
      </c>
      <c r="CG167" s="228">
        <v>39</v>
      </c>
      <c r="CH167" s="228">
        <v>31</v>
      </c>
      <c r="CI167" s="228">
        <v>8</v>
      </c>
      <c r="CJ167" s="229">
        <v>0.25609999999999999</v>
      </c>
      <c r="CK167" s="228">
        <v>3</v>
      </c>
      <c r="CL167" s="228">
        <v>1</v>
      </c>
      <c r="CM167" s="228">
        <v>1</v>
      </c>
      <c r="CN167" s="229">
        <v>0.83330000000000004</v>
      </c>
      <c r="CO167" s="228">
        <v>434</v>
      </c>
      <c r="CP167" s="228">
        <v>233</v>
      </c>
      <c r="CQ167" s="228">
        <v>201</v>
      </c>
      <c r="CR167" s="229">
        <v>0.86370000000000002</v>
      </c>
      <c r="CS167" s="228">
        <v>378</v>
      </c>
      <c r="CT167" s="228">
        <v>233</v>
      </c>
      <c r="CU167" s="228">
        <v>145</v>
      </c>
      <c r="CV167" s="229">
        <v>0.62509999999999999</v>
      </c>
      <c r="CW167" s="230">
        <v>2088</v>
      </c>
      <c r="CX167" s="230">
        <v>1717</v>
      </c>
      <c r="CY167" s="228">
        <v>372</v>
      </c>
      <c r="CZ167" s="229">
        <v>0.2165</v>
      </c>
      <c r="DA167" s="228">
        <v>53.87</v>
      </c>
      <c r="DB167" s="228">
        <v>48.52</v>
      </c>
      <c r="DC167" s="228">
        <v>5.35</v>
      </c>
      <c r="DD167" s="228">
        <v>5.35</v>
      </c>
      <c r="DE167" s="228">
        <v>47.24</v>
      </c>
      <c r="DF167" s="228">
        <v>47.3</v>
      </c>
      <c r="DG167" s="228">
        <v>6.63</v>
      </c>
      <c r="DH167" s="228">
        <v>-0.06</v>
      </c>
      <c r="DI167" s="228">
        <v>53.81</v>
      </c>
      <c r="DJ167" s="228">
        <v>48.86</v>
      </c>
      <c r="DK167" s="228">
        <v>4.95</v>
      </c>
      <c r="DL167" s="228">
        <v>4.95</v>
      </c>
      <c r="DM167" s="228">
        <v>53.97</v>
      </c>
      <c r="DN167" s="228">
        <v>47.54</v>
      </c>
      <c r="DO167" s="228">
        <v>6.43</v>
      </c>
      <c r="DP167" s="228">
        <v>6.43</v>
      </c>
      <c r="DQ167" s="228">
        <v>0.87</v>
      </c>
      <c r="DR167" s="228">
        <v>1</v>
      </c>
      <c r="DS167" s="228">
        <v>-0.13</v>
      </c>
      <c r="DT167" s="229">
        <v>-0.13</v>
      </c>
      <c r="DU167" s="228">
        <v>920</v>
      </c>
      <c r="DV167" s="228">
        <v>900</v>
      </c>
      <c r="DW167" s="228">
        <v>0.6</v>
      </c>
      <c r="DX167" s="228">
        <v>0.34</v>
      </c>
      <c r="DY167" s="228">
        <v>0.26</v>
      </c>
      <c r="DZ167" s="229">
        <v>0.76470000000000005</v>
      </c>
      <c r="EA167" s="229">
        <v>3.2899999999999999E-2</v>
      </c>
      <c r="EB167" s="230">
        <v>360750</v>
      </c>
      <c r="EC167" s="229">
        <v>4.3E-3</v>
      </c>
      <c r="ED167" s="229">
        <v>3.2899999999999999E-2</v>
      </c>
      <c r="EE167" s="228">
        <v>3.3</v>
      </c>
      <c r="EF167" s="229">
        <v>3.5999999999999999E-3</v>
      </c>
      <c r="EG167" s="230">
        <v>503009</v>
      </c>
      <c r="EH167" s="230">
        <v>939822</v>
      </c>
      <c r="EI167" s="229">
        <v>-0.46479999999999999</v>
      </c>
      <c r="EJ167" s="229">
        <v>0.31740000000000002</v>
      </c>
      <c r="EK167" s="231">
        <v>1060.6600000000001</v>
      </c>
      <c r="EL167" s="228">
        <v>576.95000000000005</v>
      </c>
      <c r="EM167" s="228">
        <v>335.67</v>
      </c>
      <c r="EN167" s="228">
        <v>42.06</v>
      </c>
      <c r="EO167" s="231">
        <v>1973.28</v>
      </c>
      <c r="EP167" s="231">
        <v>1520.97</v>
      </c>
      <c r="EQ167" s="228">
        <v>452.31</v>
      </c>
      <c r="ER167" s="229">
        <v>0.2974</v>
      </c>
      <c r="ES167" s="228">
        <v>447.19</v>
      </c>
      <c r="ET167" s="228">
        <v>350.75</v>
      </c>
      <c r="EU167" s="231">
        <v>1276.58</v>
      </c>
      <c r="EV167" s="231">
        <v>28118603</v>
      </c>
      <c r="EW167" s="231">
        <v>2074.5100000000002</v>
      </c>
      <c r="EX167" s="231">
        <v>1718.85</v>
      </c>
      <c r="EY167" s="228">
        <v>355.66</v>
      </c>
      <c r="EZ167" s="229">
        <v>0.2069</v>
      </c>
      <c r="FA167" s="229">
        <v>0.81789999999999996</v>
      </c>
      <c r="FB167" s="227" t="s">
        <v>566</v>
      </c>
      <c r="FC167">
        <f t="shared" si="3"/>
        <v>0</v>
      </c>
    </row>
    <row r="168" spans="1:159" ht="17.25" thickBot="1" x14ac:dyDescent="0.3">
      <c r="A168" s="226">
        <v>46132</v>
      </c>
      <c r="B168" s="227" t="s">
        <v>614</v>
      </c>
      <c r="C168" s="227" t="s">
        <v>572</v>
      </c>
      <c r="D168" s="228">
        <v>350</v>
      </c>
      <c r="E168" s="228">
        <v>8</v>
      </c>
      <c r="F168" s="231">
        <v>1613</v>
      </c>
      <c r="G168" s="231">
        <v>1601.1</v>
      </c>
      <c r="H168" s="228">
        <v>11.9</v>
      </c>
      <c r="I168" s="229">
        <v>7.4000000000000003E-3</v>
      </c>
      <c r="J168" s="231">
        <v>1616.8</v>
      </c>
      <c r="K168" s="231">
        <v>1600.6</v>
      </c>
      <c r="L168" s="228">
        <v>16.2</v>
      </c>
      <c r="M168" s="229">
        <v>1.01E-2</v>
      </c>
      <c r="N168" s="231">
        <v>1613</v>
      </c>
      <c r="O168" s="231">
        <v>1601.1</v>
      </c>
      <c r="P168" s="228">
        <v>11.9</v>
      </c>
      <c r="Q168" s="229">
        <v>7.4000000000000003E-3</v>
      </c>
      <c r="R168" s="231">
        <v>1616.8</v>
      </c>
      <c r="S168" s="231">
        <v>1604.7</v>
      </c>
      <c r="T168" s="228">
        <v>12.1</v>
      </c>
      <c r="U168" s="229">
        <v>7.4999999999999997E-3</v>
      </c>
      <c r="V168" s="231">
        <v>1620</v>
      </c>
      <c r="W168" s="231">
        <v>1613.4</v>
      </c>
      <c r="X168" s="228">
        <v>6.6</v>
      </c>
      <c r="Y168" s="229">
        <v>4.1000000000000003E-3</v>
      </c>
      <c r="Z168" s="228">
        <v>-3.8</v>
      </c>
      <c r="AA168" s="228">
        <v>0.5</v>
      </c>
      <c r="AB168" s="228">
        <v>-4.3</v>
      </c>
      <c r="AC168" s="229">
        <v>-2.3999999999999998E-3</v>
      </c>
      <c r="AD168" s="228">
        <v>-3.8</v>
      </c>
      <c r="AE168" s="228">
        <v>0.5</v>
      </c>
      <c r="AF168" s="228">
        <v>-4.3</v>
      </c>
      <c r="AG168" s="229">
        <v>-2.3999999999999998E-3</v>
      </c>
      <c r="AH168" s="228">
        <v>0</v>
      </c>
      <c r="AI168" s="228">
        <v>4.0999999999999996</v>
      </c>
      <c r="AJ168" s="228">
        <v>-4.0999999999999996</v>
      </c>
      <c r="AK168" s="229">
        <v>0</v>
      </c>
      <c r="AL168" s="228">
        <v>3.2</v>
      </c>
      <c r="AM168" s="228">
        <v>12.8</v>
      </c>
      <c r="AN168" s="228">
        <v>-9.6</v>
      </c>
      <c r="AO168" s="229">
        <v>2E-3</v>
      </c>
      <c r="AP168" s="231">
        <v>1611.34</v>
      </c>
      <c r="AQ168" s="231">
        <v>1613.31</v>
      </c>
      <c r="AR168" s="228">
        <v>0</v>
      </c>
      <c r="AS168" s="228">
        <v>226</v>
      </c>
      <c r="AT168" s="228">
        <v>569</v>
      </c>
      <c r="AU168" s="228">
        <v>-343</v>
      </c>
      <c r="AV168" s="229">
        <v>-0.60229999999999995</v>
      </c>
      <c r="AW168" s="228">
        <v>211</v>
      </c>
      <c r="AX168" s="228">
        <v>536</v>
      </c>
      <c r="AY168" s="228">
        <v>-325</v>
      </c>
      <c r="AZ168" s="229">
        <v>-0.60629999999999995</v>
      </c>
      <c r="BA168" s="228">
        <v>14</v>
      </c>
      <c r="BB168" s="228">
        <v>32</v>
      </c>
      <c r="BC168" s="228">
        <v>-17</v>
      </c>
      <c r="BD168" s="229">
        <v>-0.55020000000000002</v>
      </c>
      <c r="BE168" s="228">
        <v>1</v>
      </c>
      <c r="BF168" s="228">
        <v>1</v>
      </c>
      <c r="BG168" s="228">
        <v>0</v>
      </c>
      <c r="BH168" s="229">
        <v>-0.25</v>
      </c>
      <c r="BI168" s="228">
        <v>485</v>
      </c>
      <c r="BJ168" s="230">
        <v>2735</v>
      </c>
      <c r="BK168" s="230">
        <v>-2250</v>
      </c>
      <c r="BL168" s="229">
        <v>-0.8226</v>
      </c>
      <c r="BM168" s="228">
        <v>315</v>
      </c>
      <c r="BN168" s="228">
        <v>951</v>
      </c>
      <c r="BO168" s="228">
        <v>-636</v>
      </c>
      <c r="BP168" s="229">
        <v>-0.66869999999999996</v>
      </c>
      <c r="BQ168" s="230">
        <v>1026</v>
      </c>
      <c r="BR168" s="230">
        <v>4255</v>
      </c>
      <c r="BS168" s="230">
        <v>-3228</v>
      </c>
      <c r="BT168" s="229">
        <v>-0.75880000000000003</v>
      </c>
      <c r="BU168" s="230">
        <v>1915831</v>
      </c>
      <c r="BV168" s="230">
        <v>4238023</v>
      </c>
      <c r="BW168" s="230">
        <v>-2322192</v>
      </c>
      <c r="BX168" s="229">
        <v>-0.54790000000000005</v>
      </c>
      <c r="BY168" s="230">
        <v>1225</v>
      </c>
      <c r="BZ168" s="230">
        <v>1299</v>
      </c>
      <c r="CA168" s="228">
        <v>-74</v>
      </c>
      <c r="CB168" s="229">
        <v>-5.7000000000000002E-2</v>
      </c>
      <c r="CC168" s="230">
        <v>1198</v>
      </c>
      <c r="CD168" s="230">
        <v>1274</v>
      </c>
      <c r="CE168" s="228">
        <v>-76</v>
      </c>
      <c r="CF168" s="229">
        <v>-5.9700000000000003E-2</v>
      </c>
      <c r="CG168" s="228">
        <v>25</v>
      </c>
      <c r="CH168" s="228">
        <v>23</v>
      </c>
      <c r="CI168" s="228">
        <v>2</v>
      </c>
      <c r="CJ168" s="229">
        <v>9.1600000000000001E-2</v>
      </c>
      <c r="CK168" s="228">
        <v>2</v>
      </c>
      <c r="CL168" s="228">
        <v>2</v>
      </c>
      <c r="CM168" s="228">
        <v>0</v>
      </c>
      <c r="CN168" s="229">
        <v>-0.05</v>
      </c>
      <c r="CO168" s="228">
        <v>359</v>
      </c>
      <c r="CP168" s="228">
        <v>388</v>
      </c>
      <c r="CQ168" s="228">
        <v>-29</v>
      </c>
      <c r="CR168" s="229">
        <v>-7.51E-2</v>
      </c>
      <c r="CS168" s="228">
        <v>265</v>
      </c>
      <c r="CT168" s="228">
        <v>257</v>
      </c>
      <c r="CU168" s="228">
        <v>8</v>
      </c>
      <c r="CV168" s="229">
        <v>3.3000000000000002E-2</v>
      </c>
      <c r="CW168" s="230">
        <v>1849</v>
      </c>
      <c r="CX168" s="230">
        <v>1943</v>
      </c>
      <c r="CY168" s="228">
        <v>-95</v>
      </c>
      <c r="CZ168" s="229">
        <v>-4.87E-2</v>
      </c>
      <c r="DA168" s="228">
        <v>40.53</v>
      </c>
      <c r="DB168" s="228">
        <v>37.299999999999997</v>
      </c>
      <c r="DC168" s="228">
        <v>3.23</v>
      </c>
      <c r="DD168" s="228">
        <v>3.23</v>
      </c>
      <c r="DE168" s="228">
        <v>45.8</v>
      </c>
      <c r="DF168" s="228">
        <v>45.89</v>
      </c>
      <c r="DG168" s="228">
        <v>-5.27</v>
      </c>
      <c r="DH168" s="228">
        <v>-0.09</v>
      </c>
      <c r="DI168" s="228">
        <v>38.97</v>
      </c>
      <c r="DJ168" s="228">
        <v>36.92</v>
      </c>
      <c r="DK168" s="228">
        <v>2.0499999999999998</v>
      </c>
      <c r="DL168" s="228">
        <v>2.0499999999999998</v>
      </c>
      <c r="DM168" s="228">
        <v>42.92</v>
      </c>
      <c r="DN168" s="228">
        <v>38.39</v>
      </c>
      <c r="DO168" s="228">
        <v>4.53</v>
      </c>
      <c r="DP168" s="228">
        <v>4.53</v>
      </c>
      <c r="DQ168" s="228">
        <v>0.74</v>
      </c>
      <c r="DR168" s="228">
        <v>0.66</v>
      </c>
      <c r="DS168" s="228">
        <v>0.08</v>
      </c>
      <c r="DT168" s="229">
        <v>0.1212</v>
      </c>
      <c r="DU168" s="231">
        <v>1600</v>
      </c>
      <c r="DV168" s="231">
        <v>1500</v>
      </c>
      <c r="DW168" s="228">
        <v>0.65</v>
      </c>
      <c r="DX168" s="228">
        <v>0.35</v>
      </c>
      <c r="DY168" s="228">
        <v>0.3</v>
      </c>
      <c r="DZ168" s="229">
        <v>0.85709999999999997</v>
      </c>
      <c r="EA168" s="229">
        <v>2.2100000000000002E-2</v>
      </c>
      <c r="EB168" s="230">
        <v>155400</v>
      </c>
      <c r="EC168" s="229">
        <v>2.3999999999999998E-3</v>
      </c>
      <c r="ED168" s="229">
        <v>2.2100000000000002E-2</v>
      </c>
      <c r="EE168" s="228">
        <v>1.97</v>
      </c>
      <c r="EF168" s="229">
        <v>1.1999999999999999E-3</v>
      </c>
      <c r="EG168" s="230">
        <v>1186769</v>
      </c>
      <c r="EH168" s="230">
        <v>2260928</v>
      </c>
      <c r="EI168" s="229">
        <v>-0.47510000000000002</v>
      </c>
      <c r="EJ168" s="229">
        <v>0.61950000000000005</v>
      </c>
      <c r="EK168" s="228">
        <v>501.77</v>
      </c>
      <c r="EL168" s="228">
        <v>303.04000000000002</v>
      </c>
      <c r="EM168" s="228">
        <v>226.06</v>
      </c>
      <c r="EN168" s="228">
        <v>66.14</v>
      </c>
      <c r="EO168" s="231">
        <v>1030.8699999999999</v>
      </c>
      <c r="EP168" s="231">
        <v>4308.8599999999997</v>
      </c>
      <c r="EQ168" s="231">
        <v>-3277.98</v>
      </c>
      <c r="ER168" s="229">
        <v>-0.76080000000000003</v>
      </c>
      <c r="ES168" s="228">
        <v>355.44</v>
      </c>
      <c r="ET168" s="228">
        <v>246.61</v>
      </c>
      <c r="EU168" s="231">
        <v>1224.69</v>
      </c>
      <c r="EV168" s="231">
        <v>69300607</v>
      </c>
      <c r="EW168" s="231">
        <v>1826.74</v>
      </c>
      <c r="EX168" s="231">
        <v>1910.07</v>
      </c>
      <c r="EY168" s="228">
        <v>-83.33</v>
      </c>
      <c r="EZ168" s="229">
        <v>-4.36E-2</v>
      </c>
      <c r="FA168" s="229">
        <v>0.16539999999999999</v>
      </c>
      <c r="FB168" s="227" t="s">
        <v>693</v>
      </c>
      <c r="FC168">
        <f t="shared" si="3"/>
        <v>0</v>
      </c>
    </row>
    <row r="169" spans="1:159" ht="17.25" thickBot="1" x14ac:dyDescent="0.3">
      <c r="A169" s="226">
        <v>46132</v>
      </c>
      <c r="B169" s="227" t="s">
        <v>184</v>
      </c>
      <c r="C169" s="227" t="s">
        <v>519</v>
      </c>
      <c r="D169" s="228">
        <v>125</v>
      </c>
      <c r="E169" s="228">
        <v>8</v>
      </c>
      <c r="F169" s="231">
        <v>8188</v>
      </c>
      <c r="G169" s="231">
        <v>8162</v>
      </c>
      <c r="H169" s="228">
        <v>26</v>
      </c>
      <c r="I169" s="229">
        <v>3.2000000000000002E-3</v>
      </c>
      <c r="J169" s="231">
        <v>8198.5</v>
      </c>
      <c r="K169" s="231">
        <v>8182.5</v>
      </c>
      <c r="L169" s="228">
        <v>16</v>
      </c>
      <c r="M169" s="229">
        <v>2E-3</v>
      </c>
      <c r="N169" s="231">
        <v>8188</v>
      </c>
      <c r="O169" s="231">
        <v>8162</v>
      </c>
      <c r="P169" s="228">
        <v>26</v>
      </c>
      <c r="Q169" s="229">
        <v>3.2000000000000002E-3</v>
      </c>
      <c r="R169" s="231">
        <v>8150</v>
      </c>
      <c r="S169" s="231">
        <v>8118</v>
      </c>
      <c r="T169" s="228">
        <v>32</v>
      </c>
      <c r="U169" s="229">
        <v>3.8999999999999998E-3</v>
      </c>
      <c r="V169" s="231">
        <v>8120</v>
      </c>
      <c r="W169" s="231">
        <v>8109</v>
      </c>
      <c r="X169" s="228">
        <v>11</v>
      </c>
      <c r="Y169" s="229">
        <v>1.4E-3</v>
      </c>
      <c r="Z169" s="228">
        <v>-10.5</v>
      </c>
      <c r="AA169" s="228">
        <v>-20.5</v>
      </c>
      <c r="AB169" s="228">
        <v>10</v>
      </c>
      <c r="AC169" s="229">
        <v>-1.2999999999999999E-3</v>
      </c>
      <c r="AD169" s="228">
        <v>-10.5</v>
      </c>
      <c r="AE169" s="228">
        <v>-20.5</v>
      </c>
      <c r="AF169" s="228">
        <v>10</v>
      </c>
      <c r="AG169" s="229">
        <v>-1.2999999999999999E-3</v>
      </c>
      <c r="AH169" s="228">
        <v>-48.5</v>
      </c>
      <c r="AI169" s="228">
        <v>-64.5</v>
      </c>
      <c r="AJ169" s="228">
        <v>16</v>
      </c>
      <c r="AK169" s="229">
        <v>-5.8999999999999999E-3</v>
      </c>
      <c r="AL169" s="228">
        <v>-78.5</v>
      </c>
      <c r="AM169" s="228">
        <v>-73.5</v>
      </c>
      <c r="AN169" s="228">
        <v>-5</v>
      </c>
      <c r="AO169" s="229">
        <v>-9.5999999999999992E-3</v>
      </c>
      <c r="AP169" s="231">
        <v>8213</v>
      </c>
      <c r="AQ169" s="231">
        <v>8177.62</v>
      </c>
      <c r="AR169" s="228">
        <v>0</v>
      </c>
      <c r="AS169" s="228">
        <v>339</v>
      </c>
      <c r="AT169" s="228">
        <v>664</v>
      </c>
      <c r="AU169" s="228">
        <v>-324</v>
      </c>
      <c r="AV169" s="229">
        <v>-0.48880000000000001</v>
      </c>
      <c r="AW169" s="228">
        <v>299</v>
      </c>
      <c r="AX169" s="228">
        <v>573</v>
      </c>
      <c r="AY169" s="228">
        <v>-274</v>
      </c>
      <c r="AZ169" s="229">
        <v>-0.47849999999999998</v>
      </c>
      <c r="BA169" s="228">
        <v>37</v>
      </c>
      <c r="BB169" s="228">
        <v>85</v>
      </c>
      <c r="BC169" s="228">
        <v>-48</v>
      </c>
      <c r="BD169" s="229">
        <v>-0.5645</v>
      </c>
      <c r="BE169" s="228">
        <v>3</v>
      </c>
      <c r="BF169" s="228">
        <v>5</v>
      </c>
      <c r="BG169" s="228">
        <v>-2</v>
      </c>
      <c r="BH169" s="229">
        <v>-0.39219999999999999</v>
      </c>
      <c r="BI169" s="230">
        <v>1625</v>
      </c>
      <c r="BJ169" s="230">
        <v>5293</v>
      </c>
      <c r="BK169" s="230">
        <v>-3669</v>
      </c>
      <c r="BL169" s="229">
        <v>-0.69299999999999995</v>
      </c>
      <c r="BM169" s="230">
        <v>2250</v>
      </c>
      <c r="BN169" s="230">
        <v>3601</v>
      </c>
      <c r="BO169" s="230">
        <v>-1351</v>
      </c>
      <c r="BP169" s="229">
        <v>-0.37519999999999998</v>
      </c>
      <c r="BQ169" s="230">
        <v>4214</v>
      </c>
      <c r="BR169" s="230">
        <v>9558</v>
      </c>
      <c r="BS169" s="230">
        <v>-5344</v>
      </c>
      <c r="BT169" s="229">
        <v>-0.55910000000000004</v>
      </c>
      <c r="BU169" s="230">
        <v>420772</v>
      </c>
      <c r="BV169" s="230">
        <v>708323</v>
      </c>
      <c r="BW169" s="230">
        <v>-287551</v>
      </c>
      <c r="BX169" s="229">
        <v>-0.40600000000000003</v>
      </c>
      <c r="BY169" s="230">
        <v>1492</v>
      </c>
      <c r="BZ169" s="230">
        <v>1528</v>
      </c>
      <c r="CA169" s="228">
        <v>-37</v>
      </c>
      <c r="CB169" s="229">
        <v>-2.4199999999999999E-2</v>
      </c>
      <c r="CC169" s="230">
        <v>1404</v>
      </c>
      <c r="CD169" s="230">
        <v>1447</v>
      </c>
      <c r="CE169" s="228">
        <v>-42</v>
      </c>
      <c r="CF169" s="229">
        <v>-2.92E-2</v>
      </c>
      <c r="CG169" s="228">
        <v>79</v>
      </c>
      <c r="CH169" s="228">
        <v>75</v>
      </c>
      <c r="CI169" s="228">
        <v>4</v>
      </c>
      <c r="CJ169" s="229">
        <v>4.9200000000000001E-2</v>
      </c>
      <c r="CK169" s="228">
        <v>9</v>
      </c>
      <c r="CL169" s="228">
        <v>7</v>
      </c>
      <c r="CM169" s="228">
        <v>2</v>
      </c>
      <c r="CN169" s="229">
        <v>0.2286</v>
      </c>
      <c r="CO169" s="228">
        <v>926</v>
      </c>
      <c r="CP169" s="228">
        <v>946</v>
      </c>
      <c r="CQ169" s="228">
        <v>-20</v>
      </c>
      <c r="CR169" s="229">
        <v>-2.1399999999999999E-2</v>
      </c>
      <c r="CS169" s="228">
        <v>978</v>
      </c>
      <c r="CT169" s="230">
        <v>1175</v>
      </c>
      <c r="CU169" s="228">
        <v>-197</v>
      </c>
      <c r="CV169" s="229">
        <v>-0.1678</v>
      </c>
      <c r="CW169" s="230">
        <v>3395</v>
      </c>
      <c r="CX169" s="230">
        <v>3649</v>
      </c>
      <c r="CY169" s="228">
        <v>-254</v>
      </c>
      <c r="CZ169" s="229">
        <v>-6.9699999999999998E-2</v>
      </c>
      <c r="DA169" s="228">
        <v>41.47</v>
      </c>
      <c r="DB169" s="228">
        <v>37.909999999999997</v>
      </c>
      <c r="DC169" s="228">
        <v>3.56</v>
      </c>
      <c r="DD169" s="228">
        <v>3.56</v>
      </c>
      <c r="DE169" s="228">
        <v>41.61</v>
      </c>
      <c r="DF169" s="228">
        <v>41.72</v>
      </c>
      <c r="DG169" s="228">
        <v>-0.14000000000000001</v>
      </c>
      <c r="DH169" s="228">
        <v>-0.11</v>
      </c>
      <c r="DI169" s="228">
        <v>37.36</v>
      </c>
      <c r="DJ169" s="228">
        <v>34.340000000000003</v>
      </c>
      <c r="DK169" s="228">
        <v>3.02</v>
      </c>
      <c r="DL169" s="228">
        <v>3.02</v>
      </c>
      <c r="DM169" s="228">
        <v>44.43</v>
      </c>
      <c r="DN169" s="228">
        <v>43.16</v>
      </c>
      <c r="DO169" s="228">
        <v>1.27</v>
      </c>
      <c r="DP169" s="228">
        <v>1.27</v>
      </c>
      <c r="DQ169" s="228">
        <v>1.06</v>
      </c>
      <c r="DR169" s="228">
        <v>1.24</v>
      </c>
      <c r="DS169" s="228">
        <v>-0.18</v>
      </c>
      <c r="DT169" s="229">
        <v>-0.1452</v>
      </c>
      <c r="DU169" s="231">
        <v>8200</v>
      </c>
      <c r="DV169" s="231">
        <v>7800</v>
      </c>
      <c r="DW169" s="228">
        <v>1.38</v>
      </c>
      <c r="DX169" s="228">
        <v>0.68</v>
      </c>
      <c r="DY169" s="228">
        <v>0.7</v>
      </c>
      <c r="DZ169" s="229">
        <v>1.0294000000000001</v>
      </c>
      <c r="EA169" s="229">
        <v>5.8500000000000003E-2</v>
      </c>
      <c r="EB169" s="230">
        <v>100125</v>
      </c>
      <c r="EC169" s="229">
        <v>-4.5999999999999999E-3</v>
      </c>
      <c r="ED169" s="229">
        <v>5.8500000000000003E-2</v>
      </c>
      <c r="EE169" s="228">
        <v>-35.380000000000003</v>
      </c>
      <c r="EF169" s="229">
        <v>-4.3E-3</v>
      </c>
      <c r="EG169" s="230">
        <v>226058</v>
      </c>
      <c r="EH169" s="230">
        <v>318541</v>
      </c>
      <c r="EI169" s="229">
        <v>-0.2903</v>
      </c>
      <c r="EJ169" s="229">
        <v>0.53720000000000001</v>
      </c>
      <c r="EK169" s="231">
        <v>1699.56</v>
      </c>
      <c r="EL169" s="231">
        <v>2087.98</v>
      </c>
      <c r="EM169" s="228">
        <v>340.04</v>
      </c>
      <c r="EN169" s="228">
        <v>54.5</v>
      </c>
      <c r="EO169" s="231">
        <v>4127.57</v>
      </c>
      <c r="EP169" s="231">
        <v>9479.34</v>
      </c>
      <c r="EQ169" s="231">
        <v>-5351.77</v>
      </c>
      <c r="ER169" s="229">
        <v>-0.56459999999999999</v>
      </c>
      <c r="ES169" s="228">
        <v>911.09</v>
      </c>
      <c r="ET169" s="228">
        <v>890.5</v>
      </c>
      <c r="EU169" s="231">
        <v>1491.11</v>
      </c>
      <c r="EV169" s="231">
        <v>8693344</v>
      </c>
      <c r="EW169" s="231">
        <v>3292.7</v>
      </c>
      <c r="EX169" s="231">
        <v>3513.49</v>
      </c>
      <c r="EY169" s="228">
        <v>-220.79</v>
      </c>
      <c r="EZ169" s="229">
        <v>-6.2799999999999995E-2</v>
      </c>
      <c r="FA169" s="229">
        <v>0.47699999999999998</v>
      </c>
      <c r="FB169" s="227" t="s">
        <v>693</v>
      </c>
      <c r="FC169">
        <f t="shared" si="3"/>
        <v>0</v>
      </c>
    </row>
    <row r="170" spans="1:159" ht="17.25" thickBot="1" x14ac:dyDescent="0.3">
      <c r="A170" s="226">
        <v>46132</v>
      </c>
      <c r="B170" s="227" t="s">
        <v>161</v>
      </c>
      <c r="C170" s="227" t="s">
        <v>276</v>
      </c>
      <c r="D170" s="228">
        <v>1900</v>
      </c>
      <c r="E170" s="228">
        <v>8</v>
      </c>
      <c r="F170" s="228">
        <v>318.85000000000002</v>
      </c>
      <c r="G170" s="228">
        <v>317.64999999999998</v>
      </c>
      <c r="H170" s="228">
        <v>1.2</v>
      </c>
      <c r="I170" s="229">
        <v>3.8E-3</v>
      </c>
      <c r="J170" s="228">
        <v>319.7</v>
      </c>
      <c r="K170" s="228">
        <v>318.10000000000002</v>
      </c>
      <c r="L170" s="228">
        <v>1.6</v>
      </c>
      <c r="M170" s="229">
        <v>5.0000000000000001E-3</v>
      </c>
      <c r="N170" s="228">
        <v>318.85000000000002</v>
      </c>
      <c r="O170" s="228">
        <v>317.64999999999998</v>
      </c>
      <c r="P170" s="228">
        <v>1.2</v>
      </c>
      <c r="Q170" s="229">
        <v>3.8E-3</v>
      </c>
      <c r="R170" s="228">
        <v>320.5</v>
      </c>
      <c r="S170" s="228">
        <v>319.55</v>
      </c>
      <c r="T170" s="228">
        <v>0.95</v>
      </c>
      <c r="U170" s="229">
        <v>3.0000000000000001E-3</v>
      </c>
      <c r="V170" s="228">
        <v>322.89999999999998</v>
      </c>
      <c r="W170" s="228">
        <v>321.25</v>
      </c>
      <c r="X170" s="228">
        <v>1.65</v>
      </c>
      <c r="Y170" s="229">
        <v>5.1000000000000004E-3</v>
      </c>
      <c r="Z170" s="228">
        <v>-0.85</v>
      </c>
      <c r="AA170" s="228">
        <v>-0.45</v>
      </c>
      <c r="AB170" s="228">
        <v>-0.4</v>
      </c>
      <c r="AC170" s="229">
        <v>-2.7000000000000001E-3</v>
      </c>
      <c r="AD170" s="228">
        <v>-0.85</v>
      </c>
      <c r="AE170" s="228">
        <v>-0.45</v>
      </c>
      <c r="AF170" s="228">
        <v>-0.4</v>
      </c>
      <c r="AG170" s="229">
        <v>-2.7000000000000001E-3</v>
      </c>
      <c r="AH170" s="228">
        <v>0.8</v>
      </c>
      <c r="AI170" s="228">
        <v>1.45</v>
      </c>
      <c r="AJ170" s="228">
        <v>-0.65</v>
      </c>
      <c r="AK170" s="229">
        <v>2.5000000000000001E-3</v>
      </c>
      <c r="AL170" s="228">
        <v>3.2</v>
      </c>
      <c r="AM170" s="228">
        <v>3.15</v>
      </c>
      <c r="AN170" s="228">
        <v>0.05</v>
      </c>
      <c r="AO170" s="229">
        <v>0.01</v>
      </c>
      <c r="AP170" s="228">
        <v>319.54000000000002</v>
      </c>
      <c r="AQ170" s="228">
        <v>321.61</v>
      </c>
      <c r="AR170" s="228">
        <v>0</v>
      </c>
      <c r="AS170" s="228">
        <v>712</v>
      </c>
      <c r="AT170" s="228">
        <v>517</v>
      </c>
      <c r="AU170" s="228">
        <v>195</v>
      </c>
      <c r="AV170" s="229">
        <v>0.37769999999999998</v>
      </c>
      <c r="AW170" s="228">
        <v>491</v>
      </c>
      <c r="AX170" s="228">
        <v>448</v>
      </c>
      <c r="AY170" s="228">
        <v>43</v>
      </c>
      <c r="AZ170" s="229">
        <v>9.6199999999999994E-2</v>
      </c>
      <c r="BA170" s="228">
        <v>88</v>
      </c>
      <c r="BB170" s="228">
        <v>63</v>
      </c>
      <c r="BC170" s="228">
        <v>25</v>
      </c>
      <c r="BD170" s="229">
        <v>0.40250000000000002</v>
      </c>
      <c r="BE170" s="228">
        <v>132</v>
      </c>
      <c r="BF170" s="228">
        <v>5</v>
      </c>
      <c r="BG170" s="228">
        <v>127</v>
      </c>
      <c r="BH170" s="229">
        <v>24.302299999999999</v>
      </c>
      <c r="BI170" s="230">
        <v>2239</v>
      </c>
      <c r="BJ170" s="230">
        <v>2640</v>
      </c>
      <c r="BK170" s="228">
        <v>-401</v>
      </c>
      <c r="BL170" s="229">
        <v>-0.152</v>
      </c>
      <c r="BM170" s="228">
        <v>780</v>
      </c>
      <c r="BN170" s="228">
        <v>998</v>
      </c>
      <c r="BO170" s="228">
        <v>-218</v>
      </c>
      <c r="BP170" s="229">
        <v>-0.21840000000000001</v>
      </c>
      <c r="BQ170" s="230">
        <v>3730</v>
      </c>
      <c r="BR170" s="230">
        <v>4154</v>
      </c>
      <c r="BS170" s="228">
        <v>-424</v>
      </c>
      <c r="BT170" s="229">
        <v>-0.1021</v>
      </c>
      <c r="BU170" s="230">
        <v>11257256</v>
      </c>
      <c r="BV170" s="230">
        <v>14210473</v>
      </c>
      <c r="BW170" s="230">
        <v>-2953217</v>
      </c>
      <c r="BX170" s="229">
        <v>-0.20780000000000001</v>
      </c>
      <c r="BY170" s="230">
        <v>2517</v>
      </c>
      <c r="BZ170" s="230">
        <v>2526</v>
      </c>
      <c r="CA170" s="228">
        <v>-8</v>
      </c>
      <c r="CB170" s="229">
        <v>-3.3E-3</v>
      </c>
      <c r="CC170" s="230">
        <v>2080</v>
      </c>
      <c r="CD170" s="230">
        <v>2249</v>
      </c>
      <c r="CE170" s="228">
        <v>-169</v>
      </c>
      <c r="CF170" s="229">
        <v>-7.4999999999999997E-2</v>
      </c>
      <c r="CG170" s="228">
        <v>238</v>
      </c>
      <c r="CH170" s="228">
        <v>204</v>
      </c>
      <c r="CI170" s="228">
        <v>34</v>
      </c>
      <c r="CJ170" s="229">
        <v>0.16539999999999999</v>
      </c>
      <c r="CK170" s="228">
        <v>199</v>
      </c>
      <c r="CL170" s="228">
        <v>73</v>
      </c>
      <c r="CM170" s="228">
        <v>127</v>
      </c>
      <c r="CN170" s="229">
        <v>1.7350000000000001</v>
      </c>
      <c r="CO170" s="230">
        <v>1280</v>
      </c>
      <c r="CP170" s="230">
        <v>1194</v>
      </c>
      <c r="CQ170" s="228">
        <v>87</v>
      </c>
      <c r="CR170" s="229">
        <v>7.2700000000000001E-2</v>
      </c>
      <c r="CS170" s="228">
        <v>788</v>
      </c>
      <c r="CT170" s="228">
        <v>753</v>
      </c>
      <c r="CU170" s="228">
        <v>35</v>
      </c>
      <c r="CV170" s="229">
        <v>4.6600000000000003E-2</v>
      </c>
      <c r="CW170" s="230">
        <v>4586</v>
      </c>
      <c r="CX170" s="230">
        <v>4472</v>
      </c>
      <c r="CY170" s="228">
        <v>113</v>
      </c>
      <c r="CZ170" s="229">
        <v>2.5399999999999999E-2</v>
      </c>
      <c r="DA170" s="228">
        <v>24.67</v>
      </c>
      <c r="DB170" s="228">
        <v>23.79</v>
      </c>
      <c r="DC170" s="228">
        <v>0.88</v>
      </c>
      <c r="DD170" s="228">
        <v>0.88</v>
      </c>
      <c r="DE170" s="228">
        <v>28.97</v>
      </c>
      <c r="DF170" s="228">
        <v>29.03</v>
      </c>
      <c r="DG170" s="228">
        <v>-4.3</v>
      </c>
      <c r="DH170" s="228">
        <v>-0.06</v>
      </c>
      <c r="DI170" s="228">
        <v>24.06</v>
      </c>
      <c r="DJ170" s="228">
        <v>22.97</v>
      </c>
      <c r="DK170" s="228">
        <v>1.0900000000000001</v>
      </c>
      <c r="DL170" s="228">
        <v>1.0900000000000001</v>
      </c>
      <c r="DM170" s="228">
        <v>26.4</v>
      </c>
      <c r="DN170" s="228">
        <v>25.94</v>
      </c>
      <c r="DO170" s="228">
        <v>0.46</v>
      </c>
      <c r="DP170" s="228">
        <v>0.46</v>
      </c>
      <c r="DQ170" s="228">
        <v>0.62</v>
      </c>
      <c r="DR170" s="228">
        <v>0.63</v>
      </c>
      <c r="DS170" s="228">
        <v>-0.01</v>
      </c>
      <c r="DT170" s="229">
        <v>-1.5900000000000001E-2</v>
      </c>
      <c r="DU170" s="228">
        <v>315</v>
      </c>
      <c r="DV170" s="228">
        <v>300</v>
      </c>
      <c r="DW170" s="228">
        <v>0.35</v>
      </c>
      <c r="DX170" s="228">
        <v>0.38</v>
      </c>
      <c r="DY170" s="228">
        <v>-0.03</v>
      </c>
      <c r="DZ170" s="229">
        <v>-7.8899999999999998E-2</v>
      </c>
      <c r="EA170" s="229">
        <v>0.17369999999999999</v>
      </c>
      <c r="EB170" s="230">
        <v>8684900</v>
      </c>
      <c r="EC170" s="229">
        <v>5.1999999999999998E-3</v>
      </c>
      <c r="ED170" s="229">
        <v>0.17369999999999999</v>
      </c>
      <c r="EE170" s="228">
        <v>2.0699999999999998</v>
      </c>
      <c r="EF170" s="229">
        <v>6.4999999999999997E-3</v>
      </c>
      <c r="EG170" s="230">
        <v>6224629</v>
      </c>
      <c r="EH170" s="230">
        <v>8894487</v>
      </c>
      <c r="EI170" s="229">
        <v>-0.30020000000000002</v>
      </c>
      <c r="EJ170" s="229">
        <v>0.55289999999999995</v>
      </c>
      <c r="EK170" s="231">
        <v>2299.69</v>
      </c>
      <c r="EL170" s="228">
        <v>763.51</v>
      </c>
      <c r="EM170" s="228">
        <v>715.64</v>
      </c>
      <c r="EN170" s="228">
        <v>92.94</v>
      </c>
      <c r="EO170" s="231">
        <v>3778.84</v>
      </c>
      <c r="EP170" s="231">
        <v>4162.95</v>
      </c>
      <c r="EQ170" s="228">
        <v>-384.1</v>
      </c>
      <c r="ER170" s="229">
        <v>-9.2299999999999993E-2</v>
      </c>
      <c r="ES170" s="231">
        <v>1277.68</v>
      </c>
      <c r="ET170" s="228">
        <v>733.73</v>
      </c>
      <c r="EU170" s="231">
        <v>2521.17</v>
      </c>
      <c r="EV170" s="231">
        <v>660840864</v>
      </c>
      <c r="EW170" s="231">
        <v>4532.58</v>
      </c>
      <c r="EX170" s="231">
        <v>4399.84</v>
      </c>
      <c r="EY170" s="228">
        <v>132.74</v>
      </c>
      <c r="EZ170" s="229">
        <v>3.0200000000000001E-2</v>
      </c>
      <c r="FA170" s="229">
        <v>0.21759999999999999</v>
      </c>
      <c r="FB170" s="227" t="s">
        <v>693</v>
      </c>
      <c r="FC170">
        <f t="shared" si="3"/>
        <v>0</v>
      </c>
    </row>
    <row r="171" spans="1:159" ht="17.25" thickBot="1" x14ac:dyDescent="0.3">
      <c r="A171" s="226">
        <v>46132</v>
      </c>
      <c r="B171" s="227" t="s">
        <v>184</v>
      </c>
      <c r="C171" s="227" t="s">
        <v>685</v>
      </c>
      <c r="D171" s="228">
        <v>50</v>
      </c>
      <c r="E171" s="228">
        <v>8</v>
      </c>
      <c r="F171" s="231">
        <v>29700</v>
      </c>
      <c r="G171" s="231">
        <v>28970</v>
      </c>
      <c r="H171" s="228">
        <v>730</v>
      </c>
      <c r="I171" s="229">
        <v>2.52E-2</v>
      </c>
      <c r="J171" s="231">
        <v>29645</v>
      </c>
      <c r="K171" s="231">
        <v>28925</v>
      </c>
      <c r="L171" s="228">
        <v>720</v>
      </c>
      <c r="M171" s="229">
        <v>2.4899999999999999E-2</v>
      </c>
      <c r="N171" s="231">
        <v>29700</v>
      </c>
      <c r="O171" s="231">
        <v>28970</v>
      </c>
      <c r="P171" s="228">
        <v>730</v>
      </c>
      <c r="Q171" s="229">
        <v>2.52E-2</v>
      </c>
      <c r="R171" s="231">
        <v>29690</v>
      </c>
      <c r="S171" s="231">
        <v>28910</v>
      </c>
      <c r="T171" s="228">
        <v>780</v>
      </c>
      <c r="U171" s="229">
        <v>2.7E-2</v>
      </c>
      <c r="V171" s="231">
        <v>29665</v>
      </c>
      <c r="W171" s="231">
        <v>28875</v>
      </c>
      <c r="X171" s="228">
        <v>790</v>
      </c>
      <c r="Y171" s="229">
        <v>2.7400000000000001E-2</v>
      </c>
      <c r="Z171" s="228">
        <v>55</v>
      </c>
      <c r="AA171" s="228">
        <v>45</v>
      </c>
      <c r="AB171" s="228">
        <v>10</v>
      </c>
      <c r="AC171" s="229">
        <v>1.9E-3</v>
      </c>
      <c r="AD171" s="228">
        <v>55</v>
      </c>
      <c r="AE171" s="228">
        <v>45</v>
      </c>
      <c r="AF171" s="228">
        <v>10</v>
      </c>
      <c r="AG171" s="229">
        <v>1.9E-3</v>
      </c>
      <c r="AH171" s="228">
        <v>45</v>
      </c>
      <c r="AI171" s="228">
        <v>-15</v>
      </c>
      <c r="AJ171" s="228">
        <v>60</v>
      </c>
      <c r="AK171" s="229">
        <v>1.5E-3</v>
      </c>
      <c r="AL171" s="228">
        <v>20</v>
      </c>
      <c r="AM171" s="228">
        <v>-50</v>
      </c>
      <c r="AN171" s="228">
        <v>70</v>
      </c>
      <c r="AO171" s="229">
        <v>6.9999999999999999E-4</v>
      </c>
      <c r="AP171" s="231">
        <v>29644.959999999999</v>
      </c>
      <c r="AQ171" s="231">
        <v>29579.16</v>
      </c>
      <c r="AR171" s="228">
        <v>0</v>
      </c>
      <c r="AS171" s="228">
        <v>412</v>
      </c>
      <c r="AT171" s="228">
        <v>298</v>
      </c>
      <c r="AU171" s="228">
        <v>114</v>
      </c>
      <c r="AV171" s="229">
        <v>0.38109999999999999</v>
      </c>
      <c r="AW171" s="228">
        <v>352</v>
      </c>
      <c r="AX171" s="228">
        <v>262</v>
      </c>
      <c r="AY171" s="228">
        <v>90</v>
      </c>
      <c r="AZ171" s="229">
        <v>0.34520000000000001</v>
      </c>
      <c r="BA171" s="228">
        <v>53</v>
      </c>
      <c r="BB171" s="228">
        <v>32</v>
      </c>
      <c r="BC171" s="228">
        <v>22</v>
      </c>
      <c r="BD171" s="229">
        <v>0.68540000000000001</v>
      </c>
      <c r="BE171" s="228">
        <v>7</v>
      </c>
      <c r="BF171" s="228">
        <v>5</v>
      </c>
      <c r="BG171" s="228">
        <v>2</v>
      </c>
      <c r="BH171" s="229">
        <v>0.33329999999999999</v>
      </c>
      <c r="BI171" s="230">
        <v>3376</v>
      </c>
      <c r="BJ171" s="230">
        <v>1333</v>
      </c>
      <c r="BK171" s="230">
        <v>2043</v>
      </c>
      <c r="BL171" s="229">
        <v>1.5326</v>
      </c>
      <c r="BM171" s="230">
        <v>1907</v>
      </c>
      <c r="BN171" s="228">
        <v>892</v>
      </c>
      <c r="BO171" s="230">
        <v>1016</v>
      </c>
      <c r="BP171" s="229">
        <v>1.1391</v>
      </c>
      <c r="BQ171" s="230">
        <v>5696</v>
      </c>
      <c r="BR171" s="230">
        <v>2523</v>
      </c>
      <c r="BS171" s="230">
        <v>3172</v>
      </c>
      <c r="BT171" s="229">
        <v>1.2573000000000001</v>
      </c>
      <c r="BU171" s="230">
        <v>189593</v>
      </c>
      <c r="BV171" s="230">
        <v>111373</v>
      </c>
      <c r="BW171" s="230">
        <v>78220</v>
      </c>
      <c r="BX171" s="229">
        <v>0.70230000000000004</v>
      </c>
      <c r="BY171" s="230">
        <v>1169</v>
      </c>
      <c r="BZ171" s="230">
        <v>1155</v>
      </c>
      <c r="CA171" s="228">
        <v>14</v>
      </c>
      <c r="CB171" s="229">
        <v>1.17E-2</v>
      </c>
      <c r="CC171" s="230">
        <v>1080</v>
      </c>
      <c r="CD171" s="230">
        <v>1078</v>
      </c>
      <c r="CE171" s="228">
        <v>3</v>
      </c>
      <c r="CF171" s="229">
        <v>2.3E-3</v>
      </c>
      <c r="CG171" s="228">
        <v>74</v>
      </c>
      <c r="CH171" s="228">
        <v>63</v>
      </c>
      <c r="CI171" s="228">
        <v>11</v>
      </c>
      <c r="CJ171" s="229">
        <v>0.17100000000000001</v>
      </c>
      <c r="CK171" s="228">
        <v>14</v>
      </c>
      <c r="CL171" s="228">
        <v>14</v>
      </c>
      <c r="CM171" s="228">
        <v>0</v>
      </c>
      <c r="CN171" s="229">
        <v>1.0500000000000001E-2</v>
      </c>
      <c r="CO171" s="228">
        <v>815</v>
      </c>
      <c r="CP171" s="228">
        <v>743</v>
      </c>
      <c r="CQ171" s="228">
        <v>72</v>
      </c>
      <c r="CR171" s="229">
        <v>9.6699999999999994E-2</v>
      </c>
      <c r="CS171" s="228">
        <v>959</v>
      </c>
      <c r="CT171" s="228">
        <v>782</v>
      </c>
      <c r="CU171" s="228">
        <v>177</v>
      </c>
      <c r="CV171" s="229">
        <v>0.22589999999999999</v>
      </c>
      <c r="CW171" s="230">
        <v>2943</v>
      </c>
      <c r="CX171" s="230">
        <v>2681</v>
      </c>
      <c r="CY171" s="228">
        <v>262</v>
      </c>
      <c r="CZ171" s="229">
        <v>9.7799999999999998E-2</v>
      </c>
      <c r="DA171" s="228">
        <v>37.979999999999997</v>
      </c>
      <c r="DB171" s="228">
        <v>36.18</v>
      </c>
      <c r="DC171" s="228">
        <v>1.8</v>
      </c>
      <c r="DD171" s="228">
        <v>1.8</v>
      </c>
      <c r="DE171" s="228">
        <v>57.43</v>
      </c>
      <c r="DF171" s="228">
        <v>57.48</v>
      </c>
      <c r="DG171" s="228">
        <v>-19.45</v>
      </c>
      <c r="DH171" s="228">
        <v>-0.05</v>
      </c>
      <c r="DI171" s="228">
        <v>35.369999999999997</v>
      </c>
      <c r="DJ171" s="228">
        <v>34.21</v>
      </c>
      <c r="DK171" s="228">
        <v>1.1599999999999999</v>
      </c>
      <c r="DL171" s="228">
        <v>1.1599999999999999</v>
      </c>
      <c r="DM171" s="228">
        <v>42.61</v>
      </c>
      <c r="DN171" s="228">
        <v>39.14</v>
      </c>
      <c r="DO171" s="228">
        <v>3.47</v>
      </c>
      <c r="DP171" s="228">
        <v>3.47</v>
      </c>
      <c r="DQ171" s="228">
        <v>1.18</v>
      </c>
      <c r="DR171" s="228">
        <v>1.05</v>
      </c>
      <c r="DS171" s="228">
        <v>0.13</v>
      </c>
      <c r="DT171" s="229">
        <v>0.12379999999999999</v>
      </c>
      <c r="DU171" s="231">
        <v>30000</v>
      </c>
      <c r="DV171" s="231">
        <v>26000</v>
      </c>
      <c r="DW171" s="228">
        <v>0.56999999999999995</v>
      </c>
      <c r="DX171" s="228">
        <v>0.67</v>
      </c>
      <c r="DY171" s="228">
        <v>-0.1</v>
      </c>
      <c r="DZ171" s="229">
        <v>-0.14929999999999999</v>
      </c>
      <c r="EA171" s="229">
        <v>7.5700000000000003E-2</v>
      </c>
      <c r="EB171" s="230">
        <v>26100</v>
      </c>
      <c r="EC171" s="229">
        <v>-2.9999999999999997E-4</v>
      </c>
      <c r="ED171" s="229">
        <v>7.5700000000000003E-2</v>
      </c>
      <c r="EE171" s="228">
        <v>-65.8</v>
      </c>
      <c r="EF171" s="229">
        <v>-2.2000000000000001E-3</v>
      </c>
      <c r="EG171" s="230">
        <v>58413</v>
      </c>
      <c r="EH171" s="230">
        <v>38627</v>
      </c>
      <c r="EI171" s="229">
        <v>0.51219999999999999</v>
      </c>
      <c r="EJ171" s="229">
        <v>0.30809999999999998</v>
      </c>
      <c r="EK171" s="231">
        <v>3527.47</v>
      </c>
      <c r="EL171" s="231">
        <v>1756.07</v>
      </c>
      <c r="EM171" s="228">
        <v>411.32</v>
      </c>
      <c r="EN171" s="228">
        <v>23.29</v>
      </c>
      <c r="EO171" s="231">
        <v>5694.87</v>
      </c>
      <c r="EP171" s="231">
        <v>2469.98</v>
      </c>
      <c r="EQ171" s="231">
        <v>3224.89</v>
      </c>
      <c r="ER171" s="229">
        <v>1.3056000000000001</v>
      </c>
      <c r="ES171" s="228">
        <v>800.66</v>
      </c>
      <c r="ET171" s="228">
        <v>854.71</v>
      </c>
      <c r="EU171" s="231">
        <v>1168.6500000000001</v>
      </c>
      <c r="EV171" s="231">
        <v>1917916</v>
      </c>
      <c r="EW171" s="231">
        <v>2824.02</v>
      </c>
      <c r="EX171" s="231">
        <v>2526.19</v>
      </c>
      <c r="EY171" s="228">
        <v>297.83</v>
      </c>
      <c r="EZ171" s="229">
        <v>0.1179</v>
      </c>
      <c r="FA171" s="229">
        <v>0.51659999999999995</v>
      </c>
      <c r="FB171" s="227" t="s">
        <v>555</v>
      </c>
      <c r="FC171">
        <f t="shared" si="3"/>
        <v>0</v>
      </c>
    </row>
    <row r="172" spans="1:159" ht="17.25" thickBot="1" x14ac:dyDescent="0.3">
      <c r="A172" s="226">
        <v>46132</v>
      </c>
      <c r="B172" s="227" t="s">
        <v>170</v>
      </c>
      <c r="C172" s="227" t="s">
        <v>676</v>
      </c>
      <c r="D172" s="228">
        <v>2625</v>
      </c>
      <c r="E172" s="228">
        <v>8</v>
      </c>
      <c r="F172" s="228">
        <v>148.21</v>
      </c>
      <c r="G172" s="228">
        <v>148.41</v>
      </c>
      <c r="H172" s="228">
        <v>-0.2</v>
      </c>
      <c r="I172" s="229">
        <v>-1.2999999999999999E-3</v>
      </c>
      <c r="J172" s="228">
        <v>148.79</v>
      </c>
      <c r="K172" s="228">
        <v>148.85</v>
      </c>
      <c r="L172" s="228">
        <v>-0.06</v>
      </c>
      <c r="M172" s="229">
        <v>-4.0000000000000002E-4</v>
      </c>
      <c r="N172" s="228">
        <v>148.21</v>
      </c>
      <c r="O172" s="228">
        <v>148.41</v>
      </c>
      <c r="P172" s="228">
        <v>-0.2</v>
      </c>
      <c r="Q172" s="229">
        <v>-1.2999999999999999E-3</v>
      </c>
      <c r="R172" s="228">
        <v>0</v>
      </c>
      <c r="S172" s="228">
        <v>0</v>
      </c>
      <c r="T172" s="228">
        <v>0</v>
      </c>
      <c r="U172" s="229">
        <v>0</v>
      </c>
      <c r="V172" s="228">
        <v>0</v>
      </c>
      <c r="W172" s="228">
        <v>0</v>
      </c>
      <c r="X172" s="228">
        <v>0</v>
      </c>
      <c r="Y172" s="229">
        <v>0</v>
      </c>
      <c r="Z172" s="228">
        <v>-0.57999999999999996</v>
      </c>
      <c r="AA172" s="228">
        <v>-0.44</v>
      </c>
      <c r="AB172" s="228">
        <v>-0.14000000000000001</v>
      </c>
      <c r="AC172" s="229">
        <v>-3.8999999999999998E-3</v>
      </c>
      <c r="AD172" s="228">
        <v>-0.57999999999999996</v>
      </c>
      <c r="AE172" s="228">
        <v>-0.44</v>
      </c>
      <c r="AF172" s="228">
        <v>-0.14000000000000001</v>
      </c>
      <c r="AG172" s="229">
        <v>-3.8999999999999998E-3</v>
      </c>
      <c r="AH172" s="228">
        <v>0</v>
      </c>
      <c r="AI172" s="228">
        <v>0</v>
      </c>
      <c r="AJ172" s="228">
        <v>0</v>
      </c>
      <c r="AK172" s="229">
        <v>0</v>
      </c>
      <c r="AL172" s="228">
        <v>0</v>
      </c>
      <c r="AM172" s="228">
        <v>0</v>
      </c>
      <c r="AN172" s="228">
        <v>0</v>
      </c>
      <c r="AO172" s="229">
        <v>0</v>
      </c>
      <c r="AP172" s="228">
        <v>148.01</v>
      </c>
      <c r="AQ172" s="228">
        <v>0</v>
      </c>
      <c r="AR172" s="228">
        <v>0</v>
      </c>
      <c r="AS172" s="228">
        <v>21</v>
      </c>
      <c r="AT172" s="228">
        <v>32</v>
      </c>
      <c r="AU172" s="228">
        <v>-11</v>
      </c>
      <c r="AV172" s="229">
        <v>-0.34860000000000002</v>
      </c>
      <c r="AW172" s="228">
        <v>21</v>
      </c>
      <c r="AX172" s="228">
        <v>32</v>
      </c>
      <c r="AY172" s="228">
        <v>-11</v>
      </c>
      <c r="AZ172" s="229">
        <v>-0.34860000000000002</v>
      </c>
      <c r="BA172" s="228">
        <v>0</v>
      </c>
      <c r="BB172" s="228">
        <v>0</v>
      </c>
      <c r="BC172" s="228">
        <v>0</v>
      </c>
      <c r="BD172" s="229">
        <v>0</v>
      </c>
      <c r="BE172" s="228">
        <v>0</v>
      </c>
      <c r="BF172" s="228">
        <v>0</v>
      </c>
      <c r="BG172" s="228">
        <v>0</v>
      </c>
      <c r="BH172" s="229">
        <v>0</v>
      </c>
      <c r="BI172" s="228">
        <v>55</v>
      </c>
      <c r="BJ172" s="228">
        <v>85</v>
      </c>
      <c r="BK172" s="228">
        <v>-30</v>
      </c>
      <c r="BL172" s="229">
        <v>-0.35320000000000001</v>
      </c>
      <c r="BM172" s="228">
        <v>19</v>
      </c>
      <c r="BN172" s="228">
        <v>22</v>
      </c>
      <c r="BO172" s="228">
        <v>-3</v>
      </c>
      <c r="BP172" s="229">
        <v>-0.12839999999999999</v>
      </c>
      <c r="BQ172" s="228">
        <v>95</v>
      </c>
      <c r="BR172" s="228">
        <v>139</v>
      </c>
      <c r="BS172" s="228">
        <v>-44</v>
      </c>
      <c r="BT172" s="229">
        <v>-0.31730000000000003</v>
      </c>
      <c r="BU172" s="230">
        <v>1932281</v>
      </c>
      <c r="BV172" s="230">
        <v>2247661</v>
      </c>
      <c r="BW172" s="230">
        <v>-315380</v>
      </c>
      <c r="BX172" s="229">
        <v>-0.14030000000000001</v>
      </c>
      <c r="BY172" s="228">
        <v>167</v>
      </c>
      <c r="BZ172" s="228">
        <v>176</v>
      </c>
      <c r="CA172" s="228">
        <v>-9</v>
      </c>
      <c r="CB172" s="229">
        <v>-4.8500000000000001E-2</v>
      </c>
      <c r="CC172" s="228">
        <v>167</v>
      </c>
      <c r="CD172" s="228">
        <v>176</v>
      </c>
      <c r="CE172" s="228">
        <v>-9</v>
      </c>
      <c r="CF172" s="229">
        <v>-4.8500000000000001E-2</v>
      </c>
      <c r="CG172" s="228">
        <v>0</v>
      </c>
      <c r="CH172" s="228">
        <v>0</v>
      </c>
      <c r="CI172" s="228">
        <v>0</v>
      </c>
      <c r="CJ172" s="229">
        <v>0</v>
      </c>
      <c r="CK172" s="228">
        <v>0</v>
      </c>
      <c r="CL172" s="228">
        <v>0</v>
      </c>
      <c r="CM172" s="228">
        <v>0</v>
      </c>
      <c r="CN172" s="229">
        <v>0</v>
      </c>
      <c r="CO172" s="228">
        <v>78</v>
      </c>
      <c r="CP172" s="228">
        <v>82</v>
      </c>
      <c r="CQ172" s="228">
        <v>-4</v>
      </c>
      <c r="CR172" s="229">
        <v>-4.6100000000000002E-2</v>
      </c>
      <c r="CS172" s="228">
        <v>48</v>
      </c>
      <c r="CT172" s="228">
        <v>49</v>
      </c>
      <c r="CU172" s="228">
        <v>-2</v>
      </c>
      <c r="CV172" s="229">
        <v>-3.0800000000000001E-2</v>
      </c>
      <c r="CW172" s="228">
        <v>293</v>
      </c>
      <c r="CX172" s="228">
        <v>307</v>
      </c>
      <c r="CY172" s="228">
        <v>-14</v>
      </c>
      <c r="CZ172" s="229">
        <v>-4.4999999999999998E-2</v>
      </c>
      <c r="DA172" s="228">
        <v>44.31</v>
      </c>
      <c r="DB172" s="228">
        <v>37.65</v>
      </c>
      <c r="DC172" s="228">
        <v>6.66</v>
      </c>
      <c r="DD172" s="228">
        <v>6.66</v>
      </c>
      <c r="DE172" s="228">
        <v>43.16</v>
      </c>
      <c r="DF172" s="228">
        <v>43.26</v>
      </c>
      <c r="DG172" s="228">
        <v>1.1499999999999999</v>
      </c>
      <c r="DH172" s="228">
        <v>-0.1</v>
      </c>
      <c r="DI172" s="228">
        <v>42.49</v>
      </c>
      <c r="DJ172" s="228">
        <v>37.42</v>
      </c>
      <c r="DK172" s="228">
        <v>5.07</v>
      </c>
      <c r="DL172" s="228">
        <v>5.07</v>
      </c>
      <c r="DM172" s="228">
        <v>49.66</v>
      </c>
      <c r="DN172" s="228">
        <v>38.58</v>
      </c>
      <c r="DO172" s="228">
        <v>11.08</v>
      </c>
      <c r="DP172" s="228">
        <v>11.08</v>
      </c>
      <c r="DQ172" s="228">
        <v>0.61</v>
      </c>
      <c r="DR172" s="228">
        <v>0.6</v>
      </c>
      <c r="DS172" s="228">
        <v>0.01</v>
      </c>
      <c r="DT172" s="229">
        <v>1.67E-2</v>
      </c>
      <c r="DU172" s="228">
        <v>150</v>
      </c>
      <c r="DV172" s="228">
        <v>150</v>
      </c>
      <c r="DW172" s="228">
        <v>0.34</v>
      </c>
      <c r="DX172" s="228">
        <v>0.25</v>
      </c>
      <c r="DY172" s="228">
        <v>0.09</v>
      </c>
      <c r="DZ172" s="229">
        <v>0.36</v>
      </c>
      <c r="EA172" s="229">
        <v>0</v>
      </c>
      <c r="EB172" s="228">
        <v>0</v>
      </c>
      <c r="EC172" s="229">
        <v>0</v>
      </c>
      <c r="ED172" s="229">
        <v>0</v>
      </c>
      <c r="EE172" s="228">
        <v>0</v>
      </c>
      <c r="EF172" s="229">
        <v>0</v>
      </c>
      <c r="EG172" s="230">
        <v>674991</v>
      </c>
      <c r="EH172" s="230">
        <v>843228</v>
      </c>
      <c r="EI172" s="229">
        <v>-0.19950000000000001</v>
      </c>
      <c r="EJ172" s="229">
        <v>0.3493</v>
      </c>
      <c r="EK172" s="228">
        <v>57.65</v>
      </c>
      <c r="EL172" s="228">
        <v>17.690000000000001</v>
      </c>
      <c r="EM172" s="228">
        <v>20.98</v>
      </c>
      <c r="EN172" s="228">
        <v>9.8000000000000007</v>
      </c>
      <c r="EO172" s="228">
        <v>96.31</v>
      </c>
      <c r="EP172" s="228">
        <v>142.87</v>
      </c>
      <c r="EQ172" s="228">
        <v>-46.56</v>
      </c>
      <c r="ER172" s="229">
        <v>-0.32590000000000002</v>
      </c>
      <c r="ES172" s="228">
        <v>82.56</v>
      </c>
      <c r="ET172" s="228">
        <v>47.07</v>
      </c>
      <c r="EU172" s="228">
        <v>167.02</v>
      </c>
      <c r="EV172" s="231">
        <v>92833839</v>
      </c>
      <c r="EW172" s="228">
        <v>296.64999999999998</v>
      </c>
      <c r="EX172" s="228">
        <v>310.67</v>
      </c>
      <c r="EY172" s="228">
        <v>-14.02</v>
      </c>
      <c r="EZ172" s="229">
        <v>-4.5100000000000001E-2</v>
      </c>
      <c r="FA172" s="229">
        <v>0.21279999999999999</v>
      </c>
      <c r="FB172" s="227" t="s">
        <v>567</v>
      </c>
      <c r="FC172">
        <f t="shared" si="3"/>
        <v>0</v>
      </c>
    </row>
    <row r="173" spans="1:159" ht="17.25" thickBot="1" x14ac:dyDescent="0.3">
      <c r="A173" s="226">
        <v>46132</v>
      </c>
      <c r="B173" s="227" t="s">
        <v>184</v>
      </c>
      <c r="C173" s="227" t="s">
        <v>688</v>
      </c>
      <c r="D173" s="228">
        <v>575</v>
      </c>
      <c r="E173" s="228">
        <v>8</v>
      </c>
      <c r="F173" s="231">
        <v>1004.1</v>
      </c>
      <c r="G173" s="231">
        <v>1006.65</v>
      </c>
      <c r="H173" s="228">
        <v>-2.5499999999999998</v>
      </c>
      <c r="I173" s="229">
        <v>-2.5000000000000001E-3</v>
      </c>
      <c r="J173" s="231">
        <v>1010.75</v>
      </c>
      <c r="K173" s="231">
        <v>1034.5999999999999</v>
      </c>
      <c r="L173" s="228">
        <v>-23.85</v>
      </c>
      <c r="M173" s="229">
        <v>-2.3099999999999999E-2</v>
      </c>
      <c r="N173" s="231">
        <v>1004.1</v>
      </c>
      <c r="O173" s="231">
        <v>1006.65</v>
      </c>
      <c r="P173" s="228">
        <v>-2.5499999999999998</v>
      </c>
      <c r="Q173" s="229">
        <v>-2.5000000000000001E-3</v>
      </c>
      <c r="R173" s="228">
        <v>991.2</v>
      </c>
      <c r="S173" s="228">
        <v>991.6</v>
      </c>
      <c r="T173" s="228">
        <v>-0.4</v>
      </c>
      <c r="U173" s="229">
        <v>-4.0000000000000002E-4</v>
      </c>
      <c r="V173" s="228">
        <v>980</v>
      </c>
      <c r="W173" s="231">
        <v>1001.5</v>
      </c>
      <c r="X173" s="228">
        <v>-21.5</v>
      </c>
      <c r="Y173" s="229">
        <v>-2.1499999999999998E-2</v>
      </c>
      <c r="Z173" s="228">
        <v>-6.65</v>
      </c>
      <c r="AA173" s="228">
        <v>-27.95</v>
      </c>
      <c r="AB173" s="228">
        <v>21.3</v>
      </c>
      <c r="AC173" s="229">
        <v>-6.6E-3</v>
      </c>
      <c r="AD173" s="228">
        <v>-6.65</v>
      </c>
      <c r="AE173" s="228">
        <v>-27.95</v>
      </c>
      <c r="AF173" s="228">
        <v>21.3</v>
      </c>
      <c r="AG173" s="229">
        <v>-6.6E-3</v>
      </c>
      <c r="AH173" s="228">
        <v>-19.55</v>
      </c>
      <c r="AI173" s="228">
        <v>-43</v>
      </c>
      <c r="AJ173" s="228">
        <v>23.45</v>
      </c>
      <c r="AK173" s="229">
        <v>-1.9300000000000001E-2</v>
      </c>
      <c r="AL173" s="228">
        <v>-30.75</v>
      </c>
      <c r="AM173" s="228">
        <v>-33.1</v>
      </c>
      <c r="AN173" s="228">
        <v>2.35</v>
      </c>
      <c r="AO173" s="229">
        <v>-3.04E-2</v>
      </c>
      <c r="AP173" s="231">
        <v>1009.57</v>
      </c>
      <c r="AQ173" s="228">
        <v>997.72</v>
      </c>
      <c r="AR173" s="228">
        <v>0</v>
      </c>
      <c r="AS173" s="228">
        <v>323</v>
      </c>
      <c r="AT173" s="228">
        <v>677</v>
      </c>
      <c r="AU173" s="228">
        <v>-354</v>
      </c>
      <c r="AV173" s="229">
        <v>-0.5232</v>
      </c>
      <c r="AW173" s="228">
        <v>247</v>
      </c>
      <c r="AX173" s="228">
        <v>546</v>
      </c>
      <c r="AY173" s="228">
        <v>-299</v>
      </c>
      <c r="AZ173" s="229">
        <v>-0.5474</v>
      </c>
      <c r="BA173" s="228">
        <v>75</v>
      </c>
      <c r="BB173" s="228">
        <v>131</v>
      </c>
      <c r="BC173" s="228">
        <v>-56</v>
      </c>
      <c r="BD173" s="229">
        <v>-0.43080000000000002</v>
      </c>
      <c r="BE173" s="228">
        <v>1</v>
      </c>
      <c r="BF173" s="228">
        <v>0</v>
      </c>
      <c r="BG173" s="228">
        <v>1</v>
      </c>
      <c r="BH173" s="229">
        <v>3.4</v>
      </c>
      <c r="BI173" s="228">
        <v>526</v>
      </c>
      <c r="BJ173" s="228">
        <v>453</v>
      </c>
      <c r="BK173" s="228">
        <v>73</v>
      </c>
      <c r="BL173" s="229">
        <v>0.1613</v>
      </c>
      <c r="BM173" s="228">
        <v>194</v>
      </c>
      <c r="BN173" s="228">
        <v>311</v>
      </c>
      <c r="BO173" s="228">
        <v>-117</v>
      </c>
      <c r="BP173" s="229">
        <v>-0.37659999999999999</v>
      </c>
      <c r="BQ173" s="230">
        <v>1043</v>
      </c>
      <c r="BR173" s="230">
        <v>1441</v>
      </c>
      <c r="BS173" s="228">
        <v>-398</v>
      </c>
      <c r="BT173" s="229">
        <v>-0.27639999999999998</v>
      </c>
      <c r="BU173" s="230">
        <v>1891731</v>
      </c>
      <c r="BV173" s="230">
        <v>7485168</v>
      </c>
      <c r="BW173" s="230">
        <v>-5593437</v>
      </c>
      <c r="BX173" s="229">
        <v>-0.74729999999999996</v>
      </c>
      <c r="BY173" s="230">
        <v>1350</v>
      </c>
      <c r="BZ173" s="230">
        <v>1323</v>
      </c>
      <c r="CA173" s="228">
        <v>27</v>
      </c>
      <c r="CB173" s="229">
        <v>2.0500000000000001E-2</v>
      </c>
      <c r="CC173" s="230">
        <v>1105</v>
      </c>
      <c r="CD173" s="230">
        <v>1125</v>
      </c>
      <c r="CE173" s="228">
        <v>-20</v>
      </c>
      <c r="CF173" s="229">
        <v>-1.77E-2</v>
      </c>
      <c r="CG173" s="228">
        <v>243</v>
      </c>
      <c r="CH173" s="228">
        <v>197</v>
      </c>
      <c r="CI173" s="228">
        <v>46</v>
      </c>
      <c r="CJ173" s="229">
        <v>0.23400000000000001</v>
      </c>
      <c r="CK173" s="228">
        <v>2</v>
      </c>
      <c r="CL173" s="228">
        <v>1</v>
      </c>
      <c r="CM173" s="228">
        <v>1</v>
      </c>
      <c r="CN173" s="229">
        <v>0.93330000000000002</v>
      </c>
      <c r="CO173" s="228">
        <v>268</v>
      </c>
      <c r="CP173" s="228">
        <v>222</v>
      </c>
      <c r="CQ173" s="228">
        <v>46</v>
      </c>
      <c r="CR173" s="229">
        <v>0.2074</v>
      </c>
      <c r="CS173" s="228">
        <v>205</v>
      </c>
      <c r="CT173" s="228">
        <v>181</v>
      </c>
      <c r="CU173" s="228">
        <v>25</v>
      </c>
      <c r="CV173" s="229">
        <v>0.1358</v>
      </c>
      <c r="CW173" s="230">
        <v>1823</v>
      </c>
      <c r="CX173" s="230">
        <v>1725</v>
      </c>
      <c r="CY173" s="228">
        <v>98</v>
      </c>
      <c r="CZ173" s="229">
        <v>5.6599999999999998E-2</v>
      </c>
      <c r="DA173" s="228">
        <v>44.46</v>
      </c>
      <c r="DB173" s="228">
        <v>41.62</v>
      </c>
      <c r="DC173" s="228">
        <v>2.84</v>
      </c>
      <c r="DD173" s="228">
        <v>2.84</v>
      </c>
      <c r="DE173" s="228">
        <v>48.81</v>
      </c>
      <c r="DF173" s="228">
        <v>48.93</v>
      </c>
      <c r="DG173" s="228">
        <v>-4.3499999999999996</v>
      </c>
      <c r="DH173" s="228">
        <v>-0.12</v>
      </c>
      <c r="DI173" s="228">
        <v>45.69</v>
      </c>
      <c r="DJ173" s="228">
        <v>40.72</v>
      </c>
      <c r="DK173" s="228">
        <v>4.97</v>
      </c>
      <c r="DL173" s="228">
        <v>4.97</v>
      </c>
      <c r="DM173" s="228">
        <v>41.13</v>
      </c>
      <c r="DN173" s="228">
        <v>42.92</v>
      </c>
      <c r="DO173" s="228">
        <v>-1.79</v>
      </c>
      <c r="DP173" s="228">
        <v>-1.79</v>
      </c>
      <c r="DQ173" s="228">
        <v>0.77</v>
      </c>
      <c r="DR173" s="228">
        <v>0.81</v>
      </c>
      <c r="DS173" s="228">
        <v>-0.04</v>
      </c>
      <c r="DT173" s="229">
        <v>-4.9399999999999999E-2</v>
      </c>
      <c r="DU173" s="231">
        <v>1100</v>
      </c>
      <c r="DV173" s="228">
        <v>960</v>
      </c>
      <c r="DW173" s="228">
        <v>0.37</v>
      </c>
      <c r="DX173" s="228">
        <v>0.69</v>
      </c>
      <c r="DY173" s="228">
        <v>-0.32</v>
      </c>
      <c r="DZ173" s="229">
        <v>-0.46379999999999999</v>
      </c>
      <c r="EA173" s="229">
        <v>0.18149999999999999</v>
      </c>
      <c r="EB173" s="230">
        <v>1971675</v>
      </c>
      <c r="EC173" s="229">
        <v>-1.2800000000000001E-2</v>
      </c>
      <c r="ED173" s="229">
        <v>0.18149999999999999</v>
      </c>
      <c r="EE173" s="228">
        <v>-11.85</v>
      </c>
      <c r="EF173" s="229">
        <v>-1.17E-2</v>
      </c>
      <c r="EG173" s="230">
        <v>707723</v>
      </c>
      <c r="EH173" s="230">
        <v>4650294</v>
      </c>
      <c r="EI173" s="229">
        <v>-0.8478</v>
      </c>
      <c r="EJ173" s="229">
        <v>0.37409999999999999</v>
      </c>
      <c r="EK173" s="228">
        <v>558.47</v>
      </c>
      <c r="EL173" s="228">
        <v>190.47</v>
      </c>
      <c r="EM173" s="228">
        <v>323.72000000000003</v>
      </c>
      <c r="EN173" s="228">
        <v>60.42</v>
      </c>
      <c r="EO173" s="231">
        <v>1072.6600000000001</v>
      </c>
      <c r="EP173" s="231">
        <v>1447.76</v>
      </c>
      <c r="EQ173" s="228">
        <v>-375.09</v>
      </c>
      <c r="ER173" s="229">
        <v>-0.2591</v>
      </c>
      <c r="ES173" s="228">
        <v>269.37</v>
      </c>
      <c r="ET173" s="228">
        <v>188.26</v>
      </c>
      <c r="EU173" s="231">
        <v>1346.47</v>
      </c>
      <c r="EV173" s="231">
        <v>23961540</v>
      </c>
      <c r="EW173" s="231">
        <v>1804.1</v>
      </c>
      <c r="EX173" s="231">
        <v>1705.31</v>
      </c>
      <c r="EY173" s="228">
        <v>98.79</v>
      </c>
      <c r="EZ173" s="229">
        <v>5.79E-2</v>
      </c>
      <c r="FA173" s="229">
        <v>0.75770000000000004</v>
      </c>
      <c r="FB173" s="227" t="s">
        <v>566</v>
      </c>
      <c r="FC173">
        <f t="shared" si="3"/>
        <v>0</v>
      </c>
    </row>
    <row r="174" spans="1:159" ht="17.25" thickBot="1" x14ac:dyDescent="0.3">
      <c r="A174" s="226">
        <v>46132</v>
      </c>
      <c r="B174" s="227" t="s">
        <v>206</v>
      </c>
      <c r="C174" s="227" t="s">
        <v>604</v>
      </c>
      <c r="D174" s="228">
        <v>450</v>
      </c>
      <c r="E174" s="228">
        <v>8</v>
      </c>
      <c r="F174" s="231">
        <v>1372.2</v>
      </c>
      <c r="G174" s="231">
        <v>1357.6</v>
      </c>
      <c r="H174" s="228">
        <v>14.6</v>
      </c>
      <c r="I174" s="229">
        <v>1.0800000000000001E-2</v>
      </c>
      <c r="J174" s="231">
        <v>1373.8</v>
      </c>
      <c r="K174" s="231">
        <v>1356.8</v>
      </c>
      <c r="L174" s="228">
        <v>17</v>
      </c>
      <c r="M174" s="229">
        <v>1.2500000000000001E-2</v>
      </c>
      <c r="N174" s="231">
        <v>1372.2</v>
      </c>
      <c r="O174" s="231">
        <v>1357.6</v>
      </c>
      <c r="P174" s="228">
        <v>14.6</v>
      </c>
      <c r="Q174" s="229">
        <v>1.0800000000000001E-2</v>
      </c>
      <c r="R174" s="231">
        <v>1378.8</v>
      </c>
      <c r="S174" s="231">
        <v>1362.2</v>
      </c>
      <c r="T174" s="228">
        <v>16.600000000000001</v>
      </c>
      <c r="U174" s="229">
        <v>1.2200000000000001E-2</v>
      </c>
      <c r="V174" s="231">
        <v>1385</v>
      </c>
      <c r="W174" s="231">
        <v>1366.2</v>
      </c>
      <c r="X174" s="228">
        <v>18.8</v>
      </c>
      <c r="Y174" s="229">
        <v>1.38E-2</v>
      </c>
      <c r="Z174" s="228">
        <v>-1.6</v>
      </c>
      <c r="AA174" s="228">
        <v>0.8</v>
      </c>
      <c r="AB174" s="228">
        <v>-2.4</v>
      </c>
      <c r="AC174" s="229">
        <v>-1.1999999999999999E-3</v>
      </c>
      <c r="AD174" s="228">
        <v>-1.6</v>
      </c>
      <c r="AE174" s="228">
        <v>0.8</v>
      </c>
      <c r="AF174" s="228">
        <v>-2.4</v>
      </c>
      <c r="AG174" s="229">
        <v>-1.1999999999999999E-3</v>
      </c>
      <c r="AH174" s="228">
        <v>5</v>
      </c>
      <c r="AI174" s="228">
        <v>5.4</v>
      </c>
      <c r="AJ174" s="228">
        <v>-0.4</v>
      </c>
      <c r="AK174" s="229">
        <v>3.5999999999999999E-3</v>
      </c>
      <c r="AL174" s="228">
        <v>11.2</v>
      </c>
      <c r="AM174" s="228">
        <v>9.4</v>
      </c>
      <c r="AN174" s="228">
        <v>1.8</v>
      </c>
      <c r="AO174" s="229">
        <v>8.2000000000000007E-3</v>
      </c>
      <c r="AP174" s="231">
        <v>1367.32</v>
      </c>
      <c r="AQ174" s="231">
        <v>1375.41</v>
      </c>
      <c r="AR174" s="228">
        <v>0</v>
      </c>
      <c r="AS174" s="228">
        <v>142</v>
      </c>
      <c r="AT174" s="228">
        <v>148</v>
      </c>
      <c r="AU174" s="228">
        <v>-5</v>
      </c>
      <c r="AV174" s="229">
        <v>-3.7199999999999997E-2</v>
      </c>
      <c r="AW174" s="228">
        <v>131</v>
      </c>
      <c r="AX174" s="228">
        <v>144</v>
      </c>
      <c r="AY174" s="228">
        <v>-13</v>
      </c>
      <c r="AZ174" s="229">
        <v>-8.8499999999999995E-2</v>
      </c>
      <c r="BA174" s="228">
        <v>11</v>
      </c>
      <c r="BB174" s="228">
        <v>4</v>
      </c>
      <c r="BC174" s="228">
        <v>7</v>
      </c>
      <c r="BD174" s="229">
        <v>1.9179999999999999</v>
      </c>
      <c r="BE174" s="228">
        <v>0</v>
      </c>
      <c r="BF174" s="228">
        <v>0</v>
      </c>
      <c r="BG174" s="228">
        <v>0</v>
      </c>
      <c r="BH174" s="229">
        <v>0</v>
      </c>
      <c r="BI174" s="228">
        <v>343</v>
      </c>
      <c r="BJ174" s="228">
        <v>339</v>
      </c>
      <c r="BK174" s="228">
        <v>4</v>
      </c>
      <c r="BL174" s="229">
        <v>1.24E-2</v>
      </c>
      <c r="BM174" s="228">
        <v>221</v>
      </c>
      <c r="BN174" s="228">
        <v>145</v>
      </c>
      <c r="BO174" s="228">
        <v>76</v>
      </c>
      <c r="BP174" s="229">
        <v>0.52190000000000003</v>
      </c>
      <c r="BQ174" s="228">
        <v>707</v>
      </c>
      <c r="BR174" s="228">
        <v>632</v>
      </c>
      <c r="BS174" s="228">
        <v>74</v>
      </c>
      <c r="BT174" s="229">
        <v>0.1178</v>
      </c>
      <c r="BU174" s="230">
        <v>1012543</v>
      </c>
      <c r="BV174" s="230">
        <v>856464</v>
      </c>
      <c r="BW174" s="230">
        <v>156079</v>
      </c>
      <c r="BX174" s="229">
        <v>0.1822</v>
      </c>
      <c r="BY174" s="228">
        <v>919</v>
      </c>
      <c r="BZ174" s="228">
        <v>952</v>
      </c>
      <c r="CA174" s="228">
        <v>-33</v>
      </c>
      <c r="CB174" s="229">
        <v>-3.4700000000000002E-2</v>
      </c>
      <c r="CC174" s="228">
        <v>903</v>
      </c>
      <c r="CD174" s="228">
        <v>940</v>
      </c>
      <c r="CE174" s="228">
        <v>-36</v>
      </c>
      <c r="CF174" s="229">
        <v>-3.8800000000000001E-2</v>
      </c>
      <c r="CG174" s="228">
        <v>14</v>
      </c>
      <c r="CH174" s="228">
        <v>11</v>
      </c>
      <c r="CI174" s="228">
        <v>3</v>
      </c>
      <c r="CJ174" s="229">
        <v>0.31819999999999998</v>
      </c>
      <c r="CK174" s="228">
        <v>1</v>
      </c>
      <c r="CL174" s="228">
        <v>1</v>
      </c>
      <c r="CM174" s="228">
        <v>0</v>
      </c>
      <c r="CN174" s="229">
        <v>0</v>
      </c>
      <c r="CO174" s="228">
        <v>296</v>
      </c>
      <c r="CP174" s="228">
        <v>303</v>
      </c>
      <c r="CQ174" s="228">
        <v>-7</v>
      </c>
      <c r="CR174" s="229">
        <v>-2.3199999999999998E-2</v>
      </c>
      <c r="CS174" s="228">
        <v>189</v>
      </c>
      <c r="CT174" s="228">
        <v>226</v>
      </c>
      <c r="CU174" s="228">
        <v>-36</v>
      </c>
      <c r="CV174" s="229">
        <v>-0.16170000000000001</v>
      </c>
      <c r="CW174" s="230">
        <v>1404</v>
      </c>
      <c r="CX174" s="230">
        <v>1480</v>
      </c>
      <c r="CY174" s="228">
        <v>-77</v>
      </c>
      <c r="CZ174" s="229">
        <v>-5.1700000000000003E-2</v>
      </c>
      <c r="DA174" s="228">
        <v>45.98</v>
      </c>
      <c r="DB174" s="228">
        <v>40.200000000000003</v>
      </c>
      <c r="DC174" s="228">
        <v>5.78</v>
      </c>
      <c r="DD174" s="228">
        <v>5.78</v>
      </c>
      <c r="DE174" s="228">
        <v>44.82</v>
      </c>
      <c r="DF174" s="228">
        <v>44.91</v>
      </c>
      <c r="DG174" s="228">
        <v>1.1599999999999999</v>
      </c>
      <c r="DH174" s="228">
        <v>-0.09</v>
      </c>
      <c r="DI174" s="228">
        <v>40.700000000000003</v>
      </c>
      <c r="DJ174" s="228">
        <v>37.4</v>
      </c>
      <c r="DK174" s="228">
        <v>3.3</v>
      </c>
      <c r="DL174" s="228">
        <v>3.3</v>
      </c>
      <c r="DM174" s="228">
        <v>54.18</v>
      </c>
      <c r="DN174" s="228">
        <v>46.74</v>
      </c>
      <c r="DO174" s="228">
        <v>7.44</v>
      </c>
      <c r="DP174" s="228">
        <v>7.44</v>
      </c>
      <c r="DQ174" s="228">
        <v>0.64</v>
      </c>
      <c r="DR174" s="228">
        <v>0.74</v>
      </c>
      <c r="DS174" s="228">
        <v>-0.1</v>
      </c>
      <c r="DT174" s="229">
        <v>-0.1351</v>
      </c>
      <c r="DU174" s="231">
        <v>1400</v>
      </c>
      <c r="DV174" s="231">
        <v>1200</v>
      </c>
      <c r="DW174" s="228">
        <v>0.64</v>
      </c>
      <c r="DX174" s="228">
        <v>0.43</v>
      </c>
      <c r="DY174" s="228">
        <v>0.21</v>
      </c>
      <c r="DZ174" s="229">
        <v>0.4884</v>
      </c>
      <c r="EA174" s="229">
        <v>1.67E-2</v>
      </c>
      <c r="EB174" s="230">
        <v>86400</v>
      </c>
      <c r="EC174" s="229">
        <v>4.7999999999999996E-3</v>
      </c>
      <c r="ED174" s="229">
        <v>1.67E-2</v>
      </c>
      <c r="EE174" s="228">
        <v>8.09</v>
      </c>
      <c r="EF174" s="229">
        <v>5.8999999999999999E-3</v>
      </c>
      <c r="EG174" s="230">
        <v>620130</v>
      </c>
      <c r="EH174" s="230">
        <v>449840</v>
      </c>
      <c r="EI174" s="229">
        <v>0.37859999999999999</v>
      </c>
      <c r="EJ174" s="229">
        <v>0.61240000000000006</v>
      </c>
      <c r="EK174" s="228">
        <v>356.32</v>
      </c>
      <c r="EL174" s="228">
        <v>201.23</v>
      </c>
      <c r="EM174" s="228">
        <v>141.88999999999999</v>
      </c>
      <c r="EN174" s="228">
        <v>22.84</v>
      </c>
      <c r="EO174" s="228">
        <v>699.44</v>
      </c>
      <c r="EP174" s="228">
        <v>635.84</v>
      </c>
      <c r="EQ174" s="228">
        <v>63.6</v>
      </c>
      <c r="ER174" s="229">
        <v>0.1</v>
      </c>
      <c r="ES174" s="228">
        <v>295.94</v>
      </c>
      <c r="ET174" s="228">
        <v>169.24</v>
      </c>
      <c r="EU174" s="228">
        <v>918.59</v>
      </c>
      <c r="EV174" s="231">
        <v>25234534</v>
      </c>
      <c r="EW174" s="231">
        <v>1383.78</v>
      </c>
      <c r="EX174" s="231">
        <v>1444.37</v>
      </c>
      <c r="EY174" s="228">
        <v>-60.59</v>
      </c>
      <c r="EZ174" s="229">
        <v>-4.19E-2</v>
      </c>
      <c r="FA174" s="229">
        <v>0.40539999999999998</v>
      </c>
      <c r="FB174" s="227" t="s">
        <v>693</v>
      </c>
      <c r="FC174">
        <f t="shared" si="3"/>
        <v>0</v>
      </c>
    </row>
    <row r="175" spans="1:159" ht="17.25" thickBot="1" x14ac:dyDescent="0.3">
      <c r="A175" s="226">
        <v>46132</v>
      </c>
      <c r="B175" s="227" t="s">
        <v>172</v>
      </c>
      <c r="C175" s="227" t="s">
        <v>279</v>
      </c>
      <c r="D175" s="228">
        <v>3175</v>
      </c>
      <c r="E175" s="228">
        <v>8</v>
      </c>
      <c r="F175" s="228">
        <v>317.35000000000002</v>
      </c>
      <c r="G175" s="228">
        <v>316.64999999999998</v>
      </c>
      <c r="H175" s="228">
        <v>0.7</v>
      </c>
      <c r="I175" s="229">
        <v>2.2000000000000001E-3</v>
      </c>
      <c r="J175" s="228">
        <v>317.5</v>
      </c>
      <c r="K175" s="228">
        <v>315.55</v>
      </c>
      <c r="L175" s="228">
        <v>1.95</v>
      </c>
      <c r="M175" s="229">
        <v>6.1999999999999998E-3</v>
      </c>
      <c r="N175" s="228">
        <v>317.35000000000002</v>
      </c>
      <c r="O175" s="228">
        <v>316.64999999999998</v>
      </c>
      <c r="P175" s="228">
        <v>0.7</v>
      </c>
      <c r="Q175" s="229">
        <v>2.2000000000000001E-3</v>
      </c>
      <c r="R175" s="228">
        <v>319.60000000000002</v>
      </c>
      <c r="S175" s="228">
        <v>318.2</v>
      </c>
      <c r="T175" s="228">
        <v>1.4</v>
      </c>
      <c r="U175" s="229">
        <v>4.4000000000000003E-3</v>
      </c>
      <c r="V175" s="228">
        <v>321.05</v>
      </c>
      <c r="W175" s="228">
        <v>317.5</v>
      </c>
      <c r="X175" s="228">
        <v>3.55</v>
      </c>
      <c r="Y175" s="229">
        <v>1.12E-2</v>
      </c>
      <c r="Z175" s="228">
        <v>-0.15</v>
      </c>
      <c r="AA175" s="228">
        <v>1.1000000000000001</v>
      </c>
      <c r="AB175" s="228">
        <v>-1.25</v>
      </c>
      <c r="AC175" s="229">
        <v>-5.0000000000000001E-4</v>
      </c>
      <c r="AD175" s="228">
        <v>-0.15</v>
      </c>
      <c r="AE175" s="228">
        <v>1.1000000000000001</v>
      </c>
      <c r="AF175" s="228">
        <v>-1.25</v>
      </c>
      <c r="AG175" s="229">
        <v>-5.0000000000000001E-4</v>
      </c>
      <c r="AH175" s="228">
        <v>2.1</v>
      </c>
      <c r="AI175" s="228">
        <v>2.65</v>
      </c>
      <c r="AJ175" s="228">
        <v>-0.55000000000000004</v>
      </c>
      <c r="AK175" s="229">
        <v>6.6E-3</v>
      </c>
      <c r="AL175" s="228">
        <v>3.55</v>
      </c>
      <c r="AM175" s="228">
        <v>1.95</v>
      </c>
      <c r="AN175" s="228">
        <v>1.6</v>
      </c>
      <c r="AO175" s="229">
        <v>1.12E-2</v>
      </c>
      <c r="AP175" s="228">
        <v>316.86</v>
      </c>
      <c r="AQ175" s="228">
        <v>318.99</v>
      </c>
      <c r="AR175" s="228">
        <v>0</v>
      </c>
      <c r="AS175" s="228">
        <v>341</v>
      </c>
      <c r="AT175" s="228">
        <v>248</v>
      </c>
      <c r="AU175" s="228">
        <v>94</v>
      </c>
      <c r="AV175" s="229">
        <v>0.37780000000000002</v>
      </c>
      <c r="AW175" s="228">
        <v>261</v>
      </c>
      <c r="AX175" s="228">
        <v>226</v>
      </c>
      <c r="AY175" s="228">
        <v>35</v>
      </c>
      <c r="AZ175" s="229">
        <v>0.1552</v>
      </c>
      <c r="BA175" s="228">
        <v>80</v>
      </c>
      <c r="BB175" s="228">
        <v>21</v>
      </c>
      <c r="BC175" s="228">
        <v>59</v>
      </c>
      <c r="BD175" s="229">
        <v>2.8212999999999999</v>
      </c>
      <c r="BE175" s="228">
        <v>1</v>
      </c>
      <c r="BF175" s="228">
        <v>1</v>
      </c>
      <c r="BG175" s="228">
        <v>0</v>
      </c>
      <c r="BH175" s="229">
        <v>-0.3</v>
      </c>
      <c r="BI175" s="228">
        <v>573</v>
      </c>
      <c r="BJ175" s="230">
        <v>1093</v>
      </c>
      <c r="BK175" s="228">
        <v>-520</v>
      </c>
      <c r="BL175" s="229">
        <v>-0.4758</v>
      </c>
      <c r="BM175" s="228">
        <v>269</v>
      </c>
      <c r="BN175" s="228">
        <v>426</v>
      </c>
      <c r="BO175" s="228">
        <v>-158</v>
      </c>
      <c r="BP175" s="229">
        <v>-0.36969999999999997</v>
      </c>
      <c r="BQ175" s="230">
        <v>1183</v>
      </c>
      <c r="BR175" s="230">
        <v>1767</v>
      </c>
      <c r="BS175" s="228">
        <v>-584</v>
      </c>
      <c r="BT175" s="229">
        <v>-0.33050000000000002</v>
      </c>
      <c r="BU175" s="230">
        <v>4881362</v>
      </c>
      <c r="BV175" s="230">
        <v>3345655</v>
      </c>
      <c r="BW175" s="230">
        <v>1535707</v>
      </c>
      <c r="BX175" s="229">
        <v>0.45900000000000002</v>
      </c>
      <c r="BY175" s="230">
        <v>1894</v>
      </c>
      <c r="BZ175" s="230">
        <v>1952</v>
      </c>
      <c r="CA175" s="228">
        <v>-58</v>
      </c>
      <c r="CB175" s="229">
        <v>-2.9700000000000001E-2</v>
      </c>
      <c r="CC175" s="230">
        <v>1793</v>
      </c>
      <c r="CD175" s="230">
        <v>1910</v>
      </c>
      <c r="CE175" s="228">
        <v>-117</v>
      </c>
      <c r="CF175" s="229">
        <v>-6.1100000000000002E-2</v>
      </c>
      <c r="CG175" s="228">
        <v>97</v>
      </c>
      <c r="CH175" s="228">
        <v>39</v>
      </c>
      <c r="CI175" s="228">
        <v>58</v>
      </c>
      <c r="CJ175" s="229">
        <v>1.5144</v>
      </c>
      <c r="CK175" s="228">
        <v>4</v>
      </c>
      <c r="CL175" s="228">
        <v>4</v>
      </c>
      <c r="CM175" s="228">
        <v>0</v>
      </c>
      <c r="CN175" s="229">
        <v>7.8899999999999998E-2</v>
      </c>
      <c r="CO175" s="228">
        <v>930</v>
      </c>
      <c r="CP175" s="228">
        <v>976</v>
      </c>
      <c r="CQ175" s="228">
        <v>-45</v>
      </c>
      <c r="CR175" s="229">
        <v>-4.65E-2</v>
      </c>
      <c r="CS175" s="228">
        <v>844</v>
      </c>
      <c r="CT175" s="228">
        <v>879</v>
      </c>
      <c r="CU175" s="228">
        <v>-34</v>
      </c>
      <c r="CV175" s="229">
        <v>-3.9100000000000003E-2</v>
      </c>
      <c r="CW175" s="230">
        <v>3669</v>
      </c>
      <c r="CX175" s="230">
        <v>3807</v>
      </c>
      <c r="CY175" s="228">
        <v>-138</v>
      </c>
      <c r="CZ175" s="229">
        <v>-3.6200000000000003E-2</v>
      </c>
      <c r="DA175" s="228">
        <v>35.47</v>
      </c>
      <c r="DB175" s="228">
        <v>31.87</v>
      </c>
      <c r="DC175" s="228">
        <v>3.6</v>
      </c>
      <c r="DD175" s="228">
        <v>3.6</v>
      </c>
      <c r="DE175" s="228">
        <v>43.09</v>
      </c>
      <c r="DF175" s="228">
        <v>43.19</v>
      </c>
      <c r="DG175" s="228">
        <v>-7.62</v>
      </c>
      <c r="DH175" s="228">
        <v>-0.1</v>
      </c>
      <c r="DI175" s="228">
        <v>34.56</v>
      </c>
      <c r="DJ175" s="228">
        <v>31.67</v>
      </c>
      <c r="DK175" s="228">
        <v>2.89</v>
      </c>
      <c r="DL175" s="228">
        <v>2.89</v>
      </c>
      <c r="DM175" s="228">
        <v>37.39</v>
      </c>
      <c r="DN175" s="228">
        <v>32.39</v>
      </c>
      <c r="DO175" s="228">
        <v>5</v>
      </c>
      <c r="DP175" s="228">
        <v>5</v>
      </c>
      <c r="DQ175" s="228">
        <v>0.91</v>
      </c>
      <c r="DR175" s="228">
        <v>0.9</v>
      </c>
      <c r="DS175" s="228">
        <v>0.01</v>
      </c>
      <c r="DT175" s="229">
        <v>1.11E-2</v>
      </c>
      <c r="DU175" s="228">
        <v>300</v>
      </c>
      <c r="DV175" s="228">
        <v>280</v>
      </c>
      <c r="DW175" s="228">
        <v>0.47</v>
      </c>
      <c r="DX175" s="228">
        <v>0.39</v>
      </c>
      <c r="DY175" s="228">
        <v>0.08</v>
      </c>
      <c r="DZ175" s="229">
        <v>0.2051</v>
      </c>
      <c r="EA175" s="229">
        <v>5.3400000000000003E-2</v>
      </c>
      <c r="EB175" s="230">
        <v>1336675</v>
      </c>
      <c r="EC175" s="229">
        <v>7.1000000000000004E-3</v>
      </c>
      <c r="ED175" s="229">
        <v>5.3400000000000003E-2</v>
      </c>
      <c r="EE175" s="228">
        <v>2.13</v>
      </c>
      <c r="EF175" s="229">
        <v>6.7000000000000002E-3</v>
      </c>
      <c r="EG175" s="230">
        <v>2576939</v>
      </c>
      <c r="EH175" s="230">
        <v>1368788</v>
      </c>
      <c r="EI175" s="229">
        <v>0.88260000000000005</v>
      </c>
      <c r="EJ175" s="229">
        <v>0.52790000000000004</v>
      </c>
      <c r="EK175" s="228">
        <v>594.87</v>
      </c>
      <c r="EL175" s="228">
        <v>265.49</v>
      </c>
      <c r="EM175" s="228">
        <v>341.39</v>
      </c>
      <c r="EN175" s="228">
        <v>25.99</v>
      </c>
      <c r="EO175" s="231">
        <v>1201.75</v>
      </c>
      <c r="EP175" s="231">
        <v>1795.31</v>
      </c>
      <c r="EQ175" s="228">
        <v>-593.55999999999995</v>
      </c>
      <c r="ER175" s="229">
        <v>-0.3306</v>
      </c>
      <c r="ES175" s="228">
        <v>931.57</v>
      </c>
      <c r="ET175" s="228">
        <v>797.42</v>
      </c>
      <c r="EU175" s="231">
        <v>1895</v>
      </c>
      <c r="EV175" s="231">
        <v>92573471</v>
      </c>
      <c r="EW175" s="231">
        <v>3623.99</v>
      </c>
      <c r="EX175" s="231">
        <v>3755.78</v>
      </c>
      <c r="EY175" s="228">
        <v>-131.79</v>
      </c>
      <c r="EZ175" s="229">
        <v>-3.5099999999999999E-2</v>
      </c>
      <c r="FA175" s="229">
        <v>1.2487999999999999</v>
      </c>
      <c r="FB175" s="227" t="s">
        <v>693</v>
      </c>
      <c r="FC175">
        <f t="shared" si="3"/>
        <v>0</v>
      </c>
    </row>
    <row r="176" spans="1:159" ht="17.25" thickBot="1" x14ac:dyDescent="0.3">
      <c r="A176" s="226">
        <v>46132</v>
      </c>
      <c r="B176" s="227" t="s">
        <v>175</v>
      </c>
      <c r="C176" s="227" t="s">
        <v>280</v>
      </c>
      <c r="D176" s="228">
        <v>1400</v>
      </c>
      <c r="E176" s="228">
        <v>8</v>
      </c>
      <c r="F176" s="228">
        <v>382.2</v>
      </c>
      <c r="G176" s="228">
        <v>374.45</v>
      </c>
      <c r="H176" s="228">
        <v>7.75</v>
      </c>
      <c r="I176" s="229">
        <v>2.07E-2</v>
      </c>
      <c r="J176" s="228">
        <v>382.7</v>
      </c>
      <c r="K176" s="228">
        <v>373.3</v>
      </c>
      <c r="L176" s="228">
        <v>9.4</v>
      </c>
      <c r="M176" s="229">
        <v>2.52E-2</v>
      </c>
      <c r="N176" s="228">
        <v>382.2</v>
      </c>
      <c r="O176" s="228">
        <v>374.45</v>
      </c>
      <c r="P176" s="228">
        <v>7.75</v>
      </c>
      <c r="Q176" s="229">
        <v>2.07E-2</v>
      </c>
      <c r="R176" s="228">
        <v>383.6</v>
      </c>
      <c r="S176" s="228">
        <v>376.5</v>
      </c>
      <c r="T176" s="228">
        <v>7.1</v>
      </c>
      <c r="U176" s="229">
        <v>1.89E-2</v>
      </c>
      <c r="V176" s="228">
        <v>385.75</v>
      </c>
      <c r="W176" s="228">
        <v>378.35</v>
      </c>
      <c r="X176" s="228">
        <v>7.4</v>
      </c>
      <c r="Y176" s="229">
        <v>1.9599999999999999E-2</v>
      </c>
      <c r="Z176" s="228">
        <v>-0.5</v>
      </c>
      <c r="AA176" s="228">
        <v>1.1499999999999999</v>
      </c>
      <c r="AB176" s="228">
        <v>-1.65</v>
      </c>
      <c r="AC176" s="229">
        <v>-1.2999999999999999E-3</v>
      </c>
      <c r="AD176" s="228">
        <v>-0.5</v>
      </c>
      <c r="AE176" s="228">
        <v>1.1499999999999999</v>
      </c>
      <c r="AF176" s="228">
        <v>-1.65</v>
      </c>
      <c r="AG176" s="229">
        <v>-1.2999999999999999E-3</v>
      </c>
      <c r="AH176" s="228">
        <v>0.9</v>
      </c>
      <c r="AI176" s="228">
        <v>3.2</v>
      </c>
      <c r="AJ176" s="228">
        <v>-2.2999999999999998</v>
      </c>
      <c r="AK176" s="229">
        <v>2.3999999999999998E-3</v>
      </c>
      <c r="AL176" s="228">
        <v>3.05</v>
      </c>
      <c r="AM176" s="228">
        <v>5.05</v>
      </c>
      <c r="AN176" s="228">
        <v>-2</v>
      </c>
      <c r="AO176" s="229">
        <v>8.0000000000000002E-3</v>
      </c>
      <c r="AP176" s="228">
        <v>380.33</v>
      </c>
      <c r="AQ176" s="228">
        <v>384.41</v>
      </c>
      <c r="AR176" s="228">
        <v>0</v>
      </c>
      <c r="AS176" s="228">
        <v>710</v>
      </c>
      <c r="AT176" s="228">
        <v>600</v>
      </c>
      <c r="AU176" s="228">
        <v>110</v>
      </c>
      <c r="AV176" s="229">
        <v>0.18410000000000001</v>
      </c>
      <c r="AW176" s="228">
        <v>478</v>
      </c>
      <c r="AX176" s="228">
        <v>443</v>
      </c>
      <c r="AY176" s="228">
        <v>34</v>
      </c>
      <c r="AZ176" s="229">
        <v>7.6999999999999999E-2</v>
      </c>
      <c r="BA176" s="228">
        <v>215</v>
      </c>
      <c r="BB176" s="228">
        <v>90</v>
      </c>
      <c r="BC176" s="228">
        <v>125</v>
      </c>
      <c r="BD176" s="229">
        <v>1.381</v>
      </c>
      <c r="BE176" s="228">
        <v>18</v>
      </c>
      <c r="BF176" s="228">
        <v>66</v>
      </c>
      <c r="BG176" s="228">
        <v>-48</v>
      </c>
      <c r="BH176" s="229">
        <v>-0.72599999999999998</v>
      </c>
      <c r="BI176" s="230">
        <v>2290</v>
      </c>
      <c r="BJ176" s="230">
        <v>2088</v>
      </c>
      <c r="BK176" s="228">
        <v>202</v>
      </c>
      <c r="BL176" s="229">
        <v>9.6799999999999997E-2</v>
      </c>
      <c r="BM176" s="230">
        <v>1317</v>
      </c>
      <c r="BN176" s="230">
        <v>1238</v>
      </c>
      <c r="BO176" s="228">
        <v>80</v>
      </c>
      <c r="BP176" s="229">
        <v>6.4399999999999999E-2</v>
      </c>
      <c r="BQ176" s="230">
        <v>4318</v>
      </c>
      <c r="BR176" s="230">
        <v>3926</v>
      </c>
      <c r="BS176" s="228">
        <v>392</v>
      </c>
      <c r="BT176" s="229">
        <v>9.9900000000000003E-2</v>
      </c>
      <c r="BU176" s="230">
        <v>13273855</v>
      </c>
      <c r="BV176" s="230">
        <v>15535938</v>
      </c>
      <c r="BW176" s="230">
        <v>-2262083</v>
      </c>
      <c r="BX176" s="229">
        <v>-0.14560000000000001</v>
      </c>
      <c r="BY176" s="230">
        <v>2537</v>
      </c>
      <c r="BZ176" s="230">
        <v>2574</v>
      </c>
      <c r="CA176" s="228">
        <v>-37</v>
      </c>
      <c r="CB176" s="229">
        <v>-1.44E-2</v>
      </c>
      <c r="CC176" s="230">
        <v>2075</v>
      </c>
      <c r="CD176" s="230">
        <v>2241</v>
      </c>
      <c r="CE176" s="228">
        <v>-166</v>
      </c>
      <c r="CF176" s="229">
        <v>-7.4099999999999999E-2</v>
      </c>
      <c r="CG176" s="228">
        <v>392</v>
      </c>
      <c r="CH176" s="228">
        <v>268</v>
      </c>
      <c r="CI176" s="228">
        <v>125</v>
      </c>
      <c r="CJ176" s="229">
        <v>0.4652</v>
      </c>
      <c r="CK176" s="228">
        <v>69</v>
      </c>
      <c r="CL176" s="228">
        <v>65</v>
      </c>
      <c r="CM176" s="228">
        <v>4</v>
      </c>
      <c r="CN176" s="229">
        <v>6.8400000000000002E-2</v>
      </c>
      <c r="CO176" s="230">
        <v>1079</v>
      </c>
      <c r="CP176" s="230">
        <v>1041</v>
      </c>
      <c r="CQ176" s="228">
        <v>38</v>
      </c>
      <c r="CR176" s="229">
        <v>3.6600000000000001E-2</v>
      </c>
      <c r="CS176" s="228">
        <v>977</v>
      </c>
      <c r="CT176" s="228">
        <v>956</v>
      </c>
      <c r="CU176" s="228">
        <v>20</v>
      </c>
      <c r="CV176" s="229">
        <v>2.1299999999999999E-2</v>
      </c>
      <c r="CW176" s="230">
        <v>4593</v>
      </c>
      <c r="CX176" s="230">
        <v>4571</v>
      </c>
      <c r="CY176" s="228">
        <v>21</v>
      </c>
      <c r="CZ176" s="229">
        <v>4.7000000000000002E-3</v>
      </c>
      <c r="DA176" s="228">
        <v>36.9</v>
      </c>
      <c r="DB176" s="228">
        <v>33.53</v>
      </c>
      <c r="DC176" s="228">
        <v>3.37</v>
      </c>
      <c r="DD176" s="228">
        <v>3.37</v>
      </c>
      <c r="DE176" s="228">
        <v>42.79</v>
      </c>
      <c r="DF176" s="228">
        <v>42.81</v>
      </c>
      <c r="DG176" s="228">
        <v>-5.89</v>
      </c>
      <c r="DH176" s="228">
        <v>-0.02</v>
      </c>
      <c r="DI176" s="228">
        <v>34.450000000000003</v>
      </c>
      <c r="DJ176" s="228">
        <v>31.48</v>
      </c>
      <c r="DK176" s="228">
        <v>2.97</v>
      </c>
      <c r="DL176" s="228">
        <v>2.97</v>
      </c>
      <c r="DM176" s="228">
        <v>41.16</v>
      </c>
      <c r="DN176" s="228">
        <v>36.979999999999997</v>
      </c>
      <c r="DO176" s="228">
        <v>4.18</v>
      </c>
      <c r="DP176" s="228">
        <v>4.18</v>
      </c>
      <c r="DQ176" s="228">
        <v>0.91</v>
      </c>
      <c r="DR176" s="228">
        <v>0.92</v>
      </c>
      <c r="DS176" s="228">
        <v>-0.01</v>
      </c>
      <c r="DT176" s="229">
        <v>-1.09E-2</v>
      </c>
      <c r="DU176" s="228">
        <v>400</v>
      </c>
      <c r="DV176" s="228">
        <v>330</v>
      </c>
      <c r="DW176" s="228">
        <v>0.57999999999999996</v>
      </c>
      <c r="DX176" s="228">
        <v>0.59</v>
      </c>
      <c r="DY176" s="228">
        <v>-0.01</v>
      </c>
      <c r="DZ176" s="229">
        <v>-1.6899999999999998E-2</v>
      </c>
      <c r="EA176" s="229">
        <v>0.182</v>
      </c>
      <c r="EB176" s="230">
        <v>8705200</v>
      </c>
      <c r="EC176" s="229">
        <v>3.7000000000000002E-3</v>
      </c>
      <c r="ED176" s="229">
        <v>0.182</v>
      </c>
      <c r="EE176" s="228">
        <v>4.08</v>
      </c>
      <c r="EF176" s="229">
        <v>1.0699999999999999E-2</v>
      </c>
      <c r="EG176" s="230">
        <v>6320988</v>
      </c>
      <c r="EH176" s="230">
        <v>7778504</v>
      </c>
      <c r="EI176" s="229">
        <v>-0.18740000000000001</v>
      </c>
      <c r="EJ176" s="229">
        <v>0.47620000000000001</v>
      </c>
      <c r="EK176" s="231">
        <v>2364.23</v>
      </c>
      <c r="EL176" s="231">
        <v>1253.73</v>
      </c>
      <c r="EM176" s="228">
        <v>709.4</v>
      </c>
      <c r="EN176" s="228">
        <v>85.34</v>
      </c>
      <c r="EO176" s="231">
        <v>4327.3599999999997</v>
      </c>
      <c r="EP176" s="231">
        <v>3857.08</v>
      </c>
      <c r="EQ176" s="228">
        <v>470.28</v>
      </c>
      <c r="ER176" s="229">
        <v>0.12189999999999999</v>
      </c>
      <c r="ES176" s="231">
        <v>1029.7</v>
      </c>
      <c r="ET176" s="228">
        <v>877.46</v>
      </c>
      <c r="EU176" s="231">
        <v>2539.16</v>
      </c>
      <c r="EV176" s="231">
        <v>187084550</v>
      </c>
      <c r="EW176" s="231">
        <v>4446.33</v>
      </c>
      <c r="EX176" s="231">
        <v>4356.63</v>
      </c>
      <c r="EY176" s="228">
        <v>89.7</v>
      </c>
      <c r="EZ176" s="229">
        <v>2.06E-2</v>
      </c>
      <c r="FA176" s="229">
        <v>0.64229999999999998</v>
      </c>
      <c r="FB176" s="227" t="s">
        <v>693</v>
      </c>
      <c r="FC176">
        <f t="shared" si="3"/>
        <v>0</v>
      </c>
    </row>
    <row r="177" spans="1:159" ht="17.25" thickBot="1" x14ac:dyDescent="0.3">
      <c r="A177" s="226">
        <v>46132</v>
      </c>
      <c r="B177" s="227" t="s">
        <v>193</v>
      </c>
      <c r="C177" s="227" t="s">
        <v>281</v>
      </c>
      <c r="D177" s="228">
        <v>500</v>
      </c>
      <c r="E177" s="228">
        <v>8</v>
      </c>
      <c r="F177" s="231">
        <v>1362.4</v>
      </c>
      <c r="G177" s="231">
        <v>1366.3</v>
      </c>
      <c r="H177" s="228">
        <v>-3.9</v>
      </c>
      <c r="I177" s="229">
        <v>-2.8999999999999998E-3</v>
      </c>
      <c r="J177" s="231">
        <v>1363.3</v>
      </c>
      <c r="K177" s="231">
        <v>1365</v>
      </c>
      <c r="L177" s="228">
        <v>-1.7</v>
      </c>
      <c r="M177" s="229">
        <v>-1.1999999999999999E-3</v>
      </c>
      <c r="N177" s="231">
        <v>1362.4</v>
      </c>
      <c r="O177" s="231">
        <v>1366.3</v>
      </c>
      <c r="P177" s="228">
        <v>-3.9</v>
      </c>
      <c r="Q177" s="229">
        <v>-2.8999999999999998E-3</v>
      </c>
      <c r="R177" s="231">
        <v>1370.2</v>
      </c>
      <c r="S177" s="231">
        <v>1373.6</v>
      </c>
      <c r="T177" s="228">
        <v>-3.4</v>
      </c>
      <c r="U177" s="229">
        <v>-2.5000000000000001E-3</v>
      </c>
      <c r="V177" s="231">
        <v>1378.5</v>
      </c>
      <c r="W177" s="231">
        <v>1383.2</v>
      </c>
      <c r="X177" s="228">
        <v>-4.7</v>
      </c>
      <c r="Y177" s="229">
        <v>-3.3999999999999998E-3</v>
      </c>
      <c r="Z177" s="228">
        <v>-0.9</v>
      </c>
      <c r="AA177" s="228">
        <v>1.3</v>
      </c>
      <c r="AB177" s="228">
        <v>-2.2000000000000002</v>
      </c>
      <c r="AC177" s="229">
        <v>-6.9999999999999999E-4</v>
      </c>
      <c r="AD177" s="228">
        <v>-0.9</v>
      </c>
      <c r="AE177" s="228">
        <v>1.3</v>
      </c>
      <c r="AF177" s="228">
        <v>-2.2000000000000002</v>
      </c>
      <c r="AG177" s="229">
        <v>-6.9999999999999999E-4</v>
      </c>
      <c r="AH177" s="228">
        <v>6.9</v>
      </c>
      <c r="AI177" s="228">
        <v>8.6</v>
      </c>
      <c r="AJ177" s="228">
        <v>-1.7</v>
      </c>
      <c r="AK177" s="229">
        <v>5.1000000000000004E-3</v>
      </c>
      <c r="AL177" s="228">
        <v>15.2</v>
      </c>
      <c r="AM177" s="228">
        <v>18.2</v>
      </c>
      <c r="AN177" s="228">
        <v>-3</v>
      </c>
      <c r="AO177" s="229">
        <v>1.11E-2</v>
      </c>
      <c r="AP177" s="231">
        <v>1365.65</v>
      </c>
      <c r="AQ177" s="231">
        <v>1373.47</v>
      </c>
      <c r="AR177" s="228">
        <v>0</v>
      </c>
      <c r="AS177" s="230">
        <v>1822</v>
      </c>
      <c r="AT177" s="230">
        <v>1819</v>
      </c>
      <c r="AU177" s="228">
        <v>3</v>
      </c>
      <c r="AV177" s="229">
        <v>1.6999999999999999E-3</v>
      </c>
      <c r="AW177" s="230">
        <v>1419</v>
      </c>
      <c r="AX177" s="230">
        <v>1465</v>
      </c>
      <c r="AY177" s="228">
        <v>-46</v>
      </c>
      <c r="AZ177" s="229">
        <v>-3.1099999999999999E-2</v>
      </c>
      <c r="BA177" s="228">
        <v>347</v>
      </c>
      <c r="BB177" s="228">
        <v>232</v>
      </c>
      <c r="BC177" s="228">
        <v>115</v>
      </c>
      <c r="BD177" s="229">
        <v>0.49359999999999998</v>
      </c>
      <c r="BE177" s="228">
        <v>55</v>
      </c>
      <c r="BF177" s="228">
        <v>121</v>
      </c>
      <c r="BG177" s="228">
        <v>-66</v>
      </c>
      <c r="BH177" s="229">
        <v>-0.54579999999999995</v>
      </c>
      <c r="BI177" s="230">
        <v>9731</v>
      </c>
      <c r="BJ177" s="230">
        <v>14045</v>
      </c>
      <c r="BK177" s="230">
        <v>-4314</v>
      </c>
      <c r="BL177" s="229">
        <v>-0.30719999999999997</v>
      </c>
      <c r="BM177" s="230">
        <v>5166</v>
      </c>
      <c r="BN177" s="230">
        <v>6753</v>
      </c>
      <c r="BO177" s="230">
        <v>-1588</v>
      </c>
      <c r="BP177" s="229">
        <v>-0.2351</v>
      </c>
      <c r="BQ177" s="230">
        <v>16718</v>
      </c>
      <c r="BR177" s="230">
        <v>22617</v>
      </c>
      <c r="BS177" s="230">
        <v>-5899</v>
      </c>
      <c r="BT177" s="229">
        <v>-0.26079999999999998</v>
      </c>
      <c r="BU177" s="230">
        <v>14223567</v>
      </c>
      <c r="BV177" s="230">
        <v>15236906</v>
      </c>
      <c r="BW177" s="230">
        <v>-1013339</v>
      </c>
      <c r="BX177" s="229">
        <v>-6.6500000000000004E-2</v>
      </c>
      <c r="BY177" s="230">
        <v>13025</v>
      </c>
      <c r="BZ177" s="230">
        <v>13114</v>
      </c>
      <c r="CA177" s="228">
        <v>-89</v>
      </c>
      <c r="CB177" s="229">
        <v>-6.7999999999999996E-3</v>
      </c>
      <c r="CC177" s="230">
        <v>10088</v>
      </c>
      <c r="CD177" s="230">
        <v>10380</v>
      </c>
      <c r="CE177" s="228">
        <v>-292</v>
      </c>
      <c r="CF177" s="229">
        <v>-2.8199999999999999E-2</v>
      </c>
      <c r="CG177" s="230">
        <v>2309</v>
      </c>
      <c r="CH177" s="230">
        <v>2135</v>
      </c>
      <c r="CI177" s="228">
        <v>174</v>
      </c>
      <c r="CJ177" s="229">
        <v>8.1699999999999995E-2</v>
      </c>
      <c r="CK177" s="228">
        <v>628</v>
      </c>
      <c r="CL177" s="228">
        <v>599</v>
      </c>
      <c r="CM177" s="228">
        <v>28</v>
      </c>
      <c r="CN177" s="229">
        <v>4.7500000000000001E-2</v>
      </c>
      <c r="CO177" s="230">
        <v>10670</v>
      </c>
      <c r="CP177" s="230">
        <v>10865</v>
      </c>
      <c r="CQ177" s="228">
        <v>-195</v>
      </c>
      <c r="CR177" s="229">
        <v>-1.7999999999999999E-2</v>
      </c>
      <c r="CS177" s="230">
        <v>5209</v>
      </c>
      <c r="CT177" s="230">
        <v>5254</v>
      </c>
      <c r="CU177" s="228">
        <v>-45</v>
      </c>
      <c r="CV177" s="229">
        <v>-8.6E-3</v>
      </c>
      <c r="CW177" s="230">
        <v>28903</v>
      </c>
      <c r="CX177" s="230">
        <v>29233</v>
      </c>
      <c r="CY177" s="228">
        <v>-330</v>
      </c>
      <c r="CZ177" s="229">
        <v>-1.1299999999999999E-2</v>
      </c>
      <c r="DA177" s="228">
        <v>26.76</v>
      </c>
      <c r="DB177" s="228">
        <v>23.58</v>
      </c>
      <c r="DC177" s="228">
        <v>3.18</v>
      </c>
      <c r="DD177" s="228">
        <v>3.18</v>
      </c>
      <c r="DE177" s="228">
        <v>26.4</v>
      </c>
      <c r="DF177" s="228">
        <v>26.47</v>
      </c>
      <c r="DG177" s="228">
        <v>0.36</v>
      </c>
      <c r="DH177" s="228">
        <v>-7.0000000000000007E-2</v>
      </c>
      <c r="DI177" s="228">
        <v>26.68</v>
      </c>
      <c r="DJ177" s="228">
        <v>23.11</v>
      </c>
      <c r="DK177" s="228">
        <v>3.57</v>
      </c>
      <c r="DL177" s="228">
        <v>3.57</v>
      </c>
      <c r="DM177" s="228">
        <v>26.92</v>
      </c>
      <c r="DN177" s="228">
        <v>24.53</v>
      </c>
      <c r="DO177" s="228">
        <v>2.39</v>
      </c>
      <c r="DP177" s="228">
        <v>2.39</v>
      </c>
      <c r="DQ177" s="228">
        <v>0.49</v>
      </c>
      <c r="DR177" s="228">
        <v>0.48</v>
      </c>
      <c r="DS177" s="228">
        <v>0.01</v>
      </c>
      <c r="DT177" s="229">
        <v>2.0799999999999999E-2</v>
      </c>
      <c r="DU177" s="231">
        <v>1400</v>
      </c>
      <c r="DV177" s="231">
        <v>1300</v>
      </c>
      <c r="DW177" s="228">
        <v>0.53</v>
      </c>
      <c r="DX177" s="228">
        <v>0.48</v>
      </c>
      <c r="DY177" s="228">
        <v>0.05</v>
      </c>
      <c r="DZ177" s="229">
        <v>0.1042</v>
      </c>
      <c r="EA177" s="229">
        <v>0.22550000000000001</v>
      </c>
      <c r="EB177" s="230">
        <v>20066000</v>
      </c>
      <c r="EC177" s="229">
        <v>5.7000000000000002E-3</v>
      </c>
      <c r="ED177" s="229">
        <v>0.22550000000000001</v>
      </c>
      <c r="EE177" s="228">
        <v>7.82</v>
      </c>
      <c r="EF177" s="229">
        <v>5.7000000000000002E-3</v>
      </c>
      <c r="EG177" s="230">
        <v>6287233</v>
      </c>
      <c r="EH177" s="230">
        <v>7056605</v>
      </c>
      <c r="EI177" s="229">
        <v>-0.109</v>
      </c>
      <c r="EJ177" s="229">
        <v>0.442</v>
      </c>
      <c r="EK177" s="231">
        <v>10095.44</v>
      </c>
      <c r="EL177" s="231">
        <v>5131.71</v>
      </c>
      <c r="EM177" s="231">
        <v>1828.66</v>
      </c>
      <c r="EN177" s="228">
        <v>270.77999999999997</v>
      </c>
      <c r="EO177" s="231">
        <v>17055.810000000001</v>
      </c>
      <c r="EP177" s="231">
        <v>22975.38</v>
      </c>
      <c r="EQ177" s="231">
        <v>-5919.58</v>
      </c>
      <c r="ER177" s="229">
        <v>-0.2576</v>
      </c>
      <c r="ES177" s="231">
        <v>10996.34</v>
      </c>
      <c r="ET177" s="231">
        <v>5137.75</v>
      </c>
      <c r="EU177" s="231">
        <v>13045.32</v>
      </c>
      <c r="EV177" s="231">
        <v>664381721</v>
      </c>
      <c r="EW177" s="231">
        <v>29179.4</v>
      </c>
      <c r="EX177" s="231">
        <v>29534.959999999999</v>
      </c>
      <c r="EY177" s="228">
        <v>-355.56</v>
      </c>
      <c r="EZ177" s="229">
        <v>-1.2E-2</v>
      </c>
      <c r="FA177" s="229">
        <v>0.31929999999999997</v>
      </c>
      <c r="FB177" s="227" t="s">
        <v>567</v>
      </c>
      <c r="FC177">
        <f t="shared" si="3"/>
        <v>0</v>
      </c>
    </row>
    <row r="178" spans="1:159" ht="17.25" thickBot="1" x14ac:dyDescent="0.3">
      <c r="A178" s="226">
        <v>46132</v>
      </c>
      <c r="B178" s="227" t="s">
        <v>215</v>
      </c>
      <c r="C178" s="227" t="s">
        <v>673</v>
      </c>
      <c r="D178" s="228">
        <v>1525</v>
      </c>
      <c r="E178" s="228">
        <v>8</v>
      </c>
      <c r="F178" s="228">
        <v>294.82</v>
      </c>
      <c r="G178" s="228">
        <v>299.66000000000003</v>
      </c>
      <c r="H178" s="228">
        <v>-4.84</v>
      </c>
      <c r="I178" s="229">
        <v>-1.6199999999999999E-2</v>
      </c>
      <c r="J178" s="228">
        <v>296.33</v>
      </c>
      <c r="K178" s="228">
        <v>303.06</v>
      </c>
      <c r="L178" s="228">
        <v>-6.73</v>
      </c>
      <c r="M178" s="229">
        <v>-2.2200000000000001E-2</v>
      </c>
      <c r="N178" s="228">
        <v>294.82</v>
      </c>
      <c r="O178" s="228">
        <v>299.66000000000003</v>
      </c>
      <c r="P178" s="228">
        <v>-4.84</v>
      </c>
      <c r="Q178" s="229">
        <v>-1.6199999999999999E-2</v>
      </c>
      <c r="R178" s="228">
        <v>280.5</v>
      </c>
      <c r="S178" s="228">
        <v>285.35000000000002</v>
      </c>
      <c r="T178" s="228">
        <v>-4.8499999999999996</v>
      </c>
      <c r="U178" s="229">
        <v>-1.7000000000000001E-2</v>
      </c>
      <c r="V178" s="228">
        <v>273.31</v>
      </c>
      <c r="W178" s="228">
        <v>278.02999999999997</v>
      </c>
      <c r="X178" s="228">
        <v>-4.72</v>
      </c>
      <c r="Y178" s="229">
        <v>-1.7000000000000001E-2</v>
      </c>
      <c r="Z178" s="228">
        <v>-1.51</v>
      </c>
      <c r="AA178" s="228">
        <v>-3.4</v>
      </c>
      <c r="AB178" s="228">
        <v>1.89</v>
      </c>
      <c r="AC178" s="229">
        <v>-5.1000000000000004E-3</v>
      </c>
      <c r="AD178" s="228">
        <v>-1.51</v>
      </c>
      <c r="AE178" s="228">
        <v>-3.4</v>
      </c>
      <c r="AF178" s="228">
        <v>1.89</v>
      </c>
      <c r="AG178" s="229">
        <v>-5.1000000000000004E-3</v>
      </c>
      <c r="AH178" s="228">
        <v>-15.83</v>
      </c>
      <c r="AI178" s="228">
        <v>-17.71</v>
      </c>
      <c r="AJ178" s="228">
        <v>1.88</v>
      </c>
      <c r="AK178" s="229">
        <v>-5.3400000000000003E-2</v>
      </c>
      <c r="AL178" s="228">
        <v>-23.02</v>
      </c>
      <c r="AM178" s="228">
        <v>-25.03</v>
      </c>
      <c r="AN178" s="228">
        <v>2.0099999999999998</v>
      </c>
      <c r="AO178" s="229">
        <v>-7.7700000000000005E-2</v>
      </c>
      <c r="AP178" s="228">
        <v>296.74</v>
      </c>
      <c r="AQ178" s="228">
        <v>282.49</v>
      </c>
      <c r="AR178" s="228">
        <v>0</v>
      </c>
      <c r="AS178" s="228">
        <v>326</v>
      </c>
      <c r="AT178" s="228">
        <v>802</v>
      </c>
      <c r="AU178" s="228">
        <v>-476</v>
      </c>
      <c r="AV178" s="229">
        <v>-0.59340000000000004</v>
      </c>
      <c r="AW178" s="228">
        <v>199</v>
      </c>
      <c r="AX178" s="228">
        <v>529</v>
      </c>
      <c r="AY178" s="228">
        <v>-330</v>
      </c>
      <c r="AZ178" s="229">
        <v>-0.62370000000000003</v>
      </c>
      <c r="BA178" s="228">
        <v>118</v>
      </c>
      <c r="BB178" s="228">
        <v>239</v>
      </c>
      <c r="BC178" s="228">
        <v>-121</v>
      </c>
      <c r="BD178" s="229">
        <v>-0.5071</v>
      </c>
      <c r="BE178" s="228">
        <v>9</v>
      </c>
      <c r="BF178" s="228">
        <v>34</v>
      </c>
      <c r="BG178" s="228">
        <v>-25</v>
      </c>
      <c r="BH178" s="229">
        <v>-0.72699999999999998</v>
      </c>
      <c r="BI178" s="228">
        <v>699</v>
      </c>
      <c r="BJ178" s="230">
        <v>3475</v>
      </c>
      <c r="BK178" s="230">
        <v>-2776</v>
      </c>
      <c r="BL178" s="229">
        <v>-0.79879999999999995</v>
      </c>
      <c r="BM178" s="228">
        <v>316</v>
      </c>
      <c r="BN178" s="230">
        <v>1049</v>
      </c>
      <c r="BO178" s="228">
        <v>-733</v>
      </c>
      <c r="BP178" s="229">
        <v>-0.69899999999999995</v>
      </c>
      <c r="BQ178" s="230">
        <v>1341</v>
      </c>
      <c r="BR178" s="230">
        <v>5326</v>
      </c>
      <c r="BS178" s="230">
        <v>-3985</v>
      </c>
      <c r="BT178" s="229">
        <v>-0.74819999999999998</v>
      </c>
      <c r="BU178" s="230">
        <v>8227699</v>
      </c>
      <c r="BV178" s="230">
        <v>40222724</v>
      </c>
      <c r="BW178" s="230">
        <v>-31995025</v>
      </c>
      <c r="BX178" s="229">
        <v>-0.7954</v>
      </c>
      <c r="BY178" s="230">
        <v>2005</v>
      </c>
      <c r="BZ178" s="230">
        <v>1939</v>
      </c>
      <c r="CA178" s="228">
        <v>66</v>
      </c>
      <c r="CB178" s="229">
        <v>3.4099999999999998E-2</v>
      </c>
      <c r="CC178" s="230">
        <v>1480</v>
      </c>
      <c r="CD178" s="230">
        <v>1471</v>
      </c>
      <c r="CE178" s="228">
        <v>9</v>
      </c>
      <c r="CF178" s="229">
        <v>6.0000000000000001E-3</v>
      </c>
      <c r="CG178" s="228">
        <v>464</v>
      </c>
      <c r="CH178" s="228">
        <v>410</v>
      </c>
      <c r="CI178" s="228">
        <v>54</v>
      </c>
      <c r="CJ178" s="229">
        <v>0.1328</v>
      </c>
      <c r="CK178" s="228">
        <v>61</v>
      </c>
      <c r="CL178" s="228">
        <v>58</v>
      </c>
      <c r="CM178" s="228">
        <v>3</v>
      </c>
      <c r="CN178" s="229">
        <v>4.9700000000000001E-2</v>
      </c>
      <c r="CO178" s="228">
        <v>725</v>
      </c>
      <c r="CP178" s="228">
        <v>726</v>
      </c>
      <c r="CQ178" s="228">
        <v>-1</v>
      </c>
      <c r="CR178" s="229">
        <v>-6.9999999999999999E-4</v>
      </c>
      <c r="CS178" s="228">
        <v>477</v>
      </c>
      <c r="CT178" s="228">
        <v>480</v>
      </c>
      <c r="CU178" s="228">
        <v>-2</v>
      </c>
      <c r="CV178" s="229">
        <v>-4.7999999999999996E-3</v>
      </c>
      <c r="CW178" s="230">
        <v>3207</v>
      </c>
      <c r="CX178" s="230">
        <v>3144</v>
      </c>
      <c r="CY178" s="228">
        <v>63</v>
      </c>
      <c r="CZ178" s="229">
        <v>2.01E-2</v>
      </c>
      <c r="DA178" s="228">
        <v>50.87</v>
      </c>
      <c r="DB178" s="228">
        <v>45.66</v>
      </c>
      <c r="DC178" s="228">
        <v>5.21</v>
      </c>
      <c r="DD178" s="228">
        <v>5.21</v>
      </c>
      <c r="DE178" s="228">
        <v>58.28</v>
      </c>
      <c r="DF178" s="228">
        <v>58.38</v>
      </c>
      <c r="DG178" s="228">
        <v>-7.41</v>
      </c>
      <c r="DH178" s="228">
        <v>-0.1</v>
      </c>
      <c r="DI178" s="228">
        <v>50.14</v>
      </c>
      <c r="DJ178" s="228">
        <v>45.43</v>
      </c>
      <c r="DK178" s="228">
        <v>4.71</v>
      </c>
      <c r="DL178" s="228">
        <v>4.71</v>
      </c>
      <c r="DM178" s="228">
        <v>52.49</v>
      </c>
      <c r="DN178" s="228">
        <v>46.43</v>
      </c>
      <c r="DO178" s="228">
        <v>6.06</v>
      </c>
      <c r="DP178" s="228">
        <v>6.06</v>
      </c>
      <c r="DQ178" s="228">
        <v>0.66</v>
      </c>
      <c r="DR178" s="228">
        <v>0.66</v>
      </c>
      <c r="DS178" s="228">
        <v>0</v>
      </c>
      <c r="DT178" s="229">
        <v>0</v>
      </c>
      <c r="DU178" s="228">
        <v>300</v>
      </c>
      <c r="DV178" s="228">
        <v>280</v>
      </c>
      <c r="DW178" s="228">
        <v>0.45</v>
      </c>
      <c r="DX178" s="228">
        <v>0.3</v>
      </c>
      <c r="DY178" s="228">
        <v>0.15</v>
      </c>
      <c r="DZ178" s="229">
        <v>0.5</v>
      </c>
      <c r="EA178" s="229">
        <v>0.26200000000000001</v>
      </c>
      <c r="EB178" s="230">
        <v>15870675</v>
      </c>
      <c r="EC178" s="229">
        <v>-4.8599999999999997E-2</v>
      </c>
      <c r="ED178" s="229">
        <v>0.26200000000000001</v>
      </c>
      <c r="EE178" s="228">
        <v>-14.25</v>
      </c>
      <c r="EF178" s="229">
        <v>-4.8000000000000001E-2</v>
      </c>
      <c r="EG178" s="230">
        <v>2392843</v>
      </c>
      <c r="EH178" s="230">
        <v>5972143</v>
      </c>
      <c r="EI178" s="229">
        <v>-0.59930000000000005</v>
      </c>
      <c r="EJ178" s="229">
        <v>0.2908</v>
      </c>
      <c r="EK178" s="228">
        <v>751.66</v>
      </c>
      <c r="EL178" s="228">
        <v>308.33</v>
      </c>
      <c r="EM178" s="228">
        <v>321.66000000000003</v>
      </c>
      <c r="EN178" s="228">
        <v>111.38</v>
      </c>
      <c r="EO178" s="231">
        <v>1381.64</v>
      </c>
      <c r="EP178" s="231">
        <v>5597.68</v>
      </c>
      <c r="EQ178" s="231">
        <v>-4216.04</v>
      </c>
      <c r="ER178" s="229">
        <v>-0.75319999999999998</v>
      </c>
      <c r="ES178" s="228">
        <v>749.64</v>
      </c>
      <c r="ET178" s="228">
        <v>446.08</v>
      </c>
      <c r="EU178" s="231">
        <v>1977.82</v>
      </c>
      <c r="EV178" s="231">
        <v>84941460</v>
      </c>
      <c r="EW178" s="231">
        <v>3173.54</v>
      </c>
      <c r="EX178" s="231">
        <v>3144.74</v>
      </c>
      <c r="EY178" s="228">
        <v>28.8</v>
      </c>
      <c r="EZ178" s="229">
        <v>9.1999999999999998E-3</v>
      </c>
      <c r="FA178" s="229">
        <v>1.2807999999999999</v>
      </c>
      <c r="FB178" s="227" t="s">
        <v>566</v>
      </c>
      <c r="FC178">
        <f t="shared" si="3"/>
        <v>0</v>
      </c>
    </row>
    <row r="179" spans="1:159" ht="17.25" thickBot="1" x14ac:dyDescent="0.3">
      <c r="A179" s="226">
        <v>46132</v>
      </c>
      <c r="B179" s="227" t="s">
        <v>227</v>
      </c>
      <c r="C179" s="227" t="s">
        <v>282</v>
      </c>
      <c r="D179" s="228">
        <v>4700</v>
      </c>
      <c r="E179" s="228">
        <v>8</v>
      </c>
      <c r="F179" s="228">
        <v>172.69</v>
      </c>
      <c r="G179" s="228">
        <v>173.23</v>
      </c>
      <c r="H179" s="228">
        <v>-0.54</v>
      </c>
      <c r="I179" s="229">
        <v>-3.0999999999999999E-3</v>
      </c>
      <c r="J179" s="228">
        <v>172.71</v>
      </c>
      <c r="K179" s="228">
        <v>173.33</v>
      </c>
      <c r="L179" s="228">
        <v>-0.62</v>
      </c>
      <c r="M179" s="229">
        <v>-3.5999999999999999E-3</v>
      </c>
      <c r="N179" s="228">
        <v>172.69</v>
      </c>
      <c r="O179" s="228">
        <v>173.23</v>
      </c>
      <c r="P179" s="228">
        <v>-0.54</v>
      </c>
      <c r="Q179" s="229">
        <v>-3.0999999999999999E-3</v>
      </c>
      <c r="R179" s="228">
        <v>172.5</v>
      </c>
      <c r="S179" s="228">
        <v>173.94</v>
      </c>
      <c r="T179" s="228">
        <v>-1.44</v>
      </c>
      <c r="U179" s="229">
        <v>-8.3000000000000001E-3</v>
      </c>
      <c r="V179" s="228">
        <v>173.12</v>
      </c>
      <c r="W179" s="228">
        <v>175.39</v>
      </c>
      <c r="X179" s="228">
        <v>-2.27</v>
      </c>
      <c r="Y179" s="229">
        <v>-1.29E-2</v>
      </c>
      <c r="Z179" s="228">
        <v>-0.02</v>
      </c>
      <c r="AA179" s="228">
        <v>-0.1</v>
      </c>
      <c r="AB179" s="228">
        <v>0.08</v>
      </c>
      <c r="AC179" s="229">
        <v>-1E-4</v>
      </c>
      <c r="AD179" s="228">
        <v>-0.02</v>
      </c>
      <c r="AE179" s="228">
        <v>-0.1</v>
      </c>
      <c r="AF179" s="228">
        <v>0.08</v>
      </c>
      <c r="AG179" s="229">
        <v>-1E-4</v>
      </c>
      <c r="AH179" s="228">
        <v>-0.21</v>
      </c>
      <c r="AI179" s="228">
        <v>0.61</v>
      </c>
      <c r="AJ179" s="228">
        <v>-0.82</v>
      </c>
      <c r="AK179" s="229">
        <v>-1.1999999999999999E-3</v>
      </c>
      <c r="AL179" s="228">
        <v>0.41</v>
      </c>
      <c r="AM179" s="228">
        <v>2.06</v>
      </c>
      <c r="AN179" s="228">
        <v>-1.65</v>
      </c>
      <c r="AO179" s="229">
        <v>2.3999999999999998E-3</v>
      </c>
      <c r="AP179" s="228">
        <v>172.55</v>
      </c>
      <c r="AQ179" s="228">
        <v>172.72</v>
      </c>
      <c r="AR179" s="228">
        <v>0</v>
      </c>
      <c r="AS179" s="228">
        <v>34</v>
      </c>
      <c r="AT179" s="228">
        <v>40</v>
      </c>
      <c r="AU179" s="228">
        <v>-6</v>
      </c>
      <c r="AV179" s="229">
        <v>-0.14960000000000001</v>
      </c>
      <c r="AW179" s="228">
        <v>24</v>
      </c>
      <c r="AX179" s="228">
        <v>32</v>
      </c>
      <c r="AY179" s="228">
        <v>-8</v>
      </c>
      <c r="AZ179" s="229">
        <v>-0.25130000000000002</v>
      </c>
      <c r="BA179" s="228">
        <v>9</v>
      </c>
      <c r="BB179" s="228">
        <v>8</v>
      </c>
      <c r="BC179" s="228">
        <v>1</v>
      </c>
      <c r="BD179" s="229">
        <v>0.15049999999999999</v>
      </c>
      <c r="BE179" s="228">
        <v>1</v>
      </c>
      <c r="BF179" s="228">
        <v>0</v>
      </c>
      <c r="BG179" s="228">
        <v>1</v>
      </c>
      <c r="BH179" s="229">
        <v>12</v>
      </c>
      <c r="BI179" s="228">
        <v>3</v>
      </c>
      <c r="BJ179" s="228">
        <v>10</v>
      </c>
      <c r="BK179" s="228">
        <v>-6</v>
      </c>
      <c r="BL179" s="229">
        <v>-0.64710000000000001</v>
      </c>
      <c r="BM179" s="228">
        <v>13</v>
      </c>
      <c r="BN179" s="228">
        <v>5</v>
      </c>
      <c r="BO179" s="228">
        <v>8</v>
      </c>
      <c r="BP179" s="229">
        <v>1.4762</v>
      </c>
      <c r="BQ179" s="228">
        <v>50</v>
      </c>
      <c r="BR179" s="228">
        <v>54</v>
      </c>
      <c r="BS179" s="228">
        <v>-5</v>
      </c>
      <c r="BT179" s="229">
        <v>-8.5099999999999995E-2</v>
      </c>
      <c r="BU179" s="230">
        <v>19095492</v>
      </c>
      <c r="BV179" s="230">
        <v>26783817</v>
      </c>
      <c r="BW179" s="230">
        <v>-7688325</v>
      </c>
      <c r="BX179" s="229">
        <v>-0.28710000000000002</v>
      </c>
      <c r="BY179" s="230">
        <v>3449</v>
      </c>
      <c r="BZ179" s="230">
        <v>3472</v>
      </c>
      <c r="CA179" s="228">
        <v>-23</v>
      </c>
      <c r="CB179" s="229">
        <v>-6.7000000000000002E-3</v>
      </c>
      <c r="CC179" s="230">
        <v>2834</v>
      </c>
      <c r="CD179" s="230">
        <v>2851</v>
      </c>
      <c r="CE179" s="228">
        <v>-17</v>
      </c>
      <c r="CF179" s="229">
        <v>-5.8999999999999999E-3</v>
      </c>
      <c r="CG179" s="228">
        <v>609</v>
      </c>
      <c r="CH179" s="228">
        <v>615</v>
      </c>
      <c r="CI179" s="228">
        <v>-6</v>
      </c>
      <c r="CJ179" s="229">
        <v>-9.1999999999999998E-3</v>
      </c>
      <c r="CK179" s="228">
        <v>5</v>
      </c>
      <c r="CL179" s="228">
        <v>6</v>
      </c>
      <c r="CM179" s="228">
        <v>-1</v>
      </c>
      <c r="CN179" s="229">
        <v>-0.13700000000000001</v>
      </c>
      <c r="CO179" s="228">
        <v>182</v>
      </c>
      <c r="CP179" s="228">
        <v>184</v>
      </c>
      <c r="CQ179" s="228">
        <v>-1</v>
      </c>
      <c r="CR179" s="229">
        <v>-6.6E-3</v>
      </c>
      <c r="CS179" s="228">
        <v>135</v>
      </c>
      <c r="CT179" s="228">
        <v>137</v>
      </c>
      <c r="CU179" s="228">
        <v>-1</v>
      </c>
      <c r="CV179" s="229">
        <v>-9.4999999999999998E-3</v>
      </c>
      <c r="CW179" s="230">
        <v>3766</v>
      </c>
      <c r="CX179" s="230">
        <v>3792</v>
      </c>
      <c r="CY179" s="228">
        <v>-26</v>
      </c>
      <c r="CZ179" s="229">
        <v>-6.7999999999999996E-3</v>
      </c>
      <c r="DA179" s="228">
        <v>52.61</v>
      </c>
      <c r="DB179" s="228">
        <v>37.69</v>
      </c>
      <c r="DC179" s="228">
        <v>14.92</v>
      </c>
      <c r="DD179" s="228">
        <v>14.92</v>
      </c>
      <c r="DE179" s="228">
        <v>44.49</v>
      </c>
      <c r="DF179" s="228">
        <v>44.6</v>
      </c>
      <c r="DG179" s="228">
        <v>8.1199999999999992</v>
      </c>
      <c r="DH179" s="228">
        <v>-0.11</v>
      </c>
      <c r="DI179" s="228">
        <v>39.659999999999997</v>
      </c>
      <c r="DJ179" s="228">
        <v>35.229999999999997</v>
      </c>
      <c r="DK179" s="228">
        <v>4.43</v>
      </c>
      <c r="DL179" s="228">
        <v>4.43</v>
      </c>
      <c r="DM179" s="228">
        <v>56.1</v>
      </c>
      <c r="DN179" s="228">
        <v>42.32</v>
      </c>
      <c r="DO179" s="228">
        <v>13.78</v>
      </c>
      <c r="DP179" s="228">
        <v>13.78</v>
      </c>
      <c r="DQ179" s="228">
        <v>0.74</v>
      </c>
      <c r="DR179" s="228">
        <v>0.74</v>
      </c>
      <c r="DS179" s="228">
        <v>0</v>
      </c>
      <c r="DT179" s="229">
        <v>0</v>
      </c>
      <c r="DU179" s="228">
        <v>170</v>
      </c>
      <c r="DV179" s="228">
        <v>160</v>
      </c>
      <c r="DW179" s="228">
        <v>3.71</v>
      </c>
      <c r="DX179" s="228">
        <v>0.53</v>
      </c>
      <c r="DY179" s="228">
        <v>3.18</v>
      </c>
      <c r="DZ179" s="229">
        <v>6</v>
      </c>
      <c r="EA179" s="229">
        <v>0.17810000000000001</v>
      </c>
      <c r="EB179" s="230">
        <v>35936200</v>
      </c>
      <c r="EC179" s="229">
        <v>-1.1000000000000001E-3</v>
      </c>
      <c r="ED179" s="229">
        <v>0.17810000000000001</v>
      </c>
      <c r="EE179" s="228">
        <v>0.17</v>
      </c>
      <c r="EF179" s="229">
        <v>1E-3</v>
      </c>
      <c r="EG179" s="230">
        <v>8580393</v>
      </c>
      <c r="EH179" s="230">
        <v>11913679</v>
      </c>
      <c r="EI179" s="229">
        <v>-0.27979999999999999</v>
      </c>
      <c r="EJ179" s="229">
        <v>0.44929999999999998</v>
      </c>
      <c r="EK179" s="228">
        <v>3.45</v>
      </c>
      <c r="EL179" s="228">
        <v>11.32</v>
      </c>
      <c r="EM179" s="228">
        <v>33.67</v>
      </c>
      <c r="EN179" s="228">
        <v>5.15</v>
      </c>
      <c r="EO179" s="228">
        <v>48.44</v>
      </c>
      <c r="EP179" s="228">
        <v>54.09</v>
      </c>
      <c r="EQ179" s="228">
        <v>-5.64</v>
      </c>
      <c r="ER179" s="229">
        <v>-0.1043</v>
      </c>
      <c r="ES179" s="228">
        <v>175.51</v>
      </c>
      <c r="ET179" s="228">
        <v>120.18</v>
      </c>
      <c r="EU179" s="231">
        <v>3447.85</v>
      </c>
      <c r="EV179" s="231">
        <v>216861410</v>
      </c>
      <c r="EW179" s="231">
        <v>3743.55</v>
      </c>
      <c r="EX179" s="231">
        <v>3783.31</v>
      </c>
      <c r="EY179" s="228">
        <v>-39.76</v>
      </c>
      <c r="EZ179" s="229">
        <v>-1.0500000000000001E-2</v>
      </c>
      <c r="FA179" s="229">
        <v>1.0057</v>
      </c>
      <c r="FB179" s="227" t="s">
        <v>567</v>
      </c>
      <c r="FC179">
        <f t="shared" si="3"/>
        <v>0</v>
      </c>
    </row>
    <row r="180" spans="1:159" ht="17.25" thickBot="1" x14ac:dyDescent="0.3">
      <c r="A180" s="226">
        <v>46132</v>
      </c>
      <c r="B180" s="227" t="s">
        <v>175</v>
      </c>
      <c r="C180" s="227" t="s">
        <v>684</v>
      </c>
      <c r="D180" s="228">
        <v>4300</v>
      </c>
      <c r="E180" s="228">
        <v>8</v>
      </c>
      <c r="F180" s="228">
        <v>153.02000000000001</v>
      </c>
      <c r="G180" s="228">
        <v>154.51</v>
      </c>
      <c r="H180" s="228">
        <v>-1.49</v>
      </c>
      <c r="I180" s="229">
        <v>-9.5999999999999992E-3</v>
      </c>
      <c r="J180" s="228">
        <v>152.07</v>
      </c>
      <c r="K180" s="228">
        <v>154.53</v>
      </c>
      <c r="L180" s="228">
        <v>-2.46</v>
      </c>
      <c r="M180" s="229">
        <v>-1.5900000000000001E-2</v>
      </c>
      <c r="N180" s="228">
        <v>153.02000000000001</v>
      </c>
      <c r="O180" s="228">
        <v>154.51</v>
      </c>
      <c r="P180" s="228">
        <v>-1.49</v>
      </c>
      <c r="Q180" s="229">
        <v>-9.5999999999999992E-3</v>
      </c>
      <c r="R180" s="228">
        <v>153.91</v>
      </c>
      <c r="S180" s="228">
        <v>155.5</v>
      </c>
      <c r="T180" s="228">
        <v>-1.59</v>
      </c>
      <c r="U180" s="229">
        <v>-1.0200000000000001E-2</v>
      </c>
      <c r="V180" s="228">
        <v>155</v>
      </c>
      <c r="W180" s="228">
        <v>156</v>
      </c>
      <c r="X180" s="228">
        <v>-1</v>
      </c>
      <c r="Y180" s="229">
        <v>-6.4000000000000003E-3</v>
      </c>
      <c r="Z180" s="228">
        <v>0.95</v>
      </c>
      <c r="AA180" s="228">
        <v>-0.02</v>
      </c>
      <c r="AB180" s="228">
        <v>0.97</v>
      </c>
      <c r="AC180" s="229">
        <v>6.1999999999999998E-3</v>
      </c>
      <c r="AD180" s="228">
        <v>0.95</v>
      </c>
      <c r="AE180" s="228">
        <v>-0.02</v>
      </c>
      <c r="AF180" s="228">
        <v>0.97</v>
      </c>
      <c r="AG180" s="229">
        <v>6.1999999999999998E-3</v>
      </c>
      <c r="AH180" s="228">
        <v>1.84</v>
      </c>
      <c r="AI180" s="228">
        <v>0.97</v>
      </c>
      <c r="AJ180" s="228">
        <v>0.87</v>
      </c>
      <c r="AK180" s="229">
        <v>1.21E-2</v>
      </c>
      <c r="AL180" s="228">
        <v>2.93</v>
      </c>
      <c r="AM180" s="228">
        <v>1.47</v>
      </c>
      <c r="AN180" s="228">
        <v>1.46</v>
      </c>
      <c r="AO180" s="229">
        <v>1.9300000000000001E-2</v>
      </c>
      <c r="AP180" s="228">
        <v>153.01</v>
      </c>
      <c r="AQ180" s="228">
        <v>153.84</v>
      </c>
      <c r="AR180" s="228">
        <v>0</v>
      </c>
      <c r="AS180" s="228">
        <v>33</v>
      </c>
      <c r="AT180" s="228">
        <v>28</v>
      </c>
      <c r="AU180" s="228">
        <v>5</v>
      </c>
      <c r="AV180" s="229">
        <v>0.1651</v>
      </c>
      <c r="AW180" s="228">
        <v>32</v>
      </c>
      <c r="AX180" s="228">
        <v>26</v>
      </c>
      <c r="AY180" s="228">
        <v>6</v>
      </c>
      <c r="AZ180" s="229">
        <v>0.23119999999999999</v>
      </c>
      <c r="BA180" s="228">
        <v>1</v>
      </c>
      <c r="BB180" s="228">
        <v>2</v>
      </c>
      <c r="BC180" s="228">
        <v>-1</v>
      </c>
      <c r="BD180" s="229">
        <v>-0.71430000000000005</v>
      </c>
      <c r="BE180" s="228">
        <v>0</v>
      </c>
      <c r="BF180" s="228">
        <v>0</v>
      </c>
      <c r="BG180" s="228">
        <v>0</v>
      </c>
      <c r="BH180" s="229">
        <v>-0.25</v>
      </c>
      <c r="BI180" s="228">
        <v>2</v>
      </c>
      <c r="BJ180" s="228">
        <v>3</v>
      </c>
      <c r="BK180" s="228">
        <v>0</v>
      </c>
      <c r="BL180" s="229">
        <v>-0.13159999999999999</v>
      </c>
      <c r="BM180" s="228">
        <v>1</v>
      </c>
      <c r="BN180" s="228">
        <v>2</v>
      </c>
      <c r="BO180" s="228">
        <v>-2</v>
      </c>
      <c r="BP180" s="229">
        <v>-0.67569999999999997</v>
      </c>
      <c r="BQ180" s="228">
        <v>36</v>
      </c>
      <c r="BR180" s="228">
        <v>33</v>
      </c>
      <c r="BS180" s="228">
        <v>3</v>
      </c>
      <c r="BT180" s="229">
        <v>8.1199999999999994E-2</v>
      </c>
      <c r="BU180" s="230">
        <v>10727665</v>
      </c>
      <c r="BV180" s="230">
        <v>8668918</v>
      </c>
      <c r="BW180" s="230">
        <v>2058747</v>
      </c>
      <c r="BX180" s="229">
        <v>0.23749999999999999</v>
      </c>
      <c r="BY180" s="230">
        <v>1488</v>
      </c>
      <c r="BZ180" s="230">
        <v>1505</v>
      </c>
      <c r="CA180" s="228">
        <v>-18</v>
      </c>
      <c r="CB180" s="229">
        <v>-1.17E-2</v>
      </c>
      <c r="CC180" s="230">
        <v>1425</v>
      </c>
      <c r="CD180" s="230">
        <v>1443</v>
      </c>
      <c r="CE180" s="228">
        <v>-18</v>
      </c>
      <c r="CF180" s="229">
        <v>-1.2500000000000001E-2</v>
      </c>
      <c r="CG180" s="228">
        <v>59</v>
      </c>
      <c r="CH180" s="228">
        <v>59</v>
      </c>
      <c r="CI180" s="228">
        <v>0</v>
      </c>
      <c r="CJ180" s="229">
        <v>4.4999999999999997E-3</v>
      </c>
      <c r="CK180" s="228">
        <v>3</v>
      </c>
      <c r="CL180" s="228">
        <v>3</v>
      </c>
      <c r="CM180" s="228">
        <v>0</v>
      </c>
      <c r="CN180" s="229">
        <v>3.9199999999999999E-2</v>
      </c>
      <c r="CO180" s="228">
        <v>267</v>
      </c>
      <c r="CP180" s="228">
        <v>268</v>
      </c>
      <c r="CQ180" s="228">
        <v>-1</v>
      </c>
      <c r="CR180" s="229">
        <v>-2.2000000000000001E-3</v>
      </c>
      <c r="CS180" s="228">
        <v>289</v>
      </c>
      <c r="CT180" s="228">
        <v>289</v>
      </c>
      <c r="CU180" s="228">
        <v>-1</v>
      </c>
      <c r="CV180" s="229">
        <v>-2E-3</v>
      </c>
      <c r="CW180" s="230">
        <v>2044</v>
      </c>
      <c r="CX180" s="230">
        <v>2062</v>
      </c>
      <c r="CY180" s="228">
        <v>-19</v>
      </c>
      <c r="CZ180" s="229">
        <v>-9.1000000000000004E-3</v>
      </c>
      <c r="DA180" s="228">
        <v>39.85</v>
      </c>
      <c r="DB180" s="228">
        <v>35.32</v>
      </c>
      <c r="DC180" s="228">
        <v>4.53</v>
      </c>
      <c r="DD180" s="228">
        <v>4.53</v>
      </c>
      <c r="DE180" s="228">
        <v>53.3</v>
      </c>
      <c r="DF180" s="228">
        <v>53.42</v>
      </c>
      <c r="DG180" s="228">
        <v>-13.45</v>
      </c>
      <c r="DH180" s="228">
        <v>-0.12</v>
      </c>
      <c r="DI180" s="228">
        <v>40.049999999999997</v>
      </c>
      <c r="DJ180" s="228">
        <v>33.26</v>
      </c>
      <c r="DK180" s="228">
        <v>6.79</v>
      </c>
      <c r="DL180" s="228">
        <v>6.79</v>
      </c>
      <c r="DM180" s="228">
        <v>39.29</v>
      </c>
      <c r="DN180" s="228">
        <v>37.44</v>
      </c>
      <c r="DO180" s="228">
        <v>1.85</v>
      </c>
      <c r="DP180" s="228">
        <v>1.85</v>
      </c>
      <c r="DQ180" s="228">
        <v>1.08</v>
      </c>
      <c r="DR180" s="228">
        <v>1.08</v>
      </c>
      <c r="DS180" s="228">
        <v>0</v>
      </c>
      <c r="DT180" s="229">
        <v>0</v>
      </c>
      <c r="DU180" s="228">
        <v>150</v>
      </c>
      <c r="DV180" s="228">
        <v>140</v>
      </c>
      <c r="DW180" s="228">
        <v>0.36</v>
      </c>
      <c r="DX180" s="228">
        <v>0.97</v>
      </c>
      <c r="DY180" s="228">
        <v>-0.61</v>
      </c>
      <c r="DZ180" s="229">
        <v>-0.62890000000000001</v>
      </c>
      <c r="EA180" s="229">
        <v>4.2200000000000001E-2</v>
      </c>
      <c r="EB180" s="230">
        <v>4080700</v>
      </c>
      <c r="EC180" s="229">
        <v>5.7999999999999996E-3</v>
      </c>
      <c r="ED180" s="229">
        <v>4.2200000000000001E-2</v>
      </c>
      <c r="EE180" s="228">
        <v>0.83</v>
      </c>
      <c r="EF180" s="229">
        <v>5.4000000000000003E-3</v>
      </c>
      <c r="EG180" s="230">
        <v>5502321</v>
      </c>
      <c r="EH180" s="230">
        <v>4554925</v>
      </c>
      <c r="EI180" s="229">
        <v>0.20799999999999999</v>
      </c>
      <c r="EJ180" s="229">
        <v>0.51290000000000002</v>
      </c>
      <c r="EK180" s="228">
        <v>2.2799999999999998</v>
      </c>
      <c r="EL180" s="228">
        <v>0.74</v>
      </c>
      <c r="EM180" s="228">
        <v>32.97</v>
      </c>
      <c r="EN180" s="228">
        <v>3.15</v>
      </c>
      <c r="EO180" s="228">
        <v>35.99</v>
      </c>
      <c r="EP180" s="228">
        <v>33.42</v>
      </c>
      <c r="EQ180" s="228">
        <v>2.57</v>
      </c>
      <c r="ER180" s="229">
        <v>7.6999999999999999E-2</v>
      </c>
      <c r="ES180" s="228">
        <v>272.05</v>
      </c>
      <c r="ET180" s="228">
        <v>266.17</v>
      </c>
      <c r="EU180" s="231">
        <v>1488.03</v>
      </c>
      <c r="EV180" s="231">
        <v>122372064</v>
      </c>
      <c r="EW180" s="231">
        <v>2026.25</v>
      </c>
      <c r="EX180" s="231">
        <v>2059.7399999999998</v>
      </c>
      <c r="EY180" s="228">
        <v>-33.49</v>
      </c>
      <c r="EZ180" s="229">
        <v>-1.6299999999999999E-2</v>
      </c>
      <c r="FA180" s="229">
        <v>1.0913999999999999</v>
      </c>
      <c r="FB180" s="227" t="s">
        <v>567</v>
      </c>
      <c r="FC180">
        <f t="shared" si="3"/>
        <v>0</v>
      </c>
    </row>
    <row r="181" spans="1:159" ht="17.25" thickBot="1" x14ac:dyDescent="0.3">
      <c r="A181" s="226">
        <v>46132</v>
      </c>
      <c r="B181" s="227" t="s">
        <v>175</v>
      </c>
      <c r="C181" s="227" t="s">
        <v>536</v>
      </c>
      <c r="D181" s="228">
        <v>800</v>
      </c>
      <c r="E181" s="228">
        <v>8</v>
      </c>
      <c r="F181" s="228">
        <v>671.3</v>
      </c>
      <c r="G181" s="228">
        <v>696.1</v>
      </c>
      <c r="H181" s="228">
        <v>-24.8</v>
      </c>
      <c r="I181" s="229">
        <v>-3.56E-2</v>
      </c>
      <c r="J181" s="228">
        <v>675.3</v>
      </c>
      <c r="K181" s="228">
        <v>695.2</v>
      </c>
      <c r="L181" s="228">
        <v>-19.899999999999999</v>
      </c>
      <c r="M181" s="229">
        <v>-2.86E-2</v>
      </c>
      <c r="N181" s="228">
        <v>671.3</v>
      </c>
      <c r="O181" s="228">
        <v>696.1</v>
      </c>
      <c r="P181" s="228">
        <v>-24.8</v>
      </c>
      <c r="Q181" s="229">
        <v>-3.56E-2</v>
      </c>
      <c r="R181" s="228">
        <v>651.15</v>
      </c>
      <c r="S181" s="228">
        <v>673.85</v>
      </c>
      <c r="T181" s="228">
        <v>-22.7</v>
      </c>
      <c r="U181" s="229">
        <v>-3.3700000000000001E-2</v>
      </c>
      <c r="V181" s="228">
        <v>643.45000000000005</v>
      </c>
      <c r="W181" s="228">
        <v>660.85</v>
      </c>
      <c r="X181" s="228">
        <v>-17.399999999999999</v>
      </c>
      <c r="Y181" s="229">
        <v>-2.63E-2</v>
      </c>
      <c r="Z181" s="228">
        <v>-4</v>
      </c>
      <c r="AA181" s="228">
        <v>0.9</v>
      </c>
      <c r="AB181" s="228">
        <v>-4.9000000000000004</v>
      </c>
      <c r="AC181" s="229">
        <v>-5.8999999999999999E-3</v>
      </c>
      <c r="AD181" s="228">
        <v>-4</v>
      </c>
      <c r="AE181" s="228">
        <v>0.9</v>
      </c>
      <c r="AF181" s="228">
        <v>-4.9000000000000004</v>
      </c>
      <c r="AG181" s="229">
        <v>-5.8999999999999999E-3</v>
      </c>
      <c r="AH181" s="228">
        <v>-24.15</v>
      </c>
      <c r="AI181" s="228">
        <v>-21.35</v>
      </c>
      <c r="AJ181" s="228">
        <v>-2.8</v>
      </c>
      <c r="AK181" s="229">
        <v>-3.5799999999999998E-2</v>
      </c>
      <c r="AL181" s="228">
        <v>-31.85</v>
      </c>
      <c r="AM181" s="228">
        <v>-34.35</v>
      </c>
      <c r="AN181" s="228">
        <v>2.5</v>
      </c>
      <c r="AO181" s="229">
        <v>-4.7199999999999999E-2</v>
      </c>
      <c r="AP181" s="228">
        <v>680.66</v>
      </c>
      <c r="AQ181" s="228">
        <v>661.25</v>
      </c>
      <c r="AR181" s="228">
        <v>0</v>
      </c>
      <c r="AS181" s="228">
        <v>603</v>
      </c>
      <c r="AT181" s="228">
        <v>304</v>
      </c>
      <c r="AU181" s="228">
        <v>299</v>
      </c>
      <c r="AV181" s="229">
        <v>0.98160000000000003</v>
      </c>
      <c r="AW181" s="228">
        <v>453</v>
      </c>
      <c r="AX181" s="228">
        <v>201</v>
      </c>
      <c r="AY181" s="228">
        <v>251</v>
      </c>
      <c r="AZ181" s="229">
        <v>1.2473000000000001</v>
      </c>
      <c r="BA181" s="228">
        <v>132</v>
      </c>
      <c r="BB181" s="228">
        <v>87</v>
      </c>
      <c r="BC181" s="228">
        <v>45</v>
      </c>
      <c r="BD181" s="229">
        <v>0.52200000000000002</v>
      </c>
      <c r="BE181" s="228">
        <v>18</v>
      </c>
      <c r="BF181" s="228">
        <v>16</v>
      </c>
      <c r="BG181" s="228">
        <v>2</v>
      </c>
      <c r="BH181" s="229">
        <v>0.12790000000000001</v>
      </c>
      <c r="BI181" s="228">
        <v>563</v>
      </c>
      <c r="BJ181" s="228">
        <v>333</v>
      </c>
      <c r="BK181" s="228">
        <v>230</v>
      </c>
      <c r="BL181" s="229">
        <v>0.69079999999999997</v>
      </c>
      <c r="BM181" s="228">
        <v>340</v>
      </c>
      <c r="BN181" s="228">
        <v>188</v>
      </c>
      <c r="BO181" s="228">
        <v>152</v>
      </c>
      <c r="BP181" s="229">
        <v>0.80549999999999999</v>
      </c>
      <c r="BQ181" s="230">
        <v>1506</v>
      </c>
      <c r="BR181" s="228">
        <v>825</v>
      </c>
      <c r="BS181" s="228">
        <v>680</v>
      </c>
      <c r="BT181" s="229">
        <v>0.82420000000000004</v>
      </c>
      <c r="BU181" s="230">
        <v>1122420</v>
      </c>
      <c r="BV181" s="230">
        <v>785495</v>
      </c>
      <c r="BW181" s="230">
        <v>336925</v>
      </c>
      <c r="BX181" s="229">
        <v>0.4289</v>
      </c>
      <c r="BY181" s="230">
        <v>2008</v>
      </c>
      <c r="BZ181" s="230">
        <v>1857</v>
      </c>
      <c r="CA181" s="228">
        <v>151</v>
      </c>
      <c r="CB181" s="229">
        <v>8.1199999999999994E-2</v>
      </c>
      <c r="CC181" s="230">
        <v>1638</v>
      </c>
      <c r="CD181" s="230">
        <v>1563</v>
      </c>
      <c r="CE181" s="228">
        <v>75</v>
      </c>
      <c r="CF181" s="229">
        <v>4.8099999999999997E-2</v>
      </c>
      <c r="CG181" s="228">
        <v>305</v>
      </c>
      <c r="CH181" s="228">
        <v>239</v>
      </c>
      <c r="CI181" s="228">
        <v>66</v>
      </c>
      <c r="CJ181" s="229">
        <v>0.27529999999999999</v>
      </c>
      <c r="CK181" s="228">
        <v>65</v>
      </c>
      <c r="CL181" s="228">
        <v>55</v>
      </c>
      <c r="CM181" s="228">
        <v>10</v>
      </c>
      <c r="CN181" s="229">
        <v>0.1774</v>
      </c>
      <c r="CO181" s="228">
        <v>561</v>
      </c>
      <c r="CP181" s="228">
        <v>514</v>
      </c>
      <c r="CQ181" s="228">
        <v>47</v>
      </c>
      <c r="CR181" s="229">
        <v>9.1200000000000003E-2</v>
      </c>
      <c r="CS181" s="228">
        <v>444</v>
      </c>
      <c r="CT181" s="228">
        <v>382</v>
      </c>
      <c r="CU181" s="228">
        <v>62</v>
      </c>
      <c r="CV181" s="229">
        <v>0.16220000000000001</v>
      </c>
      <c r="CW181" s="230">
        <v>3013</v>
      </c>
      <c r="CX181" s="230">
        <v>2753</v>
      </c>
      <c r="CY181" s="228">
        <v>260</v>
      </c>
      <c r="CZ181" s="229">
        <v>9.4299999999999995E-2</v>
      </c>
      <c r="DA181" s="228">
        <v>40.49</v>
      </c>
      <c r="DB181" s="228">
        <v>35.619999999999997</v>
      </c>
      <c r="DC181" s="228">
        <v>4.87</v>
      </c>
      <c r="DD181" s="228">
        <v>4.87</v>
      </c>
      <c r="DE181" s="228">
        <v>32.33</v>
      </c>
      <c r="DF181" s="228">
        <v>32.18</v>
      </c>
      <c r="DG181" s="228">
        <v>8.16</v>
      </c>
      <c r="DH181" s="228">
        <v>0.15</v>
      </c>
      <c r="DI181" s="228">
        <v>41.07</v>
      </c>
      <c r="DJ181" s="228">
        <v>34.93</v>
      </c>
      <c r="DK181" s="228">
        <v>6.14</v>
      </c>
      <c r="DL181" s="228">
        <v>6.14</v>
      </c>
      <c r="DM181" s="228">
        <v>39.520000000000003</v>
      </c>
      <c r="DN181" s="228">
        <v>36.83</v>
      </c>
      <c r="DO181" s="228">
        <v>2.69</v>
      </c>
      <c r="DP181" s="228">
        <v>2.69</v>
      </c>
      <c r="DQ181" s="228">
        <v>0.79</v>
      </c>
      <c r="DR181" s="228">
        <v>0.74</v>
      </c>
      <c r="DS181" s="228">
        <v>0.05</v>
      </c>
      <c r="DT181" s="229">
        <v>6.7599999999999993E-2</v>
      </c>
      <c r="DU181" s="228">
        <v>800</v>
      </c>
      <c r="DV181" s="228">
        <v>680</v>
      </c>
      <c r="DW181" s="228">
        <v>0.6</v>
      </c>
      <c r="DX181" s="228">
        <v>0.56999999999999995</v>
      </c>
      <c r="DY181" s="228">
        <v>0.03</v>
      </c>
      <c r="DZ181" s="229">
        <v>5.2600000000000001E-2</v>
      </c>
      <c r="EA181" s="229">
        <v>0.1842</v>
      </c>
      <c r="EB181" s="230">
        <v>4384000</v>
      </c>
      <c r="EC181" s="229">
        <v>-0.03</v>
      </c>
      <c r="ED181" s="229">
        <v>0.1842</v>
      </c>
      <c r="EE181" s="228">
        <v>-19.41</v>
      </c>
      <c r="EF181" s="229">
        <v>-2.8500000000000001E-2</v>
      </c>
      <c r="EG181" s="230">
        <v>484997</v>
      </c>
      <c r="EH181" s="230">
        <v>284169</v>
      </c>
      <c r="EI181" s="229">
        <v>0.70669999999999999</v>
      </c>
      <c r="EJ181" s="229">
        <v>0.43209999999999998</v>
      </c>
      <c r="EK181" s="228">
        <v>604.84</v>
      </c>
      <c r="EL181" s="228">
        <v>348.03</v>
      </c>
      <c r="EM181" s="228">
        <v>606.80999999999995</v>
      </c>
      <c r="EN181" s="228">
        <v>50.41</v>
      </c>
      <c r="EO181" s="231">
        <v>1559.67</v>
      </c>
      <c r="EP181" s="228">
        <v>863.3</v>
      </c>
      <c r="EQ181" s="228">
        <v>696.37</v>
      </c>
      <c r="ER181" s="229">
        <v>0.80659999999999998</v>
      </c>
      <c r="ES181" s="228">
        <v>598.03</v>
      </c>
      <c r="ET181" s="228">
        <v>441.35</v>
      </c>
      <c r="EU181" s="231">
        <v>1995.93</v>
      </c>
      <c r="EV181" s="231">
        <v>44841373</v>
      </c>
      <c r="EW181" s="231">
        <v>3035.31</v>
      </c>
      <c r="EX181" s="231">
        <v>2841.89</v>
      </c>
      <c r="EY181" s="228">
        <v>193.42</v>
      </c>
      <c r="EZ181" s="229">
        <v>6.8099999999999994E-2</v>
      </c>
      <c r="FA181" s="229">
        <v>1.0007999999999999</v>
      </c>
      <c r="FB181" s="227" t="s">
        <v>566</v>
      </c>
      <c r="FC181">
        <f t="shared" si="3"/>
        <v>0</v>
      </c>
    </row>
    <row r="182" spans="1:159" ht="17.25" thickBot="1" x14ac:dyDescent="0.3">
      <c r="A182" s="226">
        <v>46132</v>
      </c>
      <c r="B182" s="227" t="s">
        <v>175</v>
      </c>
      <c r="C182" s="227" t="s">
        <v>462</v>
      </c>
      <c r="D182" s="228">
        <v>375</v>
      </c>
      <c r="E182" s="228">
        <v>8</v>
      </c>
      <c r="F182" s="231">
        <v>1984.3</v>
      </c>
      <c r="G182" s="231">
        <v>1970.4</v>
      </c>
      <c r="H182" s="228">
        <v>13.9</v>
      </c>
      <c r="I182" s="229">
        <v>7.1000000000000004E-3</v>
      </c>
      <c r="J182" s="231">
        <v>1982.5</v>
      </c>
      <c r="K182" s="231">
        <v>1970.9</v>
      </c>
      <c r="L182" s="228">
        <v>11.6</v>
      </c>
      <c r="M182" s="229">
        <v>5.8999999999999999E-3</v>
      </c>
      <c r="N182" s="231">
        <v>1984.3</v>
      </c>
      <c r="O182" s="231">
        <v>1970.4</v>
      </c>
      <c r="P182" s="228">
        <v>13.9</v>
      </c>
      <c r="Q182" s="229">
        <v>7.1000000000000004E-3</v>
      </c>
      <c r="R182" s="231">
        <v>1995.7</v>
      </c>
      <c r="S182" s="231">
        <v>1982</v>
      </c>
      <c r="T182" s="228">
        <v>13.7</v>
      </c>
      <c r="U182" s="229">
        <v>6.8999999999999999E-3</v>
      </c>
      <c r="V182" s="231">
        <v>2010</v>
      </c>
      <c r="W182" s="231">
        <v>1994.2</v>
      </c>
      <c r="X182" s="228">
        <v>15.8</v>
      </c>
      <c r="Y182" s="229">
        <v>7.9000000000000008E-3</v>
      </c>
      <c r="Z182" s="228">
        <v>1.8</v>
      </c>
      <c r="AA182" s="228">
        <v>-0.5</v>
      </c>
      <c r="AB182" s="228">
        <v>2.2999999999999998</v>
      </c>
      <c r="AC182" s="229">
        <v>8.9999999999999998E-4</v>
      </c>
      <c r="AD182" s="228">
        <v>1.8</v>
      </c>
      <c r="AE182" s="228">
        <v>-0.5</v>
      </c>
      <c r="AF182" s="228">
        <v>2.2999999999999998</v>
      </c>
      <c r="AG182" s="229">
        <v>8.9999999999999998E-4</v>
      </c>
      <c r="AH182" s="228">
        <v>13.2</v>
      </c>
      <c r="AI182" s="228">
        <v>11.1</v>
      </c>
      <c r="AJ182" s="228">
        <v>2.1</v>
      </c>
      <c r="AK182" s="229">
        <v>6.7000000000000002E-3</v>
      </c>
      <c r="AL182" s="228">
        <v>27.5</v>
      </c>
      <c r="AM182" s="228">
        <v>23.3</v>
      </c>
      <c r="AN182" s="228">
        <v>4.2</v>
      </c>
      <c r="AO182" s="229">
        <v>1.3899999999999999E-2</v>
      </c>
      <c r="AP182" s="231">
        <v>1979.9</v>
      </c>
      <c r="AQ182" s="231">
        <v>1993.31</v>
      </c>
      <c r="AR182" s="228">
        <v>0</v>
      </c>
      <c r="AS182" s="228">
        <v>347</v>
      </c>
      <c r="AT182" s="228">
        <v>132</v>
      </c>
      <c r="AU182" s="228">
        <v>215</v>
      </c>
      <c r="AV182" s="229">
        <v>1.6263000000000001</v>
      </c>
      <c r="AW182" s="228">
        <v>260</v>
      </c>
      <c r="AX182" s="228">
        <v>127</v>
      </c>
      <c r="AY182" s="228">
        <v>133</v>
      </c>
      <c r="AZ182" s="229">
        <v>1.0468999999999999</v>
      </c>
      <c r="BA182" s="228">
        <v>30</v>
      </c>
      <c r="BB182" s="228">
        <v>5</v>
      </c>
      <c r="BC182" s="228">
        <v>25</v>
      </c>
      <c r="BD182" s="229">
        <v>5.2153999999999998</v>
      </c>
      <c r="BE182" s="228">
        <v>58</v>
      </c>
      <c r="BF182" s="228">
        <v>1</v>
      </c>
      <c r="BG182" s="228">
        <v>57</v>
      </c>
      <c r="BH182" s="229">
        <v>109.4286</v>
      </c>
      <c r="BI182" s="228">
        <v>535</v>
      </c>
      <c r="BJ182" s="228">
        <v>514</v>
      </c>
      <c r="BK182" s="228">
        <v>21</v>
      </c>
      <c r="BL182" s="229">
        <v>4.1700000000000001E-2</v>
      </c>
      <c r="BM182" s="228">
        <v>190</v>
      </c>
      <c r="BN182" s="228">
        <v>224</v>
      </c>
      <c r="BO182" s="228">
        <v>-34</v>
      </c>
      <c r="BP182" s="229">
        <v>-0.1535</v>
      </c>
      <c r="BQ182" s="230">
        <v>1072</v>
      </c>
      <c r="BR182" s="228">
        <v>870</v>
      </c>
      <c r="BS182" s="228">
        <v>202</v>
      </c>
      <c r="BT182" s="229">
        <v>0.2324</v>
      </c>
      <c r="BU182" s="230">
        <v>1041717</v>
      </c>
      <c r="BV182" s="230">
        <v>539992</v>
      </c>
      <c r="BW182" s="230">
        <v>501725</v>
      </c>
      <c r="BX182" s="229">
        <v>0.92910000000000004</v>
      </c>
      <c r="BY182" s="230">
        <v>2115</v>
      </c>
      <c r="BZ182" s="230">
        <v>2100</v>
      </c>
      <c r="CA182" s="228">
        <v>15</v>
      </c>
      <c r="CB182" s="229">
        <v>7.1999999999999998E-3</v>
      </c>
      <c r="CC182" s="230">
        <v>1904</v>
      </c>
      <c r="CD182" s="230">
        <v>1963</v>
      </c>
      <c r="CE182" s="228">
        <v>-59</v>
      </c>
      <c r="CF182" s="229">
        <v>-0.03</v>
      </c>
      <c r="CG182" s="228">
        <v>71</v>
      </c>
      <c r="CH182" s="228">
        <v>54</v>
      </c>
      <c r="CI182" s="228">
        <v>18</v>
      </c>
      <c r="CJ182" s="229">
        <v>0.3301</v>
      </c>
      <c r="CK182" s="228">
        <v>139</v>
      </c>
      <c r="CL182" s="228">
        <v>83</v>
      </c>
      <c r="CM182" s="228">
        <v>56</v>
      </c>
      <c r="CN182" s="229">
        <v>0.6774</v>
      </c>
      <c r="CO182" s="228">
        <v>742</v>
      </c>
      <c r="CP182" s="228">
        <v>736</v>
      </c>
      <c r="CQ182" s="228">
        <v>6</v>
      </c>
      <c r="CR182" s="229">
        <v>8.0999999999999996E-3</v>
      </c>
      <c r="CS182" s="228">
        <v>458</v>
      </c>
      <c r="CT182" s="228">
        <v>446</v>
      </c>
      <c r="CU182" s="228">
        <v>12</v>
      </c>
      <c r="CV182" s="229">
        <v>2.6499999999999999E-2</v>
      </c>
      <c r="CW182" s="230">
        <v>3314</v>
      </c>
      <c r="CX182" s="230">
        <v>3281</v>
      </c>
      <c r="CY182" s="228">
        <v>33</v>
      </c>
      <c r="CZ182" s="229">
        <v>0.01</v>
      </c>
      <c r="DA182" s="228">
        <v>28.24</v>
      </c>
      <c r="DB182" s="228">
        <v>24.35</v>
      </c>
      <c r="DC182" s="228">
        <v>3.89</v>
      </c>
      <c r="DD182" s="228">
        <v>3.89</v>
      </c>
      <c r="DE182" s="228">
        <v>25.87</v>
      </c>
      <c r="DF182" s="228">
        <v>25.92</v>
      </c>
      <c r="DG182" s="228">
        <v>2.37</v>
      </c>
      <c r="DH182" s="228">
        <v>-0.05</v>
      </c>
      <c r="DI182" s="228">
        <v>27.41</v>
      </c>
      <c r="DJ182" s="228">
        <v>23.66</v>
      </c>
      <c r="DK182" s="228">
        <v>3.75</v>
      </c>
      <c r="DL182" s="228">
        <v>3.75</v>
      </c>
      <c r="DM182" s="228">
        <v>30.57</v>
      </c>
      <c r="DN182" s="228">
        <v>25.94</v>
      </c>
      <c r="DO182" s="228">
        <v>4.63</v>
      </c>
      <c r="DP182" s="228">
        <v>4.63</v>
      </c>
      <c r="DQ182" s="228">
        <v>0.62</v>
      </c>
      <c r="DR182" s="228">
        <v>0.61</v>
      </c>
      <c r="DS182" s="228">
        <v>0.01</v>
      </c>
      <c r="DT182" s="229">
        <v>1.6400000000000001E-2</v>
      </c>
      <c r="DU182" s="231">
        <v>2000</v>
      </c>
      <c r="DV182" s="231">
        <v>1960</v>
      </c>
      <c r="DW182" s="228">
        <v>0.35</v>
      </c>
      <c r="DX182" s="228">
        <v>0.44</v>
      </c>
      <c r="DY182" s="228">
        <v>-0.09</v>
      </c>
      <c r="DZ182" s="229">
        <v>-0.20449999999999999</v>
      </c>
      <c r="EA182" s="229">
        <v>9.9599999999999994E-2</v>
      </c>
      <c r="EB182" s="230">
        <v>688875</v>
      </c>
      <c r="EC182" s="229">
        <v>5.7000000000000002E-3</v>
      </c>
      <c r="ED182" s="229">
        <v>9.9599999999999994E-2</v>
      </c>
      <c r="EE182" s="228">
        <v>13.41</v>
      </c>
      <c r="EF182" s="229">
        <v>6.7999999999999996E-3</v>
      </c>
      <c r="EG182" s="230">
        <v>653293</v>
      </c>
      <c r="EH182" s="230">
        <v>337862</v>
      </c>
      <c r="EI182" s="229">
        <v>0.93359999999999999</v>
      </c>
      <c r="EJ182" s="229">
        <v>0.62709999999999999</v>
      </c>
      <c r="EK182" s="228">
        <v>550.77</v>
      </c>
      <c r="EL182" s="228">
        <v>185.15</v>
      </c>
      <c r="EM182" s="228">
        <v>347.35</v>
      </c>
      <c r="EN182" s="228">
        <v>30.55</v>
      </c>
      <c r="EO182" s="231">
        <v>1083.27</v>
      </c>
      <c r="EP182" s="228">
        <v>880.81</v>
      </c>
      <c r="EQ182" s="228">
        <v>202.46</v>
      </c>
      <c r="ER182" s="229">
        <v>0.22989999999999999</v>
      </c>
      <c r="ES182" s="228">
        <v>742.23</v>
      </c>
      <c r="ET182" s="228">
        <v>421.25</v>
      </c>
      <c r="EU182" s="231">
        <v>2116.91</v>
      </c>
      <c r="EV182" s="231">
        <v>45527821</v>
      </c>
      <c r="EW182" s="231">
        <v>3280.39</v>
      </c>
      <c r="EX182" s="231">
        <v>3230.35</v>
      </c>
      <c r="EY182" s="228">
        <v>50.04</v>
      </c>
      <c r="EZ182" s="229">
        <v>1.55E-2</v>
      </c>
      <c r="FA182" s="229">
        <v>0.3669</v>
      </c>
      <c r="FB182" s="227" t="s">
        <v>555</v>
      </c>
      <c r="FC182">
        <f t="shared" si="3"/>
        <v>0</v>
      </c>
    </row>
    <row r="183" spans="1:159" ht="17.25" thickBot="1" x14ac:dyDescent="0.3">
      <c r="A183" s="226">
        <v>46132</v>
      </c>
      <c r="B183" s="227" t="s">
        <v>172</v>
      </c>
      <c r="C183" s="227" t="s">
        <v>283</v>
      </c>
      <c r="D183" s="228">
        <v>750</v>
      </c>
      <c r="E183" s="228">
        <v>8</v>
      </c>
      <c r="F183" s="231">
        <v>1106.3</v>
      </c>
      <c r="G183" s="231">
        <v>1082.8</v>
      </c>
      <c r="H183" s="228">
        <v>23.5</v>
      </c>
      <c r="I183" s="229">
        <v>2.1700000000000001E-2</v>
      </c>
      <c r="J183" s="231">
        <v>1107.8499999999999</v>
      </c>
      <c r="K183" s="231">
        <v>1080.25</v>
      </c>
      <c r="L183" s="228">
        <v>27.6</v>
      </c>
      <c r="M183" s="229">
        <v>2.5499999999999998E-2</v>
      </c>
      <c r="N183" s="231">
        <v>1106.3</v>
      </c>
      <c r="O183" s="231">
        <v>1082.8</v>
      </c>
      <c r="P183" s="228">
        <v>23.5</v>
      </c>
      <c r="Q183" s="229">
        <v>2.1700000000000001E-2</v>
      </c>
      <c r="R183" s="231">
        <v>1100.0999999999999</v>
      </c>
      <c r="S183" s="231">
        <v>1077.0999999999999</v>
      </c>
      <c r="T183" s="228">
        <v>23</v>
      </c>
      <c r="U183" s="229">
        <v>2.1399999999999999E-2</v>
      </c>
      <c r="V183" s="231">
        <v>1102.5</v>
      </c>
      <c r="W183" s="231">
        <v>1078.7</v>
      </c>
      <c r="X183" s="228">
        <v>23.8</v>
      </c>
      <c r="Y183" s="229">
        <v>2.2100000000000002E-2</v>
      </c>
      <c r="Z183" s="228">
        <v>-1.55</v>
      </c>
      <c r="AA183" s="228">
        <v>2.5499999999999998</v>
      </c>
      <c r="AB183" s="228">
        <v>-4.0999999999999996</v>
      </c>
      <c r="AC183" s="229">
        <v>-1.4E-3</v>
      </c>
      <c r="AD183" s="228">
        <v>-1.55</v>
      </c>
      <c r="AE183" s="228">
        <v>2.5499999999999998</v>
      </c>
      <c r="AF183" s="228">
        <v>-4.0999999999999996</v>
      </c>
      <c r="AG183" s="229">
        <v>-1.4E-3</v>
      </c>
      <c r="AH183" s="228">
        <v>-7.75</v>
      </c>
      <c r="AI183" s="228">
        <v>-3.15</v>
      </c>
      <c r="AJ183" s="228">
        <v>-4.5999999999999996</v>
      </c>
      <c r="AK183" s="229">
        <v>-7.0000000000000001E-3</v>
      </c>
      <c r="AL183" s="228">
        <v>-5.35</v>
      </c>
      <c r="AM183" s="228">
        <v>-1.55</v>
      </c>
      <c r="AN183" s="228">
        <v>-3.8</v>
      </c>
      <c r="AO183" s="229">
        <v>-4.7999999999999996E-3</v>
      </c>
      <c r="AP183" s="231">
        <v>1107.5</v>
      </c>
      <c r="AQ183" s="231">
        <v>1101.73</v>
      </c>
      <c r="AR183" s="228">
        <v>0</v>
      </c>
      <c r="AS183" s="230">
        <v>3058</v>
      </c>
      <c r="AT183" s="230">
        <v>1341</v>
      </c>
      <c r="AU183" s="230">
        <v>1717</v>
      </c>
      <c r="AV183" s="229">
        <v>1.2806</v>
      </c>
      <c r="AW183" s="230">
        <v>2379</v>
      </c>
      <c r="AX183" s="230">
        <v>1051</v>
      </c>
      <c r="AY183" s="230">
        <v>1328</v>
      </c>
      <c r="AZ183" s="229">
        <v>1.2637</v>
      </c>
      <c r="BA183" s="228">
        <v>450</v>
      </c>
      <c r="BB183" s="228">
        <v>265</v>
      </c>
      <c r="BC183" s="228">
        <v>185</v>
      </c>
      <c r="BD183" s="229">
        <v>0.69910000000000005</v>
      </c>
      <c r="BE183" s="228">
        <v>229</v>
      </c>
      <c r="BF183" s="228">
        <v>25</v>
      </c>
      <c r="BG183" s="228">
        <v>204</v>
      </c>
      <c r="BH183" s="229">
        <v>8.1325000000000003</v>
      </c>
      <c r="BI183" s="230">
        <v>20639</v>
      </c>
      <c r="BJ183" s="230">
        <v>6309</v>
      </c>
      <c r="BK183" s="230">
        <v>14330</v>
      </c>
      <c r="BL183" s="229">
        <v>2.2715999999999998</v>
      </c>
      <c r="BM183" s="230">
        <v>11251</v>
      </c>
      <c r="BN183" s="230">
        <v>3894</v>
      </c>
      <c r="BO183" s="230">
        <v>7357</v>
      </c>
      <c r="BP183" s="229">
        <v>1.8892</v>
      </c>
      <c r="BQ183" s="230">
        <v>34948</v>
      </c>
      <c r="BR183" s="230">
        <v>11544</v>
      </c>
      <c r="BS183" s="230">
        <v>23404</v>
      </c>
      <c r="BT183" s="229">
        <v>2.0274999999999999</v>
      </c>
      <c r="BU183" s="230">
        <v>32565522</v>
      </c>
      <c r="BV183" s="230">
        <v>17533119</v>
      </c>
      <c r="BW183" s="230">
        <v>15032403</v>
      </c>
      <c r="BX183" s="229">
        <v>0.85740000000000005</v>
      </c>
      <c r="BY183" s="230">
        <v>8636</v>
      </c>
      <c r="BZ183" s="230">
        <v>8916</v>
      </c>
      <c r="CA183" s="228">
        <v>-280</v>
      </c>
      <c r="CB183" s="229">
        <v>-3.1399999999999997E-2</v>
      </c>
      <c r="CC183" s="230">
        <v>7347</v>
      </c>
      <c r="CD183" s="230">
        <v>7942</v>
      </c>
      <c r="CE183" s="228">
        <v>-594</v>
      </c>
      <c r="CF183" s="229">
        <v>-7.4800000000000005E-2</v>
      </c>
      <c r="CG183" s="228">
        <v>921</v>
      </c>
      <c r="CH183" s="228">
        <v>786</v>
      </c>
      <c r="CI183" s="228">
        <v>136</v>
      </c>
      <c r="CJ183" s="229">
        <v>0.17249999999999999</v>
      </c>
      <c r="CK183" s="228">
        <v>367</v>
      </c>
      <c r="CL183" s="228">
        <v>188</v>
      </c>
      <c r="CM183" s="228">
        <v>179</v>
      </c>
      <c r="CN183" s="229">
        <v>0.94979999999999998</v>
      </c>
      <c r="CO183" s="230">
        <v>5001</v>
      </c>
      <c r="CP183" s="230">
        <v>4961</v>
      </c>
      <c r="CQ183" s="228">
        <v>40</v>
      </c>
      <c r="CR183" s="229">
        <v>8.0999999999999996E-3</v>
      </c>
      <c r="CS183" s="230">
        <v>4447</v>
      </c>
      <c r="CT183" s="230">
        <v>3997</v>
      </c>
      <c r="CU183" s="228">
        <v>450</v>
      </c>
      <c r="CV183" s="229">
        <v>0.11269999999999999</v>
      </c>
      <c r="CW183" s="230">
        <v>18085</v>
      </c>
      <c r="CX183" s="230">
        <v>17874</v>
      </c>
      <c r="CY183" s="228">
        <v>211</v>
      </c>
      <c r="CZ183" s="229">
        <v>1.18E-2</v>
      </c>
      <c r="DA183" s="228">
        <v>30.42</v>
      </c>
      <c r="DB183" s="228">
        <v>27.52</v>
      </c>
      <c r="DC183" s="228">
        <v>2.9</v>
      </c>
      <c r="DD183" s="228">
        <v>2.9</v>
      </c>
      <c r="DE183" s="228">
        <v>29.31</v>
      </c>
      <c r="DF183" s="228">
        <v>29.18</v>
      </c>
      <c r="DG183" s="228">
        <v>1.1100000000000001</v>
      </c>
      <c r="DH183" s="228">
        <v>0.13</v>
      </c>
      <c r="DI183" s="228">
        <v>29.2</v>
      </c>
      <c r="DJ183" s="228">
        <v>26.09</v>
      </c>
      <c r="DK183" s="228">
        <v>3.11</v>
      </c>
      <c r="DL183" s="228">
        <v>3.11</v>
      </c>
      <c r="DM183" s="228">
        <v>32.659999999999997</v>
      </c>
      <c r="DN183" s="228">
        <v>29.85</v>
      </c>
      <c r="DO183" s="228">
        <v>2.81</v>
      </c>
      <c r="DP183" s="228">
        <v>2.81</v>
      </c>
      <c r="DQ183" s="228">
        <v>0.89</v>
      </c>
      <c r="DR183" s="228">
        <v>0.81</v>
      </c>
      <c r="DS183" s="228">
        <v>0.08</v>
      </c>
      <c r="DT183" s="229">
        <v>9.8799999999999999E-2</v>
      </c>
      <c r="DU183" s="231">
        <v>1200</v>
      </c>
      <c r="DV183" s="231">
        <v>1000</v>
      </c>
      <c r="DW183" s="228">
        <v>0.55000000000000004</v>
      </c>
      <c r="DX183" s="228">
        <v>0.62</v>
      </c>
      <c r="DY183" s="228">
        <v>-7.0000000000000007E-2</v>
      </c>
      <c r="DZ183" s="229">
        <v>-0.1129</v>
      </c>
      <c r="EA183" s="229">
        <v>0.1492</v>
      </c>
      <c r="EB183" s="230">
        <v>8805000</v>
      </c>
      <c r="EC183" s="229">
        <v>-5.5999999999999999E-3</v>
      </c>
      <c r="ED183" s="229">
        <v>0.1492</v>
      </c>
      <c r="EE183" s="228">
        <v>-5.77</v>
      </c>
      <c r="EF183" s="229">
        <v>-5.1999999999999998E-3</v>
      </c>
      <c r="EG183" s="230">
        <v>18962424</v>
      </c>
      <c r="EH183" s="230">
        <v>11113948</v>
      </c>
      <c r="EI183" s="229">
        <v>0.70620000000000005</v>
      </c>
      <c r="EJ183" s="229">
        <v>0.58230000000000004</v>
      </c>
      <c r="EK183" s="231">
        <v>21340.41</v>
      </c>
      <c r="EL183" s="231">
        <v>10934.51</v>
      </c>
      <c r="EM183" s="231">
        <v>3058.38</v>
      </c>
      <c r="EN183" s="228">
        <v>165.19</v>
      </c>
      <c r="EO183" s="231">
        <v>35333.29</v>
      </c>
      <c r="EP183" s="231">
        <v>11374.77</v>
      </c>
      <c r="EQ183" s="231">
        <v>23958.52</v>
      </c>
      <c r="ER183" s="229">
        <v>2.1063000000000001</v>
      </c>
      <c r="ES183" s="231">
        <v>5045.41</v>
      </c>
      <c r="ET183" s="231">
        <v>4166.24</v>
      </c>
      <c r="EU183" s="231">
        <v>8629.27</v>
      </c>
      <c r="EV183" s="231">
        <v>580324288</v>
      </c>
      <c r="EW183" s="231">
        <v>17840.919999999998</v>
      </c>
      <c r="EX183" s="231">
        <v>17389.09</v>
      </c>
      <c r="EY183" s="228">
        <v>451.83</v>
      </c>
      <c r="EZ183" s="229">
        <v>2.5999999999999999E-2</v>
      </c>
      <c r="FA183" s="229">
        <v>0.28170000000000001</v>
      </c>
      <c r="FB183" s="227" t="s">
        <v>693</v>
      </c>
      <c r="FC183">
        <f t="shared" si="3"/>
        <v>0</v>
      </c>
    </row>
    <row r="184" spans="1:159" ht="17.25" thickBot="1" x14ac:dyDescent="0.3">
      <c r="A184" s="226">
        <v>46132</v>
      </c>
      <c r="B184" s="227" t="s">
        <v>157</v>
      </c>
      <c r="C184" s="227" t="s">
        <v>284</v>
      </c>
      <c r="D184" s="228">
        <v>25</v>
      </c>
      <c r="E184" s="228">
        <v>8</v>
      </c>
      <c r="F184" s="231">
        <v>25365</v>
      </c>
      <c r="G184" s="231">
        <v>25280</v>
      </c>
      <c r="H184" s="228">
        <v>85</v>
      </c>
      <c r="I184" s="229">
        <v>3.3999999999999998E-3</v>
      </c>
      <c r="J184" s="231">
        <v>25490</v>
      </c>
      <c r="K184" s="231">
        <v>25290</v>
      </c>
      <c r="L184" s="228">
        <v>200</v>
      </c>
      <c r="M184" s="229">
        <v>7.9000000000000008E-3</v>
      </c>
      <c r="N184" s="231">
        <v>25365</v>
      </c>
      <c r="O184" s="231">
        <v>25280</v>
      </c>
      <c r="P184" s="228">
        <v>85</v>
      </c>
      <c r="Q184" s="229">
        <v>3.3999999999999998E-3</v>
      </c>
      <c r="R184" s="231">
        <v>25190</v>
      </c>
      <c r="S184" s="231">
        <v>25135</v>
      </c>
      <c r="T184" s="228">
        <v>55</v>
      </c>
      <c r="U184" s="229">
        <v>2.2000000000000001E-3</v>
      </c>
      <c r="V184" s="231">
        <v>25100</v>
      </c>
      <c r="W184" s="231">
        <v>25050</v>
      </c>
      <c r="X184" s="228">
        <v>50</v>
      </c>
      <c r="Y184" s="229">
        <v>2E-3</v>
      </c>
      <c r="Z184" s="228">
        <v>-125</v>
      </c>
      <c r="AA184" s="228">
        <v>-10</v>
      </c>
      <c r="AB184" s="228">
        <v>-115</v>
      </c>
      <c r="AC184" s="229">
        <v>-4.8999999999999998E-3</v>
      </c>
      <c r="AD184" s="228">
        <v>-125</v>
      </c>
      <c r="AE184" s="228">
        <v>-10</v>
      </c>
      <c r="AF184" s="228">
        <v>-115</v>
      </c>
      <c r="AG184" s="229">
        <v>-4.8999999999999998E-3</v>
      </c>
      <c r="AH184" s="228">
        <v>-300</v>
      </c>
      <c r="AI184" s="228">
        <v>-155</v>
      </c>
      <c r="AJ184" s="228">
        <v>-145</v>
      </c>
      <c r="AK184" s="229">
        <v>-1.18E-2</v>
      </c>
      <c r="AL184" s="228">
        <v>-390</v>
      </c>
      <c r="AM184" s="228">
        <v>-240</v>
      </c>
      <c r="AN184" s="228">
        <v>-150</v>
      </c>
      <c r="AO184" s="229">
        <v>-1.5299999999999999E-2</v>
      </c>
      <c r="AP184" s="231">
        <v>25376.78</v>
      </c>
      <c r="AQ184" s="231">
        <v>25196.35</v>
      </c>
      <c r="AR184" s="228">
        <v>0</v>
      </c>
      <c r="AS184" s="228">
        <v>144</v>
      </c>
      <c r="AT184" s="228">
        <v>68</v>
      </c>
      <c r="AU184" s="228">
        <v>76</v>
      </c>
      <c r="AV184" s="229">
        <v>1.1292</v>
      </c>
      <c r="AW184" s="228">
        <v>130</v>
      </c>
      <c r="AX184" s="228">
        <v>56</v>
      </c>
      <c r="AY184" s="228">
        <v>74</v>
      </c>
      <c r="AZ184" s="229">
        <v>1.3269</v>
      </c>
      <c r="BA184" s="228">
        <v>13</v>
      </c>
      <c r="BB184" s="228">
        <v>10</v>
      </c>
      <c r="BC184" s="228">
        <v>3</v>
      </c>
      <c r="BD184" s="229">
        <v>0.3</v>
      </c>
      <c r="BE184" s="228">
        <v>1</v>
      </c>
      <c r="BF184" s="228">
        <v>2</v>
      </c>
      <c r="BG184" s="228">
        <v>-1</v>
      </c>
      <c r="BH184" s="229">
        <v>-0.625</v>
      </c>
      <c r="BI184" s="228">
        <v>87</v>
      </c>
      <c r="BJ184" s="228">
        <v>80</v>
      </c>
      <c r="BK184" s="228">
        <v>7</v>
      </c>
      <c r="BL184" s="229">
        <v>8.1199999999999994E-2</v>
      </c>
      <c r="BM184" s="228">
        <v>33</v>
      </c>
      <c r="BN184" s="228">
        <v>16</v>
      </c>
      <c r="BO184" s="228">
        <v>18</v>
      </c>
      <c r="BP184" s="229">
        <v>1.129</v>
      </c>
      <c r="BQ184" s="228">
        <v>265</v>
      </c>
      <c r="BR184" s="228">
        <v>164</v>
      </c>
      <c r="BS184" s="228">
        <v>101</v>
      </c>
      <c r="BT184" s="229">
        <v>0.61470000000000002</v>
      </c>
      <c r="BU184" s="230">
        <v>35615</v>
      </c>
      <c r="BV184" s="230">
        <v>16544</v>
      </c>
      <c r="BW184" s="230">
        <v>19071</v>
      </c>
      <c r="BX184" s="229">
        <v>1.1527000000000001</v>
      </c>
      <c r="BY184" s="230">
        <v>1013</v>
      </c>
      <c r="BZ184" s="228">
        <v>961</v>
      </c>
      <c r="CA184" s="228">
        <v>52</v>
      </c>
      <c r="CB184" s="229">
        <v>5.3999999999999999E-2</v>
      </c>
      <c r="CC184" s="228">
        <v>965</v>
      </c>
      <c r="CD184" s="228">
        <v>918</v>
      </c>
      <c r="CE184" s="228">
        <v>47</v>
      </c>
      <c r="CF184" s="229">
        <v>5.1400000000000001E-2</v>
      </c>
      <c r="CG184" s="228">
        <v>46</v>
      </c>
      <c r="CH184" s="228">
        <v>41</v>
      </c>
      <c r="CI184" s="228">
        <v>5</v>
      </c>
      <c r="CJ184" s="229">
        <v>0.1123</v>
      </c>
      <c r="CK184" s="228">
        <v>2</v>
      </c>
      <c r="CL184" s="228">
        <v>2</v>
      </c>
      <c r="CM184" s="228">
        <v>0</v>
      </c>
      <c r="CN184" s="229">
        <v>3.5700000000000003E-2</v>
      </c>
      <c r="CO184" s="228">
        <v>148</v>
      </c>
      <c r="CP184" s="228">
        <v>143</v>
      </c>
      <c r="CQ184" s="228">
        <v>5</v>
      </c>
      <c r="CR184" s="229">
        <v>3.3799999999999997E-2</v>
      </c>
      <c r="CS184" s="228">
        <v>131</v>
      </c>
      <c r="CT184" s="228">
        <v>121</v>
      </c>
      <c r="CU184" s="228">
        <v>10</v>
      </c>
      <c r="CV184" s="229">
        <v>8.1500000000000003E-2</v>
      </c>
      <c r="CW184" s="230">
        <v>1291</v>
      </c>
      <c r="CX184" s="230">
        <v>1225</v>
      </c>
      <c r="CY184" s="228">
        <v>67</v>
      </c>
      <c r="CZ184" s="229">
        <v>5.4399999999999997E-2</v>
      </c>
      <c r="DA184" s="228">
        <v>28.63</v>
      </c>
      <c r="DB184" s="228">
        <v>25.91</v>
      </c>
      <c r="DC184" s="228">
        <v>2.72</v>
      </c>
      <c r="DD184" s="228">
        <v>2.72</v>
      </c>
      <c r="DE184" s="228">
        <v>27.74</v>
      </c>
      <c r="DF184" s="228">
        <v>27.8</v>
      </c>
      <c r="DG184" s="228">
        <v>0.89</v>
      </c>
      <c r="DH184" s="228">
        <v>-0.06</v>
      </c>
      <c r="DI184" s="228">
        <v>27.47</v>
      </c>
      <c r="DJ184" s="228">
        <v>25.23</v>
      </c>
      <c r="DK184" s="228">
        <v>2.2400000000000002</v>
      </c>
      <c r="DL184" s="228">
        <v>2.2400000000000002</v>
      </c>
      <c r="DM184" s="228">
        <v>31.66</v>
      </c>
      <c r="DN184" s="228">
        <v>29.39</v>
      </c>
      <c r="DO184" s="228">
        <v>2.27</v>
      </c>
      <c r="DP184" s="228">
        <v>2.27</v>
      </c>
      <c r="DQ184" s="228">
        <v>0.89</v>
      </c>
      <c r="DR184" s="228">
        <v>0.85</v>
      </c>
      <c r="DS184" s="228">
        <v>0.04</v>
      </c>
      <c r="DT184" s="229">
        <v>4.7100000000000003E-2</v>
      </c>
      <c r="DU184" s="231">
        <v>25000</v>
      </c>
      <c r="DV184" s="231">
        <v>24000</v>
      </c>
      <c r="DW184" s="228">
        <v>0.38</v>
      </c>
      <c r="DX184" s="228">
        <v>0.2</v>
      </c>
      <c r="DY184" s="228">
        <v>0.18</v>
      </c>
      <c r="DZ184" s="229">
        <v>0.9</v>
      </c>
      <c r="EA184" s="229">
        <v>4.7100000000000003E-2</v>
      </c>
      <c r="EB184" s="230">
        <v>16950</v>
      </c>
      <c r="EC184" s="229">
        <v>-6.8999999999999999E-3</v>
      </c>
      <c r="ED184" s="229">
        <v>4.7100000000000003E-2</v>
      </c>
      <c r="EE184" s="228">
        <v>-180.43</v>
      </c>
      <c r="EF184" s="229">
        <v>-7.1000000000000004E-3</v>
      </c>
      <c r="EG184" s="230">
        <v>26963</v>
      </c>
      <c r="EH184" s="230">
        <v>10153</v>
      </c>
      <c r="EI184" s="229">
        <v>1.6556999999999999</v>
      </c>
      <c r="EJ184" s="229">
        <v>0.7571</v>
      </c>
      <c r="EK184" s="228">
        <v>89.4</v>
      </c>
      <c r="EL184" s="228">
        <v>33.08</v>
      </c>
      <c r="EM184" s="228">
        <v>144.16999999999999</v>
      </c>
      <c r="EN184" s="228">
        <v>17.079999999999998</v>
      </c>
      <c r="EO184" s="228">
        <v>266.64</v>
      </c>
      <c r="EP184" s="228">
        <v>165.06</v>
      </c>
      <c r="EQ184" s="228">
        <v>101.58</v>
      </c>
      <c r="ER184" s="229">
        <v>0.61539999999999995</v>
      </c>
      <c r="ES184" s="228">
        <v>141.71</v>
      </c>
      <c r="ET184" s="228">
        <v>122.06</v>
      </c>
      <c r="EU184" s="231">
        <v>1012.36</v>
      </c>
      <c r="EV184" s="231">
        <v>1655049</v>
      </c>
      <c r="EW184" s="231">
        <v>1276.1300000000001</v>
      </c>
      <c r="EX184" s="231">
        <v>1206.4100000000001</v>
      </c>
      <c r="EY184" s="228">
        <v>69.72</v>
      </c>
      <c r="EZ184" s="229">
        <v>5.7799999999999997E-2</v>
      </c>
      <c r="FA184" s="229">
        <v>0.30759999999999998</v>
      </c>
      <c r="FB184" s="227" t="s">
        <v>555</v>
      </c>
      <c r="FC184">
        <f t="shared" si="3"/>
        <v>0</v>
      </c>
    </row>
    <row r="185" spans="1:159" ht="17.25" thickBot="1" x14ac:dyDescent="0.3">
      <c r="A185" s="226">
        <v>46132</v>
      </c>
      <c r="B185" s="227" t="s">
        <v>175</v>
      </c>
      <c r="C185" s="227" t="s">
        <v>561</v>
      </c>
      <c r="D185" s="228">
        <v>825</v>
      </c>
      <c r="E185" s="228">
        <v>8</v>
      </c>
      <c r="F185" s="231">
        <v>1043.9000000000001</v>
      </c>
      <c r="G185" s="231">
        <v>1036.7</v>
      </c>
      <c r="H185" s="228">
        <v>7.2</v>
      </c>
      <c r="I185" s="229">
        <v>6.8999999999999999E-3</v>
      </c>
      <c r="J185" s="231">
        <v>1045.1500000000001</v>
      </c>
      <c r="K185" s="231">
        <v>1036.95</v>
      </c>
      <c r="L185" s="228">
        <v>8.1999999999999993</v>
      </c>
      <c r="M185" s="229">
        <v>7.9000000000000008E-3</v>
      </c>
      <c r="N185" s="231">
        <v>1043.9000000000001</v>
      </c>
      <c r="O185" s="231">
        <v>1036.7</v>
      </c>
      <c r="P185" s="228">
        <v>7.2</v>
      </c>
      <c r="Q185" s="229">
        <v>6.8999999999999999E-3</v>
      </c>
      <c r="R185" s="231">
        <v>1049.3499999999999</v>
      </c>
      <c r="S185" s="231">
        <v>1042.4000000000001</v>
      </c>
      <c r="T185" s="228">
        <v>6.95</v>
      </c>
      <c r="U185" s="229">
        <v>6.7000000000000002E-3</v>
      </c>
      <c r="V185" s="231">
        <v>1056.4000000000001</v>
      </c>
      <c r="W185" s="231">
        <v>1047.45</v>
      </c>
      <c r="X185" s="228">
        <v>8.9499999999999993</v>
      </c>
      <c r="Y185" s="229">
        <v>8.5000000000000006E-3</v>
      </c>
      <c r="Z185" s="228">
        <v>-1.25</v>
      </c>
      <c r="AA185" s="228">
        <v>-0.25</v>
      </c>
      <c r="AB185" s="228">
        <v>-1</v>
      </c>
      <c r="AC185" s="229">
        <v>-1.1999999999999999E-3</v>
      </c>
      <c r="AD185" s="228">
        <v>-1.25</v>
      </c>
      <c r="AE185" s="228">
        <v>-0.25</v>
      </c>
      <c r="AF185" s="228">
        <v>-1</v>
      </c>
      <c r="AG185" s="229">
        <v>-1.1999999999999999E-3</v>
      </c>
      <c r="AH185" s="228">
        <v>4.2</v>
      </c>
      <c r="AI185" s="228">
        <v>5.45</v>
      </c>
      <c r="AJ185" s="228">
        <v>-1.25</v>
      </c>
      <c r="AK185" s="229">
        <v>4.0000000000000001E-3</v>
      </c>
      <c r="AL185" s="228">
        <v>11.25</v>
      </c>
      <c r="AM185" s="228">
        <v>10.5</v>
      </c>
      <c r="AN185" s="228">
        <v>0.75</v>
      </c>
      <c r="AO185" s="229">
        <v>1.0800000000000001E-2</v>
      </c>
      <c r="AP185" s="231">
        <v>1043.33</v>
      </c>
      <c r="AQ185" s="231">
        <v>1048.72</v>
      </c>
      <c r="AR185" s="228">
        <v>0</v>
      </c>
      <c r="AS185" s="228">
        <v>785</v>
      </c>
      <c r="AT185" s="228">
        <v>604</v>
      </c>
      <c r="AU185" s="228">
        <v>181</v>
      </c>
      <c r="AV185" s="229">
        <v>0.30059999999999998</v>
      </c>
      <c r="AW185" s="228">
        <v>573</v>
      </c>
      <c r="AX185" s="228">
        <v>449</v>
      </c>
      <c r="AY185" s="228">
        <v>123</v>
      </c>
      <c r="AZ185" s="229">
        <v>0.27379999999999999</v>
      </c>
      <c r="BA185" s="228">
        <v>117</v>
      </c>
      <c r="BB185" s="228">
        <v>56</v>
      </c>
      <c r="BC185" s="228">
        <v>61</v>
      </c>
      <c r="BD185" s="229">
        <v>1.107</v>
      </c>
      <c r="BE185" s="228">
        <v>96</v>
      </c>
      <c r="BF185" s="228">
        <v>99</v>
      </c>
      <c r="BG185" s="228">
        <v>-3</v>
      </c>
      <c r="BH185" s="229">
        <v>-3.1399999999999997E-2</v>
      </c>
      <c r="BI185" s="230">
        <v>1652</v>
      </c>
      <c r="BJ185" s="230">
        <v>1386</v>
      </c>
      <c r="BK185" s="228">
        <v>265</v>
      </c>
      <c r="BL185" s="229">
        <v>0.1915</v>
      </c>
      <c r="BM185" s="228">
        <v>778</v>
      </c>
      <c r="BN185" s="228">
        <v>629</v>
      </c>
      <c r="BO185" s="228">
        <v>149</v>
      </c>
      <c r="BP185" s="229">
        <v>0.2366</v>
      </c>
      <c r="BQ185" s="230">
        <v>3215</v>
      </c>
      <c r="BR185" s="230">
        <v>2619</v>
      </c>
      <c r="BS185" s="228">
        <v>596</v>
      </c>
      <c r="BT185" s="229">
        <v>0.22750000000000001</v>
      </c>
      <c r="BU185" s="230">
        <v>4829055</v>
      </c>
      <c r="BV185" s="230">
        <v>4455463</v>
      </c>
      <c r="BW185" s="230">
        <v>373592</v>
      </c>
      <c r="BX185" s="229">
        <v>8.3900000000000002E-2</v>
      </c>
      <c r="BY185" s="230">
        <v>4206</v>
      </c>
      <c r="BZ185" s="230">
        <v>4249</v>
      </c>
      <c r="CA185" s="228">
        <v>-43</v>
      </c>
      <c r="CB185" s="229">
        <v>-1.0200000000000001E-2</v>
      </c>
      <c r="CC185" s="230">
        <v>3564</v>
      </c>
      <c r="CD185" s="230">
        <v>3747</v>
      </c>
      <c r="CE185" s="228">
        <v>-183</v>
      </c>
      <c r="CF185" s="229">
        <v>-4.8800000000000003E-2</v>
      </c>
      <c r="CG185" s="228">
        <v>338</v>
      </c>
      <c r="CH185" s="228">
        <v>286</v>
      </c>
      <c r="CI185" s="228">
        <v>52</v>
      </c>
      <c r="CJ185" s="229">
        <v>0.18140000000000001</v>
      </c>
      <c r="CK185" s="228">
        <v>304</v>
      </c>
      <c r="CL185" s="228">
        <v>216</v>
      </c>
      <c r="CM185" s="228">
        <v>88</v>
      </c>
      <c r="CN185" s="229">
        <v>0.40760000000000002</v>
      </c>
      <c r="CO185" s="230">
        <v>1448</v>
      </c>
      <c r="CP185" s="230">
        <v>1462</v>
      </c>
      <c r="CQ185" s="228">
        <v>-15</v>
      </c>
      <c r="CR185" s="229">
        <v>-0.01</v>
      </c>
      <c r="CS185" s="230">
        <v>1062</v>
      </c>
      <c r="CT185" s="230">
        <v>1060</v>
      </c>
      <c r="CU185" s="228">
        <v>1</v>
      </c>
      <c r="CV185" s="229">
        <v>1.2999999999999999E-3</v>
      </c>
      <c r="CW185" s="230">
        <v>6715</v>
      </c>
      <c r="CX185" s="230">
        <v>6771</v>
      </c>
      <c r="CY185" s="228">
        <v>-56</v>
      </c>
      <c r="CZ185" s="229">
        <v>-8.3000000000000001E-3</v>
      </c>
      <c r="DA185" s="228">
        <v>48.14</v>
      </c>
      <c r="DB185" s="228">
        <v>44.04</v>
      </c>
      <c r="DC185" s="228">
        <v>4.0999999999999996</v>
      </c>
      <c r="DD185" s="228">
        <v>4.0999999999999996</v>
      </c>
      <c r="DE185" s="228">
        <v>45.01</v>
      </c>
      <c r="DF185" s="228">
        <v>45.11</v>
      </c>
      <c r="DG185" s="228">
        <v>3.13</v>
      </c>
      <c r="DH185" s="228">
        <v>-0.1</v>
      </c>
      <c r="DI185" s="228">
        <v>47.04</v>
      </c>
      <c r="DJ185" s="228">
        <v>43.22</v>
      </c>
      <c r="DK185" s="228">
        <v>3.82</v>
      </c>
      <c r="DL185" s="228">
        <v>3.82</v>
      </c>
      <c r="DM185" s="228">
        <v>50.47</v>
      </c>
      <c r="DN185" s="228">
        <v>45.85</v>
      </c>
      <c r="DO185" s="228">
        <v>4.62</v>
      </c>
      <c r="DP185" s="228">
        <v>4.62</v>
      </c>
      <c r="DQ185" s="228">
        <v>0.73</v>
      </c>
      <c r="DR185" s="228">
        <v>0.73</v>
      </c>
      <c r="DS185" s="228">
        <v>0</v>
      </c>
      <c r="DT185" s="229">
        <v>0</v>
      </c>
      <c r="DU185" s="231">
        <v>1100</v>
      </c>
      <c r="DV185" s="231">
        <v>1000</v>
      </c>
      <c r="DW185" s="228">
        <v>0.47</v>
      </c>
      <c r="DX185" s="228">
        <v>0.45</v>
      </c>
      <c r="DY185" s="228">
        <v>0.02</v>
      </c>
      <c r="DZ185" s="229">
        <v>4.4400000000000002E-2</v>
      </c>
      <c r="EA185" s="229">
        <v>0.1525</v>
      </c>
      <c r="EB185" s="230">
        <v>4803975</v>
      </c>
      <c r="EC185" s="229">
        <v>5.1999999999999998E-3</v>
      </c>
      <c r="ED185" s="229">
        <v>0.1525</v>
      </c>
      <c r="EE185" s="228">
        <v>5.39</v>
      </c>
      <c r="EF185" s="229">
        <v>5.1999999999999998E-3</v>
      </c>
      <c r="EG185" s="230">
        <v>2737651</v>
      </c>
      <c r="EH185" s="230">
        <v>2239567</v>
      </c>
      <c r="EI185" s="229">
        <v>0.22239999999999999</v>
      </c>
      <c r="EJ185" s="229">
        <v>0.56689999999999996</v>
      </c>
      <c r="EK185" s="231">
        <v>1726.85</v>
      </c>
      <c r="EL185" s="228">
        <v>759.89</v>
      </c>
      <c r="EM185" s="228">
        <v>786.6</v>
      </c>
      <c r="EN185" s="228">
        <v>86.64</v>
      </c>
      <c r="EO185" s="231">
        <v>3273.34</v>
      </c>
      <c r="EP185" s="231">
        <v>2649.6</v>
      </c>
      <c r="EQ185" s="228">
        <v>623.75</v>
      </c>
      <c r="ER185" s="229">
        <v>0.2354</v>
      </c>
      <c r="ES185" s="231">
        <v>1436.29</v>
      </c>
      <c r="ET185" s="228">
        <v>966.57</v>
      </c>
      <c r="EU185" s="231">
        <v>4211.07</v>
      </c>
      <c r="EV185" s="231">
        <v>210567108</v>
      </c>
      <c r="EW185" s="231">
        <v>6613.92</v>
      </c>
      <c r="EX185" s="231">
        <v>6629.82</v>
      </c>
      <c r="EY185" s="228">
        <v>-15.9</v>
      </c>
      <c r="EZ185" s="229">
        <v>-2.3999999999999998E-3</v>
      </c>
      <c r="FA185" s="229">
        <v>0.30549999999999999</v>
      </c>
      <c r="FB185" s="227" t="s">
        <v>693</v>
      </c>
      <c r="FC185">
        <f t="shared" si="3"/>
        <v>0</v>
      </c>
    </row>
    <row r="186" spans="1:159" ht="17.25" thickBot="1" x14ac:dyDescent="0.3">
      <c r="A186" s="226">
        <v>46132</v>
      </c>
      <c r="B186" s="227" t="s">
        <v>184</v>
      </c>
      <c r="C186" s="227" t="s">
        <v>285</v>
      </c>
      <c r="D186" s="228">
        <v>175</v>
      </c>
      <c r="E186" s="228">
        <v>8</v>
      </c>
      <c r="F186" s="231">
        <v>3708.5</v>
      </c>
      <c r="G186" s="231">
        <v>3708.6</v>
      </c>
      <c r="H186" s="228">
        <v>-0.1</v>
      </c>
      <c r="I186" s="229">
        <v>0</v>
      </c>
      <c r="J186" s="231">
        <v>3709</v>
      </c>
      <c r="K186" s="231">
        <v>3707.9</v>
      </c>
      <c r="L186" s="228">
        <v>1.1000000000000001</v>
      </c>
      <c r="M186" s="229">
        <v>2.9999999999999997E-4</v>
      </c>
      <c r="N186" s="231">
        <v>3708.5</v>
      </c>
      <c r="O186" s="231">
        <v>3708.6</v>
      </c>
      <c r="P186" s="228">
        <v>-0.1</v>
      </c>
      <c r="Q186" s="229">
        <v>0</v>
      </c>
      <c r="R186" s="231">
        <v>3686.5</v>
      </c>
      <c r="S186" s="231">
        <v>3692.7</v>
      </c>
      <c r="T186" s="228">
        <v>-6.2</v>
      </c>
      <c r="U186" s="229">
        <v>-1.6999999999999999E-3</v>
      </c>
      <c r="V186" s="231">
        <v>3677</v>
      </c>
      <c r="W186" s="231">
        <v>3685.2</v>
      </c>
      <c r="X186" s="228">
        <v>-8.1999999999999993</v>
      </c>
      <c r="Y186" s="229">
        <v>-2.2000000000000001E-3</v>
      </c>
      <c r="Z186" s="228">
        <v>-0.5</v>
      </c>
      <c r="AA186" s="228">
        <v>0.7</v>
      </c>
      <c r="AB186" s="228">
        <v>-1.2</v>
      </c>
      <c r="AC186" s="229">
        <v>-1E-4</v>
      </c>
      <c r="AD186" s="228">
        <v>-0.5</v>
      </c>
      <c r="AE186" s="228">
        <v>0.7</v>
      </c>
      <c r="AF186" s="228">
        <v>-1.2</v>
      </c>
      <c r="AG186" s="229">
        <v>-1E-4</v>
      </c>
      <c r="AH186" s="228">
        <v>-22.5</v>
      </c>
      <c r="AI186" s="228">
        <v>-15.2</v>
      </c>
      <c r="AJ186" s="228">
        <v>-7.3</v>
      </c>
      <c r="AK186" s="229">
        <v>-6.1000000000000004E-3</v>
      </c>
      <c r="AL186" s="228">
        <v>-32</v>
      </c>
      <c r="AM186" s="228">
        <v>-22.7</v>
      </c>
      <c r="AN186" s="228">
        <v>-9.3000000000000007</v>
      </c>
      <c r="AO186" s="229">
        <v>-8.6E-3</v>
      </c>
      <c r="AP186" s="231">
        <v>3727.84</v>
      </c>
      <c r="AQ186" s="231">
        <v>3710.05</v>
      </c>
      <c r="AR186" s="228">
        <v>0</v>
      </c>
      <c r="AS186" s="228">
        <v>340</v>
      </c>
      <c r="AT186" s="228">
        <v>425</v>
      </c>
      <c r="AU186" s="228">
        <v>-85</v>
      </c>
      <c r="AV186" s="229">
        <v>-0.1996</v>
      </c>
      <c r="AW186" s="228">
        <v>263</v>
      </c>
      <c r="AX186" s="228">
        <v>356</v>
      </c>
      <c r="AY186" s="228">
        <v>-94</v>
      </c>
      <c r="AZ186" s="229">
        <v>-0.26279999999999998</v>
      </c>
      <c r="BA186" s="228">
        <v>72</v>
      </c>
      <c r="BB186" s="228">
        <v>64</v>
      </c>
      <c r="BC186" s="228">
        <v>9</v>
      </c>
      <c r="BD186" s="229">
        <v>0.1399</v>
      </c>
      <c r="BE186" s="228">
        <v>5</v>
      </c>
      <c r="BF186" s="228">
        <v>5</v>
      </c>
      <c r="BG186" s="228">
        <v>0</v>
      </c>
      <c r="BH186" s="229">
        <v>0</v>
      </c>
      <c r="BI186" s="230">
        <v>1611</v>
      </c>
      <c r="BJ186" s="230">
        <v>3346</v>
      </c>
      <c r="BK186" s="230">
        <v>-1735</v>
      </c>
      <c r="BL186" s="229">
        <v>-0.51839999999999997</v>
      </c>
      <c r="BM186" s="228">
        <v>849</v>
      </c>
      <c r="BN186" s="230">
        <v>1555</v>
      </c>
      <c r="BO186" s="228">
        <v>-706</v>
      </c>
      <c r="BP186" s="229">
        <v>-0.4541</v>
      </c>
      <c r="BQ186" s="230">
        <v>2800</v>
      </c>
      <c r="BR186" s="230">
        <v>5326</v>
      </c>
      <c r="BS186" s="230">
        <v>-2526</v>
      </c>
      <c r="BT186" s="229">
        <v>-0.47420000000000001</v>
      </c>
      <c r="BU186" s="230">
        <v>702296</v>
      </c>
      <c r="BV186" s="230">
        <v>1105747</v>
      </c>
      <c r="BW186" s="230">
        <v>-403451</v>
      </c>
      <c r="BX186" s="229">
        <v>-0.3649</v>
      </c>
      <c r="BY186" s="230">
        <v>1285</v>
      </c>
      <c r="BZ186" s="230">
        <v>1282</v>
      </c>
      <c r="CA186" s="228">
        <v>3</v>
      </c>
      <c r="CB186" s="229">
        <v>2.3999999999999998E-3</v>
      </c>
      <c r="CC186" s="230">
        <v>1162</v>
      </c>
      <c r="CD186" s="230">
        <v>1184</v>
      </c>
      <c r="CE186" s="228">
        <v>-22</v>
      </c>
      <c r="CF186" s="229">
        <v>-1.8599999999999998E-2</v>
      </c>
      <c r="CG186" s="228">
        <v>116</v>
      </c>
      <c r="CH186" s="228">
        <v>91</v>
      </c>
      <c r="CI186" s="228">
        <v>25</v>
      </c>
      <c r="CJ186" s="229">
        <v>0.27689999999999998</v>
      </c>
      <c r="CK186" s="228">
        <v>7</v>
      </c>
      <c r="CL186" s="228">
        <v>7</v>
      </c>
      <c r="CM186" s="228">
        <v>0</v>
      </c>
      <c r="CN186" s="229">
        <v>-9.7999999999999997E-3</v>
      </c>
      <c r="CO186" s="228">
        <v>564</v>
      </c>
      <c r="CP186" s="228">
        <v>518</v>
      </c>
      <c r="CQ186" s="228">
        <v>46</v>
      </c>
      <c r="CR186" s="229">
        <v>8.8300000000000003E-2</v>
      </c>
      <c r="CS186" s="228">
        <v>500</v>
      </c>
      <c r="CT186" s="228">
        <v>494</v>
      </c>
      <c r="CU186" s="228">
        <v>7</v>
      </c>
      <c r="CV186" s="229">
        <v>1.3299999999999999E-2</v>
      </c>
      <c r="CW186" s="230">
        <v>2349</v>
      </c>
      <c r="CX186" s="230">
        <v>2294</v>
      </c>
      <c r="CY186" s="228">
        <v>55</v>
      </c>
      <c r="CZ186" s="229">
        <v>2.4199999999999999E-2</v>
      </c>
      <c r="DA186" s="228">
        <v>42.53</v>
      </c>
      <c r="DB186" s="228">
        <v>39.270000000000003</v>
      </c>
      <c r="DC186" s="228">
        <v>3.26</v>
      </c>
      <c r="DD186" s="228">
        <v>3.26</v>
      </c>
      <c r="DE186" s="228">
        <v>41.09</v>
      </c>
      <c r="DF186" s="228">
        <v>41.19</v>
      </c>
      <c r="DG186" s="228">
        <v>1.44</v>
      </c>
      <c r="DH186" s="228">
        <v>-0.1</v>
      </c>
      <c r="DI186" s="228">
        <v>41.44</v>
      </c>
      <c r="DJ186" s="228">
        <v>37.94</v>
      </c>
      <c r="DK186" s="228">
        <v>3.5</v>
      </c>
      <c r="DL186" s="228">
        <v>3.5</v>
      </c>
      <c r="DM186" s="228">
        <v>44.59</v>
      </c>
      <c r="DN186" s="228">
        <v>42.14</v>
      </c>
      <c r="DO186" s="228">
        <v>2.4500000000000002</v>
      </c>
      <c r="DP186" s="228">
        <v>2.4500000000000002</v>
      </c>
      <c r="DQ186" s="228">
        <v>0.89</v>
      </c>
      <c r="DR186" s="228">
        <v>0.95</v>
      </c>
      <c r="DS186" s="228">
        <v>-0.06</v>
      </c>
      <c r="DT186" s="229">
        <v>-6.3200000000000006E-2</v>
      </c>
      <c r="DU186" s="231">
        <v>3900</v>
      </c>
      <c r="DV186" s="231">
        <v>3500</v>
      </c>
      <c r="DW186" s="228">
        <v>0.53</v>
      </c>
      <c r="DX186" s="228">
        <v>0.46</v>
      </c>
      <c r="DY186" s="228">
        <v>7.0000000000000007E-2</v>
      </c>
      <c r="DZ186" s="229">
        <v>0.1522</v>
      </c>
      <c r="EA186" s="229">
        <v>9.5699999999999993E-2</v>
      </c>
      <c r="EB186" s="230">
        <v>263725</v>
      </c>
      <c r="EC186" s="229">
        <v>-5.8999999999999999E-3</v>
      </c>
      <c r="ED186" s="229">
        <v>9.5699999999999993E-2</v>
      </c>
      <c r="EE186" s="228">
        <v>-17.79</v>
      </c>
      <c r="EF186" s="229">
        <v>-4.7999999999999996E-3</v>
      </c>
      <c r="EG186" s="230">
        <v>257559</v>
      </c>
      <c r="EH186" s="230">
        <v>375812</v>
      </c>
      <c r="EI186" s="229">
        <v>-0.31469999999999998</v>
      </c>
      <c r="EJ186" s="229">
        <v>0.36670000000000003</v>
      </c>
      <c r="EK186" s="231">
        <v>1698.95</v>
      </c>
      <c r="EL186" s="228">
        <v>810.33</v>
      </c>
      <c r="EM186" s="228">
        <v>341.27</v>
      </c>
      <c r="EN186" s="228">
        <v>69.66</v>
      </c>
      <c r="EO186" s="231">
        <v>2850.54</v>
      </c>
      <c r="EP186" s="231">
        <v>5275.89</v>
      </c>
      <c r="EQ186" s="231">
        <v>-2425.35</v>
      </c>
      <c r="ER186" s="229">
        <v>-0.4597</v>
      </c>
      <c r="ES186" s="228">
        <v>561.14</v>
      </c>
      <c r="ET186" s="228">
        <v>453.23</v>
      </c>
      <c r="EU186" s="231">
        <v>1284.31</v>
      </c>
      <c r="EV186" s="231">
        <v>10374894</v>
      </c>
      <c r="EW186" s="231">
        <v>2298.69</v>
      </c>
      <c r="EX186" s="231">
        <v>2233.9299999999998</v>
      </c>
      <c r="EY186" s="228">
        <v>64.760000000000005</v>
      </c>
      <c r="EZ186" s="229">
        <v>2.9000000000000001E-2</v>
      </c>
      <c r="FA186" s="229">
        <v>0.61050000000000004</v>
      </c>
      <c r="FB186" s="227" t="s">
        <v>237</v>
      </c>
      <c r="FC186">
        <f t="shared" si="3"/>
        <v>0</v>
      </c>
    </row>
    <row r="187" spans="1:159" ht="17.25" thickBot="1" x14ac:dyDescent="0.3">
      <c r="A187" s="226">
        <v>46132</v>
      </c>
      <c r="B187" s="227" t="s">
        <v>498</v>
      </c>
      <c r="C187" s="227" t="s">
        <v>645</v>
      </c>
      <c r="D187" s="228">
        <v>50</v>
      </c>
      <c r="E187" s="228">
        <v>8</v>
      </c>
      <c r="F187" s="231">
        <v>14937</v>
      </c>
      <c r="G187" s="231">
        <v>15140</v>
      </c>
      <c r="H187" s="228">
        <v>-203</v>
      </c>
      <c r="I187" s="229">
        <v>-1.34E-2</v>
      </c>
      <c r="J187" s="231">
        <v>14907</v>
      </c>
      <c r="K187" s="231">
        <v>15089</v>
      </c>
      <c r="L187" s="228">
        <v>-182</v>
      </c>
      <c r="M187" s="229">
        <v>-1.21E-2</v>
      </c>
      <c r="N187" s="231">
        <v>14937</v>
      </c>
      <c r="O187" s="231">
        <v>15140</v>
      </c>
      <c r="P187" s="228">
        <v>-203</v>
      </c>
      <c r="Q187" s="229">
        <v>-1.34E-2</v>
      </c>
      <c r="R187" s="231">
        <v>14995</v>
      </c>
      <c r="S187" s="231">
        <v>15208</v>
      </c>
      <c r="T187" s="228">
        <v>-213</v>
      </c>
      <c r="U187" s="229">
        <v>-1.4E-2</v>
      </c>
      <c r="V187" s="231">
        <v>15068</v>
      </c>
      <c r="W187" s="231">
        <v>15286</v>
      </c>
      <c r="X187" s="228">
        <v>-218</v>
      </c>
      <c r="Y187" s="229">
        <v>-1.43E-2</v>
      </c>
      <c r="Z187" s="228">
        <v>30</v>
      </c>
      <c r="AA187" s="228">
        <v>51</v>
      </c>
      <c r="AB187" s="228">
        <v>-21</v>
      </c>
      <c r="AC187" s="229">
        <v>2E-3</v>
      </c>
      <c r="AD187" s="228">
        <v>30</v>
      </c>
      <c r="AE187" s="228">
        <v>51</v>
      </c>
      <c r="AF187" s="228">
        <v>-21</v>
      </c>
      <c r="AG187" s="229">
        <v>2E-3</v>
      </c>
      <c r="AH187" s="228">
        <v>88</v>
      </c>
      <c r="AI187" s="228">
        <v>119</v>
      </c>
      <c r="AJ187" s="228">
        <v>-31</v>
      </c>
      <c r="AK187" s="229">
        <v>5.8999999999999999E-3</v>
      </c>
      <c r="AL187" s="228">
        <v>161</v>
      </c>
      <c r="AM187" s="228">
        <v>197</v>
      </c>
      <c r="AN187" s="228">
        <v>-36</v>
      </c>
      <c r="AO187" s="229">
        <v>1.0800000000000001E-2</v>
      </c>
      <c r="AP187" s="231">
        <v>15008.47</v>
      </c>
      <c r="AQ187" s="231">
        <v>15060</v>
      </c>
      <c r="AR187" s="228">
        <v>0</v>
      </c>
      <c r="AS187" s="228">
        <v>117</v>
      </c>
      <c r="AT187" s="228">
        <v>187</v>
      </c>
      <c r="AU187" s="228">
        <v>-69</v>
      </c>
      <c r="AV187" s="229">
        <v>-0.3715</v>
      </c>
      <c r="AW187" s="228">
        <v>83</v>
      </c>
      <c r="AX187" s="228">
        <v>131</v>
      </c>
      <c r="AY187" s="228">
        <v>-47</v>
      </c>
      <c r="AZ187" s="229">
        <v>-0.36099999999999999</v>
      </c>
      <c r="BA187" s="228">
        <v>30</v>
      </c>
      <c r="BB187" s="228">
        <v>35</v>
      </c>
      <c r="BC187" s="228">
        <v>-5</v>
      </c>
      <c r="BD187" s="229">
        <v>-0.14799999999999999</v>
      </c>
      <c r="BE187" s="228">
        <v>4</v>
      </c>
      <c r="BF187" s="228">
        <v>21</v>
      </c>
      <c r="BG187" s="228">
        <v>-17</v>
      </c>
      <c r="BH187" s="229">
        <v>-0.81950000000000001</v>
      </c>
      <c r="BI187" s="228">
        <v>241</v>
      </c>
      <c r="BJ187" s="228">
        <v>468</v>
      </c>
      <c r="BK187" s="228">
        <v>-227</v>
      </c>
      <c r="BL187" s="229">
        <v>-0.48420000000000002</v>
      </c>
      <c r="BM187" s="228">
        <v>258</v>
      </c>
      <c r="BN187" s="230">
        <v>1267</v>
      </c>
      <c r="BO187" s="230">
        <v>-1010</v>
      </c>
      <c r="BP187" s="229">
        <v>-0.79679999999999995</v>
      </c>
      <c r="BQ187" s="228">
        <v>616</v>
      </c>
      <c r="BR187" s="230">
        <v>1922</v>
      </c>
      <c r="BS187" s="230">
        <v>-1306</v>
      </c>
      <c r="BT187" s="229">
        <v>-0.6794</v>
      </c>
      <c r="BU187" s="230">
        <v>102404</v>
      </c>
      <c r="BV187" s="230">
        <v>135419</v>
      </c>
      <c r="BW187" s="230">
        <v>-33015</v>
      </c>
      <c r="BX187" s="229">
        <v>-0.24379999999999999</v>
      </c>
      <c r="BY187" s="230">
        <v>1183</v>
      </c>
      <c r="BZ187" s="230">
        <v>1172</v>
      </c>
      <c r="CA187" s="228">
        <v>11</v>
      </c>
      <c r="CB187" s="229">
        <v>9.5999999999999992E-3</v>
      </c>
      <c r="CC187" s="228">
        <v>983</v>
      </c>
      <c r="CD187" s="228">
        <v>984</v>
      </c>
      <c r="CE187" s="228">
        <v>-1</v>
      </c>
      <c r="CF187" s="229">
        <v>-8.0000000000000004E-4</v>
      </c>
      <c r="CG187" s="228">
        <v>151</v>
      </c>
      <c r="CH187" s="228">
        <v>142</v>
      </c>
      <c r="CI187" s="228">
        <v>9</v>
      </c>
      <c r="CJ187" s="229">
        <v>6.6799999999999998E-2</v>
      </c>
      <c r="CK187" s="228">
        <v>48</v>
      </c>
      <c r="CL187" s="228">
        <v>46</v>
      </c>
      <c r="CM187" s="228">
        <v>3</v>
      </c>
      <c r="CN187" s="229">
        <v>5.7000000000000002E-2</v>
      </c>
      <c r="CO187" s="228">
        <v>460</v>
      </c>
      <c r="CP187" s="228">
        <v>451</v>
      </c>
      <c r="CQ187" s="228">
        <v>9</v>
      </c>
      <c r="CR187" s="229">
        <v>2.0199999999999999E-2</v>
      </c>
      <c r="CS187" s="228">
        <v>317</v>
      </c>
      <c r="CT187" s="228">
        <v>345</v>
      </c>
      <c r="CU187" s="228">
        <v>-28</v>
      </c>
      <c r="CV187" s="229">
        <v>-8.1699999999999995E-2</v>
      </c>
      <c r="CW187" s="230">
        <v>1960</v>
      </c>
      <c r="CX187" s="230">
        <v>1967</v>
      </c>
      <c r="CY187" s="228">
        <v>-8</v>
      </c>
      <c r="CZ187" s="229">
        <v>-3.8999999999999998E-3</v>
      </c>
      <c r="DA187" s="228">
        <v>43</v>
      </c>
      <c r="DB187" s="228">
        <v>48.79</v>
      </c>
      <c r="DC187" s="228">
        <v>-5.79</v>
      </c>
      <c r="DD187" s="228">
        <v>-5.79</v>
      </c>
      <c r="DE187" s="228">
        <v>41.51</v>
      </c>
      <c r="DF187" s="228">
        <v>41.58</v>
      </c>
      <c r="DG187" s="228">
        <v>1.49</v>
      </c>
      <c r="DH187" s="228">
        <v>-7.0000000000000007E-2</v>
      </c>
      <c r="DI187" s="228">
        <v>37.979999999999997</v>
      </c>
      <c r="DJ187" s="228">
        <v>33.82</v>
      </c>
      <c r="DK187" s="228">
        <v>4.16</v>
      </c>
      <c r="DL187" s="228">
        <v>4.16</v>
      </c>
      <c r="DM187" s="228">
        <v>47.71</v>
      </c>
      <c r="DN187" s="228">
        <v>54.32</v>
      </c>
      <c r="DO187" s="228">
        <v>-6.61</v>
      </c>
      <c r="DP187" s="228">
        <v>-6.61</v>
      </c>
      <c r="DQ187" s="228">
        <v>0.69</v>
      </c>
      <c r="DR187" s="228">
        <v>0.76</v>
      </c>
      <c r="DS187" s="228">
        <v>-7.0000000000000007E-2</v>
      </c>
      <c r="DT187" s="229">
        <v>-9.2100000000000001E-2</v>
      </c>
      <c r="DU187" s="231">
        <v>15000</v>
      </c>
      <c r="DV187" s="231">
        <v>13000</v>
      </c>
      <c r="DW187" s="228">
        <v>1.07</v>
      </c>
      <c r="DX187" s="228">
        <v>2.71</v>
      </c>
      <c r="DY187" s="228">
        <v>-1.64</v>
      </c>
      <c r="DZ187" s="229">
        <v>-0.60519999999999996</v>
      </c>
      <c r="EA187" s="229">
        <v>0.16900000000000001</v>
      </c>
      <c r="EB187" s="230">
        <v>125700</v>
      </c>
      <c r="EC187" s="229">
        <v>3.8999999999999998E-3</v>
      </c>
      <c r="ED187" s="229">
        <v>0.16900000000000001</v>
      </c>
      <c r="EE187" s="228">
        <v>51.53</v>
      </c>
      <c r="EF187" s="229">
        <v>3.3999999999999998E-3</v>
      </c>
      <c r="EG187" s="230">
        <v>49761</v>
      </c>
      <c r="EH187" s="230">
        <v>57310</v>
      </c>
      <c r="EI187" s="229">
        <v>-0.13170000000000001</v>
      </c>
      <c r="EJ187" s="229">
        <v>0.4859</v>
      </c>
      <c r="EK187" s="228">
        <v>253.88</v>
      </c>
      <c r="EL187" s="228">
        <v>234.35</v>
      </c>
      <c r="EM187" s="228">
        <v>117.94</v>
      </c>
      <c r="EN187" s="228">
        <v>30.02</v>
      </c>
      <c r="EO187" s="228">
        <v>606.17999999999995</v>
      </c>
      <c r="EP187" s="231">
        <v>1748.2</v>
      </c>
      <c r="EQ187" s="231">
        <v>-1142.02</v>
      </c>
      <c r="ER187" s="229">
        <v>-0.65329999999999999</v>
      </c>
      <c r="ES187" s="228">
        <v>455.7</v>
      </c>
      <c r="ET187" s="228">
        <v>280.99</v>
      </c>
      <c r="EU187" s="231">
        <v>1183.8</v>
      </c>
      <c r="EV187" s="231">
        <v>3644817</v>
      </c>
      <c r="EW187" s="231">
        <v>1920.49</v>
      </c>
      <c r="EX187" s="231">
        <v>1939.7</v>
      </c>
      <c r="EY187" s="228">
        <v>-19.21</v>
      </c>
      <c r="EZ187" s="229">
        <v>-9.9000000000000008E-3</v>
      </c>
      <c r="FA187" s="229">
        <v>0.3599</v>
      </c>
      <c r="FB187" s="227" t="s">
        <v>566</v>
      </c>
      <c r="FC187">
        <f t="shared" si="3"/>
        <v>0</v>
      </c>
    </row>
    <row r="188" spans="1:159" ht="17.25" thickBot="1" x14ac:dyDescent="0.3">
      <c r="A188" s="226">
        <v>46132</v>
      </c>
      <c r="B188" s="227" t="s">
        <v>162</v>
      </c>
      <c r="C188" s="227" t="s">
        <v>613</v>
      </c>
      <c r="D188" s="228">
        <v>1225</v>
      </c>
      <c r="E188" s="228">
        <v>8</v>
      </c>
      <c r="F188" s="228">
        <v>576.54999999999995</v>
      </c>
      <c r="G188" s="228">
        <v>594.95000000000005</v>
      </c>
      <c r="H188" s="228">
        <v>-18.399999999999999</v>
      </c>
      <c r="I188" s="229">
        <v>-3.09E-2</v>
      </c>
      <c r="J188" s="228">
        <v>576.54999999999995</v>
      </c>
      <c r="K188" s="228">
        <v>593.85</v>
      </c>
      <c r="L188" s="228">
        <v>-17.3</v>
      </c>
      <c r="M188" s="229">
        <v>-2.9100000000000001E-2</v>
      </c>
      <c r="N188" s="228">
        <v>576.54999999999995</v>
      </c>
      <c r="O188" s="228">
        <v>594.95000000000005</v>
      </c>
      <c r="P188" s="228">
        <v>-18.399999999999999</v>
      </c>
      <c r="Q188" s="229">
        <v>-3.09E-2</v>
      </c>
      <c r="R188" s="228">
        <v>580.04999999999995</v>
      </c>
      <c r="S188" s="228">
        <v>597.54999999999995</v>
      </c>
      <c r="T188" s="228">
        <v>-17.5</v>
      </c>
      <c r="U188" s="229">
        <v>-2.93E-2</v>
      </c>
      <c r="V188" s="228">
        <v>583.65</v>
      </c>
      <c r="W188" s="228">
        <v>599.75</v>
      </c>
      <c r="X188" s="228">
        <v>-16.100000000000001</v>
      </c>
      <c r="Y188" s="229">
        <v>-2.6800000000000001E-2</v>
      </c>
      <c r="Z188" s="228">
        <v>0</v>
      </c>
      <c r="AA188" s="228">
        <v>1.1000000000000001</v>
      </c>
      <c r="AB188" s="228">
        <v>-1.1000000000000001</v>
      </c>
      <c r="AC188" s="229">
        <v>0</v>
      </c>
      <c r="AD188" s="228">
        <v>0</v>
      </c>
      <c r="AE188" s="228">
        <v>1.1000000000000001</v>
      </c>
      <c r="AF188" s="228">
        <v>-1.1000000000000001</v>
      </c>
      <c r="AG188" s="229">
        <v>0</v>
      </c>
      <c r="AH188" s="228">
        <v>3.5</v>
      </c>
      <c r="AI188" s="228">
        <v>3.7</v>
      </c>
      <c r="AJ188" s="228">
        <v>-0.2</v>
      </c>
      <c r="AK188" s="229">
        <v>6.1000000000000004E-3</v>
      </c>
      <c r="AL188" s="228">
        <v>7.1</v>
      </c>
      <c r="AM188" s="228">
        <v>5.9</v>
      </c>
      <c r="AN188" s="228">
        <v>1.2</v>
      </c>
      <c r="AO188" s="229">
        <v>1.23E-2</v>
      </c>
      <c r="AP188" s="228">
        <v>584.38</v>
      </c>
      <c r="AQ188" s="228">
        <v>586.88</v>
      </c>
      <c r="AR188" s="228">
        <v>0</v>
      </c>
      <c r="AS188" s="228">
        <v>160</v>
      </c>
      <c r="AT188" s="228">
        <v>230</v>
      </c>
      <c r="AU188" s="228">
        <v>-70</v>
      </c>
      <c r="AV188" s="229">
        <v>-0.30599999999999999</v>
      </c>
      <c r="AW188" s="228">
        <v>139</v>
      </c>
      <c r="AX188" s="228">
        <v>203</v>
      </c>
      <c r="AY188" s="228">
        <v>-64</v>
      </c>
      <c r="AZ188" s="229">
        <v>-0.31430000000000002</v>
      </c>
      <c r="BA188" s="228">
        <v>19</v>
      </c>
      <c r="BB188" s="228">
        <v>25</v>
      </c>
      <c r="BC188" s="228">
        <v>-7</v>
      </c>
      <c r="BD188" s="229">
        <v>-0.2646</v>
      </c>
      <c r="BE188" s="228">
        <v>2</v>
      </c>
      <c r="BF188" s="228">
        <v>2</v>
      </c>
      <c r="BG188" s="228">
        <v>0</v>
      </c>
      <c r="BH188" s="229">
        <v>0</v>
      </c>
      <c r="BI188" s="228">
        <v>213</v>
      </c>
      <c r="BJ188" s="228">
        <v>594</v>
      </c>
      <c r="BK188" s="228">
        <v>-380</v>
      </c>
      <c r="BL188" s="229">
        <v>-0.64059999999999995</v>
      </c>
      <c r="BM188" s="228">
        <v>136</v>
      </c>
      <c r="BN188" s="228">
        <v>210</v>
      </c>
      <c r="BO188" s="228">
        <v>-75</v>
      </c>
      <c r="BP188" s="229">
        <v>-0.35499999999999998</v>
      </c>
      <c r="BQ188" s="228">
        <v>509</v>
      </c>
      <c r="BR188" s="230">
        <v>1034</v>
      </c>
      <c r="BS188" s="228">
        <v>-525</v>
      </c>
      <c r="BT188" s="229">
        <v>-0.50800000000000001</v>
      </c>
      <c r="BU188" s="230">
        <v>1405708</v>
      </c>
      <c r="BV188" s="230">
        <v>3694058</v>
      </c>
      <c r="BW188" s="230">
        <v>-2288350</v>
      </c>
      <c r="BX188" s="229">
        <v>-0.61950000000000005</v>
      </c>
      <c r="BY188" s="228">
        <v>828</v>
      </c>
      <c r="BZ188" s="228">
        <v>823</v>
      </c>
      <c r="CA188" s="228">
        <v>5</v>
      </c>
      <c r="CB188" s="229">
        <v>5.7000000000000002E-3</v>
      </c>
      <c r="CC188" s="228">
        <v>793</v>
      </c>
      <c r="CD188" s="228">
        <v>797</v>
      </c>
      <c r="CE188" s="228">
        <v>-4</v>
      </c>
      <c r="CF188" s="229">
        <v>-5.4000000000000003E-3</v>
      </c>
      <c r="CG188" s="228">
        <v>31</v>
      </c>
      <c r="CH188" s="228">
        <v>23</v>
      </c>
      <c r="CI188" s="228">
        <v>8</v>
      </c>
      <c r="CJ188" s="229">
        <v>0.33750000000000002</v>
      </c>
      <c r="CK188" s="228">
        <v>5</v>
      </c>
      <c r="CL188" s="228">
        <v>3</v>
      </c>
      <c r="CM188" s="228">
        <v>1</v>
      </c>
      <c r="CN188" s="229">
        <v>0.39579999999999999</v>
      </c>
      <c r="CO188" s="228">
        <v>250</v>
      </c>
      <c r="CP188" s="228">
        <v>261</v>
      </c>
      <c r="CQ188" s="228">
        <v>-11</v>
      </c>
      <c r="CR188" s="229">
        <v>-4.3299999999999998E-2</v>
      </c>
      <c r="CS188" s="228">
        <v>195</v>
      </c>
      <c r="CT188" s="228">
        <v>205</v>
      </c>
      <c r="CU188" s="228">
        <v>-10</v>
      </c>
      <c r="CV188" s="229">
        <v>-4.9700000000000001E-2</v>
      </c>
      <c r="CW188" s="230">
        <v>1272</v>
      </c>
      <c r="CX188" s="230">
        <v>1289</v>
      </c>
      <c r="CY188" s="228">
        <v>-17</v>
      </c>
      <c r="CZ188" s="229">
        <v>-1.2999999999999999E-2</v>
      </c>
      <c r="DA188" s="228">
        <v>41.73</v>
      </c>
      <c r="DB188" s="228">
        <v>38.270000000000003</v>
      </c>
      <c r="DC188" s="228">
        <v>3.46</v>
      </c>
      <c r="DD188" s="228">
        <v>3.46</v>
      </c>
      <c r="DE188" s="228">
        <v>41.54</v>
      </c>
      <c r="DF188" s="228">
        <v>41.42</v>
      </c>
      <c r="DG188" s="228">
        <v>0.19</v>
      </c>
      <c r="DH188" s="228">
        <v>0.12</v>
      </c>
      <c r="DI188" s="228">
        <v>41.52</v>
      </c>
      <c r="DJ188" s="228">
        <v>37.78</v>
      </c>
      <c r="DK188" s="228">
        <v>3.74</v>
      </c>
      <c r="DL188" s="228">
        <v>3.74</v>
      </c>
      <c r="DM188" s="228">
        <v>42.06</v>
      </c>
      <c r="DN188" s="228">
        <v>39.67</v>
      </c>
      <c r="DO188" s="228">
        <v>2.39</v>
      </c>
      <c r="DP188" s="228">
        <v>2.39</v>
      </c>
      <c r="DQ188" s="228">
        <v>0.78</v>
      </c>
      <c r="DR188" s="228">
        <v>0.79</v>
      </c>
      <c r="DS188" s="228">
        <v>-0.01</v>
      </c>
      <c r="DT188" s="229">
        <v>-1.2699999999999999E-2</v>
      </c>
      <c r="DU188" s="228">
        <v>600</v>
      </c>
      <c r="DV188" s="228">
        <v>580</v>
      </c>
      <c r="DW188" s="228">
        <v>0.64</v>
      </c>
      <c r="DX188" s="228">
        <v>0.35</v>
      </c>
      <c r="DY188" s="228">
        <v>0.28999999999999998</v>
      </c>
      <c r="DZ188" s="229">
        <v>0.8286</v>
      </c>
      <c r="EA188" s="229">
        <v>4.2599999999999999E-2</v>
      </c>
      <c r="EB188" s="230">
        <v>454475</v>
      </c>
      <c r="EC188" s="229">
        <v>6.1000000000000004E-3</v>
      </c>
      <c r="ED188" s="229">
        <v>4.2599999999999999E-2</v>
      </c>
      <c r="EE188" s="228">
        <v>2.5</v>
      </c>
      <c r="EF188" s="229">
        <v>4.3E-3</v>
      </c>
      <c r="EG188" s="230">
        <v>645532</v>
      </c>
      <c r="EH188" s="230">
        <v>2150134</v>
      </c>
      <c r="EI188" s="229">
        <v>-0.69979999999999998</v>
      </c>
      <c r="EJ188" s="229">
        <v>0.4592</v>
      </c>
      <c r="EK188" s="228">
        <v>225.95</v>
      </c>
      <c r="EL188" s="228">
        <v>134.85</v>
      </c>
      <c r="EM188" s="228">
        <v>162.11000000000001</v>
      </c>
      <c r="EN188" s="228">
        <v>44.48</v>
      </c>
      <c r="EO188" s="228">
        <v>522.91</v>
      </c>
      <c r="EP188" s="231">
        <v>1081.5899999999999</v>
      </c>
      <c r="EQ188" s="228">
        <v>-558.67999999999995</v>
      </c>
      <c r="ER188" s="229">
        <v>-0.51649999999999996</v>
      </c>
      <c r="ES188" s="228">
        <v>248.45</v>
      </c>
      <c r="ET188" s="228">
        <v>180.14</v>
      </c>
      <c r="EU188" s="228">
        <v>828</v>
      </c>
      <c r="EV188" s="231">
        <v>61283708</v>
      </c>
      <c r="EW188" s="231">
        <v>1256.5899999999999</v>
      </c>
      <c r="EX188" s="231">
        <v>1300.04</v>
      </c>
      <c r="EY188" s="228">
        <v>-43.45</v>
      </c>
      <c r="EZ188" s="229">
        <v>-3.3399999999999999E-2</v>
      </c>
      <c r="FA188" s="229">
        <v>0.36</v>
      </c>
      <c r="FB188" s="227" t="s">
        <v>566</v>
      </c>
      <c r="FC188">
        <f t="shared" si="3"/>
        <v>0</v>
      </c>
    </row>
    <row r="189" spans="1:159" ht="17.25" thickBot="1" x14ac:dyDescent="0.3">
      <c r="A189" s="226">
        <v>46132</v>
      </c>
      <c r="B189" s="227" t="s">
        <v>197</v>
      </c>
      <c r="C189" s="227" t="s">
        <v>286</v>
      </c>
      <c r="D189" s="228">
        <v>200</v>
      </c>
      <c r="E189" s="228">
        <v>8</v>
      </c>
      <c r="F189" s="231">
        <v>2466.6</v>
      </c>
      <c r="G189" s="231">
        <v>2495.3000000000002</v>
      </c>
      <c r="H189" s="228">
        <v>-28.7</v>
      </c>
      <c r="I189" s="229">
        <v>-1.15E-2</v>
      </c>
      <c r="J189" s="231">
        <v>2465.1</v>
      </c>
      <c r="K189" s="231">
        <v>2494.5</v>
      </c>
      <c r="L189" s="228">
        <v>-29.4</v>
      </c>
      <c r="M189" s="229">
        <v>-1.18E-2</v>
      </c>
      <c r="N189" s="231">
        <v>2466.6</v>
      </c>
      <c r="O189" s="231">
        <v>2495.3000000000002</v>
      </c>
      <c r="P189" s="228">
        <v>-28.7</v>
      </c>
      <c r="Q189" s="229">
        <v>-1.15E-2</v>
      </c>
      <c r="R189" s="231">
        <v>2475.4</v>
      </c>
      <c r="S189" s="231">
        <v>2503.1999999999998</v>
      </c>
      <c r="T189" s="228">
        <v>-27.8</v>
      </c>
      <c r="U189" s="229">
        <v>-1.11E-2</v>
      </c>
      <c r="V189" s="231">
        <v>2490.4</v>
      </c>
      <c r="W189" s="231">
        <v>2518.6999999999998</v>
      </c>
      <c r="X189" s="228">
        <v>-28.3</v>
      </c>
      <c r="Y189" s="229">
        <v>-1.12E-2</v>
      </c>
      <c r="Z189" s="228">
        <v>1.5</v>
      </c>
      <c r="AA189" s="228">
        <v>0.8</v>
      </c>
      <c r="AB189" s="228">
        <v>0.7</v>
      </c>
      <c r="AC189" s="229">
        <v>5.9999999999999995E-4</v>
      </c>
      <c r="AD189" s="228">
        <v>1.5</v>
      </c>
      <c r="AE189" s="228">
        <v>0.8</v>
      </c>
      <c r="AF189" s="228">
        <v>0.7</v>
      </c>
      <c r="AG189" s="229">
        <v>5.9999999999999995E-4</v>
      </c>
      <c r="AH189" s="228">
        <v>10.3</v>
      </c>
      <c r="AI189" s="228">
        <v>8.6999999999999993</v>
      </c>
      <c r="AJ189" s="228">
        <v>1.6</v>
      </c>
      <c r="AK189" s="229">
        <v>4.1999999999999997E-3</v>
      </c>
      <c r="AL189" s="228">
        <v>25.3</v>
      </c>
      <c r="AM189" s="228">
        <v>24.2</v>
      </c>
      <c r="AN189" s="228">
        <v>1.1000000000000001</v>
      </c>
      <c r="AO189" s="229">
        <v>1.03E-2</v>
      </c>
      <c r="AP189" s="231">
        <v>2480.06</v>
      </c>
      <c r="AQ189" s="231">
        <v>2489.09</v>
      </c>
      <c r="AR189" s="228">
        <v>0</v>
      </c>
      <c r="AS189" s="228">
        <v>113</v>
      </c>
      <c r="AT189" s="228">
        <v>175</v>
      </c>
      <c r="AU189" s="228">
        <v>-62</v>
      </c>
      <c r="AV189" s="229">
        <v>-0.35620000000000002</v>
      </c>
      <c r="AW189" s="228">
        <v>89</v>
      </c>
      <c r="AX189" s="228">
        <v>153</v>
      </c>
      <c r="AY189" s="228">
        <v>-65</v>
      </c>
      <c r="AZ189" s="229">
        <v>-0.42180000000000001</v>
      </c>
      <c r="BA189" s="228">
        <v>22</v>
      </c>
      <c r="BB189" s="228">
        <v>21</v>
      </c>
      <c r="BC189" s="228">
        <v>2</v>
      </c>
      <c r="BD189" s="229">
        <v>8.1100000000000005E-2</v>
      </c>
      <c r="BE189" s="228">
        <v>2</v>
      </c>
      <c r="BF189" s="228">
        <v>2</v>
      </c>
      <c r="BG189" s="228">
        <v>0</v>
      </c>
      <c r="BH189" s="229">
        <v>0.28129999999999999</v>
      </c>
      <c r="BI189" s="228">
        <v>476</v>
      </c>
      <c r="BJ189" s="228">
        <v>642</v>
      </c>
      <c r="BK189" s="228">
        <v>-166</v>
      </c>
      <c r="BL189" s="229">
        <v>-0.25829999999999997</v>
      </c>
      <c r="BM189" s="228">
        <v>158</v>
      </c>
      <c r="BN189" s="228">
        <v>223</v>
      </c>
      <c r="BO189" s="228">
        <v>-65</v>
      </c>
      <c r="BP189" s="229">
        <v>-0.28970000000000001</v>
      </c>
      <c r="BQ189" s="228">
        <v>748</v>
      </c>
      <c r="BR189" s="230">
        <v>1040</v>
      </c>
      <c r="BS189" s="228">
        <v>-293</v>
      </c>
      <c r="BT189" s="229">
        <v>-0.28149999999999997</v>
      </c>
      <c r="BU189" s="230">
        <v>355072</v>
      </c>
      <c r="BV189" s="230">
        <v>289743</v>
      </c>
      <c r="BW189" s="230">
        <v>65329</v>
      </c>
      <c r="BX189" s="229">
        <v>0.22550000000000001</v>
      </c>
      <c r="BY189" s="230">
        <v>1049</v>
      </c>
      <c r="BZ189" s="230">
        <v>1043</v>
      </c>
      <c r="CA189" s="228">
        <v>6</v>
      </c>
      <c r="CB189" s="229">
        <v>5.4999999999999997E-3</v>
      </c>
      <c r="CC189" s="228">
        <v>991</v>
      </c>
      <c r="CD189" s="228">
        <v>997</v>
      </c>
      <c r="CE189" s="228">
        <v>-6</v>
      </c>
      <c r="CF189" s="229">
        <v>-5.8999999999999999E-3</v>
      </c>
      <c r="CG189" s="228">
        <v>52</v>
      </c>
      <c r="CH189" s="228">
        <v>41</v>
      </c>
      <c r="CI189" s="228">
        <v>11</v>
      </c>
      <c r="CJ189" s="229">
        <v>0.26519999999999999</v>
      </c>
      <c r="CK189" s="228">
        <v>6</v>
      </c>
      <c r="CL189" s="228">
        <v>5</v>
      </c>
      <c r="CM189" s="228">
        <v>1</v>
      </c>
      <c r="CN189" s="229">
        <v>0.12839999999999999</v>
      </c>
      <c r="CO189" s="228">
        <v>519</v>
      </c>
      <c r="CP189" s="228">
        <v>507</v>
      </c>
      <c r="CQ189" s="228">
        <v>12</v>
      </c>
      <c r="CR189" s="229">
        <v>2.35E-2</v>
      </c>
      <c r="CS189" s="228">
        <v>286</v>
      </c>
      <c r="CT189" s="228">
        <v>297</v>
      </c>
      <c r="CU189" s="228">
        <v>-11</v>
      </c>
      <c r="CV189" s="229">
        <v>-3.7600000000000001E-2</v>
      </c>
      <c r="CW189" s="230">
        <v>1854</v>
      </c>
      <c r="CX189" s="230">
        <v>1847</v>
      </c>
      <c r="CY189" s="228">
        <v>7</v>
      </c>
      <c r="CZ189" s="229">
        <v>3.5999999999999999E-3</v>
      </c>
      <c r="DA189" s="228">
        <v>37.64</v>
      </c>
      <c r="DB189" s="228">
        <v>33.340000000000003</v>
      </c>
      <c r="DC189" s="228">
        <v>4.3</v>
      </c>
      <c r="DD189" s="228">
        <v>4.3</v>
      </c>
      <c r="DE189" s="228">
        <v>36.549999999999997</v>
      </c>
      <c r="DF189" s="228">
        <v>36.61</v>
      </c>
      <c r="DG189" s="228">
        <v>1.0900000000000001</v>
      </c>
      <c r="DH189" s="228">
        <v>-0.06</v>
      </c>
      <c r="DI189" s="228">
        <v>37.42</v>
      </c>
      <c r="DJ189" s="228">
        <v>33.06</v>
      </c>
      <c r="DK189" s="228">
        <v>4.3600000000000003</v>
      </c>
      <c r="DL189" s="228">
        <v>4.3600000000000003</v>
      </c>
      <c r="DM189" s="228">
        <v>38.32</v>
      </c>
      <c r="DN189" s="228">
        <v>34.159999999999997</v>
      </c>
      <c r="DO189" s="228">
        <v>4.16</v>
      </c>
      <c r="DP189" s="228">
        <v>4.16</v>
      </c>
      <c r="DQ189" s="228">
        <v>0.55000000000000004</v>
      </c>
      <c r="DR189" s="228">
        <v>0.59</v>
      </c>
      <c r="DS189" s="228">
        <v>-0.04</v>
      </c>
      <c r="DT189" s="229">
        <v>-6.7799999999999999E-2</v>
      </c>
      <c r="DU189" s="231">
        <v>2500</v>
      </c>
      <c r="DV189" s="231">
        <v>2400</v>
      </c>
      <c r="DW189" s="228">
        <v>0.33</v>
      </c>
      <c r="DX189" s="228">
        <v>0.35</v>
      </c>
      <c r="DY189" s="228">
        <v>-0.02</v>
      </c>
      <c r="DZ189" s="229">
        <v>-5.7099999999999998E-2</v>
      </c>
      <c r="EA189" s="229">
        <v>5.5800000000000002E-2</v>
      </c>
      <c r="EB189" s="230">
        <v>190000</v>
      </c>
      <c r="EC189" s="229">
        <v>3.5999999999999999E-3</v>
      </c>
      <c r="ED189" s="229">
        <v>5.5800000000000002E-2</v>
      </c>
      <c r="EE189" s="228">
        <v>9.0299999999999994</v>
      </c>
      <c r="EF189" s="229">
        <v>3.5999999999999999E-3</v>
      </c>
      <c r="EG189" s="230">
        <v>134782</v>
      </c>
      <c r="EH189" s="230">
        <v>125436</v>
      </c>
      <c r="EI189" s="229">
        <v>7.4499999999999997E-2</v>
      </c>
      <c r="EJ189" s="229">
        <v>0.37959999999999999</v>
      </c>
      <c r="EK189" s="228">
        <v>498.46</v>
      </c>
      <c r="EL189" s="228">
        <v>159.04</v>
      </c>
      <c r="EM189" s="228">
        <v>113.59</v>
      </c>
      <c r="EN189" s="228">
        <v>31.83</v>
      </c>
      <c r="EO189" s="228">
        <v>771.09</v>
      </c>
      <c r="EP189" s="231">
        <v>1079.07</v>
      </c>
      <c r="EQ189" s="228">
        <v>-307.98</v>
      </c>
      <c r="ER189" s="229">
        <v>-0.28539999999999999</v>
      </c>
      <c r="ES189" s="228">
        <v>541.94000000000005</v>
      </c>
      <c r="ET189" s="228">
        <v>281.70999999999998</v>
      </c>
      <c r="EU189" s="231">
        <v>1049.44</v>
      </c>
      <c r="EV189" s="231">
        <v>19721628</v>
      </c>
      <c r="EW189" s="231">
        <v>1873.09</v>
      </c>
      <c r="EX189" s="231">
        <v>1878.34</v>
      </c>
      <c r="EY189" s="228">
        <v>-5.25</v>
      </c>
      <c r="EZ189" s="229">
        <v>-2.8E-3</v>
      </c>
      <c r="FA189" s="229">
        <v>0.38109999999999999</v>
      </c>
      <c r="FB189" s="227" t="s">
        <v>566</v>
      </c>
      <c r="FC189">
        <f t="shared" si="3"/>
        <v>0</v>
      </c>
    </row>
    <row r="190" spans="1:159" ht="17.25" thickBot="1" x14ac:dyDescent="0.3">
      <c r="A190" s="226">
        <v>46132</v>
      </c>
      <c r="B190" s="227" t="s">
        <v>170</v>
      </c>
      <c r="C190" s="227" t="s">
        <v>288</v>
      </c>
      <c r="D190" s="228">
        <v>350</v>
      </c>
      <c r="E190" s="228">
        <v>8</v>
      </c>
      <c r="F190" s="231">
        <v>1667.3</v>
      </c>
      <c r="G190" s="231">
        <v>1674.9</v>
      </c>
      <c r="H190" s="228">
        <v>-7.6</v>
      </c>
      <c r="I190" s="229">
        <v>-4.4999999999999997E-3</v>
      </c>
      <c r="J190" s="231">
        <v>1668.6</v>
      </c>
      <c r="K190" s="231">
        <v>1675.5</v>
      </c>
      <c r="L190" s="228">
        <v>-6.9</v>
      </c>
      <c r="M190" s="229">
        <v>-4.1000000000000003E-3</v>
      </c>
      <c r="N190" s="231">
        <v>1667.3</v>
      </c>
      <c r="O190" s="231">
        <v>1674.9</v>
      </c>
      <c r="P190" s="228">
        <v>-7.6</v>
      </c>
      <c r="Q190" s="229">
        <v>-4.4999999999999997E-3</v>
      </c>
      <c r="R190" s="231">
        <v>1676.8</v>
      </c>
      <c r="S190" s="231">
        <v>1684.2</v>
      </c>
      <c r="T190" s="228">
        <v>-7.4</v>
      </c>
      <c r="U190" s="229">
        <v>-4.4000000000000003E-3</v>
      </c>
      <c r="V190" s="231">
        <v>1688.6</v>
      </c>
      <c r="W190" s="231">
        <v>1696.3</v>
      </c>
      <c r="X190" s="228">
        <v>-7.7</v>
      </c>
      <c r="Y190" s="229">
        <v>-4.4999999999999997E-3</v>
      </c>
      <c r="Z190" s="228">
        <v>-1.3</v>
      </c>
      <c r="AA190" s="228">
        <v>-0.6</v>
      </c>
      <c r="AB190" s="228">
        <v>-0.7</v>
      </c>
      <c r="AC190" s="229">
        <v>-8.0000000000000004E-4</v>
      </c>
      <c r="AD190" s="228">
        <v>-1.3</v>
      </c>
      <c r="AE190" s="228">
        <v>-0.6</v>
      </c>
      <c r="AF190" s="228">
        <v>-0.7</v>
      </c>
      <c r="AG190" s="229">
        <v>-8.0000000000000004E-4</v>
      </c>
      <c r="AH190" s="228">
        <v>8.1999999999999993</v>
      </c>
      <c r="AI190" s="228">
        <v>8.6999999999999993</v>
      </c>
      <c r="AJ190" s="228">
        <v>-0.5</v>
      </c>
      <c r="AK190" s="229">
        <v>4.8999999999999998E-3</v>
      </c>
      <c r="AL190" s="228">
        <v>20</v>
      </c>
      <c r="AM190" s="228">
        <v>20.8</v>
      </c>
      <c r="AN190" s="228">
        <v>-0.8</v>
      </c>
      <c r="AO190" s="229">
        <v>1.2E-2</v>
      </c>
      <c r="AP190" s="231">
        <v>1670.7</v>
      </c>
      <c r="AQ190" s="231">
        <v>1680.82</v>
      </c>
      <c r="AR190" s="228">
        <v>0</v>
      </c>
      <c r="AS190" s="228">
        <v>308</v>
      </c>
      <c r="AT190" s="228">
        <v>458</v>
      </c>
      <c r="AU190" s="228">
        <v>-150</v>
      </c>
      <c r="AV190" s="229">
        <v>-0.32740000000000002</v>
      </c>
      <c r="AW190" s="228">
        <v>218</v>
      </c>
      <c r="AX190" s="228">
        <v>355</v>
      </c>
      <c r="AY190" s="228">
        <v>-137</v>
      </c>
      <c r="AZ190" s="229">
        <v>-0.38579999999999998</v>
      </c>
      <c r="BA190" s="228">
        <v>32</v>
      </c>
      <c r="BB190" s="228">
        <v>33</v>
      </c>
      <c r="BC190" s="228">
        <v>-1</v>
      </c>
      <c r="BD190" s="229">
        <v>-4.2000000000000003E-2</v>
      </c>
      <c r="BE190" s="228">
        <v>58</v>
      </c>
      <c r="BF190" s="228">
        <v>70</v>
      </c>
      <c r="BG190" s="228">
        <v>-12</v>
      </c>
      <c r="BH190" s="229">
        <v>-0.16750000000000001</v>
      </c>
      <c r="BI190" s="230">
        <v>1134</v>
      </c>
      <c r="BJ190" s="230">
        <v>1634</v>
      </c>
      <c r="BK190" s="228">
        <v>-499</v>
      </c>
      <c r="BL190" s="229">
        <v>-0.30570000000000003</v>
      </c>
      <c r="BM190" s="228">
        <v>559</v>
      </c>
      <c r="BN190" s="230">
        <v>1205</v>
      </c>
      <c r="BO190" s="228">
        <v>-646</v>
      </c>
      <c r="BP190" s="229">
        <v>-0.53580000000000005</v>
      </c>
      <c r="BQ190" s="230">
        <v>2002</v>
      </c>
      <c r="BR190" s="230">
        <v>3297</v>
      </c>
      <c r="BS190" s="230">
        <v>-1295</v>
      </c>
      <c r="BT190" s="229">
        <v>-0.39279999999999998</v>
      </c>
      <c r="BU190" s="230">
        <v>1876428</v>
      </c>
      <c r="BV190" s="230">
        <v>3328143</v>
      </c>
      <c r="BW190" s="230">
        <v>-1451715</v>
      </c>
      <c r="BX190" s="229">
        <v>-0.43619999999999998</v>
      </c>
      <c r="BY190" s="230">
        <v>3124</v>
      </c>
      <c r="BZ190" s="230">
        <v>3118</v>
      </c>
      <c r="CA190" s="228">
        <v>6</v>
      </c>
      <c r="CB190" s="229">
        <v>1.9E-3</v>
      </c>
      <c r="CC190" s="230">
        <v>2419</v>
      </c>
      <c r="CD190" s="230">
        <v>2485</v>
      </c>
      <c r="CE190" s="228">
        <v>-66</v>
      </c>
      <c r="CF190" s="229">
        <v>-2.6700000000000002E-2</v>
      </c>
      <c r="CG190" s="228">
        <v>433</v>
      </c>
      <c r="CH190" s="228">
        <v>417</v>
      </c>
      <c r="CI190" s="228">
        <v>16</v>
      </c>
      <c r="CJ190" s="229">
        <v>3.7499999999999999E-2</v>
      </c>
      <c r="CK190" s="228">
        <v>272</v>
      </c>
      <c r="CL190" s="228">
        <v>216</v>
      </c>
      <c r="CM190" s="228">
        <v>56</v>
      </c>
      <c r="CN190" s="229">
        <v>0.2616</v>
      </c>
      <c r="CO190" s="230">
        <v>1383</v>
      </c>
      <c r="CP190" s="230">
        <v>1367</v>
      </c>
      <c r="CQ190" s="228">
        <v>15</v>
      </c>
      <c r="CR190" s="229">
        <v>1.12E-2</v>
      </c>
      <c r="CS190" s="228">
        <v>918</v>
      </c>
      <c r="CT190" s="228">
        <v>974</v>
      </c>
      <c r="CU190" s="228">
        <v>-56</v>
      </c>
      <c r="CV190" s="229">
        <v>-5.7599999999999998E-2</v>
      </c>
      <c r="CW190" s="230">
        <v>5424</v>
      </c>
      <c r="CX190" s="230">
        <v>5459</v>
      </c>
      <c r="CY190" s="228">
        <v>-35</v>
      </c>
      <c r="CZ190" s="229">
        <v>-6.4000000000000003E-3</v>
      </c>
      <c r="DA190" s="228">
        <v>27.36</v>
      </c>
      <c r="DB190" s="228">
        <v>25.71</v>
      </c>
      <c r="DC190" s="228">
        <v>1.65</v>
      </c>
      <c r="DD190" s="228">
        <v>1.65</v>
      </c>
      <c r="DE190" s="228">
        <v>23.69</v>
      </c>
      <c r="DF190" s="228">
        <v>23.75</v>
      </c>
      <c r="DG190" s="228">
        <v>3.67</v>
      </c>
      <c r="DH190" s="228">
        <v>-0.06</v>
      </c>
      <c r="DI190" s="228">
        <v>26.92</v>
      </c>
      <c r="DJ190" s="228">
        <v>24.87</v>
      </c>
      <c r="DK190" s="228">
        <v>2.0499999999999998</v>
      </c>
      <c r="DL190" s="228">
        <v>2.0499999999999998</v>
      </c>
      <c r="DM190" s="228">
        <v>28.25</v>
      </c>
      <c r="DN190" s="228">
        <v>26.86</v>
      </c>
      <c r="DO190" s="228">
        <v>1.39</v>
      </c>
      <c r="DP190" s="228">
        <v>1.39</v>
      </c>
      <c r="DQ190" s="228">
        <v>0.66</v>
      </c>
      <c r="DR190" s="228">
        <v>0.71</v>
      </c>
      <c r="DS190" s="228">
        <v>-0.05</v>
      </c>
      <c r="DT190" s="229">
        <v>-7.0400000000000004E-2</v>
      </c>
      <c r="DU190" s="231">
        <v>1800</v>
      </c>
      <c r="DV190" s="231">
        <v>1600</v>
      </c>
      <c r="DW190" s="228">
        <v>0.49</v>
      </c>
      <c r="DX190" s="228">
        <v>0.74</v>
      </c>
      <c r="DY190" s="228">
        <v>-0.25</v>
      </c>
      <c r="DZ190" s="229">
        <v>-0.33779999999999999</v>
      </c>
      <c r="EA190" s="229">
        <v>0.22570000000000001</v>
      </c>
      <c r="EB190" s="230">
        <v>3797150</v>
      </c>
      <c r="EC190" s="229">
        <v>5.7000000000000002E-3</v>
      </c>
      <c r="ED190" s="229">
        <v>0.22570000000000001</v>
      </c>
      <c r="EE190" s="228">
        <v>10.119999999999999</v>
      </c>
      <c r="EF190" s="229">
        <v>6.1000000000000004E-3</v>
      </c>
      <c r="EG190" s="230">
        <v>1143577</v>
      </c>
      <c r="EH190" s="230">
        <v>2209790</v>
      </c>
      <c r="EI190" s="229">
        <v>-0.48249999999999998</v>
      </c>
      <c r="EJ190" s="229">
        <v>0.60940000000000005</v>
      </c>
      <c r="EK190" s="231">
        <v>1178.0899999999999</v>
      </c>
      <c r="EL190" s="228">
        <v>555.99</v>
      </c>
      <c r="EM190" s="228">
        <v>309.62</v>
      </c>
      <c r="EN190" s="228">
        <v>86.17</v>
      </c>
      <c r="EO190" s="231">
        <v>2043.7</v>
      </c>
      <c r="EP190" s="231">
        <v>3368.03</v>
      </c>
      <c r="EQ190" s="231">
        <v>-1324.33</v>
      </c>
      <c r="ER190" s="229">
        <v>-0.39319999999999999</v>
      </c>
      <c r="ES190" s="231">
        <v>1453.09</v>
      </c>
      <c r="ET190" s="228">
        <v>906.64</v>
      </c>
      <c r="EU190" s="231">
        <v>3129.66</v>
      </c>
      <c r="EV190" s="231">
        <v>121755902</v>
      </c>
      <c r="EW190" s="231">
        <v>5489.39</v>
      </c>
      <c r="EX190" s="231">
        <v>5534.97</v>
      </c>
      <c r="EY190" s="228">
        <v>-45.58</v>
      </c>
      <c r="EZ190" s="229">
        <v>-8.2000000000000007E-3</v>
      </c>
      <c r="FA190" s="229">
        <v>0.26719999999999999</v>
      </c>
      <c r="FB190" s="227" t="s">
        <v>566</v>
      </c>
      <c r="FC190">
        <f t="shared" si="3"/>
        <v>0</v>
      </c>
    </row>
    <row r="191" spans="1:159" ht="17.25" thickBot="1" x14ac:dyDescent="0.3">
      <c r="A191" s="226">
        <v>46132</v>
      </c>
      <c r="B191" s="227" t="s">
        <v>184</v>
      </c>
      <c r="C191" s="227" t="s">
        <v>573</v>
      </c>
      <c r="D191" s="228">
        <v>175</v>
      </c>
      <c r="E191" s="228">
        <v>8</v>
      </c>
      <c r="F191" s="231">
        <v>3715.2</v>
      </c>
      <c r="G191" s="231">
        <v>3720.7</v>
      </c>
      <c r="H191" s="228">
        <v>-5.5</v>
      </c>
      <c r="I191" s="229">
        <v>-1.5E-3</v>
      </c>
      <c r="J191" s="231">
        <v>3711.8</v>
      </c>
      <c r="K191" s="231">
        <v>3709</v>
      </c>
      <c r="L191" s="228">
        <v>2.8</v>
      </c>
      <c r="M191" s="229">
        <v>8.0000000000000004E-4</v>
      </c>
      <c r="N191" s="231">
        <v>3715.2</v>
      </c>
      <c r="O191" s="231">
        <v>3720.7</v>
      </c>
      <c r="P191" s="228">
        <v>-5.5</v>
      </c>
      <c r="Q191" s="229">
        <v>-1.5E-3</v>
      </c>
      <c r="R191" s="231">
        <v>3717.1</v>
      </c>
      <c r="S191" s="231">
        <v>3720.7</v>
      </c>
      <c r="T191" s="228">
        <v>-3.6</v>
      </c>
      <c r="U191" s="229">
        <v>-1E-3</v>
      </c>
      <c r="V191" s="231">
        <v>3710.9</v>
      </c>
      <c r="W191" s="231">
        <v>3715.5</v>
      </c>
      <c r="X191" s="228">
        <v>-4.5999999999999996</v>
      </c>
      <c r="Y191" s="229">
        <v>-1.1999999999999999E-3</v>
      </c>
      <c r="Z191" s="228">
        <v>3.4</v>
      </c>
      <c r="AA191" s="228">
        <v>11.7</v>
      </c>
      <c r="AB191" s="228">
        <v>-8.3000000000000007</v>
      </c>
      <c r="AC191" s="229">
        <v>8.9999999999999998E-4</v>
      </c>
      <c r="AD191" s="228">
        <v>3.4</v>
      </c>
      <c r="AE191" s="228">
        <v>11.7</v>
      </c>
      <c r="AF191" s="228">
        <v>-8.3000000000000007</v>
      </c>
      <c r="AG191" s="229">
        <v>8.9999999999999998E-4</v>
      </c>
      <c r="AH191" s="228">
        <v>5.3</v>
      </c>
      <c r="AI191" s="228">
        <v>11.7</v>
      </c>
      <c r="AJ191" s="228">
        <v>-6.4</v>
      </c>
      <c r="AK191" s="229">
        <v>1.4E-3</v>
      </c>
      <c r="AL191" s="228">
        <v>-0.9</v>
      </c>
      <c r="AM191" s="228">
        <v>6.5</v>
      </c>
      <c r="AN191" s="228">
        <v>-7.4</v>
      </c>
      <c r="AO191" s="229">
        <v>-2.0000000000000001E-4</v>
      </c>
      <c r="AP191" s="231">
        <v>3724.86</v>
      </c>
      <c r="AQ191" s="231">
        <v>3728.91</v>
      </c>
      <c r="AR191" s="228">
        <v>0</v>
      </c>
      <c r="AS191" s="228">
        <v>100</v>
      </c>
      <c r="AT191" s="228">
        <v>282</v>
      </c>
      <c r="AU191" s="228">
        <v>-182</v>
      </c>
      <c r="AV191" s="229">
        <v>-0.64510000000000001</v>
      </c>
      <c r="AW191" s="228">
        <v>89</v>
      </c>
      <c r="AX191" s="228">
        <v>261</v>
      </c>
      <c r="AY191" s="228">
        <v>-172</v>
      </c>
      <c r="AZ191" s="229">
        <v>-0.65959999999999996</v>
      </c>
      <c r="BA191" s="228">
        <v>11</v>
      </c>
      <c r="BB191" s="228">
        <v>20</v>
      </c>
      <c r="BC191" s="228">
        <v>-9</v>
      </c>
      <c r="BD191" s="229">
        <v>-0.44550000000000001</v>
      </c>
      <c r="BE191" s="228">
        <v>0</v>
      </c>
      <c r="BF191" s="228">
        <v>1</v>
      </c>
      <c r="BG191" s="228">
        <v>-1</v>
      </c>
      <c r="BH191" s="229">
        <v>-0.73909999999999998</v>
      </c>
      <c r="BI191" s="228">
        <v>311</v>
      </c>
      <c r="BJ191" s="228">
        <v>408</v>
      </c>
      <c r="BK191" s="228">
        <v>-98</v>
      </c>
      <c r="BL191" s="229">
        <v>-0.23960000000000001</v>
      </c>
      <c r="BM191" s="228">
        <v>113</v>
      </c>
      <c r="BN191" s="228">
        <v>171</v>
      </c>
      <c r="BO191" s="228">
        <v>-58</v>
      </c>
      <c r="BP191" s="229">
        <v>-0.33889999999999998</v>
      </c>
      <c r="BQ191" s="228">
        <v>524</v>
      </c>
      <c r="BR191" s="228">
        <v>861</v>
      </c>
      <c r="BS191" s="228">
        <v>-338</v>
      </c>
      <c r="BT191" s="229">
        <v>-0.39200000000000002</v>
      </c>
      <c r="BU191" s="230">
        <v>148830</v>
      </c>
      <c r="BV191" s="230">
        <v>1191794</v>
      </c>
      <c r="BW191" s="230">
        <v>-1042964</v>
      </c>
      <c r="BX191" s="229">
        <v>-0.87509999999999999</v>
      </c>
      <c r="BY191" s="228">
        <v>811</v>
      </c>
      <c r="BZ191" s="228">
        <v>803</v>
      </c>
      <c r="CA191" s="228">
        <v>8</v>
      </c>
      <c r="CB191" s="229">
        <v>1.04E-2</v>
      </c>
      <c r="CC191" s="228">
        <v>782</v>
      </c>
      <c r="CD191" s="228">
        <v>777</v>
      </c>
      <c r="CE191" s="228">
        <v>5</v>
      </c>
      <c r="CF191" s="229">
        <v>6.8999999999999999E-3</v>
      </c>
      <c r="CG191" s="228">
        <v>27</v>
      </c>
      <c r="CH191" s="228">
        <v>24</v>
      </c>
      <c r="CI191" s="228">
        <v>3</v>
      </c>
      <c r="CJ191" s="229">
        <v>0.1129</v>
      </c>
      <c r="CK191" s="228">
        <v>2</v>
      </c>
      <c r="CL191" s="228">
        <v>2</v>
      </c>
      <c r="CM191" s="228">
        <v>0</v>
      </c>
      <c r="CN191" s="229">
        <v>8.5699999999999998E-2</v>
      </c>
      <c r="CO191" s="228">
        <v>320</v>
      </c>
      <c r="CP191" s="228">
        <v>292</v>
      </c>
      <c r="CQ191" s="228">
        <v>28</v>
      </c>
      <c r="CR191" s="229">
        <v>9.7299999999999998E-2</v>
      </c>
      <c r="CS191" s="228">
        <v>161</v>
      </c>
      <c r="CT191" s="228">
        <v>153</v>
      </c>
      <c r="CU191" s="228">
        <v>8</v>
      </c>
      <c r="CV191" s="229">
        <v>5.2900000000000003E-2</v>
      </c>
      <c r="CW191" s="230">
        <v>1292</v>
      </c>
      <c r="CX191" s="230">
        <v>1248</v>
      </c>
      <c r="CY191" s="228">
        <v>45</v>
      </c>
      <c r="CZ191" s="229">
        <v>3.5900000000000001E-2</v>
      </c>
      <c r="DA191" s="228">
        <v>45.4</v>
      </c>
      <c r="DB191" s="228">
        <v>40.44</v>
      </c>
      <c r="DC191" s="228">
        <v>4.96</v>
      </c>
      <c r="DD191" s="228">
        <v>4.96</v>
      </c>
      <c r="DE191" s="228">
        <v>38.270000000000003</v>
      </c>
      <c r="DF191" s="228">
        <v>38.36</v>
      </c>
      <c r="DG191" s="228">
        <v>7.13</v>
      </c>
      <c r="DH191" s="228">
        <v>-0.09</v>
      </c>
      <c r="DI191" s="228">
        <v>44.85</v>
      </c>
      <c r="DJ191" s="228">
        <v>39.25</v>
      </c>
      <c r="DK191" s="228">
        <v>5.6</v>
      </c>
      <c r="DL191" s="228">
        <v>5.6</v>
      </c>
      <c r="DM191" s="228">
        <v>46.92</v>
      </c>
      <c r="DN191" s="228">
        <v>43.27</v>
      </c>
      <c r="DO191" s="228">
        <v>3.65</v>
      </c>
      <c r="DP191" s="228">
        <v>3.65</v>
      </c>
      <c r="DQ191" s="228">
        <v>0.5</v>
      </c>
      <c r="DR191" s="228">
        <v>0.52</v>
      </c>
      <c r="DS191" s="228">
        <v>-0.02</v>
      </c>
      <c r="DT191" s="229">
        <v>-3.85E-2</v>
      </c>
      <c r="DU191" s="231">
        <v>3700</v>
      </c>
      <c r="DV191" s="231">
        <v>3500</v>
      </c>
      <c r="DW191" s="228">
        <v>0.36</v>
      </c>
      <c r="DX191" s="228">
        <v>0.42</v>
      </c>
      <c r="DY191" s="228">
        <v>-0.06</v>
      </c>
      <c r="DZ191" s="229">
        <v>-0.1429</v>
      </c>
      <c r="EA191" s="229">
        <v>3.6200000000000003E-2</v>
      </c>
      <c r="EB191" s="230">
        <v>71225</v>
      </c>
      <c r="EC191" s="229">
        <v>5.0000000000000001E-4</v>
      </c>
      <c r="ED191" s="229">
        <v>3.6200000000000003E-2</v>
      </c>
      <c r="EE191" s="228">
        <v>4.05</v>
      </c>
      <c r="EF191" s="229">
        <v>1.1000000000000001E-3</v>
      </c>
      <c r="EG191" s="230">
        <v>58158</v>
      </c>
      <c r="EH191" s="230">
        <v>662757</v>
      </c>
      <c r="EI191" s="229">
        <v>-0.91220000000000001</v>
      </c>
      <c r="EJ191" s="229">
        <v>0.39079999999999998</v>
      </c>
      <c r="EK191" s="228">
        <v>332.46</v>
      </c>
      <c r="EL191" s="228">
        <v>111.32</v>
      </c>
      <c r="EM191" s="228">
        <v>100.33</v>
      </c>
      <c r="EN191" s="228">
        <v>26.74</v>
      </c>
      <c r="EO191" s="228">
        <v>544.1</v>
      </c>
      <c r="EP191" s="228">
        <v>881.58</v>
      </c>
      <c r="EQ191" s="228">
        <v>-337.48</v>
      </c>
      <c r="ER191" s="229">
        <v>-0.38279999999999997</v>
      </c>
      <c r="ES191" s="228">
        <v>341.49</v>
      </c>
      <c r="ET191" s="228">
        <v>155.41</v>
      </c>
      <c r="EU191" s="228">
        <v>811.48</v>
      </c>
      <c r="EV191" s="231">
        <v>9724371</v>
      </c>
      <c r="EW191" s="231">
        <v>1308.3800000000001</v>
      </c>
      <c r="EX191" s="231">
        <v>1268.27</v>
      </c>
      <c r="EY191" s="228">
        <v>40.11</v>
      </c>
      <c r="EZ191" s="229">
        <v>3.1600000000000003E-2</v>
      </c>
      <c r="FA191" s="229">
        <v>0.35770000000000002</v>
      </c>
      <c r="FB191" s="227" t="s">
        <v>566</v>
      </c>
      <c r="FC191">
        <f t="shared" si="3"/>
        <v>0</v>
      </c>
    </row>
    <row r="192" spans="1:159" ht="17.25" thickBot="1" x14ac:dyDescent="0.3">
      <c r="A192" s="226">
        <v>46132</v>
      </c>
      <c r="B192" s="227" t="s">
        <v>161</v>
      </c>
      <c r="C192" s="227" t="s">
        <v>682</v>
      </c>
      <c r="D192" s="228">
        <v>9025</v>
      </c>
      <c r="E192" s="228">
        <v>8</v>
      </c>
      <c r="F192" s="228">
        <v>52.44</v>
      </c>
      <c r="G192" s="228">
        <v>52.96</v>
      </c>
      <c r="H192" s="228">
        <v>-0.52</v>
      </c>
      <c r="I192" s="229">
        <v>-9.7999999999999997E-3</v>
      </c>
      <c r="J192" s="228">
        <v>52.5</v>
      </c>
      <c r="K192" s="228">
        <v>52.93</v>
      </c>
      <c r="L192" s="228">
        <v>-0.43</v>
      </c>
      <c r="M192" s="229">
        <v>-8.0999999999999996E-3</v>
      </c>
      <c r="N192" s="228">
        <v>52.44</v>
      </c>
      <c r="O192" s="228">
        <v>52.96</v>
      </c>
      <c r="P192" s="228">
        <v>-0.52</v>
      </c>
      <c r="Q192" s="229">
        <v>-9.7999999999999997E-3</v>
      </c>
      <c r="R192" s="228">
        <v>52.72</v>
      </c>
      <c r="S192" s="228">
        <v>53.34</v>
      </c>
      <c r="T192" s="228">
        <v>-0.62</v>
      </c>
      <c r="U192" s="229">
        <v>-1.1599999999999999E-2</v>
      </c>
      <c r="V192" s="228">
        <v>53.06</v>
      </c>
      <c r="W192" s="228">
        <v>53.77</v>
      </c>
      <c r="X192" s="228">
        <v>-0.71</v>
      </c>
      <c r="Y192" s="229">
        <v>-1.32E-2</v>
      </c>
      <c r="Z192" s="228">
        <v>-0.06</v>
      </c>
      <c r="AA192" s="228">
        <v>0.03</v>
      </c>
      <c r="AB192" s="228">
        <v>-0.09</v>
      </c>
      <c r="AC192" s="229">
        <v>-1.1000000000000001E-3</v>
      </c>
      <c r="AD192" s="228">
        <v>-0.06</v>
      </c>
      <c r="AE192" s="228">
        <v>0.03</v>
      </c>
      <c r="AF192" s="228">
        <v>-0.09</v>
      </c>
      <c r="AG192" s="229">
        <v>-1.1000000000000001E-3</v>
      </c>
      <c r="AH192" s="228">
        <v>0.22</v>
      </c>
      <c r="AI192" s="228">
        <v>0.41</v>
      </c>
      <c r="AJ192" s="228">
        <v>-0.19</v>
      </c>
      <c r="AK192" s="229">
        <v>4.1999999999999997E-3</v>
      </c>
      <c r="AL192" s="228">
        <v>0.56000000000000005</v>
      </c>
      <c r="AM192" s="228">
        <v>0.84</v>
      </c>
      <c r="AN192" s="228">
        <v>-0.28000000000000003</v>
      </c>
      <c r="AO192" s="229">
        <v>1.0699999999999999E-2</v>
      </c>
      <c r="AP192" s="228">
        <v>52.5</v>
      </c>
      <c r="AQ192" s="228">
        <v>52.75</v>
      </c>
      <c r="AR192" s="228">
        <v>0</v>
      </c>
      <c r="AS192" s="228">
        <v>537</v>
      </c>
      <c r="AT192" s="230">
        <v>1071</v>
      </c>
      <c r="AU192" s="228">
        <v>-534</v>
      </c>
      <c r="AV192" s="229">
        <v>-0.49819999999999998</v>
      </c>
      <c r="AW192" s="228">
        <v>380</v>
      </c>
      <c r="AX192" s="228">
        <v>874</v>
      </c>
      <c r="AY192" s="228">
        <v>-494</v>
      </c>
      <c r="AZ192" s="229">
        <v>-0.56530000000000002</v>
      </c>
      <c r="BA192" s="228">
        <v>142</v>
      </c>
      <c r="BB192" s="228">
        <v>172</v>
      </c>
      <c r="BC192" s="228">
        <v>-30</v>
      </c>
      <c r="BD192" s="229">
        <v>-0.1741</v>
      </c>
      <c r="BE192" s="228">
        <v>16</v>
      </c>
      <c r="BF192" s="228">
        <v>26</v>
      </c>
      <c r="BG192" s="228">
        <v>-10</v>
      </c>
      <c r="BH192" s="229">
        <v>-0.3831</v>
      </c>
      <c r="BI192" s="230">
        <v>1645</v>
      </c>
      <c r="BJ192" s="230">
        <v>3270</v>
      </c>
      <c r="BK192" s="230">
        <v>-1625</v>
      </c>
      <c r="BL192" s="229">
        <v>-0.497</v>
      </c>
      <c r="BM192" s="228">
        <v>922</v>
      </c>
      <c r="BN192" s="230">
        <v>1535</v>
      </c>
      <c r="BO192" s="228">
        <v>-614</v>
      </c>
      <c r="BP192" s="229">
        <v>-0.3997</v>
      </c>
      <c r="BQ192" s="230">
        <v>3104</v>
      </c>
      <c r="BR192" s="230">
        <v>5876</v>
      </c>
      <c r="BS192" s="230">
        <v>-2772</v>
      </c>
      <c r="BT192" s="229">
        <v>-0.4718</v>
      </c>
      <c r="BU192" s="230">
        <v>169907360</v>
      </c>
      <c r="BV192" s="230">
        <v>359683061</v>
      </c>
      <c r="BW192" s="230">
        <v>-189775701</v>
      </c>
      <c r="BX192" s="229">
        <v>-0.52759999999999996</v>
      </c>
      <c r="BY192" s="230">
        <v>1938</v>
      </c>
      <c r="BZ192" s="230">
        <v>1887</v>
      </c>
      <c r="CA192" s="228">
        <v>51</v>
      </c>
      <c r="CB192" s="229">
        <v>2.69E-2</v>
      </c>
      <c r="CC192" s="230">
        <v>1601</v>
      </c>
      <c r="CD192" s="230">
        <v>1624</v>
      </c>
      <c r="CE192" s="228">
        <v>-23</v>
      </c>
      <c r="CF192" s="229">
        <v>-1.3899999999999999E-2</v>
      </c>
      <c r="CG192" s="228">
        <v>251</v>
      </c>
      <c r="CH192" s="228">
        <v>183</v>
      </c>
      <c r="CI192" s="228">
        <v>67</v>
      </c>
      <c r="CJ192" s="229">
        <v>0.36730000000000002</v>
      </c>
      <c r="CK192" s="228">
        <v>86</v>
      </c>
      <c r="CL192" s="228">
        <v>80</v>
      </c>
      <c r="CM192" s="228">
        <v>6</v>
      </c>
      <c r="CN192" s="229">
        <v>7.6600000000000001E-2</v>
      </c>
      <c r="CO192" s="230">
        <v>1086</v>
      </c>
      <c r="CP192" s="228">
        <v>930</v>
      </c>
      <c r="CQ192" s="228">
        <v>156</v>
      </c>
      <c r="CR192" s="229">
        <v>0.16800000000000001</v>
      </c>
      <c r="CS192" s="228">
        <v>890</v>
      </c>
      <c r="CT192" s="228">
        <v>904</v>
      </c>
      <c r="CU192" s="228">
        <v>-14</v>
      </c>
      <c r="CV192" s="229">
        <v>-1.5900000000000001E-2</v>
      </c>
      <c r="CW192" s="230">
        <v>3914</v>
      </c>
      <c r="CX192" s="230">
        <v>3721</v>
      </c>
      <c r="CY192" s="228">
        <v>193</v>
      </c>
      <c r="CZ192" s="229">
        <v>5.1799999999999999E-2</v>
      </c>
      <c r="DA192" s="228">
        <v>50.07</v>
      </c>
      <c r="DB192" s="228">
        <v>44.96</v>
      </c>
      <c r="DC192" s="228">
        <v>5.1100000000000003</v>
      </c>
      <c r="DD192" s="228">
        <v>5.1100000000000003</v>
      </c>
      <c r="DE192" s="228">
        <v>47.39</v>
      </c>
      <c r="DF192" s="228">
        <v>47.49</v>
      </c>
      <c r="DG192" s="228">
        <v>2.68</v>
      </c>
      <c r="DH192" s="228">
        <v>-0.1</v>
      </c>
      <c r="DI192" s="228">
        <v>49.93</v>
      </c>
      <c r="DJ192" s="228">
        <v>44.04</v>
      </c>
      <c r="DK192" s="228">
        <v>5.89</v>
      </c>
      <c r="DL192" s="228">
        <v>5.89</v>
      </c>
      <c r="DM192" s="228">
        <v>50.33</v>
      </c>
      <c r="DN192" s="228">
        <v>46.91</v>
      </c>
      <c r="DO192" s="228">
        <v>3.42</v>
      </c>
      <c r="DP192" s="228">
        <v>3.42</v>
      </c>
      <c r="DQ192" s="228">
        <v>0.82</v>
      </c>
      <c r="DR192" s="228">
        <v>0.97</v>
      </c>
      <c r="DS192" s="228">
        <v>-0.15</v>
      </c>
      <c r="DT192" s="229">
        <v>-0.15459999999999999</v>
      </c>
      <c r="DU192" s="228">
        <v>45</v>
      </c>
      <c r="DV192" s="228">
        <v>46</v>
      </c>
      <c r="DW192" s="228">
        <v>0.56000000000000005</v>
      </c>
      <c r="DX192" s="228">
        <v>0.47</v>
      </c>
      <c r="DY192" s="228">
        <v>0.09</v>
      </c>
      <c r="DZ192" s="229">
        <v>0.1915</v>
      </c>
      <c r="EA192" s="229">
        <v>0.17369999999999999</v>
      </c>
      <c r="EB192" s="230">
        <v>50169975</v>
      </c>
      <c r="EC192" s="229">
        <v>5.3E-3</v>
      </c>
      <c r="ED192" s="229">
        <v>0.17369999999999999</v>
      </c>
      <c r="EE192" s="228">
        <v>0.25</v>
      </c>
      <c r="EF192" s="229">
        <v>4.7999999999999996E-3</v>
      </c>
      <c r="EG192" s="230">
        <v>68134167</v>
      </c>
      <c r="EH192" s="230">
        <v>152863510</v>
      </c>
      <c r="EI192" s="229">
        <v>-0.55430000000000001</v>
      </c>
      <c r="EJ192" s="229">
        <v>0.40100000000000002</v>
      </c>
      <c r="EK192" s="231">
        <v>1753.01</v>
      </c>
      <c r="EL192" s="228">
        <v>873.89</v>
      </c>
      <c r="EM192" s="228">
        <v>538.98</v>
      </c>
      <c r="EN192" s="228">
        <v>145</v>
      </c>
      <c r="EO192" s="231">
        <v>3165.89</v>
      </c>
      <c r="EP192" s="231">
        <v>5915.71</v>
      </c>
      <c r="EQ192" s="231">
        <v>-2749.83</v>
      </c>
      <c r="ER192" s="229">
        <v>-0.46479999999999999</v>
      </c>
      <c r="ES192" s="231">
        <v>1051.3399999999999</v>
      </c>
      <c r="ET192" s="228">
        <v>777.34</v>
      </c>
      <c r="EU192" s="231">
        <v>1940.07</v>
      </c>
      <c r="EV192" s="231">
        <v>1815546735</v>
      </c>
      <c r="EW192" s="231">
        <v>3768.75</v>
      </c>
      <c r="EX192" s="231">
        <v>3571.82</v>
      </c>
      <c r="EY192" s="228">
        <v>196.93</v>
      </c>
      <c r="EZ192" s="229">
        <v>5.5100000000000003E-2</v>
      </c>
      <c r="FA192" s="229">
        <v>0.41110000000000002</v>
      </c>
      <c r="FB192" s="227" t="s">
        <v>566</v>
      </c>
      <c r="FC192">
        <f t="shared" si="3"/>
        <v>0</v>
      </c>
    </row>
    <row r="193" spans="1:159" ht="17.25" thickBot="1" x14ac:dyDescent="0.3">
      <c r="A193" s="226">
        <v>46132</v>
      </c>
      <c r="B193" s="227" t="s">
        <v>614</v>
      </c>
      <c r="C193" s="227" t="s">
        <v>691</v>
      </c>
      <c r="D193" s="228">
        <v>1300</v>
      </c>
      <c r="E193" s="228">
        <v>8</v>
      </c>
      <c r="F193" s="228">
        <v>279.14999999999998</v>
      </c>
      <c r="G193" s="228">
        <v>277.45</v>
      </c>
      <c r="H193" s="228">
        <v>1.7</v>
      </c>
      <c r="I193" s="229">
        <v>6.1000000000000004E-3</v>
      </c>
      <c r="J193" s="228">
        <v>279.14999999999998</v>
      </c>
      <c r="K193" s="228">
        <v>277.45</v>
      </c>
      <c r="L193" s="228">
        <v>1.7</v>
      </c>
      <c r="M193" s="229">
        <v>6.1000000000000004E-3</v>
      </c>
      <c r="N193" s="228">
        <v>279.14999999999998</v>
      </c>
      <c r="O193" s="228">
        <v>277.45</v>
      </c>
      <c r="P193" s="228">
        <v>1.7</v>
      </c>
      <c r="Q193" s="229">
        <v>6.1000000000000004E-3</v>
      </c>
      <c r="R193" s="228">
        <v>277.64999999999998</v>
      </c>
      <c r="S193" s="228">
        <v>275.45</v>
      </c>
      <c r="T193" s="228">
        <v>2.2000000000000002</v>
      </c>
      <c r="U193" s="229">
        <v>8.0000000000000002E-3</v>
      </c>
      <c r="V193" s="228">
        <v>277.39999999999998</v>
      </c>
      <c r="W193" s="228">
        <v>275.2</v>
      </c>
      <c r="X193" s="228">
        <v>2.2000000000000002</v>
      </c>
      <c r="Y193" s="229">
        <v>8.0000000000000002E-3</v>
      </c>
      <c r="Z193" s="228">
        <v>0</v>
      </c>
      <c r="AA193" s="228">
        <v>0</v>
      </c>
      <c r="AB193" s="228">
        <v>0</v>
      </c>
      <c r="AC193" s="229">
        <v>0</v>
      </c>
      <c r="AD193" s="228">
        <v>0</v>
      </c>
      <c r="AE193" s="228">
        <v>0</v>
      </c>
      <c r="AF193" s="228">
        <v>0</v>
      </c>
      <c r="AG193" s="229">
        <v>0</v>
      </c>
      <c r="AH193" s="228">
        <v>-1.5</v>
      </c>
      <c r="AI193" s="228">
        <v>-2</v>
      </c>
      <c r="AJ193" s="228">
        <v>0.5</v>
      </c>
      <c r="AK193" s="229">
        <v>-5.4000000000000003E-3</v>
      </c>
      <c r="AL193" s="228">
        <v>-1.75</v>
      </c>
      <c r="AM193" s="228">
        <v>-2.25</v>
      </c>
      <c r="AN193" s="228">
        <v>0.5</v>
      </c>
      <c r="AO193" s="229">
        <v>-6.3E-3</v>
      </c>
      <c r="AP193" s="228">
        <v>280.13</v>
      </c>
      <c r="AQ193" s="228">
        <v>278.33999999999997</v>
      </c>
      <c r="AR193" s="228">
        <v>0</v>
      </c>
      <c r="AS193" s="228">
        <v>231</v>
      </c>
      <c r="AT193" s="228">
        <v>230</v>
      </c>
      <c r="AU193" s="228">
        <v>1</v>
      </c>
      <c r="AV193" s="229">
        <v>3.8999999999999998E-3</v>
      </c>
      <c r="AW193" s="228">
        <v>163</v>
      </c>
      <c r="AX193" s="228">
        <v>190</v>
      </c>
      <c r="AY193" s="228">
        <v>-26</v>
      </c>
      <c r="AZ193" s="229">
        <v>-0.13930000000000001</v>
      </c>
      <c r="BA193" s="228">
        <v>61</v>
      </c>
      <c r="BB193" s="228">
        <v>35</v>
      </c>
      <c r="BC193" s="228">
        <v>25</v>
      </c>
      <c r="BD193" s="229">
        <v>0.71709999999999996</v>
      </c>
      <c r="BE193" s="228">
        <v>7</v>
      </c>
      <c r="BF193" s="228">
        <v>5</v>
      </c>
      <c r="BG193" s="228">
        <v>2</v>
      </c>
      <c r="BH193" s="229">
        <v>0.38890000000000002</v>
      </c>
      <c r="BI193" s="228">
        <v>464</v>
      </c>
      <c r="BJ193" s="228">
        <v>507</v>
      </c>
      <c r="BK193" s="228">
        <v>-43</v>
      </c>
      <c r="BL193" s="229">
        <v>-8.48E-2</v>
      </c>
      <c r="BM193" s="228">
        <v>132</v>
      </c>
      <c r="BN193" s="228">
        <v>159</v>
      </c>
      <c r="BO193" s="228">
        <v>-27</v>
      </c>
      <c r="BP193" s="229">
        <v>-0.17080000000000001</v>
      </c>
      <c r="BQ193" s="228">
        <v>827</v>
      </c>
      <c r="BR193" s="228">
        <v>896</v>
      </c>
      <c r="BS193" s="228">
        <v>-69</v>
      </c>
      <c r="BT193" s="229">
        <v>-7.7299999999999994E-2</v>
      </c>
      <c r="BU193" s="230">
        <v>6896882</v>
      </c>
      <c r="BV193" s="230">
        <v>7586920</v>
      </c>
      <c r="BW193" s="230">
        <v>-690038</v>
      </c>
      <c r="BX193" s="229">
        <v>-9.0999999999999998E-2</v>
      </c>
      <c r="BY193" s="230">
        <v>1455</v>
      </c>
      <c r="BZ193" s="230">
        <v>1437</v>
      </c>
      <c r="CA193" s="228">
        <v>17</v>
      </c>
      <c r="CB193" s="229">
        <v>1.21E-2</v>
      </c>
      <c r="CC193" s="230">
        <v>1377</v>
      </c>
      <c r="CD193" s="230">
        <v>1385</v>
      </c>
      <c r="CE193" s="228">
        <v>-7</v>
      </c>
      <c r="CF193" s="229">
        <v>-5.4000000000000003E-3</v>
      </c>
      <c r="CG193" s="228">
        <v>66</v>
      </c>
      <c r="CH193" s="228">
        <v>44</v>
      </c>
      <c r="CI193" s="228">
        <v>22</v>
      </c>
      <c r="CJ193" s="229">
        <v>0.50209999999999999</v>
      </c>
      <c r="CK193" s="228">
        <v>12</v>
      </c>
      <c r="CL193" s="228">
        <v>9</v>
      </c>
      <c r="CM193" s="228">
        <v>3</v>
      </c>
      <c r="CN193" s="229">
        <v>0.32379999999999998</v>
      </c>
      <c r="CO193" s="228">
        <v>315</v>
      </c>
      <c r="CP193" s="228">
        <v>331</v>
      </c>
      <c r="CQ193" s="228">
        <v>-16</v>
      </c>
      <c r="CR193" s="229">
        <v>-4.7600000000000003E-2</v>
      </c>
      <c r="CS193" s="228">
        <v>178</v>
      </c>
      <c r="CT193" s="228">
        <v>184</v>
      </c>
      <c r="CU193" s="228">
        <v>-6</v>
      </c>
      <c r="CV193" s="229">
        <v>-3.1600000000000003E-2</v>
      </c>
      <c r="CW193" s="230">
        <v>1947</v>
      </c>
      <c r="CX193" s="230">
        <v>1952</v>
      </c>
      <c r="CY193" s="228">
        <v>-4</v>
      </c>
      <c r="CZ193" s="229">
        <v>-2.0999999999999999E-3</v>
      </c>
      <c r="DA193" s="228">
        <v>48.42</v>
      </c>
      <c r="DB193" s="228">
        <v>45.52</v>
      </c>
      <c r="DC193" s="228">
        <v>2.9</v>
      </c>
      <c r="DD193" s="228">
        <v>2.9</v>
      </c>
      <c r="DE193" s="228">
        <v>45.38</v>
      </c>
      <c r="DF193" s="228">
        <v>45.48</v>
      </c>
      <c r="DG193" s="228">
        <v>3.04</v>
      </c>
      <c r="DH193" s="228">
        <v>-0.1</v>
      </c>
      <c r="DI193" s="228">
        <v>48.33</v>
      </c>
      <c r="DJ193" s="228">
        <v>45.43</v>
      </c>
      <c r="DK193" s="228">
        <v>2.9</v>
      </c>
      <c r="DL193" s="228">
        <v>2.9</v>
      </c>
      <c r="DM193" s="228">
        <v>48.75</v>
      </c>
      <c r="DN193" s="228">
        <v>45.81</v>
      </c>
      <c r="DO193" s="228">
        <v>2.94</v>
      </c>
      <c r="DP193" s="228">
        <v>2.94</v>
      </c>
      <c r="DQ193" s="228">
        <v>0.56000000000000005</v>
      </c>
      <c r="DR193" s="228">
        <v>0.56000000000000005</v>
      </c>
      <c r="DS193" s="228">
        <v>0</v>
      </c>
      <c r="DT193" s="229">
        <v>0</v>
      </c>
      <c r="DU193" s="228">
        <v>280</v>
      </c>
      <c r="DV193" s="228">
        <v>270</v>
      </c>
      <c r="DW193" s="228">
        <v>0.28000000000000003</v>
      </c>
      <c r="DX193" s="228">
        <v>0.31</v>
      </c>
      <c r="DY193" s="228">
        <v>-0.03</v>
      </c>
      <c r="DZ193" s="229">
        <v>-9.6799999999999997E-2</v>
      </c>
      <c r="EA193" s="229">
        <v>5.33E-2</v>
      </c>
      <c r="EB193" s="230">
        <v>1886300</v>
      </c>
      <c r="EC193" s="229">
        <v>-5.4000000000000003E-3</v>
      </c>
      <c r="ED193" s="229">
        <v>5.33E-2</v>
      </c>
      <c r="EE193" s="228">
        <v>-1.79</v>
      </c>
      <c r="EF193" s="229">
        <v>-6.4000000000000003E-3</v>
      </c>
      <c r="EG193" s="230">
        <v>2293110</v>
      </c>
      <c r="EH193" s="230">
        <v>2703481</v>
      </c>
      <c r="EI193" s="229">
        <v>-0.15179999999999999</v>
      </c>
      <c r="EJ193" s="229">
        <v>0.33250000000000002</v>
      </c>
      <c r="EK193" s="228">
        <v>489.58</v>
      </c>
      <c r="EL193" s="228">
        <v>131.07</v>
      </c>
      <c r="EM193" s="228">
        <v>231.41</v>
      </c>
      <c r="EN193" s="228">
        <v>58.39</v>
      </c>
      <c r="EO193" s="228">
        <v>852.05</v>
      </c>
      <c r="EP193" s="228">
        <v>917.92</v>
      </c>
      <c r="EQ193" s="228">
        <v>-65.86</v>
      </c>
      <c r="ER193" s="229">
        <v>-7.1800000000000003E-2</v>
      </c>
      <c r="ES193" s="228">
        <v>327.14999999999998</v>
      </c>
      <c r="ET193" s="228">
        <v>174.16</v>
      </c>
      <c r="EU193" s="231">
        <v>1454.17</v>
      </c>
      <c r="EV193" s="231">
        <v>389472858</v>
      </c>
      <c r="EW193" s="231">
        <v>1955.47</v>
      </c>
      <c r="EX193" s="231">
        <v>1949.83</v>
      </c>
      <c r="EY193" s="228">
        <v>5.64</v>
      </c>
      <c r="EZ193" s="229">
        <v>2.8999999999999998E-3</v>
      </c>
      <c r="FA193" s="229">
        <v>0.17910000000000001</v>
      </c>
      <c r="FB193" s="227" t="s">
        <v>555</v>
      </c>
      <c r="FC193">
        <f t="shared" si="3"/>
        <v>0</v>
      </c>
    </row>
    <row r="194" spans="1:159" ht="17.25" thickBot="1" x14ac:dyDescent="0.3">
      <c r="A194" s="226">
        <v>46132</v>
      </c>
      <c r="B194" s="227" t="s">
        <v>168</v>
      </c>
      <c r="C194" s="227" t="s">
        <v>291</v>
      </c>
      <c r="D194" s="228">
        <v>550</v>
      </c>
      <c r="E194" s="228">
        <v>8</v>
      </c>
      <c r="F194" s="231">
        <v>1119.4000000000001</v>
      </c>
      <c r="G194" s="231">
        <v>1113.9000000000001</v>
      </c>
      <c r="H194" s="228">
        <v>5.5</v>
      </c>
      <c r="I194" s="229">
        <v>4.8999999999999998E-3</v>
      </c>
      <c r="J194" s="231">
        <v>1120.4000000000001</v>
      </c>
      <c r="K194" s="231">
        <v>1113.2</v>
      </c>
      <c r="L194" s="228">
        <v>7.2</v>
      </c>
      <c r="M194" s="229">
        <v>6.4999999999999997E-3</v>
      </c>
      <c r="N194" s="231">
        <v>1119.4000000000001</v>
      </c>
      <c r="O194" s="231">
        <v>1113.9000000000001</v>
      </c>
      <c r="P194" s="228">
        <v>5.5</v>
      </c>
      <c r="Q194" s="229">
        <v>4.8999999999999998E-3</v>
      </c>
      <c r="R194" s="231">
        <v>1122.9000000000001</v>
      </c>
      <c r="S194" s="231">
        <v>1117.2</v>
      </c>
      <c r="T194" s="228">
        <v>5.7</v>
      </c>
      <c r="U194" s="229">
        <v>5.1000000000000004E-3</v>
      </c>
      <c r="V194" s="231">
        <v>1125.7</v>
      </c>
      <c r="W194" s="231">
        <v>1120.5</v>
      </c>
      <c r="X194" s="228">
        <v>5.2</v>
      </c>
      <c r="Y194" s="229">
        <v>4.5999999999999999E-3</v>
      </c>
      <c r="Z194" s="228">
        <v>-1</v>
      </c>
      <c r="AA194" s="228">
        <v>0.7</v>
      </c>
      <c r="AB194" s="228">
        <v>-1.7</v>
      </c>
      <c r="AC194" s="229">
        <v>-8.9999999999999998E-4</v>
      </c>
      <c r="AD194" s="228">
        <v>-1</v>
      </c>
      <c r="AE194" s="228">
        <v>0.7</v>
      </c>
      <c r="AF194" s="228">
        <v>-1.7</v>
      </c>
      <c r="AG194" s="229">
        <v>-8.9999999999999998E-4</v>
      </c>
      <c r="AH194" s="228">
        <v>2.5</v>
      </c>
      <c r="AI194" s="228">
        <v>4</v>
      </c>
      <c r="AJ194" s="228">
        <v>-1.5</v>
      </c>
      <c r="AK194" s="229">
        <v>2.2000000000000001E-3</v>
      </c>
      <c r="AL194" s="228">
        <v>5.3</v>
      </c>
      <c r="AM194" s="228">
        <v>7.3</v>
      </c>
      <c r="AN194" s="228">
        <v>-2</v>
      </c>
      <c r="AO194" s="229">
        <v>4.7000000000000002E-3</v>
      </c>
      <c r="AP194" s="231">
        <v>1121.07</v>
      </c>
      <c r="AQ194" s="231">
        <v>1125.0899999999999</v>
      </c>
      <c r="AR194" s="228">
        <v>0</v>
      </c>
      <c r="AS194" s="228">
        <v>129</v>
      </c>
      <c r="AT194" s="228">
        <v>189</v>
      </c>
      <c r="AU194" s="228">
        <v>-60</v>
      </c>
      <c r="AV194" s="229">
        <v>-0.31840000000000002</v>
      </c>
      <c r="AW194" s="228">
        <v>111</v>
      </c>
      <c r="AX194" s="228">
        <v>173</v>
      </c>
      <c r="AY194" s="228">
        <v>-62</v>
      </c>
      <c r="AZ194" s="229">
        <v>-0.3594</v>
      </c>
      <c r="BA194" s="228">
        <v>15</v>
      </c>
      <c r="BB194" s="228">
        <v>15</v>
      </c>
      <c r="BC194" s="228">
        <v>0</v>
      </c>
      <c r="BD194" s="229">
        <v>3.2899999999999999E-2</v>
      </c>
      <c r="BE194" s="228">
        <v>3</v>
      </c>
      <c r="BF194" s="228">
        <v>1</v>
      </c>
      <c r="BG194" s="228">
        <v>1</v>
      </c>
      <c r="BH194" s="229">
        <v>1.2632000000000001</v>
      </c>
      <c r="BI194" s="228">
        <v>304</v>
      </c>
      <c r="BJ194" s="228">
        <v>689</v>
      </c>
      <c r="BK194" s="228">
        <v>-385</v>
      </c>
      <c r="BL194" s="229">
        <v>-0.55920000000000003</v>
      </c>
      <c r="BM194" s="228">
        <v>120</v>
      </c>
      <c r="BN194" s="228">
        <v>165</v>
      </c>
      <c r="BO194" s="228">
        <v>-45</v>
      </c>
      <c r="BP194" s="229">
        <v>-0.27300000000000002</v>
      </c>
      <c r="BQ194" s="228">
        <v>553</v>
      </c>
      <c r="BR194" s="230">
        <v>1043</v>
      </c>
      <c r="BS194" s="228">
        <v>-491</v>
      </c>
      <c r="BT194" s="229">
        <v>-0.47020000000000001</v>
      </c>
      <c r="BU194" s="230">
        <v>1164339</v>
      </c>
      <c r="BV194" s="230">
        <v>1310394</v>
      </c>
      <c r="BW194" s="230">
        <v>-146055</v>
      </c>
      <c r="BX194" s="229">
        <v>-0.1115</v>
      </c>
      <c r="BY194" s="230">
        <v>1464</v>
      </c>
      <c r="BZ194" s="230">
        <v>1483</v>
      </c>
      <c r="CA194" s="228">
        <v>-19</v>
      </c>
      <c r="CB194" s="229">
        <v>-1.29E-2</v>
      </c>
      <c r="CC194" s="230">
        <v>1361</v>
      </c>
      <c r="CD194" s="230">
        <v>1385</v>
      </c>
      <c r="CE194" s="228">
        <v>-24</v>
      </c>
      <c r="CF194" s="229">
        <v>-1.7600000000000001E-2</v>
      </c>
      <c r="CG194" s="228">
        <v>94</v>
      </c>
      <c r="CH194" s="228">
        <v>90</v>
      </c>
      <c r="CI194" s="228">
        <v>4</v>
      </c>
      <c r="CJ194" s="229">
        <v>4.2299999999999997E-2</v>
      </c>
      <c r="CK194" s="228">
        <v>10</v>
      </c>
      <c r="CL194" s="228">
        <v>8</v>
      </c>
      <c r="CM194" s="228">
        <v>1</v>
      </c>
      <c r="CN194" s="229">
        <v>0.17649999999999999</v>
      </c>
      <c r="CO194" s="228">
        <v>259</v>
      </c>
      <c r="CP194" s="228">
        <v>274</v>
      </c>
      <c r="CQ194" s="228">
        <v>-15</v>
      </c>
      <c r="CR194" s="229">
        <v>-5.5899999999999998E-2</v>
      </c>
      <c r="CS194" s="228">
        <v>293</v>
      </c>
      <c r="CT194" s="228">
        <v>275</v>
      </c>
      <c r="CU194" s="228">
        <v>18</v>
      </c>
      <c r="CV194" s="229">
        <v>6.4899999999999999E-2</v>
      </c>
      <c r="CW194" s="230">
        <v>2016</v>
      </c>
      <c r="CX194" s="230">
        <v>2033</v>
      </c>
      <c r="CY194" s="228">
        <v>-17</v>
      </c>
      <c r="CZ194" s="229">
        <v>-8.0999999999999996E-3</v>
      </c>
      <c r="DA194" s="228">
        <v>31.58</v>
      </c>
      <c r="DB194" s="228">
        <v>28.47</v>
      </c>
      <c r="DC194" s="228">
        <v>3.11</v>
      </c>
      <c r="DD194" s="228">
        <v>3.11</v>
      </c>
      <c r="DE194" s="228">
        <v>27.3</v>
      </c>
      <c r="DF194" s="228">
        <v>27.36</v>
      </c>
      <c r="DG194" s="228">
        <v>4.28</v>
      </c>
      <c r="DH194" s="228">
        <v>-0.06</v>
      </c>
      <c r="DI194" s="228">
        <v>30.74</v>
      </c>
      <c r="DJ194" s="228">
        <v>27.94</v>
      </c>
      <c r="DK194" s="228">
        <v>2.8</v>
      </c>
      <c r="DL194" s="228">
        <v>2.8</v>
      </c>
      <c r="DM194" s="228">
        <v>33.72</v>
      </c>
      <c r="DN194" s="228">
        <v>30.68</v>
      </c>
      <c r="DO194" s="228">
        <v>3.04</v>
      </c>
      <c r="DP194" s="228">
        <v>3.04</v>
      </c>
      <c r="DQ194" s="228">
        <v>1.1299999999999999</v>
      </c>
      <c r="DR194" s="228">
        <v>1</v>
      </c>
      <c r="DS194" s="228">
        <v>0.13</v>
      </c>
      <c r="DT194" s="229">
        <v>0.13</v>
      </c>
      <c r="DU194" s="231">
        <v>1100</v>
      </c>
      <c r="DV194" s="228">
        <v>930</v>
      </c>
      <c r="DW194" s="228">
        <v>0.4</v>
      </c>
      <c r="DX194" s="228">
        <v>0.24</v>
      </c>
      <c r="DY194" s="228">
        <v>0.16</v>
      </c>
      <c r="DZ194" s="229">
        <v>0.66669999999999996</v>
      </c>
      <c r="EA194" s="229">
        <v>7.0900000000000005E-2</v>
      </c>
      <c r="EB194" s="230">
        <v>880000</v>
      </c>
      <c r="EC194" s="229">
        <v>3.0999999999999999E-3</v>
      </c>
      <c r="ED194" s="229">
        <v>7.0900000000000005E-2</v>
      </c>
      <c r="EE194" s="228">
        <v>4.0199999999999996</v>
      </c>
      <c r="EF194" s="229">
        <v>3.5999999999999999E-3</v>
      </c>
      <c r="EG194" s="230">
        <v>686659</v>
      </c>
      <c r="EH194" s="230">
        <v>565447</v>
      </c>
      <c r="EI194" s="229">
        <v>0.21440000000000001</v>
      </c>
      <c r="EJ194" s="229">
        <v>0.5897</v>
      </c>
      <c r="EK194" s="228">
        <v>314.35000000000002</v>
      </c>
      <c r="EL194" s="228">
        <v>116.79</v>
      </c>
      <c r="EM194" s="228">
        <v>129.18</v>
      </c>
      <c r="EN194" s="228">
        <v>23.27</v>
      </c>
      <c r="EO194" s="228">
        <v>560.32000000000005</v>
      </c>
      <c r="EP194" s="231">
        <v>1059.97</v>
      </c>
      <c r="EQ194" s="228">
        <v>-499.66</v>
      </c>
      <c r="ER194" s="229">
        <v>-0.47139999999999999</v>
      </c>
      <c r="ES194" s="228">
        <v>262.49</v>
      </c>
      <c r="ET194" s="228">
        <v>266.27</v>
      </c>
      <c r="EU194" s="231">
        <v>1464.72</v>
      </c>
      <c r="EV194" s="231">
        <v>65472757</v>
      </c>
      <c r="EW194" s="231">
        <v>1993.48</v>
      </c>
      <c r="EX194" s="231">
        <v>2002.8</v>
      </c>
      <c r="EY194" s="228">
        <v>-9.32</v>
      </c>
      <c r="EZ194" s="229">
        <v>-4.7000000000000002E-3</v>
      </c>
      <c r="FA194" s="229">
        <v>0.27510000000000001</v>
      </c>
      <c r="FB194" s="227" t="s">
        <v>693</v>
      </c>
      <c r="FC194">
        <f t="shared" si="3"/>
        <v>0</v>
      </c>
    </row>
    <row r="195" spans="1:159" ht="17.25" thickBot="1" x14ac:dyDescent="0.3">
      <c r="A195" s="226">
        <v>46132</v>
      </c>
      <c r="B195" s="227" t="s">
        <v>221</v>
      </c>
      <c r="C195" s="227" t="s">
        <v>603</v>
      </c>
      <c r="D195" s="228">
        <v>100</v>
      </c>
      <c r="E195" s="228">
        <v>8</v>
      </c>
      <c r="F195" s="231">
        <v>4526.6000000000004</v>
      </c>
      <c r="G195" s="231">
        <v>4602</v>
      </c>
      <c r="H195" s="228">
        <v>-75.400000000000006</v>
      </c>
      <c r="I195" s="229">
        <v>-1.6400000000000001E-2</v>
      </c>
      <c r="J195" s="231">
        <v>4516.6000000000004</v>
      </c>
      <c r="K195" s="231">
        <v>4592.5</v>
      </c>
      <c r="L195" s="228">
        <v>-75.900000000000006</v>
      </c>
      <c r="M195" s="229">
        <v>-1.6500000000000001E-2</v>
      </c>
      <c r="N195" s="231">
        <v>4526.6000000000004</v>
      </c>
      <c r="O195" s="231">
        <v>4602</v>
      </c>
      <c r="P195" s="228">
        <v>-75.400000000000006</v>
      </c>
      <c r="Q195" s="229">
        <v>-1.6400000000000001E-2</v>
      </c>
      <c r="R195" s="231">
        <v>4511.7</v>
      </c>
      <c r="S195" s="231">
        <v>4581.1000000000004</v>
      </c>
      <c r="T195" s="228">
        <v>-69.400000000000006</v>
      </c>
      <c r="U195" s="229">
        <v>-1.5100000000000001E-2</v>
      </c>
      <c r="V195" s="231">
        <v>4452</v>
      </c>
      <c r="W195" s="231">
        <v>4525.3</v>
      </c>
      <c r="X195" s="228">
        <v>-73.3</v>
      </c>
      <c r="Y195" s="229">
        <v>-1.6199999999999999E-2</v>
      </c>
      <c r="Z195" s="228">
        <v>10</v>
      </c>
      <c r="AA195" s="228">
        <v>9.5</v>
      </c>
      <c r="AB195" s="228">
        <v>0.5</v>
      </c>
      <c r="AC195" s="229">
        <v>2.2000000000000001E-3</v>
      </c>
      <c r="AD195" s="228">
        <v>10</v>
      </c>
      <c r="AE195" s="228">
        <v>9.5</v>
      </c>
      <c r="AF195" s="228">
        <v>0.5</v>
      </c>
      <c r="AG195" s="229">
        <v>2.2000000000000001E-3</v>
      </c>
      <c r="AH195" s="228">
        <v>-4.9000000000000004</v>
      </c>
      <c r="AI195" s="228">
        <v>-11.4</v>
      </c>
      <c r="AJ195" s="228">
        <v>6.5</v>
      </c>
      <c r="AK195" s="229">
        <v>-1.1000000000000001E-3</v>
      </c>
      <c r="AL195" s="228">
        <v>-64.599999999999994</v>
      </c>
      <c r="AM195" s="228">
        <v>-67.2</v>
      </c>
      <c r="AN195" s="228">
        <v>2.6</v>
      </c>
      <c r="AO195" s="229">
        <v>-1.43E-2</v>
      </c>
      <c r="AP195" s="231">
        <v>4530.08</v>
      </c>
      <c r="AQ195" s="231">
        <v>4511.74</v>
      </c>
      <c r="AR195" s="228">
        <v>0</v>
      </c>
      <c r="AS195" s="228">
        <v>196</v>
      </c>
      <c r="AT195" s="228">
        <v>234</v>
      </c>
      <c r="AU195" s="228">
        <v>-38</v>
      </c>
      <c r="AV195" s="229">
        <v>-0.1618</v>
      </c>
      <c r="AW195" s="228">
        <v>146</v>
      </c>
      <c r="AX195" s="228">
        <v>199</v>
      </c>
      <c r="AY195" s="228">
        <v>-54</v>
      </c>
      <c r="AZ195" s="229">
        <v>-0.26910000000000001</v>
      </c>
      <c r="BA195" s="228">
        <v>47</v>
      </c>
      <c r="BB195" s="228">
        <v>31</v>
      </c>
      <c r="BC195" s="228">
        <v>16</v>
      </c>
      <c r="BD195" s="229">
        <v>0.51829999999999998</v>
      </c>
      <c r="BE195" s="228">
        <v>4</v>
      </c>
      <c r="BF195" s="228">
        <v>4</v>
      </c>
      <c r="BG195" s="228">
        <v>0</v>
      </c>
      <c r="BH195" s="229">
        <v>-5.9499999999999997E-2</v>
      </c>
      <c r="BI195" s="228">
        <v>752</v>
      </c>
      <c r="BJ195" s="230">
        <v>1049</v>
      </c>
      <c r="BK195" s="228">
        <v>-297</v>
      </c>
      <c r="BL195" s="229">
        <v>-0.28310000000000002</v>
      </c>
      <c r="BM195" s="228">
        <v>426</v>
      </c>
      <c r="BN195" s="228">
        <v>440</v>
      </c>
      <c r="BO195" s="228">
        <v>-14</v>
      </c>
      <c r="BP195" s="229">
        <v>-3.2099999999999997E-2</v>
      </c>
      <c r="BQ195" s="230">
        <v>1375</v>
      </c>
      <c r="BR195" s="230">
        <v>1724</v>
      </c>
      <c r="BS195" s="228">
        <v>-349</v>
      </c>
      <c r="BT195" s="229">
        <v>-0.20250000000000001</v>
      </c>
      <c r="BU195" s="230">
        <v>261554</v>
      </c>
      <c r="BV195" s="230">
        <v>396748</v>
      </c>
      <c r="BW195" s="230">
        <v>-135194</v>
      </c>
      <c r="BX195" s="229">
        <v>-0.34079999999999999</v>
      </c>
      <c r="BY195" s="228">
        <v>827</v>
      </c>
      <c r="BZ195" s="228">
        <v>816</v>
      </c>
      <c r="CA195" s="228">
        <v>11</v>
      </c>
      <c r="CB195" s="229">
        <v>1.37E-2</v>
      </c>
      <c r="CC195" s="228">
        <v>646</v>
      </c>
      <c r="CD195" s="228">
        <v>655</v>
      </c>
      <c r="CE195" s="228">
        <v>-9</v>
      </c>
      <c r="CF195" s="229">
        <v>-1.3599999999999999E-2</v>
      </c>
      <c r="CG195" s="228">
        <v>167</v>
      </c>
      <c r="CH195" s="228">
        <v>148</v>
      </c>
      <c r="CI195" s="228">
        <v>19</v>
      </c>
      <c r="CJ195" s="229">
        <v>0.1295</v>
      </c>
      <c r="CK195" s="228">
        <v>14</v>
      </c>
      <c r="CL195" s="228">
        <v>13</v>
      </c>
      <c r="CM195" s="228">
        <v>1</v>
      </c>
      <c r="CN195" s="229">
        <v>6.9400000000000003E-2</v>
      </c>
      <c r="CO195" s="228">
        <v>475</v>
      </c>
      <c r="CP195" s="228">
        <v>414</v>
      </c>
      <c r="CQ195" s="228">
        <v>61</v>
      </c>
      <c r="CR195" s="229">
        <v>0.14649999999999999</v>
      </c>
      <c r="CS195" s="228">
        <v>242</v>
      </c>
      <c r="CT195" s="228">
        <v>228</v>
      </c>
      <c r="CU195" s="228">
        <v>14</v>
      </c>
      <c r="CV195" s="229">
        <v>6.2600000000000003E-2</v>
      </c>
      <c r="CW195" s="230">
        <v>1544</v>
      </c>
      <c r="CX195" s="230">
        <v>1458</v>
      </c>
      <c r="CY195" s="228">
        <v>86</v>
      </c>
      <c r="CZ195" s="229">
        <v>5.91E-2</v>
      </c>
      <c r="DA195" s="228">
        <v>51.77</v>
      </c>
      <c r="DB195" s="228">
        <v>42.78</v>
      </c>
      <c r="DC195" s="228">
        <v>8.99</v>
      </c>
      <c r="DD195" s="228">
        <v>8.99</v>
      </c>
      <c r="DE195" s="228">
        <v>38.799999999999997</v>
      </c>
      <c r="DF195" s="228">
        <v>38.83</v>
      </c>
      <c r="DG195" s="228">
        <v>12.97</v>
      </c>
      <c r="DH195" s="228">
        <v>-0.03</v>
      </c>
      <c r="DI195" s="228">
        <v>52.21</v>
      </c>
      <c r="DJ195" s="228">
        <v>42.56</v>
      </c>
      <c r="DK195" s="228">
        <v>9.65</v>
      </c>
      <c r="DL195" s="228">
        <v>9.65</v>
      </c>
      <c r="DM195" s="228">
        <v>51</v>
      </c>
      <c r="DN195" s="228">
        <v>43.29</v>
      </c>
      <c r="DO195" s="228">
        <v>7.71</v>
      </c>
      <c r="DP195" s="228">
        <v>7.71</v>
      </c>
      <c r="DQ195" s="228">
        <v>0.51</v>
      </c>
      <c r="DR195" s="228">
        <v>0.55000000000000004</v>
      </c>
      <c r="DS195" s="228">
        <v>-0.04</v>
      </c>
      <c r="DT195" s="229">
        <v>-7.2700000000000001E-2</v>
      </c>
      <c r="DU195" s="231">
        <v>5000</v>
      </c>
      <c r="DV195" s="231">
        <v>4000</v>
      </c>
      <c r="DW195" s="228">
        <v>0.56999999999999995</v>
      </c>
      <c r="DX195" s="228">
        <v>0.42</v>
      </c>
      <c r="DY195" s="228">
        <v>0.15</v>
      </c>
      <c r="DZ195" s="229">
        <v>0.35709999999999997</v>
      </c>
      <c r="EA195" s="229">
        <v>0.21920000000000001</v>
      </c>
      <c r="EB195" s="230">
        <v>356300</v>
      </c>
      <c r="EC195" s="229">
        <v>-3.3E-3</v>
      </c>
      <c r="ED195" s="229">
        <v>0.21920000000000001</v>
      </c>
      <c r="EE195" s="228">
        <v>-18.34</v>
      </c>
      <c r="EF195" s="229">
        <v>-4.0000000000000001E-3</v>
      </c>
      <c r="EG195" s="230">
        <v>96604</v>
      </c>
      <c r="EH195" s="230">
        <v>135221</v>
      </c>
      <c r="EI195" s="229">
        <v>-0.28560000000000002</v>
      </c>
      <c r="EJ195" s="229">
        <v>0.36930000000000002</v>
      </c>
      <c r="EK195" s="228">
        <v>810.38</v>
      </c>
      <c r="EL195" s="228">
        <v>425.26</v>
      </c>
      <c r="EM195" s="228">
        <v>196.23</v>
      </c>
      <c r="EN195" s="228">
        <v>44.37</v>
      </c>
      <c r="EO195" s="231">
        <v>1431.87</v>
      </c>
      <c r="EP195" s="231">
        <v>1819.32</v>
      </c>
      <c r="EQ195" s="228">
        <v>-387.45</v>
      </c>
      <c r="ER195" s="229">
        <v>-0.21299999999999999</v>
      </c>
      <c r="ES195" s="228">
        <v>502.48</v>
      </c>
      <c r="ET195" s="228">
        <v>231.53</v>
      </c>
      <c r="EU195" s="228">
        <v>826.68</v>
      </c>
      <c r="EV195" s="231">
        <v>5241946</v>
      </c>
      <c r="EW195" s="231">
        <v>1560.69</v>
      </c>
      <c r="EX195" s="231">
        <v>1480.69</v>
      </c>
      <c r="EY195" s="228">
        <v>80</v>
      </c>
      <c r="EZ195" s="229">
        <v>5.3999999999999999E-2</v>
      </c>
      <c r="FA195" s="229">
        <v>0.65090000000000003</v>
      </c>
      <c r="FB195" s="227" t="s">
        <v>566</v>
      </c>
      <c r="FC195">
        <f t="shared" ref="FC195:FC258" si="4">BY266-CC266</f>
        <v>0</v>
      </c>
    </row>
    <row r="196" spans="1:159" ht="17.25" thickBot="1" x14ac:dyDescent="0.3">
      <c r="A196" s="226">
        <v>46132</v>
      </c>
      <c r="B196" s="227" t="s">
        <v>161</v>
      </c>
      <c r="C196" s="227" t="s">
        <v>293</v>
      </c>
      <c r="D196" s="228">
        <v>1450</v>
      </c>
      <c r="E196" s="228">
        <v>8</v>
      </c>
      <c r="F196" s="228">
        <v>433.8</v>
      </c>
      <c r="G196" s="228">
        <v>427.95</v>
      </c>
      <c r="H196" s="228">
        <v>5.85</v>
      </c>
      <c r="I196" s="229">
        <v>1.37E-2</v>
      </c>
      <c r="J196" s="228">
        <v>433.6</v>
      </c>
      <c r="K196" s="228">
        <v>427.6</v>
      </c>
      <c r="L196" s="228">
        <v>6</v>
      </c>
      <c r="M196" s="229">
        <v>1.4E-2</v>
      </c>
      <c r="N196" s="228">
        <v>433.8</v>
      </c>
      <c r="O196" s="228">
        <v>427.95</v>
      </c>
      <c r="P196" s="228">
        <v>5.85</v>
      </c>
      <c r="Q196" s="229">
        <v>1.37E-2</v>
      </c>
      <c r="R196" s="228">
        <v>436.25</v>
      </c>
      <c r="S196" s="228">
        <v>430.45</v>
      </c>
      <c r="T196" s="228">
        <v>5.8</v>
      </c>
      <c r="U196" s="229">
        <v>1.35E-2</v>
      </c>
      <c r="V196" s="228">
        <v>436.8</v>
      </c>
      <c r="W196" s="228">
        <v>430.95</v>
      </c>
      <c r="X196" s="228">
        <v>5.85</v>
      </c>
      <c r="Y196" s="229">
        <v>1.3599999999999999E-2</v>
      </c>
      <c r="Z196" s="228">
        <v>0.2</v>
      </c>
      <c r="AA196" s="228">
        <v>0.35</v>
      </c>
      <c r="AB196" s="228">
        <v>-0.15</v>
      </c>
      <c r="AC196" s="229">
        <v>5.0000000000000001E-4</v>
      </c>
      <c r="AD196" s="228">
        <v>0.2</v>
      </c>
      <c r="AE196" s="228">
        <v>0.35</v>
      </c>
      <c r="AF196" s="228">
        <v>-0.15</v>
      </c>
      <c r="AG196" s="229">
        <v>5.0000000000000001E-4</v>
      </c>
      <c r="AH196" s="228">
        <v>2.65</v>
      </c>
      <c r="AI196" s="228">
        <v>2.85</v>
      </c>
      <c r="AJ196" s="228">
        <v>-0.2</v>
      </c>
      <c r="AK196" s="229">
        <v>6.1000000000000004E-3</v>
      </c>
      <c r="AL196" s="228">
        <v>3.2</v>
      </c>
      <c r="AM196" s="228">
        <v>3.35</v>
      </c>
      <c r="AN196" s="228">
        <v>-0.15</v>
      </c>
      <c r="AO196" s="229">
        <v>7.4000000000000003E-3</v>
      </c>
      <c r="AP196" s="228">
        <v>433.47</v>
      </c>
      <c r="AQ196" s="228">
        <v>435.75</v>
      </c>
      <c r="AR196" s="228">
        <v>0</v>
      </c>
      <c r="AS196" s="228">
        <v>926</v>
      </c>
      <c r="AT196" s="228">
        <v>459</v>
      </c>
      <c r="AU196" s="228">
        <v>467</v>
      </c>
      <c r="AV196" s="229">
        <v>1.0170999999999999</v>
      </c>
      <c r="AW196" s="228">
        <v>758</v>
      </c>
      <c r="AX196" s="228">
        <v>358</v>
      </c>
      <c r="AY196" s="228">
        <v>399</v>
      </c>
      <c r="AZ196" s="229">
        <v>1.1133999999999999</v>
      </c>
      <c r="BA196" s="228">
        <v>152</v>
      </c>
      <c r="BB196" s="228">
        <v>94</v>
      </c>
      <c r="BC196" s="228">
        <v>59</v>
      </c>
      <c r="BD196" s="229">
        <v>0.62549999999999994</v>
      </c>
      <c r="BE196" s="228">
        <v>16</v>
      </c>
      <c r="BF196" s="228">
        <v>7</v>
      </c>
      <c r="BG196" s="228">
        <v>9</v>
      </c>
      <c r="BH196" s="229">
        <v>1.3491</v>
      </c>
      <c r="BI196" s="230">
        <v>4785</v>
      </c>
      <c r="BJ196" s="230">
        <v>2151</v>
      </c>
      <c r="BK196" s="230">
        <v>2634</v>
      </c>
      <c r="BL196" s="229">
        <v>1.2245999999999999</v>
      </c>
      <c r="BM196" s="230">
        <v>2776</v>
      </c>
      <c r="BN196" s="230">
        <v>1604</v>
      </c>
      <c r="BO196" s="230">
        <v>1172</v>
      </c>
      <c r="BP196" s="229">
        <v>0.73029999999999995</v>
      </c>
      <c r="BQ196" s="230">
        <v>8487</v>
      </c>
      <c r="BR196" s="230">
        <v>4214</v>
      </c>
      <c r="BS196" s="230">
        <v>4272</v>
      </c>
      <c r="BT196" s="229">
        <v>1.0138</v>
      </c>
      <c r="BU196" s="230">
        <v>13682860</v>
      </c>
      <c r="BV196" s="230">
        <v>8238954</v>
      </c>
      <c r="BW196" s="230">
        <v>5443906</v>
      </c>
      <c r="BX196" s="229">
        <v>0.66080000000000005</v>
      </c>
      <c r="BY196" s="230">
        <v>2544</v>
      </c>
      <c r="BZ196" s="230">
        <v>2477</v>
      </c>
      <c r="CA196" s="228">
        <v>66</v>
      </c>
      <c r="CB196" s="229">
        <v>2.6800000000000001E-2</v>
      </c>
      <c r="CC196" s="230">
        <v>2232</v>
      </c>
      <c r="CD196" s="230">
        <v>2218</v>
      </c>
      <c r="CE196" s="228">
        <v>13</v>
      </c>
      <c r="CF196" s="229">
        <v>6.0000000000000001E-3</v>
      </c>
      <c r="CG196" s="228">
        <v>290</v>
      </c>
      <c r="CH196" s="228">
        <v>240</v>
      </c>
      <c r="CI196" s="228">
        <v>50</v>
      </c>
      <c r="CJ196" s="229">
        <v>0.20930000000000001</v>
      </c>
      <c r="CK196" s="228">
        <v>22</v>
      </c>
      <c r="CL196" s="228">
        <v>19</v>
      </c>
      <c r="CM196" s="228">
        <v>3</v>
      </c>
      <c r="CN196" s="229">
        <v>0.15720000000000001</v>
      </c>
      <c r="CO196" s="230">
        <v>1553</v>
      </c>
      <c r="CP196" s="230">
        <v>1591</v>
      </c>
      <c r="CQ196" s="228">
        <v>-38</v>
      </c>
      <c r="CR196" s="229">
        <v>-2.3599999999999999E-2</v>
      </c>
      <c r="CS196" s="230">
        <v>1312</v>
      </c>
      <c r="CT196" s="230">
        <v>1361</v>
      </c>
      <c r="CU196" s="228">
        <v>-49</v>
      </c>
      <c r="CV196" s="229">
        <v>-3.6299999999999999E-2</v>
      </c>
      <c r="CW196" s="230">
        <v>5408</v>
      </c>
      <c r="CX196" s="230">
        <v>5429</v>
      </c>
      <c r="CY196" s="228">
        <v>-21</v>
      </c>
      <c r="CZ196" s="229">
        <v>-3.8E-3</v>
      </c>
      <c r="DA196" s="228">
        <v>31.88</v>
      </c>
      <c r="DB196" s="228">
        <v>29.31</v>
      </c>
      <c r="DC196" s="228">
        <v>2.57</v>
      </c>
      <c r="DD196" s="228">
        <v>2.57</v>
      </c>
      <c r="DE196" s="228">
        <v>31.54</v>
      </c>
      <c r="DF196" s="228">
        <v>31.57</v>
      </c>
      <c r="DG196" s="228">
        <v>0.34</v>
      </c>
      <c r="DH196" s="228">
        <v>-0.03</v>
      </c>
      <c r="DI196" s="228">
        <v>31.07</v>
      </c>
      <c r="DJ196" s="228">
        <v>28.97</v>
      </c>
      <c r="DK196" s="228">
        <v>2.1</v>
      </c>
      <c r="DL196" s="228">
        <v>2.1</v>
      </c>
      <c r="DM196" s="228">
        <v>33.28</v>
      </c>
      <c r="DN196" s="228">
        <v>29.77</v>
      </c>
      <c r="DO196" s="228">
        <v>3.51</v>
      </c>
      <c r="DP196" s="228">
        <v>3.51</v>
      </c>
      <c r="DQ196" s="228">
        <v>0.84</v>
      </c>
      <c r="DR196" s="228">
        <v>0.86</v>
      </c>
      <c r="DS196" s="228">
        <v>-0.02</v>
      </c>
      <c r="DT196" s="229">
        <v>-2.3300000000000001E-2</v>
      </c>
      <c r="DU196" s="228">
        <v>440</v>
      </c>
      <c r="DV196" s="228">
        <v>415</v>
      </c>
      <c r="DW196" s="228">
        <v>0.57999999999999996</v>
      </c>
      <c r="DX196" s="228">
        <v>0.75</v>
      </c>
      <c r="DY196" s="228">
        <v>-0.17</v>
      </c>
      <c r="DZ196" s="229">
        <v>-0.22670000000000001</v>
      </c>
      <c r="EA196" s="229">
        <v>0.1226</v>
      </c>
      <c r="EB196" s="230">
        <v>5962400</v>
      </c>
      <c r="EC196" s="229">
        <v>5.5999999999999999E-3</v>
      </c>
      <c r="ED196" s="229">
        <v>0.1226</v>
      </c>
      <c r="EE196" s="228">
        <v>2.2799999999999998</v>
      </c>
      <c r="EF196" s="229">
        <v>5.3E-3</v>
      </c>
      <c r="EG196" s="230">
        <v>5861609</v>
      </c>
      <c r="EH196" s="230">
        <v>3410739</v>
      </c>
      <c r="EI196" s="229">
        <v>0.71860000000000002</v>
      </c>
      <c r="EJ196" s="229">
        <v>0.4284</v>
      </c>
      <c r="EK196" s="231">
        <v>4946.47</v>
      </c>
      <c r="EL196" s="231">
        <v>2693.03</v>
      </c>
      <c r="EM196" s="228">
        <v>925.79</v>
      </c>
      <c r="EN196" s="228">
        <v>121.22</v>
      </c>
      <c r="EO196" s="231">
        <v>8565.2800000000007</v>
      </c>
      <c r="EP196" s="231">
        <v>4208.7</v>
      </c>
      <c r="EQ196" s="231">
        <v>4356.58</v>
      </c>
      <c r="ER196" s="229">
        <v>1.0350999999999999</v>
      </c>
      <c r="ES196" s="231">
        <v>1523.53</v>
      </c>
      <c r="ET196" s="231">
        <v>1215.67</v>
      </c>
      <c r="EU196" s="231">
        <v>2545.38</v>
      </c>
      <c r="EV196" s="231">
        <v>169808198</v>
      </c>
      <c r="EW196" s="231">
        <v>5284.58</v>
      </c>
      <c r="EX196" s="231">
        <v>5241.7700000000004</v>
      </c>
      <c r="EY196" s="228">
        <v>42.81</v>
      </c>
      <c r="EZ196" s="229">
        <v>8.2000000000000007E-3</v>
      </c>
      <c r="FA196" s="229">
        <v>0.73419999999999996</v>
      </c>
      <c r="FB196" s="227" t="s">
        <v>555</v>
      </c>
      <c r="FC196">
        <f t="shared" si="4"/>
        <v>0</v>
      </c>
    </row>
    <row r="197" spans="1:159" ht="17.25" thickBot="1" x14ac:dyDescent="0.3">
      <c r="A197" s="226">
        <v>46132</v>
      </c>
      <c r="B197" s="227" t="s">
        <v>227</v>
      </c>
      <c r="C197" s="227" t="s">
        <v>294</v>
      </c>
      <c r="D197" s="228">
        <v>5500</v>
      </c>
      <c r="E197" s="228">
        <v>8</v>
      </c>
      <c r="F197" s="228">
        <v>211.52</v>
      </c>
      <c r="G197" s="228">
        <v>212.3</v>
      </c>
      <c r="H197" s="228">
        <v>-0.78</v>
      </c>
      <c r="I197" s="229">
        <v>-3.7000000000000002E-3</v>
      </c>
      <c r="J197" s="228">
        <v>211.72</v>
      </c>
      <c r="K197" s="228">
        <v>212.12</v>
      </c>
      <c r="L197" s="228">
        <v>-0.4</v>
      </c>
      <c r="M197" s="229">
        <v>-1.9E-3</v>
      </c>
      <c r="N197" s="228">
        <v>211.52</v>
      </c>
      <c r="O197" s="228">
        <v>212.3</v>
      </c>
      <c r="P197" s="228">
        <v>-0.78</v>
      </c>
      <c r="Q197" s="229">
        <v>-3.7000000000000002E-3</v>
      </c>
      <c r="R197" s="228">
        <v>212.62</v>
      </c>
      <c r="S197" s="228">
        <v>213.63</v>
      </c>
      <c r="T197" s="228">
        <v>-1.01</v>
      </c>
      <c r="U197" s="229">
        <v>-4.7000000000000002E-3</v>
      </c>
      <c r="V197" s="228">
        <v>211.15</v>
      </c>
      <c r="W197" s="228">
        <v>211.66</v>
      </c>
      <c r="X197" s="228">
        <v>-0.51</v>
      </c>
      <c r="Y197" s="229">
        <v>-2.3999999999999998E-3</v>
      </c>
      <c r="Z197" s="228">
        <v>-0.2</v>
      </c>
      <c r="AA197" s="228">
        <v>0.18</v>
      </c>
      <c r="AB197" s="228">
        <v>-0.38</v>
      </c>
      <c r="AC197" s="229">
        <v>-8.9999999999999998E-4</v>
      </c>
      <c r="AD197" s="228">
        <v>-0.2</v>
      </c>
      <c r="AE197" s="228">
        <v>0.18</v>
      </c>
      <c r="AF197" s="228">
        <v>-0.38</v>
      </c>
      <c r="AG197" s="229">
        <v>-8.9999999999999998E-4</v>
      </c>
      <c r="AH197" s="228">
        <v>0.9</v>
      </c>
      <c r="AI197" s="228">
        <v>1.51</v>
      </c>
      <c r="AJ197" s="228">
        <v>-0.61</v>
      </c>
      <c r="AK197" s="229">
        <v>4.3E-3</v>
      </c>
      <c r="AL197" s="228">
        <v>-0.56999999999999995</v>
      </c>
      <c r="AM197" s="228">
        <v>-0.46</v>
      </c>
      <c r="AN197" s="228">
        <v>-0.11</v>
      </c>
      <c r="AO197" s="229">
        <v>-2.7000000000000001E-3</v>
      </c>
      <c r="AP197" s="228">
        <v>211.72</v>
      </c>
      <c r="AQ197" s="228">
        <v>213.01</v>
      </c>
      <c r="AR197" s="228">
        <v>0</v>
      </c>
      <c r="AS197" s="228">
        <v>712</v>
      </c>
      <c r="AT197" s="228">
        <v>628</v>
      </c>
      <c r="AU197" s="228">
        <v>84</v>
      </c>
      <c r="AV197" s="229">
        <v>0.13350000000000001</v>
      </c>
      <c r="AW197" s="228">
        <v>505</v>
      </c>
      <c r="AX197" s="228">
        <v>522</v>
      </c>
      <c r="AY197" s="228">
        <v>-17</v>
      </c>
      <c r="AZ197" s="229">
        <v>-3.1899999999999998E-2</v>
      </c>
      <c r="BA197" s="228">
        <v>181</v>
      </c>
      <c r="BB197" s="228">
        <v>91</v>
      </c>
      <c r="BC197" s="228">
        <v>90</v>
      </c>
      <c r="BD197" s="229">
        <v>0.98470000000000002</v>
      </c>
      <c r="BE197" s="228">
        <v>25</v>
      </c>
      <c r="BF197" s="228">
        <v>15</v>
      </c>
      <c r="BG197" s="228">
        <v>10</v>
      </c>
      <c r="BH197" s="229">
        <v>0.72</v>
      </c>
      <c r="BI197" s="230">
        <v>2395</v>
      </c>
      <c r="BJ197" s="230">
        <v>2504</v>
      </c>
      <c r="BK197" s="228">
        <v>-109</v>
      </c>
      <c r="BL197" s="229">
        <v>-4.36E-2</v>
      </c>
      <c r="BM197" s="230">
        <v>1348</v>
      </c>
      <c r="BN197" s="230">
        <v>1625</v>
      </c>
      <c r="BO197" s="228">
        <v>-276</v>
      </c>
      <c r="BP197" s="229">
        <v>-0.17</v>
      </c>
      <c r="BQ197" s="230">
        <v>4455</v>
      </c>
      <c r="BR197" s="230">
        <v>4757</v>
      </c>
      <c r="BS197" s="228">
        <v>-301</v>
      </c>
      <c r="BT197" s="229">
        <v>-6.3399999999999998E-2</v>
      </c>
      <c r="BU197" s="230">
        <v>26056362</v>
      </c>
      <c r="BV197" s="230">
        <v>24403581</v>
      </c>
      <c r="BW197" s="230">
        <v>1652781</v>
      </c>
      <c r="BX197" s="229">
        <v>6.7699999999999996E-2</v>
      </c>
      <c r="BY197" s="230">
        <v>3793</v>
      </c>
      <c r="BZ197" s="230">
        <v>3772</v>
      </c>
      <c r="CA197" s="228">
        <v>21</v>
      </c>
      <c r="CB197" s="229">
        <v>5.5999999999999999E-3</v>
      </c>
      <c r="CC197" s="230">
        <v>3190</v>
      </c>
      <c r="CD197" s="230">
        <v>3250</v>
      </c>
      <c r="CE197" s="228">
        <v>-60</v>
      </c>
      <c r="CF197" s="229">
        <v>-1.83E-2</v>
      </c>
      <c r="CG197" s="228">
        <v>483</v>
      </c>
      <c r="CH197" s="228">
        <v>406</v>
      </c>
      <c r="CI197" s="228">
        <v>77</v>
      </c>
      <c r="CJ197" s="229">
        <v>0.18920000000000001</v>
      </c>
      <c r="CK197" s="228">
        <v>120</v>
      </c>
      <c r="CL197" s="228">
        <v>117</v>
      </c>
      <c r="CM197" s="228">
        <v>4</v>
      </c>
      <c r="CN197" s="229">
        <v>3.2899999999999999E-2</v>
      </c>
      <c r="CO197" s="230">
        <v>2523</v>
      </c>
      <c r="CP197" s="230">
        <v>2463</v>
      </c>
      <c r="CQ197" s="228">
        <v>60</v>
      </c>
      <c r="CR197" s="229">
        <v>2.46E-2</v>
      </c>
      <c r="CS197" s="230">
        <v>2132</v>
      </c>
      <c r="CT197" s="230">
        <v>2113</v>
      </c>
      <c r="CU197" s="228">
        <v>20</v>
      </c>
      <c r="CV197" s="229">
        <v>9.4000000000000004E-3</v>
      </c>
      <c r="CW197" s="230">
        <v>8449</v>
      </c>
      <c r="CX197" s="230">
        <v>8348</v>
      </c>
      <c r="CY197" s="228">
        <v>101</v>
      </c>
      <c r="CZ197" s="229">
        <v>1.21E-2</v>
      </c>
      <c r="DA197" s="228">
        <v>32.17</v>
      </c>
      <c r="DB197" s="228">
        <v>29.64</v>
      </c>
      <c r="DC197" s="228">
        <v>2.5299999999999998</v>
      </c>
      <c r="DD197" s="228">
        <v>2.5299999999999998</v>
      </c>
      <c r="DE197" s="228">
        <v>36.07</v>
      </c>
      <c r="DF197" s="228">
        <v>36.159999999999997</v>
      </c>
      <c r="DG197" s="228">
        <v>-3.9</v>
      </c>
      <c r="DH197" s="228">
        <v>-0.09</v>
      </c>
      <c r="DI197" s="228">
        <v>31.01</v>
      </c>
      <c r="DJ197" s="228">
        <v>28.19</v>
      </c>
      <c r="DK197" s="228">
        <v>2.82</v>
      </c>
      <c r="DL197" s="228">
        <v>2.82</v>
      </c>
      <c r="DM197" s="228">
        <v>34.22</v>
      </c>
      <c r="DN197" s="228">
        <v>31.87</v>
      </c>
      <c r="DO197" s="228">
        <v>2.35</v>
      </c>
      <c r="DP197" s="228">
        <v>2.35</v>
      </c>
      <c r="DQ197" s="228">
        <v>0.85</v>
      </c>
      <c r="DR197" s="228">
        <v>0.86</v>
      </c>
      <c r="DS197" s="228">
        <v>-0.01</v>
      </c>
      <c r="DT197" s="229">
        <v>-1.1599999999999999E-2</v>
      </c>
      <c r="DU197" s="228">
        <v>195</v>
      </c>
      <c r="DV197" s="228">
        <v>200</v>
      </c>
      <c r="DW197" s="228">
        <v>0.56000000000000005</v>
      </c>
      <c r="DX197" s="228">
        <v>0.65</v>
      </c>
      <c r="DY197" s="228">
        <v>-0.09</v>
      </c>
      <c r="DZ197" s="229">
        <v>-0.13850000000000001</v>
      </c>
      <c r="EA197" s="229">
        <v>0.159</v>
      </c>
      <c r="EB197" s="230">
        <v>24695000</v>
      </c>
      <c r="EC197" s="229">
        <v>5.1999999999999998E-3</v>
      </c>
      <c r="ED197" s="229">
        <v>0.159</v>
      </c>
      <c r="EE197" s="228">
        <v>1.29</v>
      </c>
      <c r="EF197" s="229">
        <v>6.1000000000000004E-3</v>
      </c>
      <c r="EG197" s="230">
        <v>11214620</v>
      </c>
      <c r="EH197" s="230">
        <v>9314487</v>
      </c>
      <c r="EI197" s="229">
        <v>0.20399999999999999</v>
      </c>
      <c r="EJ197" s="229">
        <v>0.4304</v>
      </c>
      <c r="EK197" s="231">
        <v>2476.8200000000002</v>
      </c>
      <c r="EL197" s="231">
        <v>1315.58</v>
      </c>
      <c r="EM197" s="228">
        <v>713.68</v>
      </c>
      <c r="EN197" s="228">
        <v>63.81</v>
      </c>
      <c r="EO197" s="231">
        <v>4506.08</v>
      </c>
      <c r="EP197" s="231">
        <v>4791.0600000000004</v>
      </c>
      <c r="EQ197" s="228">
        <v>-284.99</v>
      </c>
      <c r="ER197" s="229">
        <v>-5.9499999999999997E-2</v>
      </c>
      <c r="ES197" s="231">
        <v>2483.16</v>
      </c>
      <c r="ET197" s="231">
        <v>1966.22</v>
      </c>
      <c r="EU197" s="231">
        <v>3795.55</v>
      </c>
      <c r="EV197" s="231">
        <v>1049350971</v>
      </c>
      <c r="EW197" s="231">
        <v>8244.93</v>
      </c>
      <c r="EX197" s="231">
        <v>8150.86</v>
      </c>
      <c r="EY197" s="228">
        <v>94.07</v>
      </c>
      <c r="EZ197" s="229">
        <v>1.15E-2</v>
      </c>
      <c r="FA197" s="229">
        <v>0.38069999999999998</v>
      </c>
      <c r="FB197" s="227" t="s">
        <v>566</v>
      </c>
      <c r="FC197">
        <f t="shared" si="4"/>
        <v>0</v>
      </c>
    </row>
    <row r="198" spans="1:159" ht="17.25" thickBot="1" x14ac:dyDescent="0.3">
      <c r="A198" s="226">
        <v>46132</v>
      </c>
      <c r="B198" s="227" t="s">
        <v>221</v>
      </c>
      <c r="C198" s="227" t="s">
        <v>662</v>
      </c>
      <c r="D198" s="228">
        <v>800</v>
      </c>
      <c r="E198" s="228">
        <v>8</v>
      </c>
      <c r="F198" s="228">
        <v>576.6</v>
      </c>
      <c r="G198" s="228">
        <v>590.9</v>
      </c>
      <c r="H198" s="228">
        <v>-14.3</v>
      </c>
      <c r="I198" s="229">
        <v>-2.4199999999999999E-2</v>
      </c>
      <c r="J198" s="228">
        <v>576.45000000000005</v>
      </c>
      <c r="K198" s="228">
        <v>589.29999999999995</v>
      </c>
      <c r="L198" s="228">
        <v>-12.85</v>
      </c>
      <c r="M198" s="229">
        <v>-2.18E-2</v>
      </c>
      <c r="N198" s="228">
        <v>576.6</v>
      </c>
      <c r="O198" s="228">
        <v>590.9</v>
      </c>
      <c r="P198" s="228">
        <v>-14.3</v>
      </c>
      <c r="Q198" s="229">
        <v>-2.4199999999999999E-2</v>
      </c>
      <c r="R198" s="228">
        <v>0</v>
      </c>
      <c r="S198" s="228">
        <v>0</v>
      </c>
      <c r="T198" s="228">
        <v>0</v>
      </c>
      <c r="U198" s="229">
        <v>0</v>
      </c>
      <c r="V198" s="228">
        <v>0</v>
      </c>
      <c r="W198" s="228">
        <v>0</v>
      </c>
      <c r="X198" s="228">
        <v>0</v>
      </c>
      <c r="Y198" s="229">
        <v>0</v>
      </c>
      <c r="Z198" s="228">
        <v>0.15</v>
      </c>
      <c r="AA198" s="228">
        <v>1.6</v>
      </c>
      <c r="AB198" s="228">
        <v>-1.45</v>
      </c>
      <c r="AC198" s="229">
        <v>2.9999999999999997E-4</v>
      </c>
      <c r="AD198" s="228">
        <v>0.15</v>
      </c>
      <c r="AE198" s="228">
        <v>1.6</v>
      </c>
      <c r="AF198" s="228">
        <v>-1.45</v>
      </c>
      <c r="AG198" s="229">
        <v>2.9999999999999997E-4</v>
      </c>
      <c r="AH198" s="228">
        <v>0</v>
      </c>
      <c r="AI198" s="228">
        <v>0</v>
      </c>
      <c r="AJ198" s="228">
        <v>0</v>
      </c>
      <c r="AK198" s="229">
        <v>0</v>
      </c>
      <c r="AL198" s="228">
        <v>0</v>
      </c>
      <c r="AM198" s="228">
        <v>0</v>
      </c>
      <c r="AN198" s="228">
        <v>0</v>
      </c>
      <c r="AO198" s="229">
        <v>0</v>
      </c>
      <c r="AP198" s="228">
        <v>580.62</v>
      </c>
      <c r="AQ198" s="228">
        <v>0</v>
      </c>
      <c r="AR198" s="228">
        <v>0</v>
      </c>
      <c r="AS198" s="228">
        <v>43</v>
      </c>
      <c r="AT198" s="228">
        <v>29</v>
      </c>
      <c r="AU198" s="228">
        <v>14</v>
      </c>
      <c r="AV198" s="229">
        <v>0.49359999999999998</v>
      </c>
      <c r="AW198" s="228">
        <v>43</v>
      </c>
      <c r="AX198" s="228">
        <v>29</v>
      </c>
      <c r="AY198" s="228">
        <v>14</v>
      </c>
      <c r="AZ198" s="229">
        <v>0.49359999999999998</v>
      </c>
      <c r="BA198" s="228">
        <v>0</v>
      </c>
      <c r="BB198" s="228">
        <v>0</v>
      </c>
      <c r="BC198" s="228">
        <v>0</v>
      </c>
      <c r="BD198" s="229">
        <v>0</v>
      </c>
      <c r="BE198" s="228">
        <v>0</v>
      </c>
      <c r="BF198" s="228">
        <v>0</v>
      </c>
      <c r="BG198" s="228">
        <v>0</v>
      </c>
      <c r="BH198" s="229">
        <v>0</v>
      </c>
      <c r="BI198" s="228">
        <v>64</v>
      </c>
      <c r="BJ198" s="228">
        <v>78</v>
      </c>
      <c r="BK198" s="228">
        <v>-13</v>
      </c>
      <c r="BL198" s="229">
        <v>-0.1721</v>
      </c>
      <c r="BM198" s="228">
        <v>27</v>
      </c>
      <c r="BN198" s="228">
        <v>24</v>
      </c>
      <c r="BO198" s="228">
        <v>2</v>
      </c>
      <c r="BP198" s="229">
        <v>9.2299999999999993E-2</v>
      </c>
      <c r="BQ198" s="228">
        <v>134</v>
      </c>
      <c r="BR198" s="228">
        <v>131</v>
      </c>
      <c r="BS198" s="228">
        <v>3</v>
      </c>
      <c r="BT198" s="229">
        <v>2.4299999999999999E-2</v>
      </c>
      <c r="BU198" s="230">
        <v>586807</v>
      </c>
      <c r="BV198" s="230">
        <v>655163</v>
      </c>
      <c r="BW198" s="230">
        <v>-68356</v>
      </c>
      <c r="BX198" s="229">
        <v>-0.1043</v>
      </c>
      <c r="BY198" s="228">
        <v>340</v>
      </c>
      <c r="BZ198" s="228">
        <v>352</v>
      </c>
      <c r="CA198" s="228">
        <v>-12</v>
      </c>
      <c r="CB198" s="229">
        <v>-3.4599999999999999E-2</v>
      </c>
      <c r="CC198" s="228">
        <v>340</v>
      </c>
      <c r="CD198" s="228">
        <v>352</v>
      </c>
      <c r="CE198" s="228">
        <v>-12</v>
      </c>
      <c r="CF198" s="229">
        <v>-3.4599999999999999E-2</v>
      </c>
      <c r="CG198" s="228">
        <v>0</v>
      </c>
      <c r="CH198" s="228">
        <v>0</v>
      </c>
      <c r="CI198" s="228">
        <v>0</v>
      </c>
      <c r="CJ198" s="229">
        <v>0</v>
      </c>
      <c r="CK198" s="228">
        <v>0</v>
      </c>
      <c r="CL198" s="228">
        <v>0</v>
      </c>
      <c r="CM198" s="228">
        <v>0</v>
      </c>
      <c r="CN198" s="229">
        <v>0</v>
      </c>
      <c r="CO198" s="228">
        <v>164</v>
      </c>
      <c r="CP198" s="228">
        <v>158</v>
      </c>
      <c r="CQ198" s="228">
        <v>6</v>
      </c>
      <c r="CR198" s="229">
        <v>3.8300000000000001E-2</v>
      </c>
      <c r="CS198" s="228">
        <v>105</v>
      </c>
      <c r="CT198" s="228">
        <v>105</v>
      </c>
      <c r="CU198" s="228">
        <v>0</v>
      </c>
      <c r="CV198" s="229">
        <v>4.4000000000000003E-3</v>
      </c>
      <c r="CW198" s="228">
        <v>609</v>
      </c>
      <c r="CX198" s="228">
        <v>615</v>
      </c>
      <c r="CY198" s="228">
        <v>-6</v>
      </c>
      <c r="CZ198" s="229">
        <v>-9.1999999999999998E-3</v>
      </c>
      <c r="DA198" s="228">
        <v>36.54</v>
      </c>
      <c r="DB198" s="228">
        <v>30.08</v>
      </c>
      <c r="DC198" s="228">
        <v>6.46</v>
      </c>
      <c r="DD198" s="228">
        <v>6.46</v>
      </c>
      <c r="DE198" s="228">
        <v>33.72</v>
      </c>
      <c r="DF198" s="228">
        <v>33.64</v>
      </c>
      <c r="DG198" s="228">
        <v>2.82</v>
      </c>
      <c r="DH198" s="228">
        <v>0.08</v>
      </c>
      <c r="DI198" s="228">
        <v>35.89</v>
      </c>
      <c r="DJ198" s="228">
        <v>28.25</v>
      </c>
      <c r="DK198" s="228">
        <v>7.64</v>
      </c>
      <c r="DL198" s="228">
        <v>7.64</v>
      </c>
      <c r="DM198" s="228">
        <v>38.090000000000003</v>
      </c>
      <c r="DN198" s="228">
        <v>35.880000000000003</v>
      </c>
      <c r="DO198" s="228">
        <v>2.21</v>
      </c>
      <c r="DP198" s="228">
        <v>2.21</v>
      </c>
      <c r="DQ198" s="228">
        <v>0.64</v>
      </c>
      <c r="DR198" s="228">
        <v>0.66</v>
      </c>
      <c r="DS198" s="228">
        <v>-0.02</v>
      </c>
      <c r="DT198" s="229">
        <v>-3.0300000000000001E-2</v>
      </c>
      <c r="DU198" s="228">
        <v>620</v>
      </c>
      <c r="DV198" s="228">
        <v>550</v>
      </c>
      <c r="DW198" s="228">
        <v>0.42</v>
      </c>
      <c r="DX198" s="228">
        <v>0.32</v>
      </c>
      <c r="DY198" s="228">
        <v>0.1</v>
      </c>
      <c r="DZ198" s="229">
        <v>0.3125</v>
      </c>
      <c r="EA198" s="229">
        <v>0</v>
      </c>
      <c r="EB198" s="228">
        <v>0</v>
      </c>
      <c r="EC198" s="229">
        <v>0</v>
      </c>
      <c r="ED198" s="229">
        <v>0</v>
      </c>
      <c r="EE198" s="228">
        <v>0</v>
      </c>
      <c r="EF198" s="229">
        <v>0</v>
      </c>
      <c r="EG198" s="230">
        <v>236713</v>
      </c>
      <c r="EH198" s="230">
        <v>246733</v>
      </c>
      <c r="EI198" s="229">
        <v>-4.0599999999999997E-2</v>
      </c>
      <c r="EJ198" s="229">
        <v>0.40339999999999998</v>
      </c>
      <c r="EK198" s="228">
        <v>67.94</v>
      </c>
      <c r="EL198" s="228">
        <v>26.43</v>
      </c>
      <c r="EM198" s="228">
        <v>43.57</v>
      </c>
      <c r="EN198" s="228">
        <v>10.039999999999999</v>
      </c>
      <c r="EO198" s="228">
        <v>137.94</v>
      </c>
      <c r="EP198" s="228">
        <v>136.26</v>
      </c>
      <c r="EQ198" s="228">
        <v>1.68</v>
      </c>
      <c r="ER198" s="229">
        <v>1.24E-2</v>
      </c>
      <c r="ES198" s="228">
        <v>167.86</v>
      </c>
      <c r="ET198" s="228">
        <v>101.22</v>
      </c>
      <c r="EU198" s="228">
        <v>340.1</v>
      </c>
      <c r="EV198" s="231">
        <v>27144562</v>
      </c>
      <c r="EW198" s="228">
        <v>609.17999999999995</v>
      </c>
      <c r="EX198" s="228">
        <v>623.54999999999995</v>
      </c>
      <c r="EY198" s="228">
        <v>-14.37</v>
      </c>
      <c r="EZ198" s="229">
        <v>-2.3E-2</v>
      </c>
      <c r="FA198" s="229">
        <v>0.38919999999999999</v>
      </c>
      <c r="FB198" s="227" t="s">
        <v>567</v>
      </c>
      <c r="FC198">
        <f t="shared" si="4"/>
        <v>0</v>
      </c>
    </row>
    <row r="199" spans="1:159" ht="17.25" thickBot="1" x14ac:dyDescent="0.3">
      <c r="A199" s="226">
        <v>46132</v>
      </c>
      <c r="B199" s="227" t="s">
        <v>221</v>
      </c>
      <c r="C199" s="227" t="s">
        <v>295</v>
      </c>
      <c r="D199" s="228">
        <v>175</v>
      </c>
      <c r="E199" s="228">
        <v>8</v>
      </c>
      <c r="F199" s="231">
        <v>2565</v>
      </c>
      <c r="G199" s="231">
        <v>2561.1999999999998</v>
      </c>
      <c r="H199" s="228">
        <v>3.8</v>
      </c>
      <c r="I199" s="229">
        <v>1.5E-3</v>
      </c>
      <c r="J199" s="231">
        <v>2579.6</v>
      </c>
      <c r="K199" s="231">
        <v>2581.5</v>
      </c>
      <c r="L199" s="228">
        <v>-1.9</v>
      </c>
      <c r="M199" s="229">
        <v>-6.9999999999999999E-4</v>
      </c>
      <c r="N199" s="231">
        <v>2565</v>
      </c>
      <c r="O199" s="231">
        <v>2561.1999999999998</v>
      </c>
      <c r="P199" s="228">
        <v>3.8</v>
      </c>
      <c r="Q199" s="229">
        <v>1.5E-3</v>
      </c>
      <c r="R199" s="231">
        <v>2560.5</v>
      </c>
      <c r="S199" s="231">
        <v>2553.3000000000002</v>
      </c>
      <c r="T199" s="228">
        <v>7.2</v>
      </c>
      <c r="U199" s="229">
        <v>2.8E-3</v>
      </c>
      <c r="V199" s="231">
        <v>2558.5</v>
      </c>
      <c r="W199" s="231">
        <v>2553.6</v>
      </c>
      <c r="X199" s="228">
        <v>4.9000000000000004</v>
      </c>
      <c r="Y199" s="229">
        <v>1.9E-3</v>
      </c>
      <c r="Z199" s="228">
        <v>-14.6</v>
      </c>
      <c r="AA199" s="228">
        <v>-20.3</v>
      </c>
      <c r="AB199" s="228">
        <v>5.7</v>
      </c>
      <c r="AC199" s="229">
        <v>-5.7000000000000002E-3</v>
      </c>
      <c r="AD199" s="228">
        <v>-14.6</v>
      </c>
      <c r="AE199" s="228">
        <v>-20.3</v>
      </c>
      <c r="AF199" s="228">
        <v>5.7</v>
      </c>
      <c r="AG199" s="229">
        <v>-5.7000000000000002E-3</v>
      </c>
      <c r="AH199" s="228">
        <v>-19.100000000000001</v>
      </c>
      <c r="AI199" s="228">
        <v>-28.2</v>
      </c>
      <c r="AJ199" s="228">
        <v>9.1</v>
      </c>
      <c r="AK199" s="229">
        <v>-7.4000000000000003E-3</v>
      </c>
      <c r="AL199" s="228">
        <v>-21.1</v>
      </c>
      <c r="AM199" s="228">
        <v>-27.9</v>
      </c>
      <c r="AN199" s="228">
        <v>6.8</v>
      </c>
      <c r="AO199" s="229">
        <v>-8.2000000000000007E-3</v>
      </c>
      <c r="AP199" s="231">
        <v>2565.67</v>
      </c>
      <c r="AQ199" s="231">
        <v>2559.71</v>
      </c>
      <c r="AR199" s="228">
        <v>0</v>
      </c>
      <c r="AS199" s="228">
        <v>794</v>
      </c>
      <c r="AT199" s="228">
        <v>741</v>
      </c>
      <c r="AU199" s="228">
        <v>53</v>
      </c>
      <c r="AV199" s="229">
        <v>7.1800000000000003E-2</v>
      </c>
      <c r="AW199" s="228">
        <v>605</v>
      </c>
      <c r="AX199" s="228">
        <v>591</v>
      </c>
      <c r="AY199" s="228">
        <v>14</v>
      </c>
      <c r="AZ199" s="229">
        <v>2.3800000000000002E-2</v>
      </c>
      <c r="BA199" s="228">
        <v>161</v>
      </c>
      <c r="BB199" s="228">
        <v>115</v>
      </c>
      <c r="BC199" s="228">
        <v>46</v>
      </c>
      <c r="BD199" s="229">
        <v>0.39979999999999999</v>
      </c>
      <c r="BE199" s="228">
        <v>27</v>
      </c>
      <c r="BF199" s="228">
        <v>34</v>
      </c>
      <c r="BG199" s="228">
        <v>-7</v>
      </c>
      <c r="BH199" s="229">
        <v>-0.20230000000000001</v>
      </c>
      <c r="BI199" s="230">
        <v>4198</v>
      </c>
      <c r="BJ199" s="230">
        <v>4326</v>
      </c>
      <c r="BK199" s="228">
        <v>-128</v>
      </c>
      <c r="BL199" s="229">
        <v>-2.9600000000000001E-2</v>
      </c>
      <c r="BM199" s="230">
        <v>2228</v>
      </c>
      <c r="BN199" s="230">
        <v>2522</v>
      </c>
      <c r="BO199" s="228">
        <v>-294</v>
      </c>
      <c r="BP199" s="229">
        <v>-0.1166</v>
      </c>
      <c r="BQ199" s="230">
        <v>7221</v>
      </c>
      <c r="BR199" s="230">
        <v>7590</v>
      </c>
      <c r="BS199" s="228">
        <v>-369</v>
      </c>
      <c r="BT199" s="229">
        <v>-4.8599999999999997E-2</v>
      </c>
      <c r="BU199" s="230">
        <v>2430532</v>
      </c>
      <c r="BV199" s="230">
        <v>2872327</v>
      </c>
      <c r="BW199" s="230">
        <v>-441795</v>
      </c>
      <c r="BX199" s="229">
        <v>-0.15379999999999999</v>
      </c>
      <c r="BY199" s="230">
        <v>9123</v>
      </c>
      <c r="BZ199" s="230">
        <v>9121</v>
      </c>
      <c r="CA199" s="228">
        <v>2</v>
      </c>
      <c r="CB199" s="229">
        <v>2.0000000000000001E-4</v>
      </c>
      <c r="CC199" s="230">
        <v>8156</v>
      </c>
      <c r="CD199" s="230">
        <v>8233</v>
      </c>
      <c r="CE199" s="228">
        <v>-76</v>
      </c>
      <c r="CF199" s="229">
        <v>-9.2999999999999992E-3</v>
      </c>
      <c r="CG199" s="228">
        <v>801</v>
      </c>
      <c r="CH199" s="228">
        <v>730</v>
      </c>
      <c r="CI199" s="228">
        <v>71</v>
      </c>
      <c r="CJ199" s="229">
        <v>9.7799999999999998E-2</v>
      </c>
      <c r="CK199" s="228">
        <v>166</v>
      </c>
      <c r="CL199" s="228">
        <v>159</v>
      </c>
      <c r="CM199" s="228">
        <v>7</v>
      </c>
      <c r="CN199" s="229">
        <v>4.3200000000000002E-2</v>
      </c>
      <c r="CO199" s="230">
        <v>4401</v>
      </c>
      <c r="CP199" s="230">
        <v>4640</v>
      </c>
      <c r="CQ199" s="228">
        <v>-239</v>
      </c>
      <c r="CR199" s="229">
        <v>-5.1499999999999997E-2</v>
      </c>
      <c r="CS199" s="230">
        <v>2971</v>
      </c>
      <c r="CT199" s="230">
        <v>3035</v>
      </c>
      <c r="CU199" s="228">
        <v>-64</v>
      </c>
      <c r="CV199" s="229">
        <v>-2.12E-2</v>
      </c>
      <c r="CW199" s="230">
        <v>16495</v>
      </c>
      <c r="CX199" s="230">
        <v>16796</v>
      </c>
      <c r="CY199" s="228">
        <v>-301</v>
      </c>
      <c r="CZ199" s="229">
        <v>-1.7899999999999999E-2</v>
      </c>
      <c r="DA199" s="228">
        <v>27.81</v>
      </c>
      <c r="DB199" s="228">
        <v>25.09</v>
      </c>
      <c r="DC199" s="228">
        <v>2.72</v>
      </c>
      <c r="DD199" s="228">
        <v>2.72</v>
      </c>
      <c r="DE199" s="228">
        <v>27.25</v>
      </c>
      <c r="DF199" s="228">
        <v>27.32</v>
      </c>
      <c r="DG199" s="228">
        <v>0.56000000000000005</v>
      </c>
      <c r="DH199" s="228">
        <v>-7.0000000000000007E-2</v>
      </c>
      <c r="DI199" s="228">
        <v>26.56</v>
      </c>
      <c r="DJ199" s="228">
        <v>24.62</v>
      </c>
      <c r="DK199" s="228">
        <v>1.94</v>
      </c>
      <c r="DL199" s="228">
        <v>1.94</v>
      </c>
      <c r="DM199" s="228">
        <v>30.14</v>
      </c>
      <c r="DN199" s="228">
        <v>25.89</v>
      </c>
      <c r="DO199" s="228">
        <v>4.25</v>
      </c>
      <c r="DP199" s="228">
        <v>4.25</v>
      </c>
      <c r="DQ199" s="228">
        <v>0.68</v>
      </c>
      <c r="DR199" s="228">
        <v>0.65</v>
      </c>
      <c r="DS199" s="228">
        <v>0.03</v>
      </c>
      <c r="DT199" s="229">
        <v>4.6199999999999998E-2</v>
      </c>
      <c r="DU199" s="231">
        <v>2600</v>
      </c>
      <c r="DV199" s="231">
        <v>2400</v>
      </c>
      <c r="DW199" s="228">
        <v>0.53</v>
      </c>
      <c r="DX199" s="228">
        <v>0.57999999999999996</v>
      </c>
      <c r="DY199" s="228">
        <v>-0.05</v>
      </c>
      <c r="DZ199" s="229">
        <v>-8.6199999999999999E-2</v>
      </c>
      <c r="EA199" s="229">
        <v>0.106</v>
      </c>
      <c r="EB199" s="230">
        <v>3465525</v>
      </c>
      <c r="EC199" s="229">
        <v>-1.8E-3</v>
      </c>
      <c r="ED199" s="229">
        <v>0.106</v>
      </c>
      <c r="EE199" s="228">
        <v>-5.96</v>
      </c>
      <c r="EF199" s="229">
        <v>-2.3E-3</v>
      </c>
      <c r="EG199" s="230">
        <v>1224946</v>
      </c>
      <c r="EH199" s="230">
        <v>1761926</v>
      </c>
      <c r="EI199" s="229">
        <v>-0.30480000000000002</v>
      </c>
      <c r="EJ199" s="229">
        <v>0.504</v>
      </c>
      <c r="EK199" s="231">
        <v>4367.8500000000004</v>
      </c>
      <c r="EL199" s="231">
        <v>2175.84</v>
      </c>
      <c r="EM199" s="228">
        <v>794.03</v>
      </c>
      <c r="EN199" s="228">
        <v>234.25</v>
      </c>
      <c r="EO199" s="231">
        <v>7337.73</v>
      </c>
      <c r="EP199" s="231">
        <v>7718.46</v>
      </c>
      <c r="EQ199" s="228">
        <v>-380.73</v>
      </c>
      <c r="ER199" s="229">
        <v>-4.9299999999999997E-2</v>
      </c>
      <c r="ES199" s="231">
        <v>4557.82</v>
      </c>
      <c r="ET199" s="231">
        <v>2913.63</v>
      </c>
      <c r="EU199" s="231">
        <v>9121.56</v>
      </c>
      <c r="EV199" s="231">
        <v>153229333</v>
      </c>
      <c r="EW199" s="231">
        <v>16593.009999999998</v>
      </c>
      <c r="EX199" s="231">
        <v>16877.689999999999</v>
      </c>
      <c r="EY199" s="228">
        <v>-284.68</v>
      </c>
      <c r="EZ199" s="229">
        <v>-1.6899999999999998E-2</v>
      </c>
      <c r="FA199" s="229">
        <v>0.41970000000000002</v>
      </c>
      <c r="FB199" s="227" t="s">
        <v>555</v>
      </c>
      <c r="FC199">
        <f t="shared" si="4"/>
        <v>0</v>
      </c>
    </row>
    <row r="200" spans="1:159" ht="17.25" thickBot="1" x14ac:dyDescent="0.3">
      <c r="A200" s="226">
        <v>46132</v>
      </c>
      <c r="B200" s="227" t="s">
        <v>221</v>
      </c>
      <c r="C200" s="227" t="s">
        <v>296</v>
      </c>
      <c r="D200" s="228">
        <v>600</v>
      </c>
      <c r="E200" s="228">
        <v>8</v>
      </c>
      <c r="F200" s="231">
        <v>1497.7</v>
      </c>
      <c r="G200" s="231">
        <v>1503.1</v>
      </c>
      <c r="H200" s="228">
        <v>-5.4</v>
      </c>
      <c r="I200" s="229">
        <v>-3.5999999999999999E-3</v>
      </c>
      <c r="J200" s="231">
        <v>1504.4</v>
      </c>
      <c r="K200" s="231">
        <v>1511.4</v>
      </c>
      <c r="L200" s="228">
        <v>-7</v>
      </c>
      <c r="M200" s="229">
        <v>-4.5999999999999999E-3</v>
      </c>
      <c r="N200" s="231">
        <v>1497.7</v>
      </c>
      <c r="O200" s="231">
        <v>1503.1</v>
      </c>
      <c r="P200" s="228">
        <v>-5.4</v>
      </c>
      <c r="Q200" s="229">
        <v>-3.5999999999999999E-3</v>
      </c>
      <c r="R200" s="231">
        <v>1494.5</v>
      </c>
      <c r="S200" s="231">
        <v>1497</v>
      </c>
      <c r="T200" s="228">
        <v>-2.5</v>
      </c>
      <c r="U200" s="229">
        <v>-1.6999999999999999E-3</v>
      </c>
      <c r="V200" s="231">
        <v>1500.8</v>
      </c>
      <c r="W200" s="231">
        <v>1498.6</v>
      </c>
      <c r="X200" s="228">
        <v>2.2000000000000002</v>
      </c>
      <c r="Y200" s="229">
        <v>1.5E-3</v>
      </c>
      <c r="Z200" s="228">
        <v>-6.7</v>
      </c>
      <c r="AA200" s="228">
        <v>-8.3000000000000007</v>
      </c>
      <c r="AB200" s="228">
        <v>1.6</v>
      </c>
      <c r="AC200" s="229">
        <v>-4.4999999999999997E-3</v>
      </c>
      <c r="AD200" s="228">
        <v>-6.7</v>
      </c>
      <c r="AE200" s="228">
        <v>-8.3000000000000007</v>
      </c>
      <c r="AF200" s="228">
        <v>1.6</v>
      </c>
      <c r="AG200" s="229">
        <v>-4.4999999999999997E-3</v>
      </c>
      <c r="AH200" s="228">
        <v>-9.9</v>
      </c>
      <c r="AI200" s="228">
        <v>-14.4</v>
      </c>
      <c r="AJ200" s="228">
        <v>4.5</v>
      </c>
      <c r="AK200" s="229">
        <v>-6.6E-3</v>
      </c>
      <c r="AL200" s="228">
        <v>-3.6</v>
      </c>
      <c r="AM200" s="228">
        <v>-12.8</v>
      </c>
      <c r="AN200" s="228">
        <v>9.1999999999999993</v>
      </c>
      <c r="AO200" s="229">
        <v>-2.3999999999999998E-3</v>
      </c>
      <c r="AP200" s="231">
        <v>1506.04</v>
      </c>
      <c r="AQ200" s="231">
        <v>1501.98</v>
      </c>
      <c r="AR200" s="228">
        <v>0</v>
      </c>
      <c r="AS200" s="228">
        <v>497</v>
      </c>
      <c r="AT200" s="228">
        <v>382</v>
      </c>
      <c r="AU200" s="228">
        <v>116</v>
      </c>
      <c r="AV200" s="229">
        <v>0.30259999999999998</v>
      </c>
      <c r="AW200" s="228">
        <v>452</v>
      </c>
      <c r="AX200" s="228">
        <v>325</v>
      </c>
      <c r="AY200" s="228">
        <v>128</v>
      </c>
      <c r="AZ200" s="229">
        <v>0.39329999999999998</v>
      </c>
      <c r="BA200" s="228">
        <v>42</v>
      </c>
      <c r="BB200" s="228">
        <v>54</v>
      </c>
      <c r="BC200" s="228">
        <v>-12</v>
      </c>
      <c r="BD200" s="229">
        <v>-0.22409999999999999</v>
      </c>
      <c r="BE200" s="228">
        <v>3</v>
      </c>
      <c r="BF200" s="228">
        <v>4</v>
      </c>
      <c r="BG200" s="228">
        <v>0</v>
      </c>
      <c r="BH200" s="229">
        <v>-2.5600000000000001E-2</v>
      </c>
      <c r="BI200" s="230">
        <v>1297</v>
      </c>
      <c r="BJ200" s="230">
        <v>1725</v>
      </c>
      <c r="BK200" s="228">
        <v>-428</v>
      </c>
      <c r="BL200" s="229">
        <v>-0.24809999999999999</v>
      </c>
      <c r="BM200" s="228">
        <v>987</v>
      </c>
      <c r="BN200" s="228">
        <v>796</v>
      </c>
      <c r="BO200" s="228">
        <v>191</v>
      </c>
      <c r="BP200" s="229">
        <v>0.23980000000000001</v>
      </c>
      <c r="BQ200" s="230">
        <v>2781</v>
      </c>
      <c r="BR200" s="230">
        <v>2903</v>
      </c>
      <c r="BS200" s="228">
        <v>-121</v>
      </c>
      <c r="BT200" s="229">
        <v>-4.1799999999999997E-2</v>
      </c>
      <c r="BU200" s="230">
        <v>1387756</v>
      </c>
      <c r="BV200" s="230">
        <v>1891487</v>
      </c>
      <c r="BW200" s="230">
        <v>-503731</v>
      </c>
      <c r="BX200" s="229">
        <v>-0.26629999999999998</v>
      </c>
      <c r="BY200" s="230">
        <v>2782</v>
      </c>
      <c r="BZ200" s="230">
        <v>2789</v>
      </c>
      <c r="CA200" s="228">
        <v>-7</v>
      </c>
      <c r="CB200" s="229">
        <v>-2.5000000000000001E-3</v>
      </c>
      <c r="CC200" s="230">
        <v>2647</v>
      </c>
      <c r="CD200" s="230">
        <v>2665</v>
      </c>
      <c r="CE200" s="228">
        <v>-19</v>
      </c>
      <c r="CF200" s="229">
        <v>-7.0000000000000001E-3</v>
      </c>
      <c r="CG200" s="228">
        <v>122</v>
      </c>
      <c r="CH200" s="228">
        <v>110</v>
      </c>
      <c r="CI200" s="228">
        <v>12</v>
      </c>
      <c r="CJ200" s="229">
        <v>0.10970000000000001</v>
      </c>
      <c r="CK200" s="228">
        <v>14</v>
      </c>
      <c r="CL200" s="228">
        <v>14</v>
      </c>
      <c r="CM200" s="228">
        <v>0</v>
      </c>
      <c r="CN200" s="229">
        <v>-2.4799999999999999E-2</v>
      </c>
      <c r="CO200" s="228">
        <v>720</v>
      </c>
      <c r="CP200" s="228">
        <v>745</v>
      </c>
      <c r="CQ200" s="228">
        <v>-25</v>
      </c>
      <c r="CR200" s="229">
        <v>-3.4099999999999998E-2</v>
      </c>
      <c r="CS200" s="228">
        <v>586</v>
      </c>
      <c r="CT200" s="228">
        <v>627</v>
      </c>
      <c r="CU200" s="228">
        <v>-41</v>
      </c>
      <c r="CV200" s="229">
        <v>-6.59E-2</v>
      </c>
      <c r="CW200" s="230">
        <v>4088</v>
      </c>
      <c r="CX200" s="230">
        <v>4162</v>
      </c>
      <c r="CY200" s="228">
        <v>-74</v>
      </c>
      <c r="CZ200" s="229">
        <v>-1.77E-2</v>
      </c>
      <c r="DA200" s="228">
        <v>40.1</v>
      </c>
      <c r="DB200" s="228">
        <v>34.130000000000003</v>
      </c>
      <c r="DC200" s="228">
        <v>5.97</v>
      </c>
      <c r="DD200" s="228">
        <v>5.97</v>
      </c>
      <c r="DE200" s="228">
        <v>31.23</v>
      </c>
      <c r="DF200" s="228">
        <v>31.3</v>
      </c>
      <c r="DG200" s="228">
        <v>8.8699999999999992</v>
      </c>
      <c r="DH200" s="228">
        <v>-7.0000000000000007E-2</v>
      </c>
      <c r="DI200" s="228">
        <v>39.4</v>
      </c>
      <c r="DJ200" s="228">
        <v>33.24</v>
      </c>
      <c r="DK200" s="228">
        <v>6.16</v>
      </c>
      <c r="DL200" s="228">
        <v>6.16</v>
      </c>
      <c r="DM200" s="228">
        <v>41.02</v>
      </c>
      <c r="DN200" s="228">
        <v>36.06</v>
      </c>
      <c r="DO200" s="228">
        <v>4.96</v>
      </c>
      <c r="DP200" s="228">
        <v>4.96</v>
      </c>
      <c r="DQ200" s="228">
        <v>0.81</v>
      </c>
      <c r="DR200" s="228">
        <v>0.84</v>
      </c>
      <c r="DS200" s="228">
        <v>-0.03</v>
      </c>
      <c r="DT200" s="229">
        <v>-3.5700000000000003E-2</v>
      </c>
      <c r="DU200" s="231">
        <v>1500</v>
      </c>
      <c r="DV200" s="231">
        <v>1400</v>
      </c>
      <c r="DW200" s="228">
        <v>0.76</v>
      </c>
      <c r="DX200" s="228">
        <v>0.46</v>
      </c>
      <c r="DY200" s="228">
        <v>0.3</v>
      </c>
      <c r="DZ200" s="229">
        <v>0.6522</v>
      </c>
      <c r="EA200" s="229">
        <v>4.8899999999999999E-2</v>
      </c>
      <c r="EB200" s="230">
        <v>829800</v>
      </c>
      <c r="EC200" s="229">
        <v>-2.0999999999999999E-3</v>
      </c>
      <c r="ED200" s="229">
        <v>4.8899999999999999E-2</v>
      </c>
      <c r="EE200" s="228">
        <v>-4.0599999999999996</v>
      </c>
      <c r="EF200" s="229">
        <v>-2.7000000000000001E-3</v>
      </c>
      <c r="EG200" s="230">
        <v>600156</v>
      </c>
      <c r="EH200" s="230">
        <v>959857</v>
      </c>
      <c r="EI200" s="229">
        <v>-0.37469999999999998</v>
      </c>
      <c r="EJ200" s="229">
        <v>0.4325</v>
      </c>
      <c r="EK200" s="231">
        <v>1353.54</v>
      </c>
      <c r="EL200" s="228">
        <v>980.67</v>
      </c>
      <c r="EM200" s="228">
        <v>500.13</v>
      </c>
      <c r="EN200" s="228">
        <v>35.6</v>
      </c>
      <c r="EO200" s="231">
        <v>2834.33</v>
      </c>
      <c r="EP200" s="231">
        <v>2964.48</v>
      </c>
      <c r="EQ200" s="228">
        <v>-130.13999999999999</v>
      </c>
      <c r="ER200" s="229">
        <v>-4.3900000000000002E-2</v>
      </c>
      <c r="ES200" s="228">
        <v>726.13</v>
      </c>
      <c r="ET200" s="228">
        <v>554.14</v>
      </c>
      <c r="EU200" s="231">
        <v>2782.26</v>
      </c>
      <c r="EV200" s="231">
        <v>95553300</v>
      </c>
      <c r="EW200" s="231">
        <v>4062.53</v>
      </c>
      <c r="EX200" s="231">
        <v>4137.8500000000004</v>
      </c>
      <c r="EY200" s="228">
        <v>-75.319999999999993</v>
      </c>
      <c r="EZ200" s="229">
        <v>-1.8200000000000001E-2</v>
      </c>
      <c r="FA200" s="229">
        <v>0.28570000000000001</v>
      </c>
      <c r="FB200" s="227" t="s">
        <v>567</v>
      </c>
      <c r="FC200">
        <f t="shared" si="4"/>
        <v>0</v>
      </c>
    </row>
    <row r="201" spans="1:159" ht="17.25" thickBot="1" x14ac:dyDescent="0.3">
      <c r="A201" s="226">
        <v>46132</v>
      </c>
      <c r="B201" s="227" t="s">
        <v>184</v>
      </c>
      <c r="C201" s="227" t="s">
        <v>594</v>
      </c>
      <c r="D201" s="228">
        <v>200</v>
      </c>
      <c r="E201" s="228">
        <v>8</v>
      </c>
      <c r="F201" s="231">
        <v>2873.4</v>
      </c>
      <c r="G201" s="231">
        <v>2798.1</v>
      </c>
      <c r="H201" s="228">
        <v>75.3</v>
      </c>
      <c r="I201" s="229">
        <v>2.69E-2</v>
      </c>
      <c r="J201" s="231">
        <v>2873.1</v>
      </c>
      <c r="K201" s="231">
        <v>2790.2</v>
      </c>
      <c r="L201" s="228">
        <v>82.9</v>
      </c>
      <c r="M201" s="229">
        <v>2.9700000000000001E-2</v>
      </c>
      <c r="N201" s="231">
        <v>2873.4</v>
      </c>
      <c r="O201" s="231">
        <v>2798.1</v>
      </c>
      <c r="P201" s="228">
        <v>75.3</v>
      </c>
      <c r="Q201" s="229">
        <v>2.69E-2</v>
      </c>
      <c r="R201" s="231">
        <v>2886</v>
      </c>
      <c r="S201" s="231">
        <v>2812.1</v>
      </c>
      <c r="T201" s="228">
        <v>73.900000000000006</v>
      </c>
      <c r="U201" s="229">
        <v>2.63E-2</v>
      </c>
      <c r="V201" s="231">
        <v>2897.7</v>
      </c>
      <c r="W201" s="231">
        <v>2820</v>
      </c>
      <c r="X201" s="228">
        <v>77.7</v>
      </c>
      <c r="Y201" s="229">
        <v>2.76E-2</v>
      </c>
      <c r="Z201" s="228">
        <v>0.3</v>
      </c>
      <c r="AA201" s="228">
        <v>7.9</v>
      </c>
      <c r="AB201" s="228">
        <v>-7.6</v>
      </c>
      <c r="AC201" s="229">
        <v>1E-4</v>
      </c>
      <c r="AD201" s="228">
        <v>0.3</v>
      </c>
      <c r="AE201" s="228">
        <v>7.9</v>
      </c>
      <c r="AF201" s="228">
        <v>-7.6</v>
      </c>
      <c r="AG201" s="229">
        <v>1E-4</v>
      </c>
      <c r="AH201" s="228">
        <v>12.9</v>
      </c>
      <c r="AI201" s="228">
        <v>21.9</v>
      </c>
      <c r="AJ201" s="228">
        <v>-9</v>
      </c>
      <c r="AK201" s="229">
        <v>4.4999999999999997E-3</v>
      </c>
      <c r="AL201" s="228">
        <v>24.6</v>
      </c>
      <c r="AM201" s="228">
        <v>29.8</v>
      </c>
      <c r="AN201" s="228">
        <v>-5.2</v>
      </c>
      <c r="AO201" s="229">
        <v>8.6E-3</v>
      </c>
      <c r="AP201" s="231">
        <v>2857.94</v>
      </c>
      <c r="AQ201" s="231">
        <v>2872.09</v>
      </c>
      <c r="AR201" s="228">
        <v>0</v>
      </c>
      <c r="AS201" s="228">
        <v>151</v>
      </c>
      <c r="AT201" s="228">
        <v>81</v>
      </c>
      <c r="AU201" s="228">
        <v>70</v>
      </c>
      <c r="AV201" s="229">
        <v>0.85329999999999995</v>
      </c>
      <c r="AW201" s="228">
        <v>133</v>
      </c>
      <c r="AX201" s="228">
        <v>76</v>
      </c>
      <c r="AY201" s="228">
        <v>57</v>
      </c>
      <c r="AZ201" s="229">
        <v>0.74270000000000003</v>
      </c>
      <c r="BA201" s="228">
        <v>17</v>
      </c>
      <c r="BB201" s="228">
        <v>5</v>
      </c>
      <c r="BC201" s="228">
        <v>12</v>
      </c>
      <c r="BD201" s="229">
        <v>2.5421999999999998</v>
      </c>
      <c r="BE201" s="228">
        <v>1</v>
      </c>
      <c r="BF201" s="228">
        <v>0</v>
      </c>
      <c r="BG201" s="228">
        <v>1</v>
      </c>
      <c r="BH201" s="229">
        <v>2</v>
      </c>
      <c r="BI201" s="228">
        <v>896</v>
      </c>
      <c r="BJ201" s="228">
        <v>286</v>
      </c>
      <c r="BK201" s="228">
        <v>610</v>
      </c>
      <c r="BL201" s="229">
        <v>2.1368</v>
      </c>
      <c r="BM201" s="228">
        <v>175</v>
      </c>
      <c r="BN201" s="228">
        <v>40</v>
      </c>
      <c r="BO201" s="228">
        <v>136</v>
      </c>
      <c r="BP201" s="229">
        <v>3.4287999999999998</v>
      </c>
      <c r="BQ201" s="230">
        <v>1222</v>
      </c>
      <c r="BR201" s="228">
        <v>407</v>
      </c>
      <c r="BS201" s="228">
        <v>815</v>
      </c>
      <c r="BT201" s="229">
        <v>2.0051999999999999</v>
      </c>
      <c r="BU201" s="230">
        <v>728037</v>
      </c>
      <c r="BV201" s="230">
        <v>280557</v>
      </c>
      <c r="BW201" s="230">
        <v>447480</v>
      </c>
      <c r="BX201" s="229">
        <v>1.595</v>
      </c>
      <c r="BY201" s="228">
        <v>759</v>
      </c>
      <c r="BZ201" s="228">
        <v>762</v>
      </c>
      <c r="CA201" s="228">
        <v>-3</v>
      </c>
      <c r="CB201" s="229">
        <v>-4.3E-3</v>
      </c>
      <c r="CC201" s="228">
        <v>740</v>
      </c>
      <c r="CD201" s="228">
        <v>751</v>
      </c>
      <c r="CE201" s="228">
        <v>-11</v>
      </c>
      <c r="CF201" s="229">
        <v>-1.4800000000000001E-2</v>
      </c>
      <c r="CG201" s="228">
        <v>17</v>
      </c>
      <c r="CH201" s="228">
        <v>10</v>
      </c>
      <c r="CI201" s="228">
        <v>7</v>
      </c>
      <c r="CJ201" s="229">
        <v>0.74709999999999999</v>
      </c>
      <c r="CK201" s="228">
        <v>2</v>
      </c>
      <c r="CL201" s="228">
        <v>1</v>
      </c>
      <c r="CM201" s="228">
        <v>0</v>
      </c>
      <c r="CN201" s="229">
        <v>0.25</v>
      </c>
      <c r="CO201" s="228">
        <v>210</v>
      </c>
      <c r="CP201" s="228">
        <v>159</v>
      </c>
      <c r="CQ201" s="228">
        <v>51</v>
      </c>
      <c r="CR201" s="229">
        <v>0.32250000000000001</v>
      </c>
      <c r="CS201" s="228">
        <v>100</v>
      </c>
      <c r="CT201" s="228">
        <v>69</v>
      </c>
      <c r="CU201" s="228">
        <v>31</v>
      </c>
      <c r="CV201" s="229">
        <v>0.45300000000000001</v>
      </c>
      <c r="CW201" s="230">
        <v>1070</v>
      </c>
      <c r="CX201" s="228">
        <v>990</v>
      </c>
      <c r="CY201" s="228">
        <v>79</v>
      </c>
      <c r="CZ201" s="229">
        <v>0.08</v>
      </c>
      <c r="DA201" s="228">
        <v>40.06</v>
      </c>
      <c r="DB201" s="228">
        <v>33.369999999999997</v>
      </c>
      <c r="DC201" s="228">
        <v>6.69</v>
      </c>
      <c r="DD201" s="228">
        <v>6.69</v>
      </c>
      <c r="DE201" s="228">
        <v>44.12</v>
      </c>
      <c r="DF201" s="228">
        <v>44.09</v>
      </c>
      <c r="DG201" s="228">
        <v>-4.0599999999999996</v>
      </c>
      <c r="DH201" s="228">
        <v>0.03</v>
      </c>
      <c r="DI201" s="228">
        <v>39</v>
      </c>
      <c r="DJ201" s="228">
        <v>32.65</v>
      </c>
      <c r="DK201" s="228">
        <v>6.35</v>
      </c>
      <c r="DL201" s="228">
        <v>6.35</v>
      </c>
      <c r="DM201" s="228">
        <v>45.49</v>
      </c>
      <c r="DN201" s="228">
        <v>38.6</v>
      </c>
      <c r="DO201" s="228">
        <v>6.89</v>
      </c>
      <c r="DP201" s="228">
        <v>6.89</v>
      </c>
      <c r="DQ201" s="228">
        <v>0.48</v>
      </c>
      <c r="DR201" s="228">
        <v>0.44</v>
      </c>
      <c r="DS201" s="228">
        <v>0.04</v>
      </c>
      <c r="DT201" s="229">
        <v>9.0899999999999995E-2</v>
      </c>
      <c r="DU201" s="231">
        <v>3000</v>
      </c>
      <c r="DV201" s="231">
        <v>2500</v>
      </c>
      <c r="DW201" s="228">
        <v>0.2</v>
      </c>
      <c r="DX201" s="228">
        <v>0.14000000000000001</v>
      </c>
      <c r="DY201" s="228">
        <v>0.06</v>
      </c>
      <c r="DZ201" s="229">
        <v>0.42859999999999998</v>
      </c>
      <c r="EA201" s="229">
        <v>2.53E-2</v>
      </c>
      <c r="EB201" s="230">
        <v>39600</v>
      </c>
      <c r="EC201" s="229">
        <v>4.4000000000000003E-3</v>
      </c>
      <c r="ED201" s="229">
        <v>2.53E-2</v>
      </c>
      <c r="EE201" s="228">
        <v>14.15</v>
      </c>
      <c r="EF201" s="229">
        <v>5.0000000000000001E-3</v>
      </c>
      <c r="EG201" s="230">
        <v>438736</v>
      </c>
      <c r="EH201" s="230">
        <v>150360</v>
      </c>
      <c r="EI201" s="229">
        <v>1.9178999999999999</v>
      </c>
      <c r="EJ201" s="229">
        <v>0.60260000000000002</v>
      </c>
      <c r="EK201" s="228">
        <v>924.48</v>
      </c>
      <c r="EL201" s="228">
        <v>167.17</v>
      </c>
      <c r="EM201" s="228">
        <v>150.31</v>
      </c>
      <c r="EN201" s="228">
        <v>13.13</v>
      </c>
      <c r="EO201" s="231">
        <v>1241.96</v>
      </c>
      <c r="EP201" s="228">
        <v>406.25</v>
      </c>
      <c r="EQ201" s="228">
        <v>835.71</v>
      </c>
      <c r="ER201" s="229">
        <v>2.0571000000000002</v>
      </c>
      <c r="ES201" s="228">
        <v>210.09</v>
      </c>
      <c r="ET201" s="228">
        <v>92.09</v>
      </c>
      <c r="EU201" s="228">
        <v>759.3</v>
      </c>
      <c r="EV201" s="231">
        <v>16239060</v>
      </c>
      <c r="EW201" s="231">
        <v>1061.48</v>
      </c>
      <c r="EX201" s="228">
        <v>961.34</v>
      </c>
      <c r="EY201" s="228">
        <v>100.14</v>
      </c>
      <c r="EZ201" s="229">
        <v>0.1042</v>
      </c>
      <c r="FA201" s="229">
        <v>0.22919999999999999</v>
      </c>
      <c r="FB201" s="227" t="s">
        <v>693</v>
      </c>
      <c r="FC201">
        <f t="shared" si="4"/>
        <v>0</v>
      </c>
    </row>
    <row r="202" spans="1:159" ht="17.25" thickBot="1" x14ac:dyDescent="0.3">
      <c r="A202" s="226">
        <v>46132</v>
      </c>
      <c r="B202" s="227" t="s">
        <v>168</v>
      </c>
      <c r="C202" s="227" t="s">
        <v>297</v>
      </c>
      <c r="D202" s="228">
        <v>175</v>
      </c>
      <c r="E202" s="228">
        <v>8</v>
      </c>
      <c r="F202" s="231">
        <v>4510.2</v>
      </c>
      <c r="G202" s="231">
        <v>4525</v>
      </c>
      <c r="H202" s="228">
        <v>-14.8</v>
      </c>
      <c r="I202" s="229">
        <v>-3.3E-3</v>
      </c>
      <c r="J202" s="231">
        <v>4513</v>
      </c>
      <c r="K202" s="231">
        <v>4525.8999999999996</v>
      </c>
      <c r="L202" s="228">
        <v>-12.9</v>
      </c>
      <c r="M202" s="229">
        <v>-2.8999999999999998E-3</v>
      </c>
      <c r="N202" s="231">
        <v>4510.2</v>
      </c>
      <c r="O202" s="231">
        <v>4525</v>
      </c>
      <c r="P202" s="228">
        <v>-14.8</v>
      </c>
      <c r="Q202" s="229">
        <v>-3.3E-3</v>
      </c>
      <c r="R202" s="231">
        <v>4530.6000000000004</v>
      </c>
      <c r="S202" s="231">
        <v>4548.3999999999996</v>
      </c>
      <c r="T202" s="228">
        <v>-17.8</v>
      </c>
      <c r="U202" s="229">
        <v>-3.8999999999999998E-3</v>
      </c>
      <c r="V202" s="231">
        <v>4558.2</v>
      </c>
      <c r="W202" s="231">
        <v>4572.3</v>
      </c>
      <c r="X202" s="228">
        <v>-14.1</v>
      </c>
      <c r="Y202" s="229">
        <v>-3.0999999999999999E-3</v>
      </c>
      <c r="Z202" s="228">
        <v>-2.8</v>
      </c>
      <c r="AA202" s="228">
        <v>-0.9</v>
      </c>
      <c r="AB202" s="228">
        <v>-1.9</v>
      </c>
      <c r="AC202" s="229">
        <v>-5.9999999999999995E-4</v>
      </c>
      <c r="AD202" s="228">
        <v>-2.8</v>
      </c>
      <c r="AE202" s="228">
        <v>-0.9</v>
      </c>
      <c r="AF202" s="228">
        <v>-1.9</v>
      </c>
      <c r="AG202" s="229">
        <v>-5.9999999999999995E-4</v>
      </c>
      <c r="AH202" s="228">
        <v>17.600000000000001</v>
      </c>
      <c r="AI202" s="228">
        <v>22.5</v>
      </c>
      <c r="AJ202" s="228">
        <v>-4.9000000000000004</v>
      </c>
      <c r="AK202" s="229">
        <v>3.8999999999999998E-3</v>
      </c>
      <c r="AL202" s="228">
        <v>45.2</v>
      </c>
      <c r="AM202" s="228">
        <v>46.4</v>
      </c>
      <c r="AN202" s="228">
        <v>-1.2</v>
      </c>
      <c r="AO202" s="229">
        <v>0.01</v>
      </c>
      <c r="AP202" s="231">
        <v>4502.18</v>
      </c>
      <c r="AQ202" s="231">
        <v>4525.8599999999997</v>
      </c>
      <c r="AR202" s="228">
        <v>0</v>
      </c>
      <c r="AS202" s="228">
        <v>430</v>
      </c>
      <c r="AT202" s="230">
        <v>1442</v>
      </c>
      <c r="AU202" s="230">
        <v>-1012</v>
      </c>
      <c r="AV202" s="229">
        <v>-0.70169999999999999</v>
      </c>
      <c r="AW202" s="228">
        <v>369</v>
      </c>
      <c r="AX202" s="230">
        <v>1301</v>
      </c>
      <c r="AY202" s="228">
        <v>-931</v>
      </c>
      <c r="AZ202" s="229">
        <v>-0.71599999999999997</v>
      </c>
      <c r="BA202" s="228">
        <v>55</v>
      </c>
      <c r="BB202" s="228">
        <v>128</v>
      </c>
      <c r="BC202" s="228">
        <v>-73</v>
      </c>
      <c r="BD202" s="229">
        <v>-0.56910000000000005</v>
      </c>
      <c r="BE202" s="228">
        <v>6</v>
      </c>
      <c r="BF202" s="228">
        <v>13</v>
      </c>
      <c r="BG202" s="228">
        <v>-8</v>
      </c>
      <c r="BH202" s="229">
        <v>-0.57140000000000002</v>
      </c>
      <c r="BI202" s="230">
        <v>1783</v>
      </c>
      <c r="BJ202" s="230">
        <v>6042</v>
      </c>
      <c r="BK202" s="230">
        <v>-4259</v>
      </c>
      <c r="BL202" s="229">
        <v>-0.70489999999999997</v>
      </c>
      <c r="BM202" s="230">
        <v>1369</v>
      </c>
      <c r="BN202" s="230">
        <v>5603</v>
      </c>
      <c r="BO202" s="230">
        <v>-4233</v>
      </c>
      <c r="BP202" s="229">
        <v>-0.75560000000000005</v>
      </c>
      <c r="BQ202" s="230">
        <v>3582</v>
      </c>
      <c r="BR202" s="230">
        <v>13086</v>
      </c>
      <c r="BS202" s="230">
        <v>-9504</v>
      </c>
      <c r="BT202" s="229">
        <v>-0.72629999999999995</v>
      </c>
      <c r="BU202" s="230">
        <v>1700257</v>
      </c>
      <c r="BV202" s="230">
        <v>2179897</v>
      </c>
      <c r="BW202" s="230">
        <v>-479640</v>
      </c>
      <c r="BX202" s="229">
        <v>-0.22</v>
      </c>
      <c r="BY202" s="230">
        <v>3995</v>
      </c>
      <c r="BZ202" s="230">
        <v>4048</v>
      </c>
      <c r="CA202" s="228">
        <v>-54</v>
      </c>
      <c r="CB202" s="229">
        <v>-1.3299999999999999E-2</v>
      </c>
      <c r="CC202" s="230">
        <v>3555</v>
      </c>
      <c r="CD202" s="230">
        <v>3628</v>
      </c>
      <c r="CE202" s="228">
        <v>-73</v>
      </c>
      <c r="CF202" s="229">
        <v>-2.0199999999999999E-2</v>
      </c>
      <c r="CG202" s="228">
        <v>311</v>
      </c>
      <c r="CH202" s="228">
        <v>292</v>
      </c>
      <c r="CI202" s="228">
        <v>18</v>
      </c>
      <c r="CJ202" s="229">
        <v>6.3E-2</v>
      </c>
      <c r="CK202" s="228">
        <v>129</v>
      </c>
      <c r="CL202" s="228">
        <v>128</v>
      </c>
      <c r="CM202" s="228">
        <v>1</v>
      </c>
      <c r="CN202" s="229">
        <v>8.0000000000000002E-3</v>
      </c>
      <c r="CO202" s="230">
        <v>1791</v>
      </c>
      <c r="CP202" s="230">
        <v>1775</v>
      </c>
      <c r="CQ202" s="228">
        <v>16</v>
      </c>
      <c r="CR202" s="229">
        <v>8.9999999999999993E-3</v>
      </c>
      <c r="CS202" s="230">
        <v>1422</v>
      </c>
      <c r="CT202" s="230">
        <v>1445</v>
      </c>
      <c r="CU202" s="228">
        <v>-23</v>
      </c>
      <c r="CV202" s="229">
        <v>-1.5800000000000002E-2</v>
      </c>
      <c r="CW202" s="230">
        <v>7208</v>
      </c>
      <c r="CX202" s="230">
        <v>7268</v>
      </c>
      <c r="CY202" s="228">
        <v>-61</v>
      </c>
      <c r="CZ202" s="229">
        <v>-8.3999999999999995E-3</v>
      </c>
      <c r="DA202" s="228">
        <v>27.85</v>
      </c>
      <c r="DB202" s="228">
        <v>26.91</v>
      </c>
      <c r="DC202" s="228">
        <v>0.94</v>
      </c>
      <c r="DD202" s="228">
        <v>0.94</v>
      </c>
      <c r="DE202" s="228">
        <v>27.9</v>
      </c>
      <c r="DF202" s="228">
        <v>27.97</v>
      </c>
      <c r="DG202" s="228">
        <v>-0.05</v>
      </c>
      <c r="DH202" s="228">
        <v>-7.0000000000000007E-2</v>
      </c>
      <c r="DI202" s="228">
        <v>26.42</v>
      </c>
      <c r="DJ202" s="228">
        <v>25.28</v>
      </c>
      <c r="DK202" s="228">
        <v>1.1399999999999999</v>
      </c>
      <c r="DL202" s="228">
        <v>1.1399999999999999</v>
      </c>
      <c r="DM202" s="228">
        <v>29.72</v>
      </c>
      <c r="DN202" s="228">
        <v>28.65</v>
      </c>
      <c r="DO202" s="228">
        <v>1.07</v>
      </c>
      <c r="DP202" s="228">
        <v>1.07</v>
      </c>
      <c r="DQ202" s="228">
        <v>0.79</v>
      </c>
      <c r="DR202" s="228">
        <v>0.81</v>
      </c>
      <c r="DS202" s="228">
        <v>-0.02</v>
      </c>
      <c r="DT202" s="229">
        <v>-2.47E-2</v>
      </c>
      <c r="DU202" s="231">
        <v>4500</v>
      </c>
      <c r="DV202" s="231">
        <v>4200</v>
      </c>
      <c r="DW202" s="228">
        <v>0.77</v>
      </c>
      <c r="DX202" s="228">
        <v>0.93</v>
      </c>
      <c r="DY202" s="228">
        <v>-0.16</v>
      </c>
      <c r="DZ202" s="229">
        <v>-0.17199999999999999</v>
      </c>
      <c r="EA202" s="229">
        <v>0.1101</v>
      </c>
      <c r="EB202" s="230">
        <v>932050</v>
      </c>
      <c r="EC202" s="229">
        <v>4.4999999999999997E-3</v>
      </c>
      <c r="ED202" s="229">
        <v>0.1101</v>
      </c>
      <c r="EE202" s="228">
        <v>23.68</v>
      </c>
      <c r="EF202" s="229">
        <v>5.3E-3</v>
      </c>
      <c r="EG202" s="230">
        <v>1051581</v>
      </c>
      <c r="EH202" s="230">
        <v>1016476</v>
      </c>
      <c r="EI202" s="229">
        <v>3.4500000000000003E-2</v>
      </c>
      <c r="EJ202" s="229">
        <v>0.61850000000000005</v>
      </c>
      <c r="EK202" s="231">
        <v>1826.25</v>
      </c>
      <c r="EL202" s="231">
        <v>1346.47</v>
      </c>
      <c r="EM202" s="228">
        <v>429.67</v>
      </c>
      <c r="EN202" s="228">
        <v>93.33</v>
      </c>
      <c r="EO202" s="231">
        <v>3602.39</v>
      </c>
      <c r="EP202" s="231">
        <v>13007.91</v>
      </c>
      <c r="EQ202" s="231">
        <v>-9405.52</v>
      </c>
      <c r="ER202" s="229">
        <v>-0.72309999999999997</v>
      </c>
      <c r="ES202" s="231">
        <v>1762.48</v>
      </c>
      <c r="ET202" s="231">
        <v>1315.88</v>
      </c>
      <c r="EU202" s="231">
        <v>3997.43</v>
      </c>
      <c r="EV202" s="231">
        <v>41744334</v>
      </c>
      <c r="EW202" s="231">
        <v>7075.79</v>
      </c>
      <c r="EX202" s="231">
        <v>7146.95</v>
      </c>
      <c r="EY202" s="228">
        <v>-71.16</v>
      </c>
      <c r="EZ202" s="229">
        <v>-0.01</v>
      </c>
      <c r="FA202" s="229">
        <v>0.38279999999999997</v>
      </c>
      <c r="FB202" s="227" t="s">
        <v>567</v>
      </c>
      <c r="FC202">
        <f t="shared" si="4"/>
        <v>0</v>
      </c>
    </row>
    <row r="203" spans="1:159" ht="17.25" thickBot="1" x14ac:dyDescent="0.3">
      <c r="A203" s="226">
        <v>46132</v>
      </c>
      <c r="B203" s="227" t="s">
        <v>162</v>
      </c>
      <c r="C203" s="227" t="s">
        <v>687</v>
      </c>
      <c r="D203" s="228">
        <v>800</v>
      </c>
      <c r="E203" s="228">
        <v>8</v>
      </c>
      <c r="F203" s="228">
        <v>354.55</v>
      </c>
      <c r="G203" s="228">
        <v>360.25</v>
      </c>
      <c r="H203" s="228">
        <v>-5.7</v>
      </c>
      <c r="I203" s="229">
        <v>-1.5800000000000002E-2</v>
      </c>
      <c r="J203" s="228">
        <v>355.7</v>
      </c>
      <c r="K203" s="228">
        <v>360.1</v>
      </c>
      <c r="L203" s="228">
        <v>-4.4000000000000004</v>
      </c>
      <c r="M203" s="229">
        <v>-1.2200000000000001E-2</v>
      </c>
      <c r="N203" s="228">
        <v>354.55</v>
      </c>
      <c r="O203" s="228">
        <v>360.25</v>
      </c>
      <c r="P203" s="228">
        <v>-5.7</v>
      </c>
      <c r="Q203" s="229">
        <v>-1.5800000000000002E-2</v>
      </c>
      <c r="R203" s="228">
        <v>356.3</v>
      </c>
      <c r="S203" s="228">
        <v>362.25</v>
      </c>
      <c r="T203" s="228">
        <v>-5.95</v>
      </c>
      <c r="U203" s="229">
        <v>-1.6400000000000001E-2</v>
      </c>
      <c r="V203" s="228">
        <v>356.95</v>
      </c>
      <c r="W203" s="228">
        <v>362.3</v>
      </c>
      <c r="X203" s="228">
        <v>-5.35</v>
      </c>
      <c r="Y203" s="229">
        <v>-1.4800000000000001E-2</v>
      </c>
      <c r="Z203" s="228">
        <v>-1.1499999999999999</v>
      </c>
      <c r="AA203" s="228">
        <v>0.15</v>
      </c>
      <c r="AB203" s="228">
        <v>-1.3</v>
      </c>
      <c r="AC203" s="229">
        <v>-3.2000000000000002E-3</v>
      </c>
      <c r="AD203" s="228">
        <v>-1.1499999999999999</v>
      </c>
      <c r="AE203" s="228">
        <v>0.15</v>
      </c>
      <c r="AF203" s="228">
        <v>-1.3</v>
      </c>
      <c r="AG203" s="229">
        <v>-3.2000000000000002E-3</v>
      </c>
      <c r="AH203" s="228">
        <v>0.6</v>
      </c>
      <c r="AI203" s="228">
        <v>2.15</v>
      </c>
      <c r="AJ203" s="228">
        <v>-1.55</v>
      </c>
      <c r="AK203" s="229">
        <v>1.6999999999999999E-3</v>
      </c>
      <c r="AL203" s="228">
        <v>1.25</v>
      </c>
      <c r="AM203" s="228">
        <v>2.2000000000000002</v>
      </c>
      <c r="AN203" s="228">
        <v>-0.95</v>
      </c>
      <c r="AO203" s="229">
        <v>3.5000000000000001E-3</v>
      </c>
      <c r="AP203" s="228">
        <v>355.81</v>
      </c>
      <c r="AQ203" s="228">
        <v>357.72</v>
      </c>
      <c r="AR203" s="228">
        <v>0</v>
      </c>
      <c r="AS203" s="228">
        <v>359</v>
      </c>
      <c r="AT203" s="228">
        <v>320</v>
      </c>
      <c r="AU203" s="228">
        <v>39</v>
      </c>
      <c r="AV203" s="229">
        <v>0.12130000000000001</v>
      </c>
      <c r="AW203" s="228">
        <v>270</v>
      </c>
      <c r="AX203" s="228">
        <v>240</v>
      </c>
      <c r="AY203" s="228">
        <v>29</v>
      </c>
      <c r="AZ203" s="229">
        <v>0.12180000000000001</v>
      </c>
      <c r="BA203" s="228">
        <v>76</v>
      </c>
      <c r="BB203" s="228">
        <v>66</v>
      </c>
      <c r="BC203" s="228">
        <v>10</v>
      </c>
      <c r="BD203" s="229">
        <v>0.1429</v>
      </c>
      <c r="BE203" s="228">
        <v>14</v>
      </c>
      <c r="BF203" s="228">
        <v>14</v>
      </c>
      <c r="BG203" s="228">
        <v>0</v>
      </c>
      <c r="BH203" s="229">
        <v>8.3000000000000001E-3</v>
      </c>
      <c r="BI203" s="230">
        <v>1392</v>
      </c>
      <c r="BJ203" s="230">
        <v>1237</v>
      </c>
      <c r="BK203" s="228">
        <v>155</v>
      </c>
      <c r="BL203" s="229">
        <v>0.12529999999999999</v>
      </c>
      <c r="BM203" s="230">
        <v>1012</v>
      </c>
      <c r="BN203" s="228">
        <v>857</v>
      </c>
      <c r="BO203" s="228">
        <v>155</v>
      </c>
      <c r="BP203" s="229">
        <v>0.18029999999999999</v>
      </c>
      <c r="BQ203" s="230">
        <v>2762</v>
      </c>
      <c r="BR203" s="230">
        <v>2414</v>
      </c>
      <c r="BS203" s="228">
        <v>348</v>
      </c>
      <c r="BT203" s="229">
        <v>0.14430000000000001</v>
      </c>
      <c r="BU203" s="230">
        <v>7216605</v>
      </c>
      <c r="BV203" s="230">
        <v>7314044</v>
      </c>
      <c r="BW203" s="230">
        <v>-97439</v>
      </c>
      <c r="BX203" s="229">
        <v>-1.3299999999999999E-2</v>
      </c>
      <c r="BY203" s="230">
        <v>2125</v>
      </c>
      <c r="BZ203" s="230">
        <v>2077</v>
      </c>
      <c r="CA203" s="228">
        <v>48</v>
      </c>
      <c r="CB203" s="229">
        <v>2.3E-2</v>
      </c>
      <c r="CC203" s="230">
        <v>1833</v>
      </c>
      <c r="CD203" s="230">
        <v>1827</v>
      </c>
      <c r="CE203" s="228">
        <v>6</v>
      </c>
      <c r="CF203" s="229">
        <v>3.2000000000000002E-3</v>
      </c>
      <c r="CG203" s="228">
        <v>246</v>
      </c>
      <c r="CH203" s="228">
        <v>211</v>
      </c>
      <c r="CI203" s="228">
        <v>35</v>
      </c>
      <c r="CJ203" s="229">
        <v>0.16650000000000001</v>
      </c>
      <c r="CK203" s="228">
        <v>46</v>
      </c>
      <c r="CL203" s="228">
        <v>39</v>
      </c>
      <c r="CM203" s="228">
        <v>7</v>
      </c>
      <c r="CN203" s="229">
        <v>0.1724</v>
      </c>
      <c r="CO203" s="230">
        <v>1298</v>
      </c>
      <c r="CP203" s="230">
        <v>1273</v>
      </c>
      <c r="CQ203" s="228">
        <v>25</v>
      </c>
      <c r="CR203" s="229">
        <v>1.95E-2</v>
      </c>
      <c r="CS203" s="230">
        <v>1029</v>
      </c>
      <c r="CT203" s="230">
        <v>1024</v>
      </c>
      <c r="CU203" s="228">
        <v>5</v>
      </c>
      <c r="CV203" s="229">
        <v>4.7000000000000002E-3</v>
      </c>
      <c r="CW203" s="230">
        <v>4452</v>
      </c>
      <c r="CX203" s="230">
        <v>4374</v>
      </c>
      <c r="CY203" s="228">
        <v>77</v>
      </c>
      <c r="CZ203" s="229">
        <v>1.77E-2</v>
      </c>
      <c r="DA203" s="228">
        <v>36.729999999999997</v>
      </c>
      <c r="DB203" s="228">
        <v>32.04</v>
      </c>
      <c r="DC203" s="228">
        <v>4.6900000000000004</v>
      </c>
      <c r="DD203" s="228">
        <v>4.6900000000000004</v>
      </c>
      <c r="DE203" s="228">
        <v>38.25</v>
      </c>
      <c r="DF203" s="228">
        <v>38.28</v>
      </c>
      <c r="DG203" s="228">
        <v>-1.52</v>
      </c>
      <c r="DH203" s="228">
        <v>-0.03</v>
      </c>
      <c r="DI203" s="228">
        <v>34.68</v>
      </c>
      <c r="DJ203" s="228">
        <v>29.73</v>
      </c>
      <c r="DK203" s="228">
        <v>4.95</v>
      </c>
      <c r="DL203" s="228">
        <v>4.95</v>
      </c>
      <c r="DM203" s="228">
        <v>39.56</v>
      </c>
      <c r="DN203" s="228">
        <v>35.380000000000003</v>
      </c>
      <c r="DO203" s="228">
        <v>4.18</v>
      </c>
      <c r="DP203" s="228">
        <v>4.18</v>
      </c>
      <c r="DQ203" s="228">
        <v>0.79</v>
      </c>
      <c r="DR203" s="228">
        <v>0.8</v>
      </c>
      <c r="DS203" s="228">
        <v>-0.01</v>
      </c>
      <c r="DT203" s="229">
        <v>-1.2500000000000001E-2</v>
      </c>
      <c r="DU203" s="228">
        <v>360</v>
      </c>
      <c r="DV203" s="228">
        <v>300</v>
      </c>
      <c r="DW203" s="228">
        <v>0.73</v>
      </c>
      <c r="DX203" s="228">
        <v>0.69</v>
      </c>
      <c r="DY203" s="228">
        <v>0.04</v>
      </c>
      <c r="DZ203" s="229">
        <v>5.8000000000000003E-2</v>
      </c>
      <c r="EA203" s="229">
        <v>0.13750000000000001</v>
      </c>
      <c r="EB203" s="230">
        <v>7061600</v>
      </c>
      <c r="EC203" s="229">
        <v>4.8999999999999998E-3</v>
      </c>
      <c r="ED203" s="229">
        <v>0.13750000000000001</v>
      </c>
      <c r="EE203" s="228">
        <v>1.91</v>
      </c>
      <c r="EF203" s="229">
        <v>5.4000000000000003E-3</v>
      </c>
      <c r="EG203" s="230">
        <v>2738658</v>
      </c>
      <c r="EH203" s="230">
        <v>3384834</v>
      </c>
      <c r="EI203" s="229">
        <v>-0.19089999999999999</v>
      </c>
      <c r="EJ203" s="229">
        <v>0.3795</v>
      </c>
      <c r="EK203" s="231">
        <v>1464.93</v>
      </c>
      <c r="EL203" s="228">
        <v>995.37</v>
      </c>
      <c r="EM203" s="228">
        <v>361.13</v>
      </c>
      <c r="EN203" s="228">
        <v>146.88</v>
      </c>
      <c r="EO203" s="231">
        <v>2821.43</v>
      </c>
      <c r="EP203" s="231">
        <v>2480.38</v>
      </c>
      <c r="EQ203" s="228">
        <v>341.05</v>
      </c>
      <c r="ER203" s="229">
        <v>0.13750000000000001</v>
      </c>
      <c r="ES203" s="231">
        <v>1307.1400000000001</v>
      </c>
      <c r="ET203" s="228">
        <v>965.77</v>
      </c>
      <c r="EU203" s="231">
        <v>2126.56</v>
      </c>
      <c r="EV203" s="231">
        <v>317244234</v>
      </c>
      <c r="EW203" s="231">
        <v>4399.46</v>
      </c>
      <c r="EX203" s="231">
        <v>4349.2700000000004</v>
      </c>
      <c r="EY203" s="228">
        <v>50.19</v>
      </c>
      <c r="EZ203" s="229">
        <v>1.15E-2</v>
      </c>
      <c r="FA203" s="229">
        <v>0.39579999999999999</v>
      </c>
      <c r="FB203" s="227" t="s">
        <v>566</v>
      </c>
      <c r="FC203">
        <f t="shared" si="4"/>
        <v>0</v>
      </c>
    </row>
    <row r="204" spans="1:159" ht="17.25" thickBot="1" x14ac:dyDescent="0.3">
      <c r="A204" s="226">
        <v>46132</v>
      </c>
      <c r="B204" s="227" t="s">
        <v>170</v>
      </c>
      <c r="C204" s="227" t="s">
        <v>298</v>
      </c>
      <c r="D204" s="228">
        <v>250</v>
      </c>
      <c r="E204" s="228">
        <v>8</v>
      </c>
      <c r="F204" s="231">
        <v>4175.2</v>
      </c>
      <c r="G204" s="231">
        <v>4174.8</v>
      </c>
      <c r="H204" s="228">
        <v>0.4</v>
      </c>
      <c r="I204" s="229">
        <v>1E-4</v>
      </c>
      <c r="J204" s="231">
        <v>4191.2</v>
      </c>
      <c r="K204" s="231">
        <v>4179.5</v>
      </c>
      <c r="L204" s="228">
        <v>11.7</v>
      </c>
      <c r="M204" s="229">
        <v>2.8E-3</v>
      </c>
      <c r="N204" s="231">
        <v>4175.2</v>
      </c>
      <c r="O204" s="231">
        <v>4174.8</v>
      </c>
      <c r="P204" s="228">
        <v>0.4</v>
      </c>
      <c r="Q204" s="229">
        <v>1E-4</v>
      </c>
      <c r="R204" s="231">
        <v>4176.2</v>
      </c>
      <c r="S204" s="231">
        <v>4172.2</v>
      </c>
      <c r="T204" s="228">
        <v>4</v>
      </c>
      <c r="U204" s="229">
        <v>1E-3</v>
      </c>
      <c r="V204" s="231">
        <v>4159.2</v>
      </c>
      <c r="W204" s="231">
        <v>4158.2</v>
      </c>
      <c r="X204" s="228">
        <v>1</v>
      </c>
      <c r="Y204" s="229">
        <v>2.0000000000000001E-4</v>
      </c>
      <c r="Z204" s="228">
        <v>-16</v>
      </c>
      <c r="AA204" s="228">
        <v>-4.7</v>
      </c>
      <c r="AB204" s="228">
        <v>-11.3</v>
      </c>
      <c r="AC204" s="229">
        <v>-3.8E-3</v>
      </c>
      <c r="AD204" s="228">
        <v>-16</v>
      </c>
      <c r="AE204" s="228">
        <v>-4.7</v>
      </c>
      <c r="AF204" s="228">
        <v>-11.3</v>
      </c>
      <c r="AG204" s="229">
        <v>-3.8E-3</v>
      </c>
      <c r="AH204" s="228">
        <v>-15</v>
      </c>
      <c r="AI204" s="228">
        <v>-7.3</v>
      </c>
      <c r="AJ204" s="228">
        <v>-7.7</v>
      </c>
      <c r="AK204" s="229">
        <v>-3.5999999999999999E-3</v>
      </c>
      <c r="AL204" s="228">
        <v>-32</v>
      </c>
      <c r="AM204" s="228">
        <v>-21.3</v>
      </c>
      <c r="AN204" s="228">
        <v>-10.7</v>
      </c>
      <c r="AO204" s="229">
        <v>-7.6E-3</v>
      </c>
      <c r="AP204" s="231">
        <v>4171.63</v>
      </c>
      <c r="AQ204" s="231">
        <v>4169.1899999999996</v>
      </c>
      <c r="AR204" s="228">
        <v>0</v>
      </c>
      <c r="AS204" s="228">
        <v>226</v>
      </c>
      <c r="AT204" s="228">
        <v>105</v>
      </c>
      <c r="AU204" s="228">
        <v>121</v>
      </c>
      <c r="AV204" s="229">
        <v>1.1477999999999999</v>
      </c>
      <c r="AW204" s="228">
        <v>173</v>
      </c>
      <c r="AX204" s="228">
        <v>101</v>
      </c>
      <c r="AY204" s="228">
        <v>72</v>
      </c>
      <c r="AZ204" s="229">
        <v>0.71350000000000002</v>
      </c>
      <c r="BA204" s="228">
        <v>53</v>
      </c>
      <c r="BB204" s="228">
        <v>4</v>
      </c>
      <c r="BC204" s="228">
        <v>49</v>
      </c>
      <c r="BD204" s="229">
        <v>11.3415</v>
      </c>
      <c r="BE204" s="228">
        <v>0</v>
      </c>
      <c r="BF204" s="228">
        <v>0</v>
      </c>
      <c r="BG204" s="228">
        <v>0</v>
      </c>
      <c r="BH204" s="229">
        <v>0</v>
      </c>
      <c r="BI204" s="228">
        <v>244</v>
      </c>
      <c r="BJ204" s="228">
        <v>293</v>
      </c>
      <c r="BK204" s="228">
        <v>-48</v>
      </c>
      <c r="BL204" s="229">
        <v>-0.1651</v>
      </c>
      <c r="BM204" s="228">
        <v>172</v>
      </c>
      <c r="BN204" s="228">
        <v>137</v>
      </c>
      <c r="BO204" s="228">
        <v>35</v>
      </c>
      <c r="BP204" s="229">
        <v>0.25900000000000001</v>
      </c>
      <c r="BQ204" s="228">
        <v>642</v>
      </c>
      <c r="BR204" s="228">
        <v>535</v>
      </c>
      <c r="BS204" s="228">
        <v>108</v>
      </c>
      <c r="BT204" s="229">
        <v>0.20169999999999999</v>
      </c>
      <c r="BU204" s="230">
        <v>300180</v>
      </c>
      <c r="BV204" s="230">
        <v>320703</v>
      </c>
      <c r="BW204" s="230">
        <v>-20523</v>
      </c>
      <c r="BX204" s="229">
        <v>-6.4000000000000001E-2</v>
      </c>
      <c r="BY204" s="230">
        <v>1358</v>
      </c>
      <c r="BZ204" s="230">
        <v>1328</v>
      </c>
      <c r="CA204" s="228">
        <v>30</v>
      </c>
      <c r="CB204" s="229">
        <v>2.24E-2</v>
      </c>
      <c r="CC204" s="230">
        <v>1295</v>
      </c>
      <c r="CD204" s="230">
        <v>1307</v>
      </c>
      <c r="CE204" s="228">
        <v>-12</v>
      </c>
      <c r="CF204" s="229">
        <v>-9.2999999999999992E-3</v>
      </c>
      <c r="CG204" s="228">
        <v>62</v>
      </c>
      <c r="CH204" s="228">
        <v>20</v>
      </c>
      <c r="CI204" s="228">
        <v>42</v>
      </c>
      <c r="CJ204" s="229">
        <v>2.0994999999999999</v>
      </c>
      <c r="CK204" s="228">
        <v>2</v>
      </c>
      <c r="CL204" s="228">
        <v>2</v>
      </c>
      <c r="CM204" s="228">
        <v>0</v>
      </c>
      <c r="CN204" s="229">
        <v>6.25E-2</v>
      </c>
      <c r="CO204" s="228">
        <v>271</v>
      </c>
      <c r="CP204" s="228">
        <v>279</v>
      </c>
      <c r="CQ204" s="228">
        <v>-8</v>
      </c>
      <c r="CR204" s="229">
        <v>-2.9899999999999999E-2</v>
      </c>
      <c r="CS204" s="228">
        <v>192</v>
      </c>
      <c r="CT204" s="228">
        <v>196</v>
      </c>
      <c r="CU204" s="228">
        <v>-5</v>
      </c>
      <c r="CV204" s="229">
        <v>-2.3400000000000001E-2</v>
      </c>
      <c r="CW204" s="230">
        <v>1820</v>
      </c>
      <c r="CX204" s="230">
        <v>1804</v>
      </c>
      <c r="CY204" s="228">
        <v>17</v>
      </c>
      <c r="CZ204" s="229">
        <v>9.2999999999999992E-3</v>
      </c>
      <c r="DA204" s="228">
        <v>28.24</v>
      </c>
      <c r="DB204" s="228">
        <v>26.24</v>
      </c>
      <c r="DC204" s="228">
        <v>2</v>
      </c>
      <c r="DD204" s="228">
        <v>2</v>
      </c>
      <c r="DE204" s="228">
        <v>25.37</v>
      </c>
      <c r="DF204" s="228">
        <v>25.43</v>
      </c>
      <c r="DG204" s="228">
        <v>2.87</v>
      </c>
      <c r="DH204" s="228">
        <v>-0.06</v>
      </c>
      <c r="DI204" s="228">
        <v>25.41</v>
      </c>
      <c r="DJ204" s="228">
        <v>23.88</v>
      </c>
      <c r="DK204" s="228">
        <v>1.53</v>
      </c>
      <c r="DL204" s="228">
        <v>1.53</v>
      </c>
      <c r="DM204" s="228">
        <v>32.270000000000003</v>
      </c>
      <c r="DN204" s="228">
        <v>31.28</v>
      </c>
      <c r="DO204" s="228">
        <v>0.99</v>
      </c>
      <c r="DP204" s="228">
        <v>0.99</v>
      </c>
      <c r="DQ204" s="228">
        <v>0.71</v>
      </c>
      <c r="DR204" s="228">
        <v>0.7</v>
      </c>
      <c r="DS204" s="228">
        <v>0.01</v>
      </c>
      <c r="DT204" s="229">
        <v>1.43E-2</v>
      </c>
      <c r="DU204" s="231">
        <v>4300</v>
      </c>
      <c r="DV204" s="231">
        <v>4100</v>
      </c>
      <c r="DW204" s="228">
        <v>0.7</v>
      </c>
      <c r="DX204" s="228">
        <v>0.47</v>
      </c>
      <c r="DY204" s="228">
        <v>0.23</v>
      </c>
      <c r="DZ204" s="229">
        <v>0.4894</v>
      </c>
      <c r="EA204" s="229">
        <v>4.6800000000000001E-2</v>
      </c>
      <c r="EB204" s="230">
        <v>51750</v>
      </c>
      <c r="EC204" s="229">
        <v>2.0000000000000001E-4</v>
      </c>
      <c r="ED204" s="229">
        <v>4.6800000000000001E-2</v>
      </c>
      <c r="EE204" s="228">
        <v>-2.44</v>
      </c>
      <c r="EF204" s="229">
        <v>-5.9999999999999995E-4</v>
      </c>
      <c r="EG204" s="230">
        <v>176220</v>
      </c>
      <c r="EH204" s="230">
        <v>180252</v>
      </c>
      <c r="EI204" s="229">
        <v>-2.24E-2</v>
      </c>
      <c r="EJ204" s="229">
        <v>0.58699999999999997</v>
      </c>
      <c r="EK204" s="228">
        <v>252.92</v>
      </c>
      <c r="EL204" s="228">
        <v>154.82</v>
      </c>
      <c r="EM204" s="228">
        <v>225.76</v>
      </c>
      <c r="EN204" s="228">
        <v>18.21</v>
      </c>
      <c r="EO204" s="228">
        <v>633.5</v>
      </c>
      <c r="EP204" s="228">
        <v>535.52</v>
      </c>
      <c r="EQ204" s="228">
        <v>97.97</v>
      </c>
      <c r="ER204" s="229">
        <v>0.18290000000000001</v>
      </c>
      <c r="ES204" s="228">
        <v>277.57</v>
      </c>
      <c r="ET204" s="228">
        <v>184.57</v>
      </c>
      <c r="EU204" s="231">
        <v>1358.1</v>
      </c>
      <c r="EV204" s="231">
        <v>10726004</v>
      </c>
      <c r="EW204" s="231">
        <v>1820.24</v>
      </c>
      <c r="EX204" s="231">
        <v>1804.13</v>
      </c>
      <c r="EY204" s="228">
        <v>16.11</v>
      </c>
      <c r="EZ204" s="229">
        <v>8.8999999999999999E-3</v>
      </c>
      <c r="FA204" s="229">
        <v>0.40649999999999997</v>
      </c>
      <c r="FB204" s="227" t="s">
        <v>555</v>
      </c>
      <c r="FC204">
        <f t="shared" si="4"/>
        <v>0</v>
      </c>
    </row>
    <row r="205" spans="1:159" ht="17.25" thickBot="1" x14ac:dyDescent="0.3">
      <c r="A205" s="226">
        <v>46132</v>
      </c>
      <c r="B205" s="227" t="s">
        <v>161</v>
      </c>
      <c r="C205" s="227" t="s">
        <v>299</v>
      </c>
      <c r="D205" s="228">
        <v>425</v>
      </c>
      <c r="E205" s="228">
        <v>8</v>
      </c>
      <c r="F205" s="231">
        <v>1609</v>
      </c>
      <c r="G205" s="231">
        <v>1564.8</v>
      </c>
      <c r="H205" s="228">
        <v>44.2</v>
      </c>
      <c r="I205" s="229">
        <v>2.8199999999999999E-2</v>
      </c>
      <c r="J205" s="231">
        <v>1606.3</v>
      </c>
      <c r="K205" s="231">
        <v>1565</v>
      </c>
      <c r="L205" s="228">
        <v>41.3</v>
      </c>
      <c r="M205" s="229">
        <v>2.64E-2</v>
      </c>
      <c r="N205" s="231">
        <v>1609</v>
      </c>
      <c r="O205" s="231">
        <v>1564.8</v>
      </c>
      <c r="P205" s="228">
        <v>44.2</v>
      </c>
      <c r="Q205" s="229">
        <v>2.8199999999999999E-2</v>
      </c>
      <c r="R205" s="228">
        <v>0</v>
      </c>
      <c r="S205" s="228">
        <v>0</v>
      </c>
      <c r="T205" s="228">
        <v>0</v>
      </c>
      <c r="U205" s="229">
        <v>0</v>
      </c>
      <c r="V205" s="228">
        <v>0</v>
      </c>
      <c r="W205" s="228">
        <v>0</v>
      </c>
      <c r="X205" s="228">
        <v>0</v>
      </c>
      <c r="Y205" s="229">
        <v>0</v>
      </c>
      <c r="Z205" s="228">
        <v>2.7</v>
      </c>
      <c r="AA205" s="228">
        <v>-0.2</v>
      </c>
      <c r="AB205" s="228">
        <v>2.9</v>
      </c>
      <c r="AC205" s="229">
        <v>1.6999999999999999E-3</v>
      </c>
      <c r="AD205" s="228">
        <v>2.7</v>
      </c>
      <c r="AE205" s="228">
        <v>-0.2</v>
      </c>
      <c r="AF205" s="228">
        <v>2.9</v>
      </c>
      <c r="AG205" s="229">
        <v>1.6999999999999999E-3</v>
      </c>
      <c r="AH205" s="228">
        <v>0</v>
      </c>
      <c r="AI205" s="228">
        <v>0</v>
      </c>
      <c r="AJ205" s="228">
        <v>0</v>
      </c>
      <c r="AK205" s="229">
        <v>0</v>
      </c>
      <c r="AL205" s="228">
        <v>0</v>
      </c>
      <c r="AM205" s="228">
        <v>0</v>
      </c>
      <c r="AN205" s="228">
        <v>0</v>
      </c>
      <c r="AO205" s="229">
        <v>0</v>
      </c>
      <c r="AP205" s="231">
        <v>1615.93</v>
      </c>
      <c r="AQ205" s="228">
        <v>0</v>
      </c>
      <c r="AR205" s="228">
        <v>0</v>
      </c>
      <c r="AS205" s="228">
        <v>193</v>
      </c>
      <c r="AT205" s="228">
        <v>91</v>
      </c>
      <c r="AU205" s="228">
        <v>102</v>
      </c>
      <c r="AV205" s="229">
        <v>1.1188</v>
      </c>
      <c r="AW205" s="228">
        <v>193</v>
      </c>
      <c r="AX205" s="228">
        <v>91</v>
      </c>
      <c r="AY205" s="228">
        <v>102</v>
      </c>
      <c r="AZ205" s="229">
        <v>1.1188</v>
      </c>
      <c r="BA205" s="228">
        <v>0</v>
      </c>
      <c r="BB205" s="228">
        <v>0</v>
      </c>
      <c r="BC205" s="228">
        <v>0</v>
      </c>
      <c r="BD205" s="229">
        <v>0</v>
      </c>
      <c r="BE205" s="228">
        <v>0</v>
      </c>
      <c r="BF205" s="228">
        <v>0</v>
      </c>
      <c r="BG205" s="228">
        <v>0</v>
      </c>
      <c r="BH205" s="229">
        <v>0</v>
      </c>
      <c r="BI205" s="230">
        <v>2011</v>
      </c>
      <c r="BJ205" s="228">
        <v>297</v>
      </c>
      <c r="BK205" s="230">
        <v>1715</v>
      </c>
      <c r="BL205" s="229">
        <v>5.7820999999999998</v>
      </c>
      <c r="BM205" s="228">
        <v>729</v>
      </c>
      <c r="BN205" s="228">
        <v>83</v>
      </c>
      <c r="BO205" s="228">
        <v>646</v>
      </c>
      <c r="BP205" s="229">
        <v>7.7784000000000004</v>
      </c>
      <c r="BQ205" s="230">
        <v>2933</v>
      </c>
      <c r="BR205" s="228">
        <v>471</v>
      </c>
      <c r="BS205" s="230">
        <v>2462</v>
      </c>
      <c r="BT205" s="229">
        <v>5.2329999999999997</v>
      </c>
      <c r="BU205" s="230">
        <v>1516945</v>
      </c>
      <c r="BV205" s="230">
        <v>1005164</v>
      </c>
      <c r="BW205" s="230">
        <v>511781</v>
      </c>
      <c r="BX205" s="229">
        <v>0.50919999999999999</v>
      </c>
      <c r="BY205" s="228">
        <v>504</v>
      </c>
      <c r="BZ205" s="228">
        <v>507</v>
      </c>
      <c r="CA205" s="228">
        <v>-2</v>
      </c>
      <c r="CB205" s="229">
        <v>-4.3E-3</v>
      </c>
      <c r="CC205" s="228">
        <v>504</v>
      </c>
      <c r="CD205" s="228">
        <v>507</v>
      </c>
      <c r="CE205" s="228">
        <v>-2</v>
      </c>
      <c r="CF205" s="229">
        <v>-4.3E-3</v>
      </c>
      <c r="CG205" s="228">
        <v>0</v>
      </c>
      <c r="CH205" s="228">
        <v>0</v>
      </c>
      <c r="CI205" s="228">
        <v>0</v>
      </c>
      <c r="CJ205" s="229">
        <v>0</v>
      </c>
      <c r="CK205" s="228">
        <v>0</v>
      </c>
      <c r="CL205" s="228">
        <v>0</v>
      </c>
      <c r="CM205" s="228">
        <v>0</v>
      </c>
      <c r="CN205" s="229">
        <v>0</v>
      </c>
      <c r="CO205" s="228">
        <v>285</v>
      </c>
      <c r="CP205" s="228">
        <v>181</v>
      </c>
      <c r="CQ205" s="228">
        <v>104</v>
      </c>
      <c r="CR205" s="229">
        <v>0.57110000000000005</v>
      </c>
      <c r="CS205" s="228">
        <v>220</v>
      </c>
      <c r="CT205" s="228">
        <v>132</v>
      </c>
      <c r="CU205" s="228">
        <v>88</v>
      </c>
      <c r="CV205" s="229">
        <v>0.66910000000000003</v>
      </c>
      <c r="CW205" s="230">
        <v>1009</v>
      </c>
      <c r="CX205" s="228">
        <v>820</v>
      </c>
      <c r="CY205" s="228">
        <v>190</v>
      </c>
      <c r="CZ205" s="229">
        <v>0.23130000000000001</v>
      </c>
      <c r="DA205" s="228">
        <v>36.81</v>
      </c>
      <c r="DB205" s="228">
        <v>28.71</v>
      </c>
      <c r="DC205" s="228">
        <v>8.1</v>
      </c>
      <c r="DD205" s="228">
        <v>8.1</v>
      </c>
      <c r="DE205" s="228">
        <v>41.76</v>
      </c>
      <c r="DF205" s="228">
        <v>41.7</v>
      </c>
      <c r="DG205" s="228">
        <v>-4.95</v>
      </c>
      <c r="DH205" s="228">
        <v>0.06</v>
      </c>
      <c r="DI205" s="228">
        <v>35.72</v>
      </c>
      <c r="DJ205" s="228">
        <v>27.2</v>
      </c>
      <c r="DK205" s="228">
        <v>8.52</v>
      </c>
      <c r="DL205" s="228">
        <v>8.52</v>
      </c>
      <c r="DM205" s="228">
        <v>39.79</v>
      </c>
      <c r="DN205" s="228">
        <v>34.1</v>
      </c>
      <c r="DO205" s="228">
        <v>5.69</v>
      </c>
      <c r="DP205" s="228">
        <v>5.69</v>
      </c>
      <c r="DQ205" s="228">
        <v>0.77</v>
      </c>
      <c r="DR205" s="228">
        <v>0.73</v>
      </c>
      <c r="DS205" s="228">
        <v>0.04</v>
      </c>
      <c r="DT205" s="229">
        <v>5.4800000000000001E-2</v>
      </c>
      <c r="DU205" s="231">
        <v>1700</v>
      </c>
      <c r="DV205" s="231">
        <v>1550</v>
      </c>
      <c r="DW205" s="228">
        <v>0.36</v>
      </c>
      <c r="DX205" s="228">
        <v>0.28000000000000003</v>
      </c>
      <c r="DY205" s="228">
        <v>0.08</v>
      </c>
      <c r="DZ205" s="229">
        <v>0.28570000000000001</v>
      </c>
      <c r="EA205" s="229">
        <v>0</v>
      </c>
      <c r="EB205" s="228">
        <v>0</v>
      </c>
      <c r="EC205" s="229">
        <v>0</v>
      </c>
      <c r="ED205" s="229">
        <v>0</v>
      </c>
      <c r="EE205" s="228">
        <v>0</v>
      </c>
      <c r="EF205" s="229">
        <v>0</v>
      </c>
      <c r="EG205" s="230">
        <v>554292</v>
      </c>
      <c r="EH205" s="230">
        <v>637263</v>
      </c>
      <c r="EI205" s="229">
        <v>-0.13020000000000001</v>
      </c>
      <c r="EJ205" s="229">
        <v>0.3654</v>
      </c>
      <c r="EK205" s="231">
        <v>2092.83</v>
      </c>
      <c r="EL205" s="228">
        <v>689.82</v>
      </c>
      <c r="EM205" s="228">
        <v>193.53</v>
      </c>
      <c r="EN205" s="228">
        <v>12.43</v>
      </c>
      <c r="EO205" s="231">
        <v>2976.17</v>
      </c>
      <c r="EP205" s="228">
        <v>459.87</v>
      </c>
      <c r="EQ205" s="231">
        <v>2516.3000000000002</v>
      </c>
      <c r="ER205" s="229">
        <v>5.4718</v>
      </c>
      <c r="ES205" s="228">
        <v>282.58999999999997</v>
      </c>
      <c r="ET205" s="228">
        <v>198.26</v>
      </c>
      <c r="EU205" s="228">
        <v>504.32</v>
      </c>
      <c r="EV205" s="231">
        <v>24646022</v>
      </c>
      <c r="EW205" s="228">
        <v>985.17</v>
      </c>
      <c r="EX205" s="228">
        <v>778.27</v>
      </c>
      <c r="EY205" s="228">
        <v>206.9</v>
      </c>
      <c r="EZ205" s="229">
        <v>0.26579999999999998</v>
      </c>
      <c r="FA205" s="229">
        <v>0.2545</v>
      </c>
      <c r="FB205" s="227" t="s">
        <v>693</v>
      </c>
      <c r="FC205">
        <f t="shared" si="4"/>
        <v>0</v>
      </c>
    </row>
    <row r="206" spans="1:159" ht="17.25" thickBot="1" x14ac:dyDescent="0.3">
      <c r="A206" s="226">
        <v>46132</v>
      </c>
      <c r="B206" s="227" t="s">
        <v>197</v>
      </c>
      <c r="C206" s="227" t="s">
        <v>482</v>
      </c>
      <c r="D206" s="228">
        <v>100</v>
      </c>
      <c r="E206" s="228">
        <v>8</v>
      </c>
      <c r="F206" s="231">
        <v>4238</v>
      </c>
      <c r="G206" s="231">
        <v>4108.3999999999996</v>
      </c>
      <c r="H206" s="228">
        <v>129.6</v>
      </c>
      <c r="I206" s="229">
        <v>3.15E-2</v>
      </c>
      <c r="J206" s="231">
        <v>4242.8</v>
      </c>
      <c r="K206" s="231">
        <v>4107.7</v>
      </c>
      <c r="L206" s="228">
        <v>135.1</v>
      </c>
      <c r="M206" s="229">
        <v>3.2899999999999999E-2</v>
      </c>
      <c r="N206" s="231">
        <v>4238</v>
      </c>
      <c r="O206" s="231">
        <v>4108.3999999999996</v>
      </c>
      <c r="P206" s="228">
        <v>129.6</v>
      </c>
      <c r="Q206" s="229">
        <v>3.15E-2</v>
      </c>
      <c r="R206" s="231">
        <v>4238.7</v>
      </c>
      <c r="S206" s="231">
        <v>4114.6000000000004</v>
      </c>
      <c r="T206" s="228">
        <v>124.1</v>
      </c>
      <c r="U206" s="229">
        <v>3.0200000000000001E-2</v>
      </c>
      <c r="V206" s="231">
        <v>4246.3</v>
      </c>
      <c r="W206" s="231">
        <v>4129</v>
      </c>
      <c r="X206" s="228">
        <v>117.3</v>
      </c>
      <c r="Y206" s="229">
        <v>2.8400000000000002E-2</v>
      </c>
      <c r="Z206" s="228">
        <v>-4.8</v>
      </c>
      <c r="AA206" s="228">
        <v>0.7</v>
      </c>
      <c r="AB206" s="228">
        <v>-5.5</v>
      </c>
      <c r="AC206" s="229">
        <v>-1.1000000000000001E-3</v>
      </c>
      <c r="AD206" s="228">
        <v>-4.8</v>
      </c>
      <c r="AE206" s="228">
        <v>0.7</v>
      </c>
      <c r="AF206" s="228">
        <v>-5.5</v>
      </c>
      <c r="AG206" s="229">
        <v>-1.1000000000000001E-3</v>
      </c>
      <c r="AH206" s="228">
        <v>-4.0999999999999996</v>
      </c>
      <c r="AI206" s="228">
        <v>6.9</v>
      </c>
      <c r="AJ206" s="228">
        <v>-11</v>
      </c>
      <c r="AK206" s="229">
        <v>-1E-3</v>
      </c>
      <c r="AL206" s="228">
        <v>3.5</v>
      </c>
      <c r="AM206" s="228">
        <v>21.3</v>
      </c>
      <c r="AN206" s="228">
        <v>-17.8</v>
      </c>
      <c r="AO206" s="229">
        <v>8.0000000000000004E-4</v>
      </c>
      <c r="AP206" s="231">
        <v>4216.6400000000003</v>
      </c>
      <c r="AQ206" s="231">
        <v>4216.1000000000004</v>
      </c>
      <c r="AR206" s="228">
        <v>0</v>
      </c>
      <c r="AS206" s="228">
        <v>792</v>
      </c>
      <c r="AT206" s="228">
        <v>472</v>
      </c>
      <c r="AU206" s="228">
        <v>320</v>
      </c>
      <c r="AV206" s="229">
        <v>0.67700000000000005</v>
      </c>
      <c r="AW206" s="228">
        <v>608</v>
      </c>
      <c r="AX206" s="228">
        <v>392</v>
      </c>
      <c r="AY206" s="228">
        <v>216</v>
      </c>
      <c r="AZ206" s="229">
        <v>0.55030000000000001</v>
      </c>
      <c r="BA206" s="228">
        <v>165</v>
      </c>
      <c r="BB206" s="228">
        <v>73</v>
      </c>
      <c r="BC206" s="228">
        <v>93</v>
      </c>
      <c r="BD206" s="229">
        <v>1.2809999999999999</v>
      </c>
      <c r="BE206" s="228">
        <v>19</v>
      </c>
      <c r="BF206" s="228">
        <v>8</v>
      </c>
      <c r="BG206" s="228">
        <v>11</v>
      </c>
      <c r="BH206" s="229">
        <v>1.4389000000000001</v>
      </c>
      <c r="BI206" s="230">
        <v>7230</v>
      </c>
      <c r="BJ206" s="230">
        <v>2744</v>
      </c>
      <c r="BK206" s="230">
        <v>4486</v>
      </c>
      <c r="BL206" s="229">
        <v>1.6349</v>
      </c>
      <c r="BM206" s="230">
        <v>2724</v>
      </c>
      <c r="BN206" s="230">
        <v>1313</v>
      </c>
      <c r="BO206" s="230">
        <v>1412</v>
      </c>
      <c r="BP206" s="229">
        <v>1.0751999999999999</v>
      </c>
      <c r="BQ206" s="230">
        <v>10746</v>
      </c>
      <c r="BR206" s="230">
        <v>4529</v>
      </c>
      <c r="BS206" s="230">
        <v>6217</v>
      </c>
      <c r="BT206" s="229">
        <v>1.3727</v>
      </c>
      <c r="BU206" s="230">
        <v>2319854</v>
      </c>
      <c r="BV206" s="230">
        <v>1305505</v>
      </c>
      <c r="BW206" s="230">
        <v>1014349</v>
      </c>
      <c r="BX206" s="229">
        <v>0.77700000000000002</v>
      </c>
      <c r="BY206" s="230">
        <v>3430</v>
      </c>
      <c r="BZ206" s="230">
        <v>3461</v>
      </c>
      <c r="CA206" s="228">
        <v>-30</v>
      </c>
      <c r="CB206" s="229">
        <v>-8.8000000000000005E-3</v>
      </c>
      <c r="CC206" s="230">
        <v>2890</v>
      </c>
      <c r="CD206" s="230">
        <v>2968</v>
      </c>
      <c r="CE206" s="228">
        <v>-78</v>
      </c>
      <c r="CF206" s="229">
        <v>-2.64E-2</v>
      </c>
      <c r="CG206" s="228">
        <v>510</v>
      </c>
      <c r="CH206" s="228">
        <v>468</v>
      </c>
      <c r="CI206" s="228">
        <v>42</v>
      </c>
      <c r="CJ206" s="229">
        <v>9.01E-2</v>
      </c>
      <c r="CK206" s="228">
        <v>31</v>
      </c>
      <c r="CL206" s="228">
        <v>25</v>
      </c>
      <c r="CM206" s="228">
        <v>6</v>
      </c>
      <c r="CN206" s="229">
        <v>0.23100000000000001</v>
      </c>
      <c r="CO206" s="230">
        <v>1414</v>
      </c>
      <c r="CP206" s="230">
        <v>1239</v>
      </c>
      <c r="CQ206" s="228">
        <v>175</v>
      </c>
      <c r="CR206" s="229">
        <v>0.1411</v>
      </c>
      <c r="CS206" s="230">
        <v>1194</v>
      </c>
      <c r="CT206" s="230">
        <v>1064</v>
      </c>
      <c r="CU206" s="228">
        <v>130</v>
      </c>
      <c r="CV206" s="229">
        <v>0.12180000000000001</v>
      </c>
      <c r="CW206" s="230">
        <v>6038</v>
      </c>
      <c r="CX206" s="230">
        <v>5764</v>
      </c>
      <c r="CY206" s="228">
        <v>274</v>
      </c>
      <c r="CZ206" s="229">
        <v>4.7500000000000001E-2</v>
      </c>
      <c r="DA206" s="228">
        <v>47.88</v>
      </c>
      <c r="DB206" s="228">
        <v>36.22</v>
      </c>
      <c r="DC206" s="228">
        <v>11.66</v>
      </c>
      <c r="DD206" s="228">
        <v>11.66</v>
      </c>
      <c r="DE206" s="228">
        <v>44.23</v>
      </c>
      <c r="DF206" s="228">
        <v>44.13</v>
      </c>
      <c r="DG206" s="228">
        <v>3.65</v>
      </c>
      <c r="DH206" s="228">
        <v>0.1</v>
      </c>
      <c r="DI206" s="228">
        <v>46.88</v>
      </c>
      <c r="DJ206" s="228">
        <v>34.97</v>
      </c>
      <c r="DK206" s="228">
        <v>11.91</v>
      </c>
      <c r="DL206" s="228">
        <v>11.91</v>
      </c>
      <c r="DM206" s="228">
        <v>50.53</v>
      </c>
      <c r="DN206" s="228">
        <v>38.83</v>
      </c>
      <c r="DO206" s="228">
        <v>11.7</v>
      </c>
      <c r="DP206" s="228">
        <v>11.7</v>
      </c>
      <c r="DQ206" s="228">
        <v>0.84</v>
      </c>
      <c r="DR206" s="228">
        <v>0.86</v>
      </c>
      <c r="DS206" s="228">
        <v>-0.02</v>
      </c>
      <c r="DT206" s="229">
        <v>-2.3300000000000001E-2</v>
      </c>
      <c r="DU206" s="231">
        <v>4500</v>
      </c>
      <c r="DV206" s="231">
        <v>3800</v>
      </c>
      <c r="DW206" s="228">
        <v>0.38</v>
      </c>
      <c r="DX206" s="228">
        <v>0.48</v>
      </c>
      <c r="DY206" s="228">
        <v>-0.1</v>
      </c>
      <c r="DZ206" s="229">
        <v>-0.20830000000000001</v>
      </c>
      <c r="EA206" s="229">
        <v>0.15770000000000001</v>
      </c>
      <c r="EB206" s="230">
        <v>1163100</v>
      </c>
      <c r="EC206" s="229">
        <v>2.0000000000000001E-4</v>
      </c>
      <c r="ED206" s="229">
        <v>0.15770000000000001</v>
      </c>
      <c r="EE206" s="228">
        <v>-0.54</v>
      </c>
      <c r="EF206" s="229">
        <v>-1E-4</v>
      </c>
      <c r="EG206" s="230">
        <v>599009</v>
      </c>
      <c r="EH206" s="230">
        <v>460417</v>
      </c>
      <c r="EI206" s="229">
        <v>0.30099999999999999</v>
      </c>
      <c r="EJ206" s="229">
        <v>0.25819999999999999</v>
      </c>
      <c r="EK206" s="231">
        <v>7527.05</v>
      </c>
      <c r="EL206" s="231">
        <v>2634.49</v>
      </c>
      <c r="EM206" s="228">
        <v>787.8</v>
      </c>
      <c r="EN206" s="228">
        <v>103.31</v>
      </c>
      <c r="EO206" s="231">
        <v>10949.35</v>
      </c>
      <c r="EP206" s="231">
        <v>4484.8500000000004</v>
      </c>
      <c r="EQ206" s="231">
        <v>6464.5</v>
      </c>
      <c r="ER206" s="229">
        <v>1.4414</v>
      </c>
      <c r="ES206" s="231">
        <v>1368.52</v>
      </c>
      <c r="ET206" s="231">
        <v>1068.95</v>
      </c>
      <c r="EU206" s="231">
        <v>3430.55</v>
      </c>
      <c r="EV206" s="231">
        <v>33590487</v>
      </c>
      <c r="EW206" s="231">
        <v>5868.02</v>
      </c>
      <c r="EX206" s="231">
        <v>5468.92</v>
      </c>
      <c r="EY206" s="228">
        <v>399.1</v>
      </c>
      <c r="EZ206" s="229">
        <v>7.2999999999999995E-2</v>
      </c>
      <c r="FA206" s="229">
        <v>0.42409999999999998</v>
      </c>
      <c r="FB206" s="227" t="s">
        <v>693</v>
      </c>
      <c r="FC206">
        <f t="shared" si="4"/>
        <v>0</v>
      </c>
    </row>
    <row r="207" spans="1:159" ht="17.25" thickBot="1" x14ac:dyDescent="0.3">
      <c r="A207" s="226">
        <v>46132</v>
      </c>
      <c r="B207" s="227" t="s">
        <v>162</v>
      </c>
      <c r="C207" s="227" t="s">
        <v>300</v>
      </c>
      <c r="D207" s="228">
        <v>175</v>
      </c>
      <c r="E207" s="228">
        <v>8</v>
      </c>
      <c r="F207" s="231">
        <v>3769.8</v>
      </c>
      <c r="G207" s="231">
        <v>3747.3</v>
      </c>
      <c r="H207" s="228">
        <v>22.5</v>
      </c>
      <c r="I207" s="229">
        <v>6.0000000000000001E-3</v>
      </c>
      <c r="J207" s="231">
        <v>3761.9</v>
      </c>
      <c r="K207" s="231">
        <v>3735.8</v>
      </c>
      <c r="L207" s="228">
        <v>26.1</v>
      </c>
      <c r="M207" s="229">
        <v>7.0000000000000001E-3</v>
      </c>
      <c r="N207" s="231">
        <v>3769.8</v>
      </c>
      <c r="O207" s="231">
        <v>3747.3</v>
      </c>
      <c r="P207" s="228">
        <v>22.5</v>
      </c>
      <c r="Q207" s="229">
        <v>6.0000000000000001E-3</v>
      </c>
      <c r="R207" s="231">
        <v>3782.1</v>
      </c>
      <c r="S207" s="231">
        <v>3766.6</v>
      </c>
      <c r="T207" s="228">
        <v>15.5</v>
      </c>
      <c r="U207" s="229">
        <v>4.1000000000000003E-3</v>
      </c>
      <c r="V207" s="231">
        <v>3789.6</v>
      </c>
      <c r="W207" s="231">
        <v>3785.9</v>
      </c>
      <c r="X207" s="228">
        <v>3.7</v>
      </c>
      <c r="Y207" s="229">
        <v>1E-3</v>
      </c>
      <c r="Z207" s="228">
        <v>7.9</v>
      </c>
      <c r="AA207" s="228">
        <v>11.5</v>
      </c>
      <c r="AB207" s="228">
        <v>-3.6</v>
      </c>
      <c r="AC207" s="229">
        <v>2.0999999999999999E-3</v>
      </c>
      <c r="AD207" s="228">
        <v>7.9</v>
      </c>
      <c r="AE207" s="228">
        <v>11.5</v>
      </c>
      <c r="AF207" s="228">
        <v>-3.6</v>
      </c>
      <c r="AG207" s="229">
        <v>2.0999999999999999E-3</v>
      </c>
      <c r="AH207" s="228">
        <v>20.2</v>
      </c>
      <c r="AI207" s="228">
        <v>30.8</v>
      </c>
      <c r="AJ207" s="228">
        <v>-10.6</v>
      </c>
      <c r="AK207" s="229">
        <v>5.4000000000000003E-3</v>
      </c>
      <c r="AL207" s="228">
        <v>27.7</v>
      </c>
      <c r="AM207" s="228">
        <v>50.1</v>
      </c>
      <c r="AN207" s="228">
        <v>-22.4</v>
      </c>
      <c r="AO207" s="229">
        <v>7.4000000000000003E-3</v>
      </c>
      <c r="AP207" s="231">
        <v>3759.95</v>
      </c>
      <c r="AQ207" s="231">
        <v>3786.49</v>
      </c>
      <c r="AR207" s="228">
        <v>0</v>
      </c>
      <c r="AS207" s="228">
        <v>252</v>
      </c>
      <c r="AT207" s="228">
        <v>465</v>
      </c>
      <c r="AU207" s="228">
        <v>-213</v>
      </c>
      <c r="AV207" s="229">
        <v>-0.45879999999999999</v>
      </c>
      <c r="AW207" s="228">
        <v>191</v>
      </c>
      <c r="AX207" s="228">
        <v>303</v>
      </c>
      <c r="AY207" s="228">
        <v>-112</v>
      </c>
      <c r="AZ207" s="229">
        <v>-0.37059999999999998</v>
      </c>
      <c r="BA207" s="228">
        <v>59</v>
      </c>
      <c r="BB207" s="228">
        <v>41</v>
      </c>
      <c r="BC207" s="228">
        <v>18</v>
      </c>
      <c r="BD207" s="229">
        <v>0.44519999999999998</v>
      </c>
      <c r="BE207" s="228">
        <v>2</v>
      </c>
      <c r="BF207" s="228">
        <v>121</v>
      </c>
      <c r="BG207" s="228">
        <v>-119</v>
      </c>
      <c r="BH207" s="229">
        <v>-0.98740000000000006</v>
      </c>
      <c r="BI207" s="228">
        <v>540</v>
      </c>
      <c r="BJ207" s="228">
        <v>424</v>
      </c>
      <c r="BK207" s="228">
        <v>116</v>
      </c>
      <c r="BL207" s="229">
        <v>0.2737</v>
      </c>
      <c r="BM207" s="228">
        <v>416</v>
      </c>
      <c r="BN207" s="228">
        <v>264</v>
      </c>
      <c r="BO207" s="228">
        <v>152</v>
      </c>
      <c r="BP207" s="229">
        <v>0.57579999999999998</v>
      </c>
      <c r="BQ207" s="230">
        <v>1208</v>
      </c>
      <c r="BR207" s="230">
        <v>1153</v>
      </c>
      <c r="BS207" s="228">
        <v>55</v>
      </c>
      <c r="BT207" s="229">
        <v>4.7600000000000003E-2</v>
      </c>
      <c r="BU207" s="230">
        <v>748982</v>
      </c>
      <c r="BV207" s="230">
        <v>592659</v>
      </c>
      <c r="BW207" s="230">
        <v>156323</v>
      </c>
      <c r="BX207" s="229">
        <v>0.26379999999999998</v>
      </c>
      <c r="BY207" s="230">
        <v>3078</v>
      </c>
      <c r="BZ207" s="230">
        <v>3110</v>
      </c>
      <c r="CA207" s="228">
        <v>-33</v>
      </c>
      <c r="CB207" s="229">
        <v>-1.0500000000000001E-2</v>
      </c>
      <c r="CC207" s="230">
        <v>2844</v>
      </c>
      <c r="CD207" s="230">
        <v>2887</v>
      </c>
      <c r="CE207" s="228">
        <v>-42</v>
      </c>
      <c r="CF207" s="229">
        <v>-1.46E-2</v>
      </c>
      <c r="CG207" s="228">
        <v>110</v>
      </c>
      <c r="CH207" s="228">
        <v>100</v>
      </c>
      <c r="CI207" s="228">
        <v>9</v>
      </c>
      <c r="CJ207" s="229">
        <v>9.06E-2</v>
      </c>
      <c r="CK207" s="228">
        <v>123</v>
      </c>
      <c r="CL207" s="228">
        <v>123</v>
      </c>
      <c r="CM207" s="228">
        <v>0</v>
      </c>
      <c r="CN207" s="229">
        <v>3.2000000000000002E-3</v>
      </c>
      <c r="CO207" s="228">
        <v>588</v>
      </c>
      <c r="CP207" s="228">
        <v>617</v>
      </c>
      <c r="CQ207" s="228">
        <v>-29</v>
      </c>
      <c r="CR207" s="229">
        <v>-4.6800000000000001E-2</v>
      </c>
      <c r="CS207" s="228">
        <v>448</v>
      </c>
      <c r="CT207" s="228">
        <v>432</v>
      </c>
      <c r="CU207" s="228">
        <v>16</v>
      </c>
      <c r="CV207" s="229">
        <v>3.5900000000000001E-2</v>
      </c>
      <c r="CW207" s="230">
        <v>4114</v>
      </c>
      <c r="CX207" s="230">
        <v>4159</v>
      </c>
      <c r="CY207" s="228">
        <v>-46</v>
      </c>
      <c r="CZ207" s="229">
        <v>-1.0999999999999999E-2</v>
      </c>
      <c r="DA207" s="228">
        <v>36.06</v>
      </c>
      <c r="DB207" s="228">
        <v>32.880000000000003</v>
      </c>
      <c r="DC207" s="228">
        <v>3.18</v>
      </c>
      <c r="DD207" s="228">
        <v>3.18</v>
      </c>
      <c r="DE207" s="228">
        <v>33.479999999999997</v>
      </c>
      <c r="DF207" s="228">
        <v>33.549999999999997</v>
      </c>
      <c r="DG207" s="228">
        <v>2.58</v>
      </c>
      <c r="DH207" s="228">
        <v>-7.0000000000000007E-2</v>
      </c>
      <c r="DI207" s="228">
        <v>34.76</v>
      </c>
      <c r="DJ207" s="228">
        <v>32.090000000000003</v>
      </c>
      <c r="DK207" s="228">
        <v>2.67</v>
      </c>
      <c r="DL207" s="228">
        <v>2.67</v>
      </c>
      <c r="DM207" s="228">
        <v>37.75</v>
      </c>
      <c r="DN207" s="228">
        <v>34.130000000000003</v>
      </c>
      <c r="DO207" s="228">
        <v>3.62</v>
      </c>
      <c r="DP207" s="228">
        <v>3.62</v>
      </c>
      <c r="DQ207" s="228">
        <v>0.76</v>
      </c>
      <c r="DR207" s="228">
        <v>0.7</v>
      </c>
      <c r="DS207" s="228">
        <v>0.06</v>
      </c>
      <c r="DT207" s="229">
        <v>8.5699999999999998E-2</v>
      </c>
      <c r="DU207" s="231">
        <v>4000</v>
      </c>
      <c r="DV207" s="231">
        <v>3700</v>
      </c>
      <c r="DW207" s="228">
        <v>0.77</v>
      </c>
      <c r="DX207" s="228">
        <v>0.62</v>
      </c>
      <c r="DY207" s="228">
        <v>0.15</v>
      </c>
      <c r="DZ207" s="229">
        <v>0.2419</v>
      </c>
      <c r="EA207" s="229">
        <v>7.5700000000000003E-2</v>
      </c>
      <c r="EB207" s="230">
        <v>593075</v>
      </c>
      <c r="EC207" s="229">
        <v>3.3E-3</v>
      </c>
      <c r="ED207" s="229">
        <v>7.5700000000000003E-2</v>
      </c>
      <c r="EE207" s="228">
        <v>26.54</v>
      </c>
      <c r="EF207" s="229">
        <v>7.1000000000000004E-3</v>
      </c>
      <c r="EG207" s="230">
        <v>454753</v>
      </c>
      <c r="EH207" s="230">
        <v>341670</v>
      </c>
      <c r="EI207" s="229">
        <v>0.33100000000000002</v>
      </c>
      <c r="EJ207" s="229">
        <v>0.60719999999999996</v>
      </c>
      <c r="EK207" s="228">
        <v>560.1</v>
      </c>
      <c r="EL207" s="228">
        <v>412.25</v>
      </c>
      <c r="EM207" s="228">
        <v>251.32</v>
      </c>
      <c r="EN207" s="228">
        <v>47.62</v>
      </c>
      <c r="EO207" s="231">
        <v>1223.67</v>
      </c>
      <c r="EP207" s="231">
        <v>1167.74</v>
      </c>
      <c r="EQ207" s="228">
        <v>55.93</v>
      </c>
      <c r="ER207" s="229">
        <v>4.7899999999999998E-2</v>
      </c>
      <c r="ES207" s="228">
        <v>590.45000000000005</v>
      </c>
      <c r="ET207" s="228">
        <v>419.64</v>
      </c>
      <c r="EU207" s="231">
        <v>3078.58</v>
      </c>
      <c r="EV207" s="231">
        <v>32253708</v>
      </c>
      <c r="EW207" s="231">
        <v>4088.66</v>
      </c>
      <c r="EX207" s="231">
        <v>4116.43</v>
      </c>
      <c r="EY207" s="228">
        <v>-27.77</v>
      </c>
      <c r="EZ207" s="229">
        <v>-6.7000000000000002E-3</v>
      </c>
      <c r="FA207" s="229">
        <v>0.33829999999999999</v>
      </c>
      <c r="FB207" s="227" t="s">
        <v>693</v>
      </c>
      <c r="FC207">
        <f t="shared" si="4"/>
        <v>0</v>
      </c>
    </row>
    <row r="208" spans="1:159" ht="17.25" thickBot="1" x14ac:dyDescent="0.3">
      <c r="A208" s="226">
        <v>46132</v>
      </c>
      <c r="B208" s="227" t="s">
        <v>157</v>
      </c>
      <c r="C208" s="227" t="s">
        <v>302</v>
      </c>
      <c r="D208" s="228">
        <v>50</v>
      </c>
      <c r="E208" s="228">
        <v>8</v>
      </c>
      <c r="F208" s="231">
        <v>11897</v>
      </c>
      <c r="G208" s="231">
        <v>11884</v>
      </c>
      <c r="H208" s="228">
        <v>13</v>
      </c>
      <c r="I208" s="229">
        <v>1.1000000000000001E-3</v>
      </c>
      <c r="J208" s="231">
        <v>11917</v>
      </c>
      <c r="K208" s="231">
        <v>11886</v>
      </c>
      <c r="L208" s="228">
        <v>31</v>
      </c>
      <c r="M208" s="229">
        <v>2.5999999999999999E-3</v>
      </c>
      <c r="N208" s="231">
        <v>11897</v>
      </c>
      <c r="O208" s="231">
        <v>11884</v>
      </c>
      <c r="P208" s="228">
        <v>13</v>
      </c>
      <c r="Q208" s="229">
        <v>1.1000000000000001E-3</v>
      </c>
      <c r="R208" s="231">
        <v>11965</v>
      </c>
      <c r="S208" s="231">
        <v>11950</v>
      </c>
      <c r="T208" s="228">
        <v>15</v>
      </c>
      <c r="U208" s="229">
        <v>1.2999999999999999E-3</v>
      </c>
      <c r="V208" s="231">
        <v>12037</v>
      </c>
      <c r="W208" s="231">
        <v>12016</v>
      </c>
      <c r="X208" s="228">
        <v>21</v>
      </c>
      <c r="Y208" s="229">
        <v>1.6999999999999999E-3</v>
      </c>
      <c r="Z208" s="228">
        <v>-20</v>
      </c>
      <c r="AA208" s="228">
        <v>-2</v>
      </c>
      <c r="AB208" s="228">
        <v>-18</v>
      </c>
      <c r="AC208" s="229">
        <v>-1.6999999999999999E-3</v>
      </c>
      <c r="AD208" s="228">
        <v>-20</v>
      </c>
      <c r="AE208" s="228">
        <v>-2</v>
      </c>
      <c r="AF208" s="228">
        <v>-18</v>
      </c>
      <c r="AG208" s="229">
        <v>-1.6999999999999999E-3</v>
      </c>
      <c r="AH208" s="228">
        <v>48</v>
      </c>
      <c r="AI208" s="228">
        <v>64</v>
      </c>
      <c r="AJ208" s="228">
        <v>-16</v>
      </c>
      <c r="AK208" s="229">
        <v>4.0000000000000001E-3</v>
      </c>
      <c r="AL208" s="228">
        <v>120</v>
      </c>
      <c r="AM208" s="228">
        <v>130</v>
      </c>
      <c r="AN208" s="228">
        <v>-10</v>
      </c>
      <c r="AO208" s="229">
        <v>1.01E-2</v>
      </c>
      <c r="AP208" s="231">
        <v>11919.2</v>
      </c>
      <c r="AQ208" s="231">
        <v>11959.44</v>
      </c>
      <c r="AR208" s="228">
        <v>0</v>
      </c>
      <c r="AS208" s="228">
        <v>427</v>
      </c>
      <c r="AT208" s="228">
        <v>483</v>
      </c>
      <c r="AU208" s="228">
        <v>-57</v>
      </c>
      <c r="AV208" s="229">
        <v>-0.1174</v>
      </c>
      <c r="AW208" s="228">
        <v>350</v>
      </c>
      <c r="AX208" s="228">
        <v>361</v>
      </c>
      <c r="AY208" s="228">
        <v>-11</v>
      </c>
      <c r="AZ208" s="229">
        <v>-2.9899999999999999E-2</v>
      </c>
      <c r="BA208" s="228">
        <v>68</v>
      </c>
      <c r="BB208" s="228">
        <v>15</v>
      </c>
      <c r="BC208" s="228">
        <v>54</v>
      </c>
      <c r="BD208" s="229">
        <v>3.6145</v>
      </c>
      <c r="BE208" s="228">
        <v>9</v>
      </c>
      <c r="BF208" s="228">
        <v>108</v>
      </c>
      <c r="BG208" s="228">
        <v>-100</v>
      </c>
      <c r="BH208" s="229">
        <v>-0.92130000000000001</v>
      </c>
      <c r="BI208" s="230">
        <v>1305</v>
      </c>
      <c r="BJ208" s="230">
        <v>1001</v>
      </c>
      <c r="BK208" s="228">
        <v>303</v>
      </c>
      <c r="BL208" s="229">
        <v>0.30309999999999998</v>
      </c>
      <c r="BM208" s="228">
        <v>422</v>
      </c>
      <c r="BN208" s="228">
        <v>469</v>
      </c>
      <c r="BO208" s="228">
        <v>-47</v>
      </c>
      <c r="BP208" s="229">
        <v>-9.9699999999999997E-2</v>
      </c>
      <c r="BQ208" s="230">
        <v>2154</v>
      </c>
      <c r="BR208" s="230">
        <v>1954</v>
      </c>
      <c r="BS208" s="228">
        <v>200</v>
      </c>
      <c r="BT208" s="229">
        <v>0.1024</v>
      </c>
      <c r="BU208" s="230">
        <v>348855</v>
      </c>
      <c r="BV208" s="230">
        <v>170793</v>
      </c>
      <c r="BW208" s="230">
        <v>178062</v>
      </c>
      <c r="BX208" s="229">
        <v>1.0426</v>
      </c>
      <c r="BY208" s="230">
        <v>2895</v>
      </c>
      <c r="BZ208" s="230">
        <v>2866</v>
      </c>
      <c r="CA208" s="228">
        <v>29</v>
      </c>
      <c r="CB208" s="229">
        <v>1.0200000000000001E-2</v>
      </c>
      <c r="CC208" s="230">
        <v>2316</v>
      </c>
      <c r="CD208" s="230">
        <v>2334</v>
      </c>
      <c r="CE208" s="228">
        <v>-17</v>
      </c>
      <c r="CF208" s="229">
        <v>-7.4000000000000003E-3</v>
      </c>
      <c r="CG208" s="228">
        <v>285</v>
      </c>
      <c r="CH208" s="228">
        <v>246</v>
      </c>
      <c r="CI208" s="228">
        <v>39</v>
      </c>
      <c r="CJ208" s="229">
        <v>0.15890000000000001</v>
      </c>
      <c r="CK208" s="228">
        <v>293</v>
      </c>
      <c r="CL208" s="228">
        <v>286</v>
      </c>
      <c r="CM208" s="228">
        <v>7</v>
      </c>
      <c r="CN208" s="229">
        <v>2.5100000000000001E-2</v>
      </c>
      <c r="CO208" s="228">
        <v>852</v>
      </c>
      <c r="CP208" s="228">
        <v>829</v>
      </c>
      <c r="CQ208" s="228">
        <v>24</v>
      </c>
      <c r="CR208" s="229">
        <v>2.8400000000000002E-2</v>
      </c>
      <c r="CS208" s="228">
        <v>533</v>
      </c>
      <c r="CT208" s="228">
        <v>511</v>
      </c>
      <c r="CU208" s="228">
        <v>22</v>
      </c>
      <c r="CV208" s="229">
        <v>4.2900000000000001E-2</v>
      </c>
      <c r="CW208" s="230">
        <v>4280</v>
      </c>
      <c r="CX208" s="230">
        <v>4205</v>
      </c>
      <c r="CY208" s="228">
        <v>75</v>
      </c>
      <c r="CZ208" s="229">
        <v>1.77E-2</v>
      </c>
      <c r="DA208" s="228">
        <v>32.950000000000003</v>
      </c>
      <c r="DB208" s="228">
        <v>29.23</v>
      </c>
      <c r="DC208" s="228">
        <v>3.72</v>
      </c>
      <c r="DD208" s="228">
        <v>3.72</v>
      </c>
      <c r="DE208" s="228">
        <v>30.07</v>
      </c>
      <c r="DF208" s="228">
        <v>30.14</v>
      </c>
      <c r="DG208" s="228">
        <v>2.88</v>
      </c>
      <c r="DH208" s="228">
        <v>-7.0000000000000007E-2</v>
      </c>
      <c r="DI208" s="228">
        <v>32.44</v>
      </c>
      <c r="DJ208" s="228">
        <v>28.29</v>
      </c>
      <c r="DK208" s="228">
        <v>4.1500000000000004</v>
      </c>
      <c r="DL208" s="228">
        <v>4.1500000000000004</v>
      </c>
      <c r="DM208" s="228">
        <v>34.53</v>
      </c>
      <c r="DN208" s="228">
        <v>31.22</v>
      </c>
      <c r="DO208" s="228">
        <v>3.31</v>
      </c>
      <c r="DP208" s="228">
        <v>3.31</v>
      </c>
      <c r="DQ208" s="228">
        <v>0.63</v>
      </c>
      <c r="DR208" s="228">
        <v>0.62</v>
      </c>
      <c r="DS208" s="228">
        <v>0.01</v>
      </c>
      <c r="DT208" s="229">
        <v>1.61E-2</v>
      </c>
      <c r="DU208" s="231">
        <v>11800</v>
      </c>
      <c r="DV208" s="231">
        <v>11800</v>
      </c>
      <c r="DW208" s="228">
        <v>0.32</v>
      </c>
      <c r="DX208" s="228">
        <v>0.47</v>
      </c>
      <c r="DY208" s="228">
        <v>-0.15</v>
      </c>
      <c r="DZ208" s="229">
        <v>-0.31909999999999999</v>
      </c>
      <c r="EA208" s="229">
        <v>0.19989999999999999</v>
      </c>
      <c r="EB208" s="230">
        <v>447400</v>
      </c>
      <c r="EC208" s="229">
        <v>5.7000000000000002E-3</v>
      </c>
      <c r="ED208" s="229">
        <v>0.19989999999999999</v>
      </c>
      <c r="EE208" s="228">
        <v>40.24</v>
      </c>
      <c r="EF208" s="229">
        <v>3.3999999999999998E-3</v>
      </c>
      <c r="EG208" s="230">
        <v>204173</v>
      </c>
      <c r="EH208" s="230">
        <v>93359</v>
      </c>
      <c r="EI208" s="229">
        <v>1.1870000000000001</v>
      </c>
      <c r="EJ208" s="229">
        <v>0.58530000000000004</v>
      </c>
      <c r="EK208" s="231">
        <v>1349.49</v>
      </c>
      <c r="EL208" s="228">
        <v>413.76</v>
      </c>
      <c r="EM208" s="228">
        <v>427.73</v>
      </c>
      <c r="EN208" s="228">
        <v>58.96</v>
      </c>
      <c r="EO208" s="231">
        <v>2190.9699999999998</v>
      </c>
      <c r="EP208" s="231">
        <v>1954.86</v>
      </c>
      <c r="EQ208" s="228">
        <v>236.11</v>
      </c>
      <c r="ER208" s="229">
        <v>0.1208</v>
      </c>
      <c r="ES208" s="228">
        <v>856.71</v>
      </c>
      <c r="ET208" s="228">
        <v>489.36</v>
      </c>
      <c r="EU208" s="231">
        <v>2899.98</v>
      </c>
      <c r="EV208" s="231">
        <v>12994504</v>
      </c>
      <c r="EW208" s="231">
        <v>4246.05</v>
      </c>
      <c r="EX208" s="231">
        <v>4164.96</v>
      </c>
      <c r="EY208" s="228">
        <v>81.09</v>
      </c>
      <c r="EZ208" s="229">
        <v>1.95E-2</v>
      </c>
      <c r="FA208" s="229">
        <v>0.27679999999999999</v>
      </c>
      <c r="FB208" s="227" t="s">
        <v>555</v>
      </c>
      <c r="FC208">
        <f t="shared" si="4"/>
        <v>0</v>
      </c>
    </row>
    <row r="209" spans="1:159" ht="17.25" thickBot="1" x14ac:dyDescent="0.3">
      <c r="A209" s="226">
        <v>46132</v>
      </c>
      <c r="B209" s="227" t="s">
        <v>172</v>
      </c>
      <c r="C209" s="227" t="s">
        <v>592</v>
      </c>
      <c r="D209" s="228">
        <v>4425</v>
      </c>
      <c r="E209" s="228">
        <v>8</v>
      </c>
      <c r="F209" s="228">
        <v>189.55</v>
      </c>
      <c r="G209" s="228">
        <v>188.51</v>
      </c>
      <c r="H209" s="228">
        <v>1.04</v>
      </c>
      <c r="I209" s="229">
        <v>5.4999999999999997E-3</v>
      </c>
      <c r="J209" s="228">
        <v>189.29</v>
      </c>
      <c r="K209" s="228">
        <v>188.91</v>
      </c>
      <c r="L209" s="228">
        <v>0.38</v>
      </c>
      <c r="M209" s="229">
        <v>2E-3</v>
      </c>
      <c r="N209" s="228">
        <v>189.55</v>
      </c>
      <c r="O209" s="228">
        <v>188.51</v>
      </c>
      <c r="P209" s="228">
        <v>1.04</v>
      </c>
      <c r="Q209" s="229">
        <v>5.4999999999999997E-3</v>
      </c>
      <c r="R209" s="228">
        <v>188.02</v>
      </c>
      <c r="S209" s="228">
        <v>187.05</v>
      </c>
      <c r="T209" s="228">
        <v>0.97</v>
      </c>
      <c r="U209" s="229">
        <v>5.1999999999999998E-3</v>
      </c>
      <c r="V209" s="228">
        <v>187.23</v>
      </c>
      <c r="W209" s="228">
        <v>185.81</v>
      </c>
      <c r="X209" s="228">
        <v>1.42</v>
      </c>
      <c r="Y209" s="229">
        <v>7.6E-3</v>
      </c>
      <c r="Z209" s="228">
        <v>0.26</v>
      </c>
      <c r="AA209" s="228">
        <v>-0.4</v>
      </c>
      <c r="AB209" s="228">
        <v>0.66</v>
      </c>
      <c r="AC209" s="229">
        <v>1.4E-3</v>
      </c>
      <c r="AD209" s="228">
        <v>0.26</v>
      </c>
      <c r="AE209" s="228">
        <v>-0.4</v>
      </c>
      <c r="AF209" s="228">
        <v>0.66</v>
      </c>
      <c r="AG209" s="229">
        <v>1.4E-3</v>
      </c>
      <c r="AH209" s="228">
        <v>-1.27</v>
      </c>
      <c r="AI209" s="228">
        <v>-1.86</v>
      </c>
      <c r="AJ209" s="228">
        <v>0.59</v>
      </c>
      <c r="AK209" s="229">
        <v>-6.7000000000000002E-3</v>
      </c>
      <c r="AL209" s="228">
        <v>-2.06</v>
      </c>
      <c r="AM209" s="228">
        <v>-3.1</v>
      </c>
      <c r="AN209" s="228">
        <v>1.04</v>
      </c>
      <c r="AO209" s="229">
        <v>-1.09E-2</v>
      </c>
      <c r="AP209" s="228">
        <v>190.2</v>
      </c>
      <c r="AQ209" s="228">
        <v>189.06</v>
      </c>
      <c r="AR209" s="228">
        <v>0</v>
      </c>
      <c r="AS209" s="228">
        <v>560</v>
      </c>
      <c r="AT209" s="228">
        <v>331</v>
      </c>
      <c r="AU209" s="228">
        <v>229</v>
      </c>
      <c r="AV209" s="229">
        <v>0.69299999999999995</v>
      </c>
      <c r="AW209" s="228">
        <v>431</v>
      </c>
      <c r="AX209" s="228">
        <v>271</v>
      </c>
      <c r="AY209" s="228">
        <v>161</v>
      </c>
      <c r="AZ209" s="229">
        <v>0.59279999999999999</v>
      </c>
      <c r="BA209" s="228">
        <v>125</v>
      </c>
      <c r="BB209" s="228">
        <v>58</v>
      </c>
      <c r="BC209" s="228">
        <v>66</v>
      </c>
      <c r="BD209" s="229">
        <v>1.1349</v>
      </c>
      <c r="BE209" s="228">
        <v>4</v>
      </c>
      <c r="BF209" s="228">
        <v>2</v>
      </c>
      <c r="BG209" s="228">
        <v>2</v>
      </c>
      <c r="BH209" s="229">
        <v>1.5556000000000001</v>
      </c>
      <c r="BI209" s="230">
        <v>1141</v>
      </c>
      <c r="BJ209" s="228">
        <v>472</v>
      </c>
      <c r="BK209" s="228">
        <v>668</v>
      </c>
      <c r="BL209" s="229">
        <v>1.4152</v>
      </c>
      <c r="BM209" s="228">
        <v>478</v>
      </c>
      <c r="BN209" s="228">
        <v>266</v>
      </c>
      <c r="BO209" s="228">
        <v>212</v>
      </c>
      <c r="BP209" s="229">
        <v>0.79749999999999999</v>
      </c>
      <c r="BQ209" s="230">
        <v>2179</v>
      </c>
      <c r="BR209" s="230">
        <v>1069</v>
      </c>
      <c r="BS209" s="230">
        <v>1110</v>
      </c>
      <c r="BT209" s="229">
        <v>1.0381</v>
      </c>
      <c r="BU209" s="230">
        <v>14521934</v>
      </c>
      <c r="BV209" s="230">
        <v>9177554</v>
      </c>
      <c r="BW209" s="230">
        <v>5344380</v>
      </c>
      <c r="BX209" s="229">
        <v>0.58230000000000004</v>
      </c>
      <c r="BY209" s="230">
        <v>2172</v>
      </c>
      <c r="BZ209" s="230">
        <v>2173</v>
      </c>
      <c r="CA209" s="228">
        <v>-1</v>
      </c>
      <c r="CB209" s="229">
        <v>-5.0000000000000001E-4</v>
      </c>
      <c r="CC209" s="230">
        <v>1801</v>
      </c>
      <c r="CD209" s="230">
        <v>1839</v>
      </c>
      <c r="CE209" s="228">
        <v>-37</v>
      </c>
      <c r="CF209" s="229">
        <v>-2.0299999999999999E-2</v>
      </c>
      <c r="CG209" s="228">
        <v>355</v>
      </c>
      <c r="CH209" s="228">
        <v>318</v>
      </c>
      <c r="CI209" s="228">
        <v>37</v>
      </c>
      <c r="CJ209" s="229">
        <v>0.11559999999999999</v>
      </c>
      <c r="CK209" s="228">
        <v>16</v>
      </c>
      <c r="CL209" s="228">
        <v>17</v>
      </c>
      <c r="CM209" s="228">
        <v>0</v>
      </c>
      <c r="CN209" s="229">
        <v>-2.53E-2</v>
      </c>
      <c r="CO209" s="228">
        <v>689</v>
      </c>
      <c r="CP209" s="228">
        <v>683</v>
      </c>
      <c r="CQ209" s="228">
        <v>6</v>
      </c>
      <c r="CR209" s="229">
        <v>8.2000000000000007E-3</v>
      </c>
      <c r="CS209" s="228">
        <v>522</v>
      </c>
      <c r="CT209" s="228">
        <v>539</v>
      </c>
      <c r="CU209" s="228">
        <v>-16</v>
      </c>
      <c r="CV209" s="229">
        <v>-3.0499999999999999E-2</v>
      </c>
      <c r="CW209" s="230">
        <v>3383</v>
      </c>
      <c r="CX209" s="230">
        <v>3395</v>
      </c>
      <c r="CY209" s="228">
        <v>-12</v>
      </c>
      <c r="CZ209" s="229">
        <v>-3.5000000000000001E-3</v>
      </c>
      <c r="DA209" s="228">
        <v>41.69</v>
      </c>
      <c r="DB209" s="228">
        <v>38.69</v>
      </c>
      <c r="DC209" s="228">
        <v>3</v>
      </c>
      <c r="DD209" s="228">
        <v>3</v>
      </c>
      <c r="DE209" s="228">
        <v>43.99</v>
      </c>
      <c r="DF209" s="228">
        <v>44.1</v>
      </c>
      <c r="DG209" s="228">
        <v>-2.2999999999999998</v>
      </c>
      <c r="DH209" s="228">
        <v>-0.11</v>
      </c>
      <c r="DI209" s="228">
        <v>40.58</v>
      </c>
      <c r="DJ209" s="228">
        <v>37.85</v>
      </c>
      <c r="DK209" s="228">
        <v>2.73</v>
      </c>
      <c r="DL209" s="228">
        <v>2.73</v>
      </c>
      <c r="DM209" s="228">
        <v>44.35</v>
      </c>
      <c r="DN209" s="228">
        <v>40.19</v>
      </c>
      <c r="DO209" s="228">
        <v>4.16</v>
      </c>
      <c r="DP209" s="228">
        <v>4.16</v>
      </c>
      <c r="DQ209" s="228">
        <v>0.76</v>
      </c>
      <c r="DR209" s="228">
        <v>0.79</v>
      </c>
      <c r="DS209" s="228">
        <v>-0.03</v>
      </c>
      <c r="DT209" s="229">
        <v>-3.7999999999999999E-2</v>
      </c>
      <c r="DU209" s="228">
        <v>190</v>
      </c>
      <c r="DV209" s="228">
        <v>180</v>
      </c>
      <c r="DW209" s="228">
        <v>0.42</v>
      </c>
      <c r="DX209" s="228">
        <v>0.56000000000000005</v>
      </c>
      <c r="DY209" s="228">
        <v>-0.14000000000000001</v>
      </c>
      <c r="DZ209" s="229">
        <v>-0.25</v>
      </c>
      <c r="EA209" s="229">
        <v>0.17069999999999999</v>
      </c>
      <c r="EB209" s="230">
        <v>17646900</v>
      </c>
      <c r="EC209" s="229">
        <v>-8.0999999999999996E-3</v>
      </c>
      <c r="ED209" s="229">
        <v>0.17069999999999999</v>
      </c>
      <c r="EE209" s="228">
        <v>-1.1399999999999999</v>
      </c>
      <c r="EF209" s="229">
        <v>-6.0000000000000001E-3</v>
      </c>
      <c r="EG209" s="230">
        <v>4595514</v>
      </c>
      <c r="EH209" s="230">
        <v>3034548</v>
      </c>
      <c r="EI209" s="229">
        <v>0.51439999999999997</v>
      </c>
      <c r="EJ209" s="229">
        <v>0.3165</v>
      </c>
      <c r="EK209" s="231">
        <v>1193.79</v>
      </c>
      <c r="EL209" s="228">
        <v>467.82</v>
      </c>
      <c r="EM209" s="228">
        <v>561.17999999999995</v>
      </c>
      <c r="EN209" s="228">
        <v>52.4</v>
      </c>
      <c r="EO209" s="231">
        <v>2222.79</v>
      </c>
      <c r="EP209" s="231">
        <v>1074.72</v>
      </c>
      <c r="EQ209" s="231">
        <v>1148.07</v>
      </c>
      <c r="ER209" s="229">
        <v>1.0683</v>
      </c>
      <c r="ES209" s="228">
        <v>699.1</v>
      </c>
      <c r="ET209" s="228">
        <v>483.9</v>
      </c>
      <c r="EU209" s="231">
        <v>2169.2399999999998</v>
      </c>
      <c r="EV209" s="231">
        <v>289041713</v>
      </c>
      <c r="EW209" s="231">
        <v>3352.24</v>
      </c>
      <c r="EX209" s="231">
        <v>3346.1</v>
      </c>
      <c r="EY209" s="228">
        <v>6.14</v>
      </c>
      <c r="EZ209" s="229">
        <v>1.8E-3</v>
      </c>
      <c r="FA209" s="229">
        <v>0.61750000000000005</v>
      </c>
      <c r="FB209" s="227" t="s">
        <v>693</v>
      </c>
      <c r="FC209">
        <f t="shared" si="4"/>
        <v>0</v>
      </c>
    </row>
    <row r="210" spans="1:159" ht="17.25" thickBot="1" x14ac:dyDescent="0.3">
      <c r="A210" s="226">
        <v>46132</v>
      </c>
      <c r="B210" s="227" t="s">
        <v>168</v>
      </c>
      <c r="C210" s="227" t="s">
        <v>568</v>
      </c>
      <c r="D210" s="228">
        <v>400</v>
      </c>
      <c r="E210" s="228">
        <v>8</v>
      </c>
      <c r="F210" s="231">
        <v>1309.7</v>
      </c>
      <c r="G210" s="231">
        <v>1305.7</v>
      </c>
      <c r="H210" s="228">
        <v>4</v>
      </c>
      <c r="I210" s="229">
        <v>3.0999999999999999E-3</v>
      </c>
      <c r="J210" s="231">
        <v>1307.7</v>
      </c>
      <c r="K210" s="231">
        <v>1302.9000000000001</v>
      </c>
      <c r="L210" s="228">
        <v>4.8</v>
      </c>
      <c r="M210" s="229">
        <v>3.7000000000000002E-3</v>
      </c>
      <c r="N210" s="231">
        <v>1309.7</v>
      </c>
      <c r="O210" s="231">
        <v>1305.7</v>
      </c>
      <c r="P210" s="228">
        <v>4</v>
      </c>
      <c r="Q210" s="229">
        <v>3.0999999999999999E-3</v>
      </c>
      <c r="R210" s="231">
        <v>1316.2</v>
      </c>
      <c r="S210" s="231">
        <v>1313.2</v>
      </c>
      <c r="T210" s="228">
        <v>3</v>
      </c>
      <c r="U210" s="229">
        <v>2.3E-3</v>
      </c>
      <c r="V210" s="231">
        <v>1324.6</v>
      </c>
      <c r="W210" s="231">
        <v>1320.9</v>
      </c>
      <c r="X210" s="228">
        <v>3.7</v>
      </c>
      <c r="Y210" s="229">
        <v>2.8E-3</v>
      </c>
      <c r="Z210" s="228">
        <v>2</v>
      </c>
      <c r="AA210" s="228">
        <v>2.8</v>
      </c>
      <c r="AB210" s="228">
        <v>-0.8</v>
      </c>
      <c r="AC210" s="229">
        <v>1.5E-3</v>
      </c>
      <c r="AD210" s="228">
        <v>2</v>
      </c>
      <c r="AE210" s="228">
        <v>2.8</v>
      </c>
      <c r="AF210" s="228">
        <v>-0.8</v>
      </c>
      <c r="AG210" s="229">
        <v>1.5E-3</v>
      </c>
      <c r="AH210" s="228">
        <v>8.5</v>
      </c>
      <c r="AI210" s="228">
        <v>10.3</v>
      </c>
      <c r="AJ210" s="228">
        <v>-1.8</v>
      </c>
      <c r="AK210" s="229">
        <v>6.4999999999999997E-3</v>
      </c>
      <c r="AL210" s="228">
        <v>16.899999999999999</v>
      </c>
      <c r="AM210" s="228">
        <v>18</v>
      </c>
      <c r="AN210" s="228">
        <v>-1.1000000000000001</v>
      </c>
      <c r="AO210" s="229">
        <v>1.29E-2</v>
      </c>
      <c r="AP210" s="231">
        <v>1310.02</v>
      </c>
      <c r="AQ210" s="231">
        <v>1316.66</v>
      </c>
      <c r="AR210" s="228">
        <v>0</v>
      </c>
      <c r="AS210" s="228">
        <v>219</v>
      </c>
      <c r="AT210" s="228">
        <v>418</v>
      </c>
      <c r="AU210" s="228">
        <v>-200</v>
      </c>
      <c r="AV210" s="229">
        <v>-0.47749999999999998</v>
      </c>
      <c r="AW210" s="228">
        <v>170</v>
      </c>
      <c r="AX210" s="228">
        <v>357</v>
      </c>
      <c r="AY210" s="228">
        <v>-187</v>
      </c>
      <c r="AZ210" s="229">
        <v>-0.52400000000000002</v>
      </c>
      <c r="BA210" s="228">
        <v>47</v>
      </c>
      <c r="BB210" s="228">
        <v>57</v>
      </c>
      <c r="BC210" s="228">
        <v>-10</v>
      </c>
      <c r="BD210" s="229">
        <v>-0.17230000000000001</v>
      </c>
      <c r="BE210" s="228">
        <v>1</v>
      </c>
      <c r="BF210" s="228">
        <v>4</v>
      </c>
      <c r="BG210" s="228">
        <v>-3</v>
      </c>
      <c r="BH210" s="229">
        <v>-0.7</v>
      </c>
      <c r="BI210" s="230">
        <v>1081</v>
      </c>
      <c r="BJ210" s="230">
        <v>1971</v>
      </c>
      <c r="BK210" s="228">
        <v>-890</v>
      </c>
      <c r="BL210" s="229">
        <v>-0.4516</v>
      </c>
      <c r="BM210" s="228">
        <v>433</v>
      </c>
      <c r="BN210" s="228">
        <v>538</v>
      </c>
      <c r="BO210" s="228">
        <v>-105</v>
      </c>
      <c r="BP210" s="229">
        <v>-0.19589999999999999</v>
      </c>
      <c r="BQ210" s="230">
        <v>1732</v>
      </c>
      <c r="BR210" s="230">
        <v>2927</v>
      </c>
      <c r="BS210" s="230">
        <v>-1195</v>
      </c>
      <c r="BT210" s="229">
        <v>-0.4083</v>
      </c>
      <c r="BU210" s="230">
        <v>1467340</v>
      </c>
      <c r="BV210" s="230">
        <v>2994254</v>
      </c>
      <c r="BW210" s="230">
        <v>-1526914</v>
      </c>
      <c r="BX210" s="229">
        <v>-0.50990000000000002</v>
      </c>
      <c r="BY210" s="230">
        <v>1693</v>
      </c>
      <c r="BZ210" s="230">
        <v>1696</v>
      </c>
      <c r="CA210" s="228">
        <v>-3</v>
      </c>
      <c r="CB210" s="229">
        <v>-1.5E-3</v>
      </c>
      <c r="CC210" s="230">
        <v>1601</v>
      </c>
      <c r="CD210" s="230">
        <v>1621</v>
      </c>
      <c r="CE210" s="228">
        <v>-20</v>
      </c>
      <c r="CF210" s="229">
        <v>-1.23E-2</v>
      </c>
      <c r="CG210" s="228">
        <v>88</v>
      </c>
      <c r="CH210" s="228">
        <v>71</v>
      </c>
      <c r="CI210" s="228">
        <v>17</v>
      </c>
      <c r="CJ210" s="229">
        <v>0.24129999999999999</v>
      </c>
      <c r="CK210" s="228">
        <v>4</v>
      </c>
      <c r="CL210" s="228">
        <v>4</v>
      </c>
      <c r="CM210" s="228">
        <v>0</v>
      </c>
      <c r="CN210" s="229">
        <v>8.9700000000000002E-2</v>
      </c>
      <c r="CO210" s="228">
        <v>612</v>
      </c>
      <c r="CP210" s="228">
        <v>605</v>
      </c>
      <c r="CQ210" s="228">
        <v>7</v>
      </c>
      <c r="CR210" s="229">
        <v>1.1299999999999999E-2</v>
      </c>
      <c r="CS210" s="228">
        <v>423</v>
      </c>
      <c r="CT210" s="228">
        <v>396</v>
      </c>
      <c r="CU210" s="228">
        <v>27</v>
      </c>
      <c r="CV210" s="229">
        <v>6.7799999999999999E-2</v>
      </c>
      <c r="CW210" s="230">
        <v>2728</v>
      </c>
      <c r="CX210" s="230">
        <v>2697</v>
      </c>
      <c r="CY210" s="228">
        <v>31</v>
      </c>
      <c r="CZ210" s="229">
        <v>1.1599999999999999E-2</v>
      </c>
      <c r="DA210" s="228">
        <v>30.85</v>
      </c>
      <c r="DB210" s="228">
        <v>28.43</v>
      </c>
      <c r="DC210" s="228">
        <v>2.42</v>
      </c>
      <c r="DD210" s="228">
        <v>2.42</v>
      </c>
      <c r="DE210" s="228">
        <v>30</v>
      </c>
      <c r="DF210" s="228">
        <v>30.07</v>
      </c>
      <c r="DG210" s="228">
        <v>0.85</v>
      </c>
      <c r="DH210" s="228">
        <v>-7.0000000000000007E-2</v>
      </c>
      <c r="DI210" s="228">
        <v>30.7</v>
      </c>
      <c r="DJ210" s="228">
        <v>28.27</v>
      </c>
      <c r="DK210" s="228">
        <v>2.4300000000000002</v>
      </c>
      <c r="DL210" s="228">
        <v>2.4300000000000002</v>
      </c>
      <c r="DM210" s="228">
        <v>31.21</v>
      </c>
      <c r="DN210" s="228">
        <v>29.03</v>
      </c>
      <c r="DO210" s="228">
        <v>2.1800000000000002</v>
      </c>
      <c r="DP210" s="228">
        <v>2.1800000000000002</v>
      </c>
      <c r="DQ210" s="228">
        <v>0.69</v>
      </c>
      <c r="DR210" s="228">
        <v>0.65</v>
      </c>
      <c r="DS210" s="228">
        <v>0.04</v>
      </c>
      <c r="DT210" s="229">
        <v>6.1499999999999999E-2</v>
      </c>
      <c r="DU210" s="231">
        <v>1500</v>
      </c>
      <c r="DV210" s="231">
        <v>1300</v>
      </c>
      <c r="DW210" s="228">
        <v>0.4</v>
      </c>
      <c r="DX210" s="228">
        <v>0.27</v>
      </c>
      <c r="DY210" s="228">
        <v>0.13</v>
      </c>
      <c r="DZ210" s="229">
        <v>0.48149999999999998</v>
      </c>
      <c r="EA210" s="229">
        <v>5.45E-2</v>
      </c>
      <c r="EB210" s="230">
        <v>571600</v>
      </c>
      <c r="EC210" s="229">
        <v>5.0000000000000001E-3</v>
      </c>
      <c r="ED210" s="229">
        <v>5.45E-2</v>
      </c>
      <c r="EE210" s="228">
        <v>6.64</v>
      </c>
      <c r="EF210" s="229">
        <v>5.1000000000000004E-3</v>
      </c>
      <c r="EG210" s="230">
        <v>827159</v>
      </c>
      <c r="EH210" s="230">
        <v>1641825</v>
      </c>
      <c r="EI210" s="229">
        <v>-0.49619999999999997</v>
      </c>
      <c r="EJ210" s="229">
        <v>0.56369999999999998</v>
      </c>
      <c r="EK210" s="231">
        <v>1122.55</v>
      </c>
      <c r="EL210" s="228">
        <v>431.07</v>
      </c>
      <c r="EM210" s="228">
        <v>218.87</v>
      </c>
      <c r="EN210" s="228">
        <v>47.14</v>
      </c>
      <c r="EO210" s="231">
        <v>1772.49</v>
      </c>
      <c r="EP210" s="231">
        <v>2957.92</v>
      </c>
      <c r="EQ210" s="231">
        <v>-1185.43</v>
      </c>
      <c r="ER210" s="229">
        <v>-0.40079999999999999</v>
      </c>
      <c r="ES210" s="228">
        <v>628.91</v>
      </c>
      <c r="ET210" s="228">
        <v>412.53</v>
      </c>
      <c r="EU210" s="231">
        <v>1693.61</v>
      </c>
      <c r="EV210" s="231">
        <v>38847259</v>
      </c>
      <c r="EW210" s="231">
        <v>2735.06</v>
      </c>
      <c r="EX210" s="231">
        <v>2697.21</v>
      </c>
      <c r="EY210" s="228">
        <v>37.85</v>
      </c>
      <c r="EZ210" s="229">
        <v>1.4E-2</v>
      </c>
      <c r="FA210" s="229">
        <v>0.5363</v>
      </c>
      <c r="FB210" s="227" t="s">
        <v>693</v>
      </c>
      <c r="FC210">
        <f t="shared" si="4"/>
        <v>0</v>
      </c>
    </row>
    <row r="211" spans="1:159" ht="17.25" thickBot="1" x14ac:dyDescent="0.3">
      <c r="A211" s="226">
        <v>46132</v>
      </c>
      <c r="B211" s="227" t="s">
        <v>162</v>
      </c>
      <c r="C211" s="227" t="s">
        <v>672</v>
      </c>
      <c r="D211" s="228">
        <v>550</v>
      </c>
      <c r="E211" s="228">
        <v>8</v>
      </c>
      <c r="F211" s="231">
        <v>1127.5</v>
      </c>
      <c r="G211" s="231">
        <v>1098.0999999999999</v>
      </c>
      <c r="H211" s="228">
        <v>29.4</v>
      </c>
      <c r="I211" s="229">
        <v>2.6800000000000001E-2</v>
      </c>
      <c r="J211" s="231">
        <v>1129.4000000000001</v>
      </c>
      <c r="K211" s="231">
        <v>1097.8</v>
      </c>
      <c r="L211" s="228">
        <v>31.6</v>
      </c>
      <c r="M211" s="229">
        <v>2.8799999999999999E-2</v>
      </c>
      <c r="N211" s="231">
        <v>1127.5</v>
      </c>
      <c r="O211" s="231">
        <v>1098.0999999999999</v>
      </c>
      <c r="P211" s="228">
        <v>29.4</v>
      </c>
      <c r="Q211" s="229">
        <v>2.6800000000000001E-2</v>
      </c>
      <c r="R211" s="231">
        <v>1130</v>
      </c>
      <c r="S211" s="231">
        <v>1105</v>
      </c>
      <c r="T211" s="228">
        <v>25</v>
      </c>
      <c r="U211" s="229">
        <v>2.2599999999999999E-2</v>
      </c>
      <c r="V211" s="231">
        <v>1139.2</v>
      </c>
      <c r="W211" s="231">
        <v>1109</v>
      </c>
      <c r="X211" s="228">
        <v>30.2</v>
      </c>
      <c r="Y211" s="229">
        <v>2.7199999999999998E-2</v>
      </c>
      <c r="Z211" s="228">
        <v>-1.9</v>
      </c>
      <c r="AA211" s="228">
        <v>0.3</v>
      </c>
      <c r="AB211" s="228">
        <v>-2.2000000000000002</v>
      </c>
      <c r="AC211" s="229">
        <v>-1.6999999999999999E-3</v>
      </c>
      <c r="AD211" s="228">
        <v>-1.9</v>
      </c>
      <c r="AE211" s="228">
        <v>0.3</v>
      </c>
      <c r="AF211" s="228">
        <v>-2.2000000000000002</v>
      </c>
      <c r="AG211" s="229">
        <v>-1.6999999999999999E-3</v>
      </c>
      <c r="AH211" s="228">
        <v>0.6</v>
      </c>
      <c r="AI211" s="228">
        <v>7.2</v>
      </c>
      <c r="AJ211" s="228">
        <v>-6.6</v>
      </c>
      <c r="AK211" s="229">
        <v>5.0000000000000001E-4</v>
      </c>
      <c r="AL211" s="228">
        <v>9.8000000000000007</v>
      </c>
      <c r="AM211" s="228">
        <v>11.2</v>
      </c>
      <c r="AN211" s="228">
        <v>-1.4</v>
      </c>
      <c r="AO211" s="229">
        <v>8.6999999999999994E-3</v>
      </c>
      <c r="AP211" s="231">
        <v>1118.6500000000001</v>
      </c>
      <c r="AQ211" s="231">
        <v>1124.49</v>
      </c>
      <c r="AR211" s="228">
        <v>0</v>
      </c>
      <c r="AS211" s="228">
        <v>160</v>
      </c>
      <c r="AT211" s="228">
        <v>53</v>
      </c>
      <c r="AU211" s="228">
        <v>107</v>
      </c>
      <c r="AV211" s="229">
        <v>2.0425</v>
      </c>
      <c r="AW211" s="228">
        <v>145</v>
      </c>
      <c r="AX211" s="228">
        <v>45</v>
      </c>
      <c r="AY211" s="228">
        <v>100</v>
      </c>
      <c r="AZ211" s="229">
        <v>2.2160000000000002</v>
      </c>
      <c r="BA211" s="228">
        <v>14</v>
      </c>
      <c r="BB211" s="228">
        <v>7</v>
      </c>
      <c r="BC211" s="228">
        <v>7</v>
      </c>
      <c r="BD211" s="229">
        <v>0.99119999999999997</v>
      </c>
      <c r="BE211" s="228">
        <v>1</v>
      </c>
      <c r="BF211" s="228">
        <v>0</v>
      </c>
      <c r="BG211" s="228">
        <v>0</v>
      </c>
      <c r="BH211" s="229">
        <v>1</v>
      </c>
      <c r="BI211" s="228">
        <v>670</v>
      </c>
      <c r="BJ211" s="228">
        <v>145</v>
      </c>
      <c r="BK211" s="228">
        <v>525</v>
      </c>
      <c r="BL211" s="229">
        <v>3.6322000000000001</v>
      </c>
      <c r="BM211" s="228">
        <v>103</v>
      </c>
      <c r="BN211" s="228">
        <v>32</v>
      </c>
      <c r="BO211" s="228">
        <v>71</v>
      </c>
      <c r="BP211" s="229">
        <v>2.1981000000000002</v>
      </c>
      <c r="BQ211" s="228">
        <v>933</v>
      </c>
      <c r="BR211" s="228">
        <v>229</v>
      </c>
      <c r="BS211" s="228">
        <v>704</v>
      </c>
      <c r="BT211" s="229">
        <v>3.0668000000000002</v>
      </c>
      <c r="BU211" s="230">
        <v>2024801</v>
      </c>
      <c r="BV211" s="230">
        <v>1036271</v>
      </c>
      <c r="BW211" s="230">
        <v>988530</v>
      </c>
      <c r="BX211" s="229">
        <v>0.95389999999999997</v>
      </c>
      <c r="BY211" s="228">
        <v>521</v>
      </c>
      <c r="BZ211" s="228">
        <v>522</v>
      </c>
      <c r="CA211" s="228">
        <v>-1</v>
      </c>
      <c r="CB211" s="229">
        <v>-2.5999999999999999E-3</v>
      </c>
      <c r="CC211" s="228">
        <v>509</v>
      </c>
      <c r="CD211" s="228">
        <v>512</v>
      </c>
      <c r="CE211" s="228">
        <v>-3</v>
      </c>
      <c r="CF211" s="229">
        <v>-6.4999999999999997E-3</v>
      </c>
      <c r="CG211" s="228">
        <v>11</v>
      </c>
      <c r="CH211" s="228">
        <v>9</v>
      </c>
      <c r="CI211" s="228">
        <v>2</v>
      </c>
      <c r="CJ211" s="229">
        <v>0.21049999999999999</v>
      </c>
      <c r="CK211" s="228">
        <v>1</v>
      </c>
      <c r="CL211" s="228">
        <v>1</v>
      </c>
      <c r="CM211" s="228">
        <v>0</v>
      </c>
      <c r="CN211" s="229">
        <v>0</v>
      </c>
      <c r="CO211" s="228">
        <v>208</v>
      </c>
      <c r="CP211" s="228">
        <v>199</v>
      </c>
      <c r="CQ211" s="228">
        <v>9</v>
      </c>
      <c r="CR211" s="229">
        <v>4.6699999999999998E-2</v>
      </c>
      <c r="CS211" s="228">
        <v>86</v>
      </c>
      <c r="CT211" s="228">
        <v>81</v>
      </c>
      <c r="CU211" s="228">
        <v>6</v>
      </c>
      <c r="CV211" s="229">
        <v>6.83E-2</v>
      </c>
      <c r="CW211" s="228">
        <v>816</v>
      </c>
      <c r="CX211" s="228">
        <v>802</v>
      </c>
      <c r="CY211" s="228">
        <v>13</v>
      </c>
      <c r="CZ211" s="229">
        <v>1.6799999999999999E-2</v>
      </c>
      <c r="DA211" s="228">
        <v>40.28</v>
      </c>
      <c r="DB211" s="228">
        <v>36.51</v>
      </c>
      <c r="DC211" s="228">
        <v>3.77</v>
      </c>
      <c r="DD211" s="228">
        <v>3.77</v>
      </c>
      <c r="DE211" s="228">
        <v>43</v>
      </c>
      <c r="DF211" s="228">
        <v>42.96</v>
      </c>
      <c r="DG211" s="228">
        <v>-2.72</v>
      </c>
      <c r="DH211" s="228">
        <v>0.04</v>
      </c>
      <c r="DI211" s="228">
        <v>39.67</v>
      </c>
      <c r="DJ211" s="228">
        <v>35.64</v>
      </c>
      <c r="DK211" s="228">
        <v>4.03</v>
      </c>
      <c r="DL211" s="228">
        <v>4.03</v>
      </c>
      <c r="DM211" s="228">
        <v>44.24</v>
      </c>
      <c r="DN211" s="228">
        <v>40.42</v>
      </c>
      <c r="DO211" s="228">
        <v>3.82</v>
      </c>
      <c r="DP211" s="228">
        <v>3.82</v>
      </c>
      <c r="DQ211" s="228">
        <v>0.41</v>
      </c>
      <c r="DR211" s="228">
        <v>0.41</v>
      </c>
      <c r="DS211" s="228">
        <v>0</v>
      </c>
      <c r="DT211" s="229">
        <v>0</v>
      </c>
      <c r="DU211" s="231">
        <v>1200</v>
      </c>
      <c r="DV211" s="231">
        <v>1100</v>
      </c>
      <c r="DW211" s="228">
        <v>0.15</v>
      </c>
      <c r="DX211" s="228">
        <v>0.22</v>
      </c>
      <c r="DY211" s="228">
        <v>-7.0000000000000007E-2</v>
      </c>
      <c r="DZ211" s="229">
        <v>-0.31819999999999998</v>
      </c>
      <c r="EA211" s="229">
        <v>2.4199999999999999E-2</v>
      </c>
      <c r="EB211" s="230">
        <v>94050</v>
      </c>
      <c r="EC211" s="229">
        <v>2.2000000000000001E-3</v>
      </c>
      <c r="ED211" s="229">
        <v>2.4199999999999999E-2</v>
      </c>
      <c r="EE211" s="228">
        <v>5.84</v>
      </c>
      <c r="EF211" s="229">
        <v>5.1999999999999998E-3</v>
      </c>
      <c r="EG211" s="230">
        <v>1129670</v>
      </c>
      <c r="EH211" s="230">
        <v>506014</v>
      </c>
      <c r="EI211" s="229">
        <v>1.2324999999999999</v>
      </c>
      <c r="EJ211" s="229">
        <v>0.55789999999999995</v>
      </c>
      <c r="EK211" s="228">
        <v>701.2</v>
      </c>
      <c r="EL211" s="228">
        <v>97.55</v>
      </c>
      <c r="EM211" s="228">
        <v>158.63999999999999</v>
      </c>
      <c r="EN211" s="228">
        <v>12.51</v>
      </c>
      <c r="EO211" s="228">
        <v>957.39</v>
      </c>
      <c r="EP211" s="228">
        <v>231.34</v>
      </c>
      <c r="EQ211" s="228">
        <v>726.05</v>
      </c>
      <c r="ER211" s="229">
        <v>3.1383999999999999</v>
      </c>
      <c r="ES211" s="228">
        <v>216.36</v>
      </c>
      <c r="ET211" s="228">
        <v>80.62</v>
      </c>
      <c r="EU211" s="228">
        <v>521.13</v>
      </c>
      <c r="EV211" s="231">
        <v>27343613</v>
      </c>
      <c r="EW211" s="228">
        <v>818.11</v>
      </c>
      <c r="EX211" s="228">
        <v>790.62</v>
      </c>
      <c r="EY211" s="228">
        <v>27.49</v>
      </c>
      <c r="EZ211" s="229">
        <v>3.4799999999999998E-2</v>
      </c>
      <c r="FA211" s="229">
        <v>0.2646</v>
      </c>
      <c r="FB211" s="227" t="s">
        <v>693</v>
      </c>
      <c r="FC211">
        <f t="shared" si="4"/>
        <v>0</v>
      </c>
    </row>
    <row r="212" spans="1:159" ht="17.25" thickBot="1" x14ac:dyDescent="0.3">
      <c r="A212" s="226">
        <v>46132</v>
      </c>
      <c r="B212" s="227" t="s">
        <v>498</v>
      </c>
      <c r="C212" s="227" t="s">
        <v>303</v>
      </c>
      <c r="D212" s="228">
        <v>1355</v>
      </c>
      <c r="E212" s="228">
        <v>8</v>
      </c>
      <c r="F212" s="228">
        <v>657.75</v>
      </c>
      <c r="G212" s="228">
        <v>666.35</v>
      </c>
      <c r="H212" s="228">
        <v>-8.6</v>
      </c>
      <c r="I212" s="229">
        <v>-1.29E-2</v>
      </c>
      <c r="J212" s="228">
        <v>656.65</v>
      </c>
      <c r="K212" s="228">
        <v>664.7</v>
      </c>
      <c r="L212" s="228">
        <v>-8.0500000000000007</v>
      </c>
      <c r="M212" s="229">
        <v>-1.21E-2</v>
      </c>
      <c r="N212" s="228">
        <v>657.75</v>
      </c>
      <c r="O212" s="228">
        <v>666.35</v>
      </c>
      <c r="P212" s="228">
        <v>-8.6</v>
      </c>
      <c r="Q212" s="229">
        <v>-1.29E-2</v>
      </c>
      <c r="R212" s="228">
        <v>660.4</v>
      </c>
      <c r="S212" s="228">
        <v>670.3</v>
      </c>
      <c r="T212" s="228">
        <v>-9.9</v>
      </c>
      <c r="U212" s="229">
        <v>-1.4800000000000001E-2</v>
      </c>
      <c r="V212" s="228">
        <v>664.15</v>
      </c>
      <c r="W212" s="228">
        <v>673.5</v>
      </c>
      <c r="X212" s="228">
        <v>-9.35</v>
      </c>
      <c r="Y212" s="229">
        <v>-1.3899999999999999E-2</v>
      </c>
      <c r="Z212" s="228">
        <v>1.1000000000000001</v>
      </c>
      <c r="AA212" s="228">
        <v>1.65</v>
      </c>
      <c r="AB212" s="228">
        <v>-0.55000000000000004</v>
      </c>
      <c r="AC212" s="229">
        <v>1.6999999999999999E-3</v>
      </c>
      <c r="AD212" s="228">
        <v>1.1000000000000001</v>
      </c>
      <c r="AE212" s="228">
        <v>1.65</v>
      </c>
      <c r="AF212" s="228">
        <v>-0.55000000000000004</v>
      </c>
      <c r="AG212" s="229">
        <v>1.6999999999999999E-3</v>
      </c>
      <c r="AH212" s="228">
        <v>3.75</v>
      </c>
      <c r="AI212" s="228">
        <v>5.6</v>
      </c>
      <c r="AJ212" s="228">
        <v>-1.85</v>
      </c>
      <c r="AK212" s="229">
        <v>5.7000000000000002E-3</v>
      </c>
      <c r="AL212" s="228">
        <v>7.5</v>
      </c>
      <c r="AM212" s="228">
        <v>8.8000000000000007</v>
      </c>
      <c r="AN212" s="228">
        <v>-1.3</v>
      </c>
      <c r="AO212" s="229">
        <v>1.14E-2</v>
      </c>
      <c r="AP212" s="228">
        <v>663.96</v>
      </c>
      <c r="AQ212" s="228">
        <v>665.72</v>
      </c>
      <c r="AR212" s="228">
        <v>0</v>
      </c>
      <c r="AS212" s="228">
        <v>146</v>
      </c>
      <c r="AT212" s="228">
        <v>182</v>
      </c>
      <c r="AU212" s="228">
        <v>-36</v>
      </c>
      <c r="AV212" s="229">
        <v>-0.19689999999999999</v>
      </c>
      <c r="AW212" s="228">
        <v>110</v>
      </c>
      <c r="AX212" s="228">
        <v>163</v>
      </c>
      <c r="AY212" s="228">
        <v>-54</v>
      </c>
      <c r="AZ212" s="229">
        <v>-0.32900000000000001</v>
      </c>
      <c r="BA212" s="228">
        <v>35</v>
      </c>
      <c r="BB212" s="228">
        <v>17</v>
      </c>
      <c r="BC212" s="228">
        <v>18</v>
      </c>
      <c r="BD212" s="229">
        <v>1.0310999999999999</v>
      </c>
      <c r="BE212" s="228">
        <v>1</v>
      </c>
      <c r="BF212" s="228">
        <v>1</v>
      </c>
      <c r="BG212" s="228">
        <v>0</v>
      </c>
      <c r="BH212" s="229">
        <v>0.2727</v>
      </c>
      <c r="BI212" s="228">
        <v>350</v>
      </c>
      <c r="BJ212" s="228">
        <v>461</v>
      </c>
      <c r="BK212" s="228">
        <v>-111</v>
      </c>
      <c r="BL212" s="229">
        <v>-0.24</v>
      </c>
      <c r="BM212" s="228">
        <v>228</v>
      </c>
      <c r="BN212" s="228">
        <v>334</v>
      </c>
      <c r="BO212" s="228">
        <v>-106</v>
      </c>
      <c r="BP212" s="229">
        <v>-0.31759999999999999</v>
      </c>
      <c r="BQ212" s="228">
        <v>724</v>
      </c>
      <c r="BR212" s="228">
        <v>976</v>
      </c>
      <c r="BS212" s="228">
        <v>-252</v>
      </c>
      <c r="BT212" s="229">
        <v>-0.25850000000000001</v>
      </c>
      <c r="BU212" s="230">
        <v>1339799</v>
      </c>
      <c r="BV212" s="230">
        <v>1048154</v>
      </c>
      <c r="BW212" s="230">
        <v>291645</v>
      </c>
      <c r="BX212" s="229">
        <v>0.2782</v>
      </c>
      <c r="BY212" s="230">
        <v>1993</v>
      </c>
      <c r="BZ212" s="230">
        <v>1979</v>
      </c>
      <c r="CA212" s="228">
        <v>14</v>
      </c>
      <c r="CB212" s="229">
        <v>7.0000000000000001E-3</v>
      </c>
      <c r="CC212" s="230">
        <v>1921</v>
      </c>
      <c r="CD212" s="230">
        <v>1921</v>
      </c>
      <c r="CE212" s="228">
        <v>0</v>
      </c>
      <c r="CF212" s="229">
        <v>1E-4</v>
      </c>
      <c r="CG212" s="228">
        <v>68</v>
      </c>
      <c r="CH212" s="228">
        <v>55</v>
      </c>
      <c r="CI212" s="228">
        <v>13</v>
      </c>
      <c r="CJ212" s="229">
        <v>0.2407</v>
      </c>
      <c r="CK212" s="228">
        <v>4</v>
      </c>
      <c r="CL212" s="228">
        <v>3</v>
      </c>
      <c r="CM212" s="228">
        <v>0</v>
      </c>
      <c r="CN212" s="229">
        <v>0.1389</v>
      </c>
      <c r="CO212" s="228">
        <v>652</v>
      </c>
      <c r="CP212" s="228">
        <v>649</v>
      </c>
      <c r="CQ212" s="228">
        <v>3</v>
      </c>
      <c r="CR212" s="229">
        <v>4.7999999999999996E-3</v>
      </c>
      <c r="CS212" s="228">
        <v>488</v>
      </c>
      <c r="CT212" s="228">
        <v>484</v>
      </c>
      <c r="CU212" s="228">
        <v>3</v>
      </c>
      <c r="CV212" s="229">
        <v>7.1999999999999998E-3</v>
      </c>
      <c r="CW212" s="230">
        <v>3133</v>
      </c>
      <c r="CX212" s="230">
        <v>3112</v>
      </c>
      <c r="CY212" s="228">
        <v>20</v>
      </c>
      <c r="CZ212" s="229">
        <v>6.6E-3</v>
      </c>
      <c r="DA212" s="228">
        <v>35.35</v>
      </c>
      <c r="DB212" s="228">
        <v>31.9</v>
      </c>
      <c r="DC212" s="228">
        <v>3.45</v>
      </c>
      <c r="DD212" s="228">
        <v>3.45</v>
      </c>
      <c r="DE212" s="228">
        <v>41.89</v>
      </c>
      <c r="DF212" s="228">
        <v>41.96</v>
      </c>
      <c r="DG212" s="228">
        <v>-6.54</v>
      </c>
      <c r="DH212" s="228">
        <v>-7.0000000000000007E-2</v>
      </c>
      <c r="DI212" s="228">
        <v>33.700000000000003</v>
      </c>
      <c r="DJ212" s="228">
        <v>30.36</v>
      </c>
      <c r="DK212" s="228">
        <v>3.34</v>
      </c>
      <c r="DL212" s="228">
        <v>3.34</v>
      </c>
      <c r="DM212" s="228">
        <v>37.89</v>
      </c>
      <c r="DN212" s="228">
        <v>34.03</v>
      </c>
      <c r="DO212" s="228">
        <v>3.86</v>
      </c>
      <c r="DP212" s="228">
        <v>3.86</v>
      </c>
      <c r="DQ212" s="228">
        <v>0.75</v>
      </c>
      <c r="DR212" s="228">
        <v>0.75</v>
      </c>
      <c r="DS212" s="228">
        <v>0</v>
      </c>
      <c r="DT212" s="229">
        <v>0</v>
      </c>
      <c r="DU212" s="228">
        <v>700</v>
      </c>
      <c r="DV212" s="228">
        <v>600</v>
      </c>
      <c r="DW212" s="228">
        <v>0.65</v>
      </c>
      <c r="DX212" s="228">
        <v>0.72</v>
      </c>
      <c r="DY212" s="228">
        <v>-7.0000000000000007E-2</v>
      </c>
      <c r="DZ212" s="229">
        <v>-9.7199999999999995E-2</v>
      </c>
      <c r="EA212" s="229">
        <v>3.5999999999999997E-2</v>
      </c>
      <c r="EB212" s="230">
        <v>882105</v>
      </c>
      <c r="EC212" s="229">
        <v>4.0000000000000001E-3</v>
      </c>
      <c r="ED212" s="229">
        <v>3.5999999999999997E-2</v>
      </c>
      <c r="EE212" s="228">
        <v>1.76</v>
      </c>
      <c r="EF212" s="229">
        <v>2.7000000000000001E-3</v>
      </c>
      <c r="EG212" s="230">
        <v>707147</v>
      </c>
      <c r="EH212" s="230">
        <v>494352</v>
      </c>
      <c r="EI212" s="229">
        <v>0.43049999999999999</v>
      </c>
      <c r="EJ212" s="229">
        <v>0.52780000000000005</v>
      </c>
      <c r="EK212" s="228">
        <v>366.94</v>
      </c>
      <c r="EL212" s="228">
        <v>223.88</v>
      </c>
      <c r="EM212" s="228">
        <v>147.29</v>
      </c>
      <c r="EN212" s="228">
        <v>26.44</v>
      </c>
      <c r="EO212" s="228">
        <v>738.11</v>
      </c>
      <c r="EP212" s="228">
        <v>999.64</v>
      </c>
      <c r="EQ212" s="228">
        <v>-261.52999999999997</v>
      </c>
      <c r="ER212" s="229">
        <v>-0.2616</v>
      </c>
      <c r="ES212" s="228">
        <v>640.02</v>
      </c>
      <c r="ET212" s="228">
        <v>457.38</v>
      </c>
      <c r="EU212" s="231">
        <v>1993.06</v>
      </c>
      <c r="EV212" s="231">
        <v>84189026</v>
      </c>
      <c r="EW212" s="231">
        <v>3090.45</v>
      </c>
      <c r="EX212" s="231">
        <v>3096.07</v>
      </c>
      <c r="EY212" s="228">
        <v>-5.62</v>
      </c>
      <c r="EZ212" s="229">
        <v>-1.8E-3</v>
      </c>
      <c r="FA212" s="229">
        <v>0.56569999999999998</v>
      </c>
      <c r="FB212" s="227" t="s">
        <v>566</v>
      </c>
      <c r="FC212">
        <f t="shared" si="4"/>
        <v>0</v>
      </c>
    </row>
    <row r="213" spans="1:159" ht="17.25" thickBot="1" x14ac:dyDescent="0.3">
      <c r="A213" s="226">
        <v>46132</v>
      </c>
      <c r="B213" s="227" t="s">
        <v>168</v>
      </c>
      <c r="C213" s="227" t="s">
        <v>585</v>
      </c>
      <c r="D213" s="228">
        <v>1125</v>
      </c>
      <c r="E213" s="228">
        <v>8</v>
      </c>
      <c r="F213" s="228">
        <v>467.75</v>
      </c>
      <c r="G213" s="228">
        <v>473.65</v>
      </c>
      <c r="H213" s="228">
        <v>-5.9</v>
      </c>
      <c r="I213" s="229">
        <v>-1.2500000000000001E-2</v>
      </c>
      <c r="J213" s="228">
        <v>466.55</v>
      </c>
      <c r="K213" s="228">
        <v>473.9</v>
      </c>
      <c r="L213" s="228">
        <v>-7.35</v>
      </c>
      <c r="M213" s="229">
        <v>-1.55E-2</v>
      </c>
      <c r="N213" s="228">
        <v>467.75</v>
      </c>
      <c r="O213" s="228">
        <v>473.65</v>
      </c>
      <c r="P213" s="228">
        <v>-5.9</v>
      </c>
      <c r="Q213" s="229">
        <v>-1.2500000000000001E-2</v>
      </c>
      <c r="R213" s="228">
        <v>469.5</v>
      </c>
      <c r="S213" s="228">
        <v>475.95</v>
      </c>
      <c r="T213" s="228">
        <v>-6.45</v>
      </c>
      <c r="U213" s="229">
        <v>-1.3599999999999999E-2</v>
      </c>
      <c r="V213" s="228">
        <v>472.1</v>
      </c>
      <c r="W213" s="228">
        <v>478.65</v>
      </c>
      <c r="X213" s="228">
        <v>-6.55</v>
      </c>
      <c r="Y213" s="229">
        <v>-1.37E-2</v>
      </c>
      <c r="Z213" s="228">
        <v>1.2</v>
      </c>
      <c r="AA213" s="228">
        <v>-0.25</v>
      </c>
      <c r="AB213" s="228">
        <v>1.45</v>
      </c>
      <c r="AC213" s="229">
        <v>2.5999999999999999E-3</v>
      </c>
      <c r="AD213" s="228">
        <v>1.2</v>
      </c>
      <c r="AE213" s="228">
        <v>-0.25</v>
      </c>
      <c r="AF213" s="228">
        <v>1.45</v>
      </c>
      <c r="AG213" s="229">
        <v>2.5999999999999999E-3</v>
      </c>
      <c r="AH213" s="228">
        <v>2.95</v>
      </c>
      <c r="AI213" s="228">
        <v>2.0499999999999998</v>
      </c>
      <c r="AJ213" s="228">
        <v>0.9</v>
      </c>
      <c r="AK213" s="229">
        <v>6.3E-3</v>
      </c>
      <c r="AL213" s="228">
        <v>5.55</v>
      </c>
      <c r="AM213" s="228">
        <v>4.75</v>
      </c>
      <c r="AN213" s="228">
        <v>0.8</v>
      </c>
      <c r="AO213" s="229">
        <v>1.1900000000000001E-2</v>
      </c>
      <c r="AP213" s="228">
        <v>471.08</v>
      </c>
      <c r="AQ213" s="228">
        <v>473.59</v>
      </c>
      <c r="AR213" s="228">
        <v>0</v>
      </c>
      <c r="AS213" s="228">
        <v>355</v>
      </c>
      <c r="AT213" s="228">
        <v>716</v>
      </c>
      <c r="AU213" s="228">
        <v>-361</v>
      </c>
      <c r="AV213" s="229">
        <v>-0.504</v>
      </c>
      <c r="AW213" s="228">
        <v>288</v>
      </c>
      <c r="AX213" s="228">
        <v>647</v>
      </c>
      <c r="AY213" s="228">
        <v>-359</v>
      </c>
      <c r="AZ213" s="229">
        <v>-0.55449999999999999</v>
      </c>
      <c r="BA213" s="228">
        <v>62</v>
      </c>
      <c r="BB213" s="228">
        <v>60</v>
      </c>
      <c r="BC213" s="228">
        <v>2</v>
      </c>
      <c r="BD213" s="229">
        <v>3.1600000000000003E-2</v>
      </c>
      <c r="BE213" s="228">
        <v>5</v>
      </c>
      <c r="BF213" s="228">
        <v>8</v>
      </c>
      <c r="BG213" s="228">
        <v>-4</v>
      </c>
      <c r="BH213" s="229">
        <v>-0.44230000000000003</v>
      </c>
      <c r="BI213" s="228">
        <v>675</v>
      </c>
      <c r="BJ213" s="230">
        <v>1605</v>
      </c>
      <c r="BK213" s="228">
        <v>-930</v>
      </c>
      <c r="BL213" s="229">
        <v>-0.57920000000000005</v>
      </c>
      <c r="BM213" s="228">
        <v>336</v>
      </c>
      <c r="BN213" s="228">
        <v>721</v>
      </c>
      <c r="BO213" s="228">
        <v>-385</v>
      </c>
      <c r="BP213" s="229">
        <v>-0.53380000000000005</v>
      </c>
      <c r="BQ213" s="230">
        <v>1367</v>
      </c>
      <c r="BR213" s="230">
        <v>3042</v>
      </c>
      <c r="BS213" s="230">
        <v>-1675</v>
      </c>
      <c r="BT213" s="229">
        <v>-0.55069999999999997</v>
      </c>
      <c r="BU213" s="230">
        <v>6347920</v>
      </c>
      <c r="BV213" s="230">
        <v>13589729</v>
      </c>
      <c r="BW213" s="230">
        <v>-7241809</v>
      </c>
      <c r="BX213" s="229">
        <v>-0.53290000000000004</v>
      </c>
      <c r="BY213" s="230">
        <v>2303</v>
      </c>
      <c r="BZ213" s="230">
        <v>2227</v>
      </c>
      <c r="CA213" s="228">
        <v>75</v>
      </c>
      <c r="CB213" s="229">
        <v>3.3799999999999997E-2</v>
      </c>
      <c r="CC213" s="230">
        <v>2188</v>
      </c>
      <c r="CD213" s="230">
        <v>2134</v>
      </c>
      <c r="CE213" s="228">
        <v>54</v>
      </c>
      <c r="CF213" s="229">
        <v>2.53E-2</v>
      </c>
      <c r="CG213" s="228">
        <v>105</v>
      </c>
      <c r="CH213" s="228">
        <v>84</v>
      </c>
      <c r="CI213" s="228">
        <v>21</v>
      </c>
      <c r="CJ213" s="229">
        <v>0.24610000000000001</v>
      </c>
      <c r="CK213" s="228">
        <v>9</v>
      </c>
      <c r="CL213" s="228">
        <v>9</v>
      </c>
      <c r="CM213" s="228">
        <v>0</v>
      </c>
      <c r="CN213" s="229">
        <v>4.7100000000000003E-2</v>
      </c>
      <c r="CO213" s="228">
        <v>851</v>
      </c>
      <c r="CP213" s="228">
        <v>762</v>
      </c>
      <c r="CQ213" s="228">
        <v>89</v>
      </c>
      <c r="CR213" s="229">
        <v>0.1163</v>
      </c>
      <c r="CS213" s="228">
        <v>496</v>
      </c>
      <c r="CT213" s="228">
        <v>472</v>
      </c>
      <c r="CU213" s="228">
        <v>24</v>
      </c>
      <c r="CV213" s="229">
        <v>5.11E-2</v>
      </c>
      <c r="CW213" s="230">
        <v>3650</v>
      </c>
      <c r="CX213" s="230">
        <v>3462</v>
      </c>
      <c r="CY213" s="228">
        <v>188</v>
      </c>
      <c r="CZ213" s="229">
        <v>5.4300000000000001E-2</v>
      </c>
      <c r="DA213" s="228">
        <v>41.13</v>
      </c>
      <c r="DB213" s="228">
        <v>36.979999999999997</v>
      </c>
      <c r="DC213" s="228">
        <v>4.1500000000000004</v>
      </c>
      <c r="DD213" s="228">
        <v>4.1500000000000004</v>
      </c>
      <c r="DE213" s="228">
        <v>38.29</v>
      </c>
      <c r="DF213" s="228">
        <v>38.33</v>
      </c>
      <c r="DG213" s="228">
        <v>2.84</v>
      </c>
      <c r="DH213" s="228">
        <v>-0.04</v>
      </c>
      <c r="DI213" s="228">
        <v>42.05</v>
      </c>
      <c r="DJ213" s="228">
        <v>36.880000000000003</v>
      </c>
      <c r="DK213" s="228">
        <v>5.17</v>
      </c>
      <c r="DL213" s="228">
        <v>5.17</v>
      </c>
      <c r="DM213" s="228">
        <v>39.28</v>
      </c>
      <c r="DN213" s="228">
        <v>37.19</v>
      </c>
      <c r="DO213" s="228">
        <v>2.09</v>
      </c>
      <c r="DP213" s="228">
        <v>2.09</v>
      </c>
      <c r="DQ213" s="228">
        <v>0.57999999999999996</v>
      </c>
      <c r="DR213" s="228">
        <v>0.62</v>
      </c>
      <c r="DS213" s="228">
        <v>-0.04</v>
      </c>
      <c r="DT213" s="229">
        <v>-6.4500000000000002E-2</v>
      </c>
      <c r="DU213" s="228">
        <v>500</v>
      </c>
      <c r="DV213" s="228">
        <v>420</v>
      </c>
      <c r="DW213" s="228">
        <v>0.5</v>
      </c>
      <c r="DX213" s="228">
        <v>0.45</v>
      </c>
      <c r="DY213" s="228">
        <v>0.05</v>
      </c>
      <c r="DZ213" s="229">
        <v>0.1111</v>
      </c>
      <c r="EA213" s="229">
        <v>4.9700000000000001E-2</v>
      </c>
      <c r="EB213" s="230">
        <v>1992375</v>
      </c>
      <c r="EC213" s="229">
        <v>3.7000000000000002E-3</v>
      </c>
      <c r="ED213" s="229">
        <v>4.9700000000000001E-2</v>
      </c>
      <c r="EE213" s="228">
        <v>2.5099999999999998</v>
      </c>
      <c r="EF213" s="229">
        <v>5.3E-3</v>
      </c>
      <c r="EG213" s="230">
        <v>3766257</v>
      </c>
      <c r="EH213" s="230">
        <v>7699696</v>
      </c>
      <c r="EI213" s="229">
        <v>-0.51090000000000002</v>
      </c>
      <c r="EJ213" s="229">
        <v>0.59330000000000005</v>
      </c>
      <c r="EK213" s="228">
        <v>712.01</v>
      </c>
      <c r="EL213" s="228">
        <v>332.18</v>
      </c>
      <c r="EM213" s="228">
        <v>357.85</v>
      </c>
      <c r="EN213" s="228">
        <v>98.59</v>
      </c>
      <c r="EO213" s="231">
        <v>1402.04</v>
      </c>
      <c r="EP213" s="231">
        <v>3107.66</v>
      </c>
      <c r="EQ213" s="231">
        <v>-1705.62</v>
      </c>
      <c r="ER213" s="229">
        <v>-0.54879999999999995</v>
      </c>
      <c r="ES213" s="228">
        <v>853.37</v>
      </c>
      <c r="ET213" s="228">
        <v>454.61</v>
      </c>
      <c r="EU213" s="231">
        <v>2303</v>
      </c>
      <c r="EV213" s="231">
        <v>205765243</v>
      </c>
      <c r="EW213" s="231">
        <v>3610.98</v>
      </c>
      <c r="EX213" s="231">
        <v>3442.93</v>
      </c>
      <c r="EY213" s="228">
        <v>168.05</v>
      </c>
      <c r="EZ213" s="229">
        <v>4.8800000000000003E-2</v>
      </c>
      <c r="FA213" s="229">
        <v>0.37919999999999998</v>
      </c>
      <c r="FB213" s="227" t="s">
        <v>566</v>
      </c>
      <c r="FC213">
        <f t="shared" si="4"/>
        <v>0</v>
      </c>
    </row>
    <row r="214" spans="1:159" ht="17.25" thickBot="1" x14ac:dyDescent="0.3">
      <c r="A214" s="226">
        <v>46132</v>
      </c>
      <c r="B214" s="227" t="s">
        <v>227</v>
      </c>
      <c r="C214" s="227" t="s">
        <v>304</v>
      </c>
      <c r="D214" s="228">
        <v>1150</v>
      </c>
      <c r="E214" s="228">
        <v>8</v>
      </c>
      <c r="F214" s="228">
        <v>772.45</v>
      </c>
      <c r="G214" s="228">
        <v>788.75</v>
      </c>
      <c r="H214" s="228">
        <v>-16.3</v>
      </c>
      <c r="I214" s="229">
        <v>-2.07E-2</v>
      </c>
      <c r="J214" s="228">
        <v>771</v>
      </c>
      <c r="K214" s="228">
        <v>787.5</v>
      </c>
      <c r="L214" s="228">
        <v>-16.5</v>
      </c>
      <c r="M214" s="229">
        <v>-2.1000000000000001E-2</v>
      </c>
      <c r="N214" s="228">
        <v>772.45</v>
      </c>
      <c r="O214" s="228">
        <v>788.75</v>
      </c>
      <c r="P214" s="228">
        <v>-16.3</v>
      </c>
      <c r="Q214" s="229">
        <v>-2.07E-2</v>
      </c>
      <c r="R214" s="228">
        <v>775.55</v>
      </c>
      <c r="S214" s="228">
        <v>791.8</v>
      </c>
      <c r="T214" s="228">
        <v>-16.25</v>
      </c>
      <c r="U214" s="229">
        <v>-2.0500000000000001E-2</v>
      </c>
      <c r="V214" s="228">
        <v>777.05</v>
      </c>
      <c r="W214" s="228">
        <v>792.05</v>
      </c>
      <c r="X214" s="228">
        <v>-15</v>
      </c>
      <c r="Y214" s="229">
        <v>-1.89E-2</v>
      </c>
      <c r="Z214" s="228">
        <v>1.45</v>
      </c>
      <c r="AA214" s="228">
        <v>1.25</v>
      </c>
      <c r="AB214" s="228">
        <v>0.2</v>
      </c>
      <c r="AC214" s="229">
        <v>1.9E-3</v>
      </c>
      <c r="AD214" s="228">
        <v>1.45</v>
      </c>
      <c r="AE214" s="228">
        <v>1.25</v>
      </c>
      <c r="AF214" s="228">
        <v>0.2</v>
      </c>
      <c r="AG214" s="229">
        <v>1.9E-3</v>
      </c>
      <c r="AH214" s="228">
        <v>4.55</v>
      </c>
      <c r="AI214" s="228">
        <v>4.3</v>
      </c>
      <c r="AJ214" s="228">
        <v>0.25</v>
      </c>
      <c r="AK214" s="229">
        <v>5.8999999999999999E-3</v>
      </c>
      <c r="AL214" s="228">
        <v>6.05</v>
      </c>
      <c r="AM214" s="228">
        <v>4.55</v>
      </c>
      <c r="AN214" s="228">
        <v>1.5</v>
      </c>
      <c r="AO214" s="229">
        <v>7.7999999999999996E-3</v>
      </c>
      <c r="AP214" s="228">
        <v>777.59</v>
      </c>
      <c r="AQ214" s="228">
        <v>779.94</v>
      </c>
      <c r="AR214" s="228">
        <v>0</v>
      </c>
      <c r="AS214" s="228">
        <v>747</v>
      </c>
      <c r="AT214" s="228">
        <v>862</v>
      </c>
      <c r="AU214" s="228">
        <v>-115</v>
      </c>
      <c r="AV214" s="229">
        <v>-0.1338</v>
      </c>
      <c r="AW214" s="228">
        <v>519</v>
      </c>
      <c r="AX214" s="228">
        <v>700</v>
      </c>
      <c r="AY214" s="228">
        <v>-181</v>
      </c>
      <c r="AZ214" s="229">
        <v>-0.2586</v>
      </c>
      <c r="BA214" s="228">
        <v>212</v>
      </c>
      <c r="BB214" s="228">
        <v>145</v>
      </c>
      <c r="BC214" s="228">
        <v>67</v>
      </c>
      <c r="BD214" s="229">
        <v>0.4617</v>
      </c>
      <c r="BE214" s="228">
        <v>16</v>
      </c>
      <c r="BF214" s="228">
        <v>17</v>
      </c>
      <c r="BG214" s="228">
        <v>-1</v>
      </c>
      <c r="BH214" s="229">
        <v>-7.4099999999999999E-2</v>
      </c>
      <c r="BI214" s="230">
        <v>2297</v>
      </c>
      <c r="BJ214" s="230">
        <v>3605</v>
      </c>
      <c r="BK214" s="230">
        <v>-1308</v>
      </c>
      <c r="BL214" s="229">
        <v>-0.3629</v>
      </c>
      <c r="BM214" s="230">
        <v>1663</v>
      </c>
      <c r="BN214" s="230">
        <v>2507</v>
      </c>
      <c r="BO214" s="228">
        <v>-844</v>
      </c>
      <c r="BP214" s="229">
        <v>-0.33679999999999999</v>
      </c>
      <c r="BQ214" s="230">
        <v>4707</v>
      </c>
      <c r="BR214" s="230">
        <v>6975</v>
      </c>
      <c r="BS214" s="230">
        <v>-2268</v>
      </c>
      <c r="BT214" s="229">
        <v>-0.32519999999999999</v>
      </c>
      <c r="BU214" s="230">
        <v>11324320</v>
      </c>
      <c r="BV214" s="230">
        <v>10545095</v>
      </c>
      <c r="BW214" s="230">
        <v>779225</v>
      </c>
      <c r="BX214" s="229">
        <v>7.3899999999999993E-2</v>
      </c>
      <c r="BY214" s="230">
        <v>4089</v>
      </c>
      <c r="BZ214" s="230">
        <v>4018</v>
      </c>
      <c r="CA214" s="228">
        <v>71</v>
      </c>
      <c r="CB214" s="229">
        <v>1.7600000000000001E-2</v>
      </c>
      <c r="CC214" s="230">
        <v>3709</v>
      </c>
      <c r="CD214" s="230">
        <v>3765</v>
      </c>
      <c r="CE214" s="228">
        <v>-56</v>
      </c>
      <c r="CF214" s="229">
        <v>-1.47E-2</v>
      </c>
      <c r="CG214" s="228">
        <v>351</v>
      </c>
      <c r="CH214" s="228">
        <v>230</v>
      </c>
      <c r="CI214" s="228">
        <v>121</v>
      </c>
      <c r="CJ214" s="229">
        <v>0.52690000000000003</v>
      </c>
      <c r="CK214" s="228">
        <v>29</v>
      </c>
      <c r="CL214" s="228">
        <v>24</v>
      </c>
      <c r="CM214" s="228">
        <v>5</v>
      </c>
      <c r="CN214" s="229">
        <v>0.2218</v>
      </c>
      <c r="CO214" s="230">
        <v>2609</v>
      </c>
      <c r="CP214" s="230">
        <v>2405</v>
      </c>
      <c r="CQ214" s="228">
        <v>204</v>
      </c>
      <c r="CR214" s="229">
        <v>8.48E-2</v>
      </c>
      <c r="CS214" s="230">
        <v>2336</v>
      </c>
      <c r="CT214" s="230">
        <v>2366</v>
      </c>
      <c r="CU214" s="228">
        <v>-30</v>
      </c>
      <c r="CV214" s="229">
        <v>-1.26E-2</v>
      </c>
      <c r="CW214" s="230">
        <v>9033</v>
      </c>
      <c r="CX214" s="230">
        <v>8788</v>
      </c>
      <c r="CY214" s="228">
        <v>245</v>
      </c>
      <c r="CZ214" s="229">
        <v>2.7900000000000001E-2</v>
      </c>
      <c r="DA214" s="228">
        <v>38.450000000000003</v>
      </c>
      <c r="DB214" s="228">
        <v>35.01</v>
      </c>
      <c r="DC214" s="228">
        <v>3.44</v>
      </c>
      <c r="DD214" s="228">
        <v>3.44</v>
      </c>
      <c r="DE214" s="228">
        <v>40.81</v>
      </c>
      <c r="DF214" s="228">
        <v>40.81</v>
      </c>
      <c r="DG214" s="228">
        <v>-2.36</v>
      </c>
      <c r="DH214" s="228">
        <v>0</v>
      </c>
      <c r="DI214" s="228">
        <v>37.96</v>
      </c>
      <c r="DJ214" s="228">
        <v>33.619999999999997</v>
      </c>
      <c r="DK214" s="228">
        <v>4.34</v>
      </c>
      <c r="DL214" s="228">
        <v>4.34</v>
      </c>
      <c r="DM214" s="228">
        <v>39.130000000000003</v>
      </c>
      <c r="DN214" s="228">
        <v>37.01</v>
      </c>
      <c r="DO214" s="228">
        <v>2.12</v>
      </c>
      <c r="DP214" s="228">
        <v>2.12</v>
      </c>
      <c r="DQ214" s="228">
        <v>0.9</v>
      </c>
      <c r="DR214" s="228">
        <v>0.98</v>
      </c>
      <c r="DS214" s="228">
        <v>-0.08</v>
      </c>
      <c r="DT214" s="229">
        <v>-8.1600000000000006E-2</v>
      </c>
      <c r="DU214" s="228">
        <v>800</v>
      </c>
      <c r="DV214" s="228">
        <v>700</v>
      </c>
      <c r="DW214" s="228">
        <v>0.72</v>
      </c>
      <c r="DX214" s="228">
        <v>0.7</v>
      </c>
      <c r="DY214" s="228">
        <v>0.02</v>
      </c>
      <c r="DZ214" s="229">
        <v>2.86E-2</v>
      </c>
      <c r="EA214" s="229">
        <v>9.2799999999999994E-2</v>
      </c>
      <c r="EB214" s="230">
        <v>3278650</v>
      </c>
      <c r="EC214" s="229">
        <v>4.0000000000000001E-3</v>
      </c>
      <c r="ED214" s="229">
        <v>9.2799999999999994E-2</v>
      </c>
      <c r="EE214" s="228">
        <v>2.35</v>
      </c>
      <c r="EF214" s="229">
        <v>3.0000000000000001E-3</v>
      </c>
      <c r="EG214" s="230">
        <v>5782546</v>
      </c>
      <c r="EH214" s="230">
        <v>4404559</v>
      </c>
      <c r="EI214" s="229">
        <v>0.31290000000000001</v>
      </c>
      <c r="EJ214" s="229">
        <v>0.51060000000000005</v>
      </c>
      <c r="EK214" s="231">
        <v>2414.7800000000002</v>
      </c>
      <c r="EL214" s="231">
        <v>1642</v>
      </c>
      <c r="EM214" s="228">
        <v>752.59</v>
      </c>
      <c r="EN214" s="228">
        <v>113.64</v>
      </c>
      <c r="EO214" s="231">
        <v>4809.37</v>
      </c>
      <c r="EP214" s="231">
        <v>7146.54</v>
      </c>
      <c r="EQ214" s="231">
        <v>-2337.17</v>
      </c>
      <c r="ER214" s="229">
        <v>-0.32700000000000001</v>
      </c>
      <c r="ES214" s="231">
        <v>2585.66</v>
      </c>
      <c r="ET214" s="231">
        <v>2134.46</v>
      </c>
      <c r="EU214" s="231">
        <v>4090.33</v>
      </c>
      <c r="EV214" s="231">
        <v>255495438</v>
      </c>
      <c r="EW214" s="231">
        <v>8810.4500000000007</v>
      </c>
      <c r="EX214" s="231">
        <v>8630.08</v>
      </c>
      <c r="EY214" s="228">
        <v>180.37</v>
      </c>
      <c r="EZ214" s="229">
        <v>2.0899999999999998E-2</v>
      </c>
      <c r="FA214" s="229">
        <v>0.4577</v>
      </c>
      <c r="FB214" s="227" t="s">
        <v>566</v>
      </c>
      <c r="FC214">
        <f t="shared" si="4"/>
        <v>0</v>
      </c>
    </row>
    <row r="215" spans="1:159" ht="17.25" thickBot="1" x14ac:dyDescent="0.3">
      <c r="A215" s="226">
        <v>46132</v>
      </c>
      <c r="B215" s="227" t="s">
        <v>614</v>
      </c>
      <c r="C215" s="227" t="s">
        <v>697</v>
      </c>
      <c r="D215" s="228">
        <v>4850</v>
      </c>
      <c r="E215" s="228">
        <v>8</v>
      </c>
      <c r="F215" s="228">
        <v>118.48</v>
      </c>
      <c r="G215" s="228">
        <v>118.85</v>
      </c>
      <c r="H215" s="228">
        <v>-0.37</v>
      </c>
      <c r="I215" s="229">
        <v>-3.0999999999999999E-3</v>
      </c>
      <c r="J215" s="228">
        <v>118.61</v>
      </c>
      <c r="K215" s="228">
        <v>118.95</v>
      </c>
      <c r="L215" s="228">
        <v>-0.34</v>
      </c>
      <c r="M215" s="229">
        <v>-2.8999999999999998E-3</v>
      </c>
      <c r="N215" s="228">
        <v>118.48</v>
      </c>
      <c r="O215" s="228">
        <v>118.85</v>
      </c>
      <c r="P215" s="228">
        <v>-0.37</v>
      </c>
      <c r="Q215" s="229">
        <v>-3.0999999999999999E-3</v>
      </c>
      <c r="R215" s="228">
        <v>118.75</v>
      </c>
      <c r="S215" s="228">
        <v>119.2</v>
      </c>
      <c r="T215" s="228">
        <v>-0.45</v>
      </c>
      <c r="U215" s="229">
        <v>-3.8E-3</v>
      </c>
      <c r="V215" s="228">
        <v>118.01</v>
      </c>
      <c r="W215" s="228">
        <v>118.72</v>
      </c>
      <c r="X215" s="228">
        <v>-0.71</v>
      </c>
      <c r="Y215" s="229">
        <v>-6.0000000000000001E-3</v>
      </c>
      <c r="Z215" s="228">
        <v>-0.13</v>
      </c>
      <c r="AA215" s="228">
        <v>-0.1</v>
      </c>
      <c r="AB215" s="228">
        <v>-0.03</v>
      </c>
      <c r="AC215" s="229">
        <v>-1.1000000000000001E-3</v>
      </c>
      <c r="AD215" s="228">
        <v>-0.13</v>
      </c>
      <c r="AE215" s="228">
        <v>-0.1</v>
      </c>
      <c r="AF215" s="228">
        <v>-0.03</v>
      </c>
      <c r="AG215" s="229">
        <v>-1.1000000000000001E-3</v>
      </c>
      <c r="AH215" s="228">
        <v>0.14000000000000001</v>
      </c>
      <c r="AI215" s="228">
        <v>0.25</v>
      </c>
      <c r="AJ215" s="228">
        <v>-0.11</v>
      </c>
      <c r="AK215" s="229">
        <v>1.1999999999999999E-3</v>
      </c>
      <c r="AL215" s="228">
        <v>-0.6</v>
      </c>
      <c r="AM215" s="228">
        <v>-0.23</v>
      </c>
      <c r="AN215" s="228">
        <v>-0.37</v>
      </c>
      <c r="AO215" s="229">
        <v>-5.1000000000000004E-3</v>
      </c>
      <c r="AP215" s="228">
        <v>118.47</v>
      </c>
      <c r="AQ215" s="228">
        <v>118.77</v>
      </c>
      <c r="AR215" s="228">
        <v>0</v>
      </c>
      <c r="AS215" s="228">
        <v>77</v>
      </c>
      <c r="AT215" s="228">
        <v>152</v>
      </c>
      <c r="AU215" s="228">
        <v>-75</v>
      </c>
      <c r="AV215" s="229">
        <v>-0.49530000000000002</v>
      </c>
      <c r="AW215" s="228">
        <v>68</v>
      </c>
      <c r="AX215" s="228">
        <v>144</v>
      </c>
      <c r="AY215" s="228">
        <v>-76</v>
      </c>
      <c r="AZ215" s="229">
        <v>-0.5262</v>
      </c>
      <c r="BA215" s="228">
        <v>9</v>
      </c>
      <c r="BB215" s="228">
        <v>8</v>
      </c>
      <c r="BC215" s="228">
        <v>0</v>
      </c>
      <c r="BD215" s="229">
        <v>4.9000000000000002E-2</v>
      </c>
      <c r="BE215" s="228">
        <v>0</v>
      </c>
      <c r="BF215" s="228">
        <v>0</v>
      </c>
      <c r="BG215" s="228">
        <v>0</v>
      </c>
      <c r="BH215" s="229">
        <v>-0.6</v>
      </c>
      <c r="BI215" s="228">
        <v>68</v>
      </c>
      <c r="BJ215" s="228">
        <v>152</v>
      </c>
      <c r="BK215" s="228">
        <v>-83</v>
      </c>
      <c r="BL215" s="229">
        <v>-0.55020000000000002</v>
      </c>
      <c r="BM215" s="228">
        <v>17</v>
      </c>
      <c r="BN215" s="228">
        <v>26</v>
      </c>
      <c r="BO215" s="228">
        <v>-10</v>
      </c>
      <c r="BP215" s="229">
        <v>-0.36980000000000002</v>
      </c>
      <c r="BQ215" s="228">
        <v>162</v>
      </c>
      <c r="BR215" s="228">
        <v>330</v>
      </c>
      <c r="BS215" s="228">
        <v>-168</v>
      </c>
      <c r="BT215" s="229">
        <v>-0.51049999999999995</v>
      </c>
      <c r="BU215" s="230">
        <v>11543591</v>
      </c>
      <c r="BV215" s="230">
        <v>30756989</v>
      </c>
      <c r="BW215" s="230">
        <v>-19213398</v>
      </c>
      <c r="BX215" s="229">
        <v>-0.62470000000000003</v>
      </c>
      <c r="BY215" s="228">
        <v>334</v>
      </c>
      <c r="BZ215" s="228">
        <v>327</v>
      </c>
      <c r="CA215" s="228">
        <v>7</v>
      </c>
      <c r="CB215" s="229">
        <v>2.0400000000000001E-2</v>
      </c>
      <c r="CC215" s="228">
        <v>322</v>
      </c>
      <c r="CD215" s="228">
        <v>317</v>
      </c>
      <c r="CE215" s="228">
        <v>6</v>
      </c>
      <c r="CF215" s="229">
        <v>1.7399999999999999E-2</v>
      </c>
      <c r="CG215" s="228">
        <v>10</v>
      </c>
      <c r="CH215" s="228">
        <v>9</v>
      </c>
      <c r="CI215" s="228">
        <v>1</v>
      </c>
      <c r="CJ215" s="229">
        <v>0.13420000000000001</v>
      </c>
      <c r="CK215" s="228">
        <v>2</v>
      </c>
      <c r="CL215" s="228">
        <v>2</v>
      </c>
      <c r="CM215" s="228">
        <v>0</v>
      </c>
      <c r="CN215" s="229">
        <v>0</v>
      </c>
      <c r="CO215" s="228">
        <v>90</v>
      </c>
      <c r="CP215" s="228">
        <v>77</v>
      </c>
      <c r="CQ215" s="228">
        <v>13</v>
      </c>
      <c r="CR215" s="229">
        <v>0.1658</v>
      </c>
      <c r="CS215" s="228">
        <v>48</v>
      </c>
      <c r="CT215" s="228">
        <v>47</v>
      </c>
      <c r="CU215" s="228">
        <v>1</v>
      </c>
      <c r="CV215" s="229">
        <v>1.7000000000000001E-2</v>
      </c>
      <c r="CW215" s="228">
        <v>472</v>
      </c>
      <c r="CX215" s="228">
        <v>452</v>
      </c>
      <c r="CY215" s="228">
        <v>20</v>
      </c>
      <c r="CZ215" s="229">
        <v>4.4900000000000002E-2</v>
      </c>
      <c r="DA215" s="228">
        <v>43.36</v>
      </c>
      <c r="DB215" s="228">
        <v>41.09</v>
      </c>
      <c r="DC215" s="228">
        <v>2.27</v>
      </c>
      <c r="DD215" s="228">
        <v>2.27</v>
      </c>
      <c r="DE215" s="228">
        <v>38.119999999999997</v>
      </c>
      <c r="DF215" s="228">
        <v>38.21</v>
      </c>
      <c r="DG215" s="228">
        <v>5.24</v>
      </c>
      <c r="DH215" s="228">
        <v>-0.09</v>
      </c>
      <c r="DI215" s="228">
        <v>42.98</v>
      </c>
      <c r="DJ215" s="228">
        <v>40.96</v>
      </c>
      <c r="DK215" s="228">
        <v>2.02</v>
      </c>
      <c r="DL215" s="228">
        <v>2.02</v>
      </c>
      <c r="DM215" s="228">
        <v>44.94</v>
      </c>
      <c r="DN215" s="228">
        <v>41.85</v>
      </c>
      <c r="DO215" s="228">
        <v>3.09</v>
      </c>
      <c r="DP215" s="228">
        <v>3.09</v>
      </c>
      <c r="DQ215" s="228">
        <v>0.53</v>
      </c>
      <c r="DR215" s="228">
        <v>0.61</v>
      </c>
      <c r="DS215" s="228">
        <v>-0.08</v>
      </c>
      <c r="DT215" s="229">
        <v>-0.13109999999999999</v>
      </c>
      <c r="DU215" s="228">
        <v>120</v>
      </c>
      <c r="DV215" s="228">
        <v>110</v>
      </c>
      <c r="DW215" s="228">
        <v>0.24</v>
      </c>
      <c r="DX215" s="228">
        <v>0.17</v>
      </c>
      <c r="DY215" s="228">
        <v>7.0000000000000007E-2</v>
      </c>
      <c r="DZ215" s="229">
        <v>0.4118</v>
      </c>
      <c r="EA215" s="229">
        <v>3.4099999999999998E-2</v>
      </c>
      <c r="EB215" s="230">
        <v>863300</v>
      </c>
      <c r="EC215" s="229">
        <v>2.3E-3</v>
      </c>
      <c r="ED215" s="229">
        <v>3.4099999999999998E-2</v>
      </c>
      <c r="EE215" s="228">
        <v>0.3</v>
      </c>
      <c r="EF215" s="229">
        <v>2.5000000000000001E-3</v>
      </c>
      <c r="EG215" s="230">
        <v>5890414</v>
      </c>
      <c r="EH215" s="230">
        <v>21281260</v>
      </c>
      <c r="EI215" s="229">
        <v>-0.72319999999999995</v>
      </c>
      <c r="EJ215" s="229">
        <v>0.51029999999999998</v>
      </c>
      <c r="EK215" s="228">
        <v>70.38</v>
      </c>
      <c r="EL215" s="228">
        <v>15.82</v>
      </c>
      <c r="EM215" s="228">
        <v>76.790000000000006</v>
      </c>
      <c r="EN215" s="228">
        <v>14.2</v>
      </c>
      <c r="EO215" s="228">
        <v>162.97999999999999</v>
      </c>
      <c r="EP215" s="228">
        <v>335.93</v>
      </c>
      <c r="EQ215" s="228">
        <v>-172.95</v>
      </c>
      <c r="ER215" s="229">
        <v>-0.51480000000000004</v>
      </c>
      <c r="ES215" s="228">
        <v>88.11</v>
      </c>
      <c r="ET215" s="228">
        <v>44.56</v>
      </c>
      <c r="EU215" s="228">
        <v>333.7</v>
      </c>
      <c r="EV215" s="231">
        <v>321828727</v>
      </c>
      <c r="EW215" s="228">
        <v>466.38</v>
      </c>
      <c r="EX215" s="228">
        <v>446.59</v>
      </c>
      <c r="EY215" s="228">
        <v>19.79</v>
      </c>
      <c r="EZ215" s="229">
        <v>4.4299999999999999E-2</v>
      </c>
      <c r="FA215" s="229">
        <v>0.12379999999999999</v>
      </c>
      <c r="FB215" s="227" t="s">
        <v>566</v>
      </c>
      <c r="FC215">
        <f t="shared" si="4"/>
        <v>0</v>
      </c>
    </row>
    <row r="216" spans="1:159" ht="17.25" thickBot="1" x14ac:dyDescent="0.3">
      <c r="A216" s="226">
        <v>46132</v>
      </c>
      <c r="B216" s="227" t="s">
        <v>184</v>
      </c>
      <c r="C216" s="227" t="s">
        <v>305</v>
      </c>
      <c r="D216" s="228">
        <v>375</v>
      </c>
      <c r="E216" s="228">
        <v>8</v>
      </c>
      <c r="F216" s="231">
        <v>1440.9</v>
      </c>
      <c r="G216" s="231">
        <v>1441.5</v>
      </c>
      <c r="H216" s="228">
        <v>-0.6</v>
      </c>
      <c r="I216" s="229">
        <v>-4.0000000000000002E-4</v>
      </c>
      <c r="J216" s="231">
        <v>1438</v>
      </c>
      <c r="K216" s="231">
        <v>1440.1</v>
      </c>
      <c r="L216" s="228">
        <v>-2.1</v>
      </c>
      <c r="M216" s="229">
        <v>-1.5E-3</v>
      </c>
      <c r="N216" s="231">
        <v>1440.9</v>
      </c>
      <c r="O216" s="231">
        <v>1441.5</v>
      </c>
      <c r="P216" s="228">
        <v>-0.6</v>
      </c>
      <c r="Q216" s="229">
        <v>-4.0000000000000002E-4</v>
      </c>
      <c r="R216" s="231">
        <v>1422.9</v>
      </c>
      <c r="S216" s="231">
        <v>1418.7</v>
      </c>
      <c r="T216" s="228">
        <v>4.2</v>
      </c>
      <c r="U216" s="229">
        <v>3.0000000000000001E-3</v>
      </c>
      <c r="V216" s="231">
        <v>1405.3</v>
      </c>
      <c r="W216" s="231">
        <v>1395.1</v>
      </c>
      <c r="X216" s="228">
        <v>10.199999999999999</v>
      </c>
      <c r="Y216" s="229">
        <v>7.3000000000000001E-3</v>
      </c>
      <c r="Z216" s="228">
        <v>2.9</v>
      </c>
      <c r="AA216" s="228">
        <v>1.4</v>
      </c>
      <c r="AB216" s="228">
        <v>1.5</v>
      </c>
      <c r="AC216" s="229">
        <v>2E-3</v>
      </c>
      <c r="AD216" s="228">
        <v>2.9</v>
      </c>
      <c r="AE216" s="228">
        <v>1.4</v>
      </c>
      <c r="AF216" s="228">
        <v>1.5</v>
      </c>
      <c r="AG216" s="229">
        <v>2E-3</v>
      </c>
      <c r="AH216" s="228">
        <v>-15.1</v>
      </c>
      <c r="AI216" s="228">
        <v>-21.4</v>
      </c>
      <c r="AJ216" s="228">
        <v>6.3</v>
      </c>
      <c r="AK216" s="229">
        <v>-1.0500000000000001E-2</v>
      </c>
      <c r="AL216" s="228">
        <v>-32.700000000000003</v>
      </c>
      <c r="AM216" s="228">
        <v>-45</v>
      </c>
      <c r="AN216" s="228">
        <v>12.3</v>
      </c>
      <c r="AO216" s="229">
        <v>-2.2700000000000001E-2</v>
      </c>
      <c r="AP216" s="231">
        <v>1456.13</v>
      </c>
      <c r="AQ216" s="231">
        <v>1440.49</v>
      </c>
      <c r="AR216" s="228">
        <v>0</v>
      </c>
      <c r="AS216" s="228">
        <v>381</v>
      </c>
      <c r="AT216" s="228">
        <v>274</v>
      </c>
      <c r="AU216" s="228">
        <v>108</v>
      </c>
      <c r="AV216" s="229">
        <v>0.39400000000000002</v>
      </c>
      <c r="AW216" s="228">
        <v>294</v>
      </c>
      <c r="AX216" s="228">
        <v>217</v>
      </c>
      <c r="AY216" s="228">
        <v>76</v>
      </c>
      <c r="AZ216" s="229">
        <v>0.3508</v>
      </c>
      <c r="BA216" s="228">
        <v>82</v>
      </c>
      <c r="BB216" s="228">
        <v>52</v>
      </c>
      <c r="BC216" s="228">
        <v>30</v>
      </c>
      <c r="BD216" s="229">
        <v>0.56640000000000001</v>
      </c>
      <c r="BE216" s="228">
        <v>6</v>
      </c>
      <c r="BF216" s="228">
        <v>4</v>
      </c>
      <c r="BG216" s="228">
        <v>2</v>
      </c>
      <c r="BH216" s="229">
        <v>0.48570000000000002</v>
      </c>
      <c r="BI216" s="230">
        <v>1533</v>
      </c>
      <c r="BJ216" s="230">
        <v>1247</v>
      </c>
      <c r="BK216" s="228">
        <v>286</v>
      </c>
      <c r="BL216" s="229">
        <v>0.22900000000000001</v>
      </c>
      <c r="BM216" s="228">
        <v>706</v>
      </c>
      <c r="BN216" s="228">
        <v>643</v>
      </c>
      <c r="BO216" s="228">
        <v>62</v>
      </c>
      <c r="BP216" s="229">
        <v>9.6799999999999997E-2</v>
      </c>
      <c r="BQ216" s="230">
        <v>2620</v>
      </c>
      <c r="BR216" s="230">
        <v>2164</v>
      </c>
      <c r="BS216" s="228">
        <v>456</v>
      </c>
      <c r="BT216" s="229">
        <v>0.21060000000000001</v>
      </c>
      <c r="BU216" s="230">
        <v>1822908</v>
      </c>
      <c r="BV216" s="230">
        <v>1311372</v>
      </c>
      <c r="BW216" s="230">
        <v>511536</v>
      </c>
      <c r="BX216" s="229">
        <v>0.3901</v>
      </c>
      <c r="BY216" s="230">
        <v>1745</v>
      </c>
      <c r="BZ216" s="230">
        <v>1778</v>
      </c>
      <c r="CA216" s="228">
        <v>-34</v>
      </c>
      <c r="CB216" s="229">
        <v>-1.9E-2</v>
      </c>
      <c r="CC216" s="230">
        <v>1464</v>
      </c>
      <c r="CD216" s="230">
        <v>1539</v>
      </c>
      <c r="CE216" s="228">
        <v>-75</v>
      </c>
      <c r="CF216" s="229">
        <v>-4.8899999999999999E-2</v>
      </c>
      <c r="CG216" s="228">
        <v>266</v>
      </c>
      <c r="CH216" s="228">
        <v>225</v>
      </c>
      <c r="CI216" s="228">
        <v>41</v>
      </c>
      <c r="CJ216" s="229">
        <v>0.183</v>
      </c>
      <c r="CK216" s="228">
        <v>14</v>
      </c>
      <c r="CL216" s="228">
        <v>14</v>
      </c>
      <c r="CM216" s="228">
        <v>0</v>
      </c>
      <c r="CN216" s="229">
        <v>2.29E-2</v>
      </c>
      <c r="CO216" s="228">
        <v>689</v>
      </c>
      <c r="CP216" s="228">
        <v>617</v>
      </c>
      <c r="CQ216" s="228">
        <v>73</v>
      </c>
      <c r="CR216" s="229">
        <v>0.1177</v>
      </c>
      <c r="CS216" s="228">
        <v>593</v>
      </c>
      <c r="CT216" s="228">
        <v>583</v>
      </c>
      <c r="CU216" s="228">
        <v>10</v>
      </c>
      <c r="CV216" s="229">
        <v>1.7000000000000001E-2</v>
      </c>
      <c r="CW216" s="230">
        <v>3027</v>
      </c>
      <c r="CX216" s="230">
        <v>2978</v>
      </c>
      <c r="CY216" s="228">
        <v>49</v>
      </c>
      <c r="CZ216" s="229">
        <v>1.6299999999999999E-2</v>
      </c>
      <c r="DA216" s="228">
        <v>42.22</v>
      </c>
      <c r="DB216" s="228">
        <v>38.28</v>
      </c>
      <c r="DC216" s="228">
        <v>3.94</v>
      </c>
      <c r="DD216" s="228">
        <v>3.94</v>
      </c>
      <c r="DE216" s="228">
        <v>39.99</v>
      </c>
      <c r="DF216" s="228">
        <v>40.090000000000003</v>
      </c>
      <c r="DG216" s="228">
        <v>2.23</v>
      </c>
      <c r="DH216" s="228">
        <v>-0.1</v>
      </c>
      <c r="DI216" s="228">
        <v>41.42</v>
      </c>
      <c r="DJ216" s="228">
        <v>36.049999999999997</v>
      </c>
      <c r="DK216" s="228">
        <v>5.37</v>
      </c>
      <c r="DL216" s="228">
        <v>5.37</v>
      </c>
      <c r="DM216" s="228">
        <v>43.95</v>
      </c>
      <c r="DN216" s="228">
        <v>42.58</v>
      </c>
      <c r="DO216" s="228">
        <v>1.37</v>
      </c>
      <c r="DP216" s="228">
        <v>1.37</v>
      </c>
      <c r="DQ216" s="228">
        <v>0.86</v>
      </c>
      <c r="DR216" s="228">
        <v>0.95</v>
      </c>
      <c r="DS216" s="228">
        <v>-0.09</v>
      </c>
      <c r="DT216" s="229">
        <v>-9.4700000000000006E-2</v>
      </c>
      <c r="DU216" s="231">
        <v>1300</v>
      </c>
      <c r="DV216" s="231">
        <v>1200</v>
      </c>
      <c r="DW216" s="228">
        <v>0.46</v>
      </c>
      <c r="DX216" s="228">
        <v>0.52</v>
      </c>
      <c r="DY216" s="228">
        <v>-0.06</v>
      </c>
      <c r="DZ216" s="229">
        <v>-0.1154</v>
      </c>
      <c r="EA216" s="229">
        <v>0.16089999999999999</v>
      </c>
      <c r="EB216" s="230">
        <v>1659750</v>
      </c>
      <c r="EC216" s="229">
        <v>-1.2500000000000001E-2</v>
      </c>
      <c r="ED216" s="229">
        <v>0.16089999999999999</v>
      </c>
      <c r="EE216" s="228">
        <v>-15.64</v>
      </c>
      <c r="EF216" s="229">
        <v>-1.0699999999999999E-2</v>
      </c>
      <c r="EG216" s="230">
        <v>826012</v>
      </c>
      <c r="EH216" s="230">
        <v>743127</v>
      </c>
      <c r="EI216" s="229">
        <v>0.1115</v>
      </c>
      <c r="EJ216" s="229">
        <v>0.4531</v>
      </c>
      <c r="EK216" s="231">
        <v>1617.56</v>
      </c>
      <c r="EL216" s="228">
        <v>680.24</v>
      </c>
      <c r="EM216" s="228">
        <v>384.36</v>
      </c>
      <c r="EN216" s="228">
        <v>78.17</v>
      </c>
      <c r="EO216" s="231">
        <v>2682.16</v>
      </c>
      <c r="EP216" s="231">
        <v>2170.27</v>
      </c>
      <c r="EQ216" s="228">
        <v>511.89</v>
      </c>
      <c r="ER216" s="229">
        <v>0.2359</v>
      </c>
      <c r="ES216" s="228">
        <v>680.55</v>
      </c>
      <c r="ET216" s="228">
        <v>530.57000000000005</v>
      </c>
      <c r="EU216" s="231">
        <v>1740.85</v>
      </c>
      <c r="EV216" s="231">
        <v>25134629</v>
      </c>
      <c r="EW216" s="231">
        <v>2951.98</v>
      </c>
      <c r="EX216" s="231">
        <v>2894.52</v>
      </c>
      <c r="EY216" s="228">
        <v>57.46</v>
      </c>
      <c r="EZ216" s="229">
        <v>1.9900000000000001E-2</v>
      </c>
      <c r="FA216" s="229">
        <v>0.8357</v>
      </c>
      <c r="FB216" s="227" t="s">
        <v>567</v>
      </c>
      <c r="FC216">
        <f t="shared" si="4"/>
        <v>0</v>
      </c>
    </row>
    <row r="217" spans="1:159" ht="17.25" thickBot="1" x14ac:dyDescent="0.3">
      <c r="A217" s="226">
        <v>46132</v>
      </c>
      <c r="B217" s="227" t="s">
        <v>184</v>
      </c>
      <c r="C217" s="227" t="s">
        <v>690</v>
      </c>
      <c r="D217" s="228">
        <v>175</v>
      </c>
      <c r="E217" s="228">
        <v>8</v>
      </c>
      <c r="F217" s="231">
        <v>3496.8</v>
      </c>
      <c r="G217" s="231">
        <v>3470.3</v>
      </c>
      <c r="H217" s="228">
        <v>26.5</v>
      </c>
      <c r="I217" s="229">
        <v>7.6E-3</v>
      </c>
      <c r="J217" s="231">
        <v>3489.1</v>
      </c>
      <c r="K217" s="231">
        <v>3466.2</v>
      </c>
      <c r="L217" s="228">
        <v>22.9</v>
      </c>
      <c r="M217" s="229">
        <v>6.6E-3</v>
      </c>
      <c r="N217" s="231">
        <v>3496.8</v>
      </c>
      <c r="O217" s="231">
        <v>3470.3</v>
      </c>
      <c r="P217" s="228">
        <v>26.5</v>
      </c>
      <c r="Q217" s="229">
        <v>7.6E-3</v>
      </c>
      <c r="R217" s="231">
        <v>3509.1</v>
      </c>
      <c r="S217" s="231">
        <v>3483.9</v>
      </c>
      <c r="T217" s="228">
        <v>25.2</v>
      </c>
      <c r="U217" s="229">
        <v>7.1999999999999998E-3</v>
      </c>
      <c r="V217" s="231">
        <v>3533.9</v>
      </c>
      <c r="W217" s="231">
        <v>3512.6</v>
      </c>
      <c r="X217" s="228">
        <v>21.3</v>
      </c>
      <c r="Y217" s="229">
        <v>6.1000000000000004E-3</v>
      </c>
      <c r="Z217" s="228">
        <v>7.7</v>
      </c>
      <c r="AA217" s="228">
        <v>4.0999999999999996</v>
      </c>
      <c r="AB217" s="228">
        <v>3.6</v>
      </c>
      <c r="AC217" s="229">
        <v>2.2000000000000001E-3</v>
      </c>
      <c r="AD217" s="228">
        <v>7.7</v>
      </c>
      <c r="AE217" s="228">
        <v>4.0999999999999996</v>
      </c>
      <c r="AF217" s="228">
        <v>3.6</v>
      </c>
      <c r="AG217" s="229">
        <v>2.2000000000000001E-3</v>
      </c>
      <c r="AH217" s="228">
        <v>20</v>
      </c>
      <c r="AI217" s="228">
        <v>17.7</v>
      </c>
      <c r="AJ217" s="228">
        <v>2.2999999999999998</v>
      </c>
      <c r="AK217" s="229">
        <v>5.7000000000000002E-3</v>
      </c>
      <c r="AL217" s="228">
        <v>44.8</v>
      </c>
      <c r="AM217" s="228">
        <v>46.4</v>
      </c>
      <c r="AN217" s="228">
        <v>-1.6</v>
      </c>
      <c r="AO217" s="229">
        <v>1.2800000000000001E-2</v>
      </c>
      <c r="AP217" s="231">
        <v>3492.81</v>
      </c>
      <c r="AQ217" s="231">
        <v>3508.18</v>
      </c>
      <c r="AR217" s="228">
        <v>0</v>
      </c>
      <c r="AS217" s="228">
        <v>454</v>
      </c>
      <c r="AT217" s="228">
        <v>668</v>
      </c>
      <c r="AU217" s="228">
        <v>-215</v>
      </c>
      <c r="AV217" s="229">
        <v>-0.32119999999999999</v>
      </c>
      <c r="AW217" s="228">
        <v>356</v>
      </c>
      <c r="AX217" s="228">
        <v>575</v>
      </c>
      <c r="AY217" s="228">
        <v>-219</v>
      </c>
      <c r="AZ217" s="229">
        <v>-0.38129999999999997</v>
      </c>
      <c r="BA217" s="228">
        <v>95</v>
      </c>
      <c r="BB217" s="228">
        <v>88</v>
      </c>
      <c r="BC217" s="228">
        <v>7</v>
      </c>
      <c r="BD217" s="229">
        <v>7.6100000000000001E-2</v>
      </c>
      <c r="BE217" s="228">
        <v>3</v>
      </c>
      <c r="BF217" s="228">
        <v>5</v>
      </c>
      <c r="BG217" s="228">
        <v>-2</v>
      </c>
      <c r="BH217" s="229">
        <v>-0.4405</v>
      </c>
      <c r="BI217" s="230">
        <v>1814</v>
      </c>
      <c r="BJ217" s="230">
        <v>2455</v>
      </c>
      <c r="BK217" s="228">
        <v>-641</v>
      </c>
      <c r="BL217" s="229">
        <v>-0.2611</v>
      </c>
      <c r="BM217" s="228">
        <v>816</v>
      </c>
      <c r="BN217" s="230">
        <v>1214</v>
      </c>
      <c r="BO217" s="228">
        <v>-398</v>
      </c>
      <c r="BP217" s="229">
        <v>-0.32769999999999999</v>
      </c>
      <c r="BQ217" s="230">
        <v>3084</v>
      </c>
      <c r="BR217" s="230">
        <v>4338</v>
      </c>
      <c r="BS217" s="230">
        <v>-1254</v>
      </c>
      <c r="BT217" s="229">
        <v>-0.28899999999999998</v>
      </c>
      <c r="BU217" s="230">
        <v>1553640</v>
      </c>
      <c r="BV217" s="230">
        <v>3722006</v>
      </c>
      <c r="BW217" s="230">
        <v>-2168366</v>
      </c>
      <c r="BX217" s="229">
        <v>-0.58260000000000001</v>
      </c>
      <c r="BY217" s="230">
        <v>1767</v>
      </c>
      <c r="BZ217" s="230">
        <v>1674</v>
      </c>
      <c r="CA217" s="228">
        <v>93</v>
      </c>
      <c r="CB217" s="229">
        <v>5.5399999999999998E-2</v>
      </c>
      <c r="CC217" s="230">
        <v>1591</v>
      </c>
      <c r="CD217" s="230">
        <v>1537</v>
      </c>
      <c r="CE217" s="228">
        <v>54</v>
      </c>
      <c r="CF217" s="229">
        <v>3.5200000000000002E-2</v>
      </c>
      <c r="CG217" s="228">
        <v>169</v>
      </c>
      <c r="CH217" s="228">
        <v>130</v>
      </c>
      <c r="CI217" s="228">
        <v>39</v>
      </c>
      <c r="CJ217" s="229">
        <v>0.30009999999999998</v>
      </c>
      <c r="CK217" s="228">
        <v>6</v>
      </c>
      <c r="CL217" s="228">
        <v>7</v>
      </c>
      <c r="CM217" s="228">
        <v>0</v>
      </c>
      <c r="CN217" s="229">
        <v>-7.2700000000000001E-2</v>
      </c>
      <c r="CO217" s="228">
        <v>717</v>
      </c>
      <c r="CP217" s="228">
        <v>750</v>
      </c>
      <c r="CQ217" s="228">
        <v>-33</v>
      </c>
      <c r="CR217" s="229">
        <v>-4.41E-2</v>
      </c>
      <c r="CS217" s="228">
        <v>547</v>
      </c>
      <c r="CT217" s="228">
        <v>552</v>
      </c>
      <c r="CU217" s="228">
        <v>-5</v>
      </c>
      <c r="CV217" s="229">
        <v>-8.6E-3</v>
      </c>
      <c r="CW217" s="230">
        <v>3031</v>
      </c>
      <c r="CX217" s="230">
        <v>2976</v>
      </c>
      <c r="CY217" s="228">
        <v>55</v>
      </c>
      <c r="CZ217" s="229">
        <v>1.8499999999999999E-2</v>
      </c>
      <c r="DA217" s="228">
        <v>41.37</v>
      </c>
      <c r="DB217" s="228">
        <v>40.770000000000003</v>
      </c>
      <c r="DC217" s="228">
        <v>0.6</v>
      </c>
      <c r="DD217" s="228">
        <v>0.6</v>
      </c>
      <c r="DE217" s="228">
        <v>52.74</v>
      </c>
      <c r="DF217" s="228">
        <v>52.87</v>
      </c>
      <c r="DG217" s="228">
        <v>-11.37</v>
      </c>
      <c r="DH217" s="228">
        <v>-0.13</v>
      </c>
      <c r="DI217" s="228">
        <v>39.76</v>
      </c>
      <c r="DJ217" s="228">
        <v>38.04</v>
      </c>
      <c r="DK217" s="228">
        <v>1.72</v>
      </c>
      <c r="DL217" s="228">
        <v>1.72</v>
      </c>
      <c r="DM217" s="228">
        <v>44.95</v>
      </c>
      <c r="DN217" s="228">
        <v>46.3</v>
      </c>
      <c r="DO217" s="228">
        <v>-1.35</v>
      </c>
      <c r="DP217" s="228">
        <v>-1.35</v>
      </c>
      <c r="DQ217" s="228">
        <v>0.76</v>
      </c>
      <c r="DR217" s="228">
        <v>0.74</v>
      </c>
      <c r="DS217" s="228">
        <v>0.02</v>
      </c>
      <c r="DT217" s="229">
        <v>2.7E-2</v>
      </c>
      <c r="DU217" s="231">
        <v>3500</v>
      </c>
      <c r="DV217" s="231">
        <v>3500</v>
      </c>
      <c r="DW217" s="228">
        <v>0.45</v>
      </c>
      <c r="DX217" s="228">
        <v>0.49</v>
      </c>
      <c r="DY217" s="228">
        <v>-0.04</v>
      </c>
      <c r="DZ217" s="229">
        <v>-8.1600000000000006E-2</v>
      </c>
      <c r="EA217" s="229">
        <v>9.9400000000000002E-2</v>
      </c>
      <c r="EB217" s="230">
        <v>391825</v>
      </c>
      <c r="EC217" s="229">
        <v>3.5000000000000001E-3</v>
      </c>
      <c r="ED217" s="229">
        <v>9.9400000000000002E-2</v>
      </c>
      <c r="EE217" s="228">
        <v>15.37</v>
      </c>
      <c r="EF217" s="229">
        <v>4.4000000000000003E-3</v>
      </c>
      <c r="EG217" s="230">
        <v>567126</v>
      </c>
      <c r="EH217" s="230">
        <v>1930884</v>
      </c>
      <c r="EI217" s="229">
        <v>-0.70630000000000004</v>
      </c>
      <c r="EJ217" s="229">
        <v>0.36499999999999999</v>
      </c>
      <c r="EK217" s="231">
        <v>1884.84</v>
      </c>
      <c r="EL217" s="228">
        <v>775.05</v>
      </c>
      <c r="EM217" s="228">
        <v>453.56</v>
      </c>
      <c r="EN217" s="228">
        <v>85.45</v>
      </c>
      <c r="EO217" s="231">
        <v>3113.46</v>
      </c>
      <c r="EP217" s="231">
        <v>4355.2700000000004</v>
      </c>
      <c r="EQ217" s="231">
        <v>-1241.82</v>
      </c>
      <c r="ER217" s="229">
        <v>-0.28510000000000002</v>
      </c>
      <c r="ES217" s="228">
        <v>711.36</v>
      </c>
      <c r="ET217" s="228">
        <v>505.29</v>
      </c>
      <c r="EU217" s="231">
        <v>1767.7</v>
      </c>
      <c r="EV217" s="231">
        <v>15436318</v>
      </c>
      <c r="EW217" s="231">
        <v>2984.35</v>
      </c>
      <c r="EX217" s="231">
        <v>2913.41</v>
      </c>
      <c r="EY217" s="228">
        <v>70.94</v>
      </c>
      <c r="EZ217" s="229">
        <v>2.4299999999999999E-2</v>
      </c>
      <c r="FA217" s="229">
        <v>0.5615</v>
      </c>
      <c r="FB217" s="227" t="s">
        <v>555</v>
      </c>
      <c r="FC217">
        <f t="shared" si="4"/>
        <v>0</v>
      </c>
    </row>
    <row r="218" spans="1:159" ht="17.25" thickBot="1" x14ac:dyDescent="0.3">
      <c r="A218" s="226">
        <v>46132</v>
      </c>
      <c r="B218" s="227" t="s">
        <v>221</v>
      </c>
      <c r="C218" s="227" t="s">
        <v>306</v>
      </c>
      <c r="D218" s="228">
        <v>3000</v>
      </c>
      <c r="E218" s="228">
        <v>8</v>
      </c>
      <c r="F218" s="228">
        <v>201.8</v>
      </c>
      <c r="G218" s="228">
        <v>202.37</v>
      </c>
      <c r="H218" s="228">
        <v>-0.56999999999999995</v>
      </c>
      <c r="I218" s="229">
        <v>-2.8E-3</v>
      </c>
      <c r="J218" s="228">
        <v>202.48</v>
      </c>
      <c r="K218" s="228">
        <v>204.32</v>
      </c>
      <c r="L218" s="228">
        <v>-1.84</v>
      </c>
      <c r="M218" s="229">
        <v>-8.9999999999999993E-3</v>
      </c>
      <c r="N218" s="228">
        <v>201.8</v>
      </c>
      <c r="O218" s="228">
        <v>202.37</v>
      </c>
      <c r="P218" s="228">
        <v>-0.56999999999999995</v>
      </c>
      <c r="Q218" s="229">
        <v>-2.8E-3</v>
      </c>
      <c r="R218" s="228">
        <v>199.14</v>
      </c>
      <c r="S218" s="228">
        <v>199.72</v>
      </c>
      <c r="T218" s="228">
        <v>-0.57999999999999996</v>
      </c>
      <c r="U218" s="229">
        <v>-2.8999999999999998E-3</v>
      </c>
      <c r="V218" s="228">
        <v>196.96</v>
      </c>
      <c r="W218" s="228">
        <v>197.36</v>
      </c>
      <c r="X218" s="228">
        <v>-0.4</v>
      </c>
      <c r="Y218" s="229">
        <v>-2E-3</v>
      </c>
      <c r="Z218" s="228">
        <v>-0.68</v>
      </c>
      <c r="AA218" s="228">
        <v>-1.95</v>
      </c>
      <c r="AB218" s="228">
        <v>1.27</v>
      </c>
      <c r="AC218" s="229">
        <v>-3.3999999999999998E-3</v>
      </c>
      <c r="AD218" s="228">
        <v>-0.68</v>
      </c>
      <c r="AE218" s="228">
        <v>-1.95</v>
      </c>
      <c r="AF218" s="228">
        <v>1.27</v>
      </c>
      <c r="AG218" s="229">
        <v>-3.3999999999999998E-3</v>
      </c>
      <c r="AH218" s="228">
        <v>-3.34</v>
      </c>
      <c r="AI218" s="228">
        <v>-4.5999999999999996</v>
      </c>
      <c r="AJ218" s="228">
        <v>1.26</v>
      </c>
      <c r="AK218" s="229">
        <v>-1.6500000000000001E-2</v>
      </c>
      <c r="AL218" s="228">
        <v>-5.52</v>
      </c>
      <c r="AM218" s="228">
        <v>-6.96</v>
      </c>
      <c r="AN218" s="228">
        <v>1.44</v>
      </c>
      <c r="AO218" s="229">
        <v>-2.7300000000000001E-2</v>
      </c>
      <c r="AP218" s="228">
        <v>201.83</v>
      </c>
      <c r="AQ218" s="228">
        <v>199.21</v>
      </c>
      <c r="AR218" s="228">
        <v>0</v>
      </c>
      <c r="AS218" s="228">
        <v>580</v>
      </c>
      <c r="AT218" s="230">
        <v>2302</v>
      </c>
      <c r="AU218" s="230">
        <v>-1723</v>
      </c>
      <c r="AV218" s="229">
        <v>-0.74819999999999998</v>
      </c>
      <c r="AW218" s="228">
        <v>331</v>
      </c>
      <c r="AX218" s="230">
        <v>1539</v>
      </c>
      <c r="AY218" s="230">
        <v>-1207</v>
      </c>
      <c r="AZ218" s="229">
        <v>-0.78469999999999995</v>
      </c>
      <c r="BA218" s="228">
        <v>216</v>
      </c>
      <c r="BB218" s="228">
        <v>638</v>
      </c>
      <c r="BC218" s="228">
        <v>-423</v>
      </c>
      <c r="BD218" s="229">
        <v>-0.66239999999999999</v>
      </c>
      <c r="BE218" s="228">
        <v>33</v>
      </c>
      <c r="BF218" s="228">
        <v>125</v>
      </c>
      <c r="BG218" s="228">
        <v>-92</v>
      </c>
      <c r="BH218" s="229">
        <v>-0.73670000000000002</v>
      </c>
      <c r="BI218" s="230">
        <v>3235</v>
      </c>
      <c r="BJ218" s="230">
        <v>9120</v>
      </c>
      <c r="BK218" s="230">
        <v>-5885</v>
      </c>
      <c r="BL218" s="229">
        <v>-0.64529999999999998</v>
      </c>
      <c r="BM218" s="230">
        <v>1416</v>
      </c>
      <c r="BN218" s="230">
        <v>4702</v>
      </c>
      <c r="BO218" s="230">
        <v>-3286</v>
      </c>
      <c r="BP218" s="229">
        <v>-0.69879999999999998</v>
      </c>
      <c r="BQ218" s="230">
        <v>5231</v>
      </c>
      <c r="BR218" s="230">
        <v>16124</v>
      </c>
      <c r="BS218" s="230">
        <v>-10894</v>
      </c>
      <c r="BT218" s="229">
        <v>-0.67559999999999998</v>
      </c>
      <c r="BU218" s="230">
        <v>29777408</v>
      </c>
      <c r="BV218" s="230">
        <v>84058228</v>
      </c>
      <c r="BW218" s="230">
        <v>-54280820</v>
      </c>
      <c r="BX218" s="229">
        <v>-0.64580000000000004</v>
      </c>
      <c r="BY218" s="230">
        <v>6607</v>
      </c>
      <c r="BZ218" s="230">
        <v>6495</v>
      </c>
      <c r="CA218" s="228">
        <v>112</v>
      </c>
      <c r="CB218" s="229">
        <v>1.72E-2</v>
      </c>
      <c r="CC218" s="230">
        <v>5073</v>
      </c>
      <c r="CD218" s="230">
        <v>5049</v>
      </c>
      <c r="CE218" s="228">
        <v>23</v>
      </c>
      <c r="CF218" s="229">
        <v>4.5999999999999999E-3</v>
      </c>
      <c r="CG218" s="230">
        <v>1343</v>
      </c>
      <c r="CH218" s="230">
        <v>1265</v>
      </c>
      <c r="CI218" s="228">
        <v>77</v>
      </c>
      <c r="CJ218" s="229">
        <v>6.1100000000000002E-2</v>
      </c>
      <c r="CK218" s="228">
        <v>192</v>
      </c>
      <c r="CL218" s="228">
        <v>180</v>
      </c>
      <c r="CM218" s="228">
        <v>11</v>
      </c>
      <c r="CN218" s="229">
        <v>6.2799999999999995E-2</v>
      </c>
      <c r="CO218" s="230">
        <v>3429</v>
      </c>
      <c r="CP218" s="230">
        <v>3436</v>
      </c>
      <c r="CQ218" s="228">
        <v>-6</v>
      </c>
      <c r="CR218" s="229">
        <v>-1.9E-3</v>
      </c>
      <c r="CS218" s="230">
        <v>1661</v>
      </c>
      <c r="CT218" s="230">
        <v>1686</v>
      </c>
      <c r="CU218" s="228">
        <v>-25</v>
      </c>
      <c r="CV218" s="229">
        <v>-1.49E-2</v>
      </c>
      <c r="CW218" s="230">
        <v>11697</v>
      </c>
      <c r="CX218" s="230">
        <v>11617</v>
      </c>
      <c r="CY218" s="228">
        <v>81</v>
      </c>
      <c r="CZ218" s="229">
        <v>6.8999999999999999E-3</v>
      </c>
      <c r="DA218" s="228">
        <v>30.35</v>
      </c>
      <c r="DB218" s="228">
        <v>29.24</v>
      </c>
      <c r="DC218" s="228">
        <v>1.1100000000000001</v>
      </c>
      <c r="DD218" s="228">
        <v>1.1100000000000001</v>
      </c>
      <c r="DE218" s="228">
        <v>31.43</v>
      </c>
      <c r="DF218" s="228">
        <v>31.49</v>
      </c>
      <c r="DG218" s="228">
        <v>-1.08</v>
      </c>
      <c r="DH218" s="228">
        <v>-0.06</v>
      </c>
      <c r="DI218" s="228">
        <v>30.49</v>
      </c>
      <c r="DJ218" s="228">
        <v>29.66</v>
      </c>
      <c r="DK218" s="228">
        <v>0.83</v>
      </c>
      <c r="DL218" s="228">
        <v>0.83</v>
      </c>
      <c r="DM218" s="228">
        <v>30.05</v>
      </c>
      <c r="DN218" s="228">
        <v>28.43</v>
      </c>
      <c r="DO218" s="228">
        <v>1.62</v>
      </c>
      <c r="DP218" s="228">
        <v>1.62</v>
      </c>
      <c r="DQ218" s="228">
        <v>0.48</v>
      </c>
      <c r="DR218" s="228">
        <v>0.49</v>
      </c>
      <c r="DS218" s="228">
        <v>-0.01</v>
      </c>
      <c r="DT218" s="229">
        <v>-2.0400000000000001E-2</v>
      </c>
      <c r="DU218" s="228">
        <v>210</v>
      </c>
      <c r="DV218" s="228">
        <v>200</v>
      </c>
      <c r="DW218" s="228">
        <v>0.44</v>
      </c>
      <c r="DX218" s="228">
        <v>0.52</v>
      </c>
      <c r="DY218" s="228">
        <v>-0.08</v>
      </c>
      <c r="DZ218" s="229">
        <v>-0.15379999999999999</v>
      </c>
      <c r="EA218" s="229">
        <v>0.23230000000000001</v>
      </c>
      <c r="EB218" s="230">
        <v>71649000</v>
      </c>
      <c r="EC218" s="229">
        <v>-1.32E-2</v>
      </c>
      <c r="ED218" s="229">
        <v>0.23230000000000001</v>
      </c>
      <c r="EE218" s="228">
        <v>-2.62</v>
      </c>
      <c r="EF218" s="229">
        <v>-1.2999999999999999E-2</v>
      </c>
      <c r="EG218" s="230">
        <v>17296531</v>
      </c>
      <c r="EH218" s="230">
        <v>40969364</v>
      </c>
      <c r="EI218" s="229">
        <v>-0.57779999999999998</v>
      </c>
      <c r="EJ218" s="229">
        <v>0.58089999999999997</v>
      </c>
      <c r="EK218" s="231">
        <v>3402.45</v>
      </c>
      <c r="EL218" s="231">
        <v>1403.55</v>
      </c>
      <c r="EM218" s="228">
        <v>576.29</v>
      </c>
      <c r="EN218" s="228">
        <v>239.03</v>
      </c>
      <c r="EO218" s="231">
        <v>5382.3</v>
      </c>
      <c r="EP218" s="231">
        <v>16616.830000000002</v>
      </c>
      <c r="EQ218" s="231">
        <v>-11234.53</v>
      </c>
      <c r="ER218" s="229">
        <v>-0.67610000000000003</v>
      </c>
      <c r="ES218" s="231">
        <v>3632.82</v>
      </c>
      <c r="ET218" s="231">
        <v>1622.56</v>
      </c>
      <c r="EU218" s="231">
        <v>6584.73</v>
      </c>
      <c r="EV218" s="231">
        <v>428710078</v>
      </c>
      <c r="EW218" s="231">
        <v>11840.12</v>
      </c>
      <c r="EX218" s="231">
        <v>11785.24</v>
      </c>
      <c r="EY218" s="228">
        <v>54.88</v>
      </c>
      <c r="EZ218" s="229">
        <v>4.7000000000000002E-3</v>
      </c>
      <c r="FA218" s="229">
        <v>1.3521000000000001</v>
      </c>
      <c r="FB218" s="227" t="s">
        <v>566</v>
      </c>
      <c r="FC218">
        <f t="shared" si="4"/>
        <v>0</v>
      </c>
    </row>
    <row r="219" spans="1:159" ht="17.25" thickBot="1" x14ac:dyDescent="0.3">
      <c r="A219" s="226">
        <v>46132</v>
      </c>
      <c r="B219" s="227" t="s">
        <v>172</v>
      </c>
      <c r="C219" s="227" t="s">
        <v>589</v>
      </c>
      <c r="D219" s="228">
        <v>31100</v>
      </c>
      <c r="E219" s="228">
        <v>8</v>
      </c>
      <c r="F219" s="228">
        <v>19.82</v>
      </c>
      <c r="G219" s="228">
        <v>20.260000000000002</v>
      </c>
      <c r="H219" s="228">
        <v>-0.44</v>
      </c>
      <c r="I219" s="229">
        <v>-2.1700000000000001E-2</v>
      </c>
      <c r="J219" s="228">
        <v>19.84</v>
      </c>
      <c r="K219" s="228">
        <v>20.190000000000001</v>
      </c>
      <c r="L219" s="228">
        <v>-0.35</v>
      </c>
      <c r="M219" s="229">
        <v>-1.7299999999999999E-2</v>
      </c>
      <c r="N219" s="228">
        <v>19.82</v>
      </c>
      <c r="O219" s="228">
        <v>20.260000000000002</v>
      </c>
      <c r="P219" s="228">
        <v>-0.44</v>
      </c>
      <c r="Q219" s="229">
        <v>-2.1700000000000001E-2</v>
      </c>
      <c r="R219" s="228">
        <v>19.940000000000001</v>
      </c>
      <c r="S219" s="228">
        <v>20.38</v>
      </c>
      <c r="T219" s="228">
        <v>-0.44</v>
      </c>
      <c r="U219" s="229">
        <v>-2.1600000000000001E-2</v>
      </c>
      <c r="V219" s="228">
        <v>20.059999999999999</v>
      </c>
      <c r="W219" s="228">
        <v>20.48</v>
      </c>
      <c r="X219" s="228">
        <v>-0.42</v>
      </c>
      <c r="Y219" s="229">
        <v>-2.0500000000000001E-2</v>
      </c>
      <c r="Z219" s="228">
        <v>-0.02</v>
      </c>
      <c r="AA219" s="228">
        <v>7.0000000000000007E-2</v>
      </c>
      <c r="AB219" s="228">
        <v>-0.09</v>
      </c>
      <c r="AC219" s="229">
        <v>-1E-3</v>
      </c>
      <c r="AD219" s="228">
        <v>-0.02</v>
      </c>
      <c r="AE219" s="228">
        <v>7.0000000000000007E-2</v>
      </c>
      <c r="AF219" s="228">
        <v>-0.09</v>
      </c>
      <c r="AG219" s="229">
        <v>-1E-3</v>
      </c>
      <c r="AH219" s="228">
        <v>0.1</v>
      </c>
      <c r="AI219" s="228">
        <v>0.19</v>
      </c>
      <c r="AJ219" s="228">
        <v>-0.09</v>
      </c>
      <c r="AK219" s="229">
        <v>5.0000000000000001E-3</v>
      </c>
      <c r="AL219" s="228">
        <v>0.22</v>
      </c>
      <c r="AM219" s="228">
        <v>0.28999999999999998</v>
      </c>
      <c r="AN219" s="228">
        <v>-7.0000000000000007E-2</v>
      </c>
      <c r="AO219" s="229">
        <v>1.11E-2</v>
      </c>
      <c r="AP219" s="228">
        <v>20.170000000000002</v>
      </c>
      <c r="AQ219" s="228">
        <v>20.260000000000002</v>
      </c>
      <c r="AR219" s="228">
        <v>0</v>
      </c>
      <c r="AS219" s="230">
        <v>1109</v>
      </c>
      <c r="AT219" s="228">
        <v>556</v>
      </c>
      <c r="AU219" s="228">
        <v>553</v>
      </c>
      <c r="AV219" s="229">
        <v>0.99419999999999997</v>
      </c>
      <c r="AW219" s="228">
        <v>784</v>
      </c>
      <c r="AX219" s="228">
        <v>465</v>
      </c>
      <c r="AY219" s="228">
        <v>320</v>
      </c>
      <c r="AZ219" s="229">
        <v>0.68799999999999994</v>
      </c>
      <c r="BA219" s="228">
        <v>292</v>
      </c>
      <c r="BB219" s="228">
        <v>82</v>
      </c>
      <c r="BC219" s="228">
        <v>209</v>
      </c>
      <c r="BD219" s="229">
        <v>2.54</v>
      </c>
      <c r="BE219" s="228">
        <v>33</v>
      </c>
      <c r="BF219" s="228">
        <v>9</v>
      </c>
      <c r="BG219" s="228">
        <v>24</v>
      </c>
      <c r="BH219" s="229">
        <v>2.6736</v>
      </c>
      <c r="BI219" s="230">
        <v>3954</v>
      </c>
      <c r="BJ219" s="230">
        <v>2504</v>
      </c>
      <c r="BK219" s="230">
        <v>1450</v>
      </c>
      <c r="BL219" s="229">
        <v>0.57899999999999996</v>
      </c>
      <c r="BM219" s="228">
        <v>819</v>
      </c>
      <c r="BN219" s="228">
        <v>517</v>
      </c>
      <c r="BO219" s="228">
        <v>302</v>
      </c>
      <c r="BP219" s="229">
        <v>0.58479999999999999</v>
      </c>
      <c r="BQ219" s="230">
        <v>5881</v>
      </c>
      <c r="BR219" s="230">
        <v>3576</v>
      </c>
      <c r="BS219" s="230">
        <v>2305</v>
      </c>
      <c r="BT219" s="229">
        <v>0.64439999999999997</v>
      </c>
      <c r="BU219" s="230">
        <v>399215473</v>
      </c>
      <c r="BV219" s="230">
        <v>140556768</v>
      </c>
      <c r="BW219" s="230">
        <v>258658705</v>
      </c>
      <c r="BX219" s="229">
        <v>1.8402000000000001</v>
      </c>
      <c r="BY219" s="230">
        <v>2616</v>
      </c>
      <c r="BZ219" s="230">
        <v>2501</v>
      </c>
      <c r="CA219" s="228">
        <v>115</v>
      </c>
      <c r="CB219" s="229">
        <v>4.5999999999999999E-2</v>
      </c>
      <c r="CC219" s="230">
        <v>2088</v>
      </c>
      <c r="CD219" s="230">
        <v>2162</v>
      </c>
      <c r="CE219" s="228">
        <v>-74</v>
      </c>
      <c r="CF219" s="229">
        <v>-3.4000000000000002E-2</v>
      </c>
      <c r="CG219" s="228">
        <v>475</v>
      </c>
      <c r="CH219" s="228">
        <v>306</v>
      </c>
      <c r="CI219" s="228">
        <v>169</v>
      </c>
      <c r="CJ219" s="229">
        <v>0.55320000000000003</v>
      </c>
      <c r="CK219" s="228">
        <v>53</v>
      </c>
      <c r="CL219" s="228">
        <v>33</v>
      </c>
      <c r="CM219" s="228">
        <v>20</v>
      </c>
      <c r="CN219" s="229">
        <v>0.58919999999999995</v>
      </c>
      <c r="CO219" s="230">
        <v>1310</v>
      </c>
      <c r="CP219" s="228">
        <v>968</v>
      </c>
      <c r="CQ219" s="228">
        <v>342</v>
      </c>
      <c r="CR219" s="229">
        <v>0.35339999999999999</v>
      </c>
      <c r="CS219" s="228">
        <v>692</v>
      </c>
      <c r="CT219" s="228">
        <v>611</v>
      </c>
      <c r="CU219" s="228">
        <v>81</v>
      </c>
      <c r="CV219" s="229">
        <v>0.1331</v>
      </c>
      <c r="CW219" s="230">
        <v>4618</v>
      </c>
      <c r="CX219" s="230">
        <v>4079</v>
      </c>
      <c r="CY219" s="228">
        <v>538</v>
      </c>
      <c r="CZ219" s="229">
        <v>0.13200000000000001</v>
      </c>
      <c r="DA219" s="228">
        <v>43.13</v>
      </c>
      <c r="DB219" s="228">
        <v>46.38</v>
      </c>
      <c r="DC219" s="228">
        <v>-3.25</v>
      </c>
      <c r="DD219" s="228">
        <v>-3.25</v>
      </c>
      <c r="DE219" s="228">
        <v>38.659999999999997</v>
      </c>
      <c r="DF219" s="228">
        <v>38.64</v>
      </c>
      <c r="DG219" s="228">
        <v>4.47</v>
      </c>
      <c r="DH219" s="228">
        <v>0.02</v>
      </c>
      <c r="DI219" s="228">
        <v>44.77</v>
      </c>
      <c r="DJ219" s="228">
        <v>47.4</v>
      </c>
      <c r="DK219" s="228">
        <v>-2.63</v>
      </c>
      <c r="DL219" s="228">
        <v>-2.63</v>
      </c>
      <c r="DM219" s="228">
        <v>35.200000000000003</v>
      </c>
      <c r="DN219" s="228">
        <v>41.4</v>
      </c>
      <c r="DO219" s="228">
        <v>-6.2</v>
      </c>
      <c r="DP219" s="228">
        <v>-6.2</v>
      </c>
      <c r="DQ219" s="228">
        <v>0.53</v>
      </c>
      <c r="DR219" s="228">
        <v>0.63</v>
      </c>
      <c r="DS219" s="228">
        <v>-0.1</v>
      </c>
      <c r="DT219" s="229">
        <v>-0.15870000000000001</v>
      </c>
      <c r="DU219" s="228">
        <v>21</v>
      </c>
      <c r="DV219" s="228">
        <v>20</v>
      </c>
      <c r="DW219" s="228">
        <v>0.21</v>
      </c>
      <c r="DX219" s="228">
        <v>0.21</v>
      </c>
      <c r="DY219" s="228">
        <v>0</v>
      </c>
      <c r="DZ219" s="229">
        <v>0</v>
      </c>
      <c r="EA219" s="229">
        <v>0.2016</v>
      </c>
      <c r="EB219" s="230">
        <v>170925600</v>
      </c>
      <c r="EC219" s="229">
        <v>6.1000000000000004E-3</v>
      </c>
      <c r="ED219" s="229">
        <v>0.2016</v>
      </c>
      <c r="EE219" s="228">
        <v>0.09</v>
      </c>
      <c r="EF219" s="229">
        <v>4.4999999999999997E-3</v>
      </c>
      <c r="EG219" s="230">
        <v>158906561</v>
      </c>
      <c r="EH219" s="230">
        <v>56233517</v>
      </c>
      <c r="EI219" s="229">
        <v>1.8258000000000001</v>
      </c>
      <c r="EJ219" s="229">
        <v>0.39800000000000002</v>
      </c>
      <c r="EK219" s="231">
        <v>4360.1400000000003</v>
      </c>
      <c r="EL219" s="228">
        <v>820.21</v>
      </c>
      <c r="EM219" s="231">
        <v>1129.8599999999999</v>
      </c>
      <c r="EN219" s="228">
        <v>62.43</v>
      </c>
      <c r="EO219" s="231">
        <v>6310.21</v>
      </c>
      <c r="EP219" s="231">
        <v>3873.05</v>
      </c>
      <c r="EQ219" s="231">
        <v>2437.17</v>
      </c>
      <c r="ER219" s="229">
        <v>0.62929999999999997</v>
      </c>
      <c r="ES219" s="231">
        <v>1414.1</v>
      </c>
      <c r="ET219" s="228">
        <v>647.58000000000004</v>
      </c>
      <c r="EU219" s="231">
        <v>2619.34</v>
      </c>
      <c r="EV219" s="231">
        <v>3425130022</v>
      </c>
      <c r="EW219" s="231">
        <v>4681.01</v>
      </c>
      <c r="EX219" s="231">
        <v>4163.2299999999996</v>
      </c>
      <c r="EY219" s="228">
        <v>517.78</v>
      </c>
      <c r="EZ219" s="229">
        <v>0.1244</v>
      </c>
      <c r="FA219" s="229">
        <v>0.68020000000000003</v>
      </c>
      <c r="FB219" s="227" t="s">
        <v>566</v>
      </c>
      <c r="FC219">
        <f t="shared" si="4"/>
        <v>0</v>
      </c>
    </row>
    <row r="220" spans="1:159" ht="17.25" thickBot="1" x14ac:dyDescent="0.3">
      <c r="A220" s="226">
        <v>46132</v>
      </c>
      <c r="B220" s="227" t="s">
        <v>170</v>
      </c>
      <c r="C220" s="227" t="s">
        <v>556</v>
      </c>
      <c r="D220" s="228">
        <v>900</v>
      </c>
      <c r="E220" s="228">
        <v>8</v>
      </c>
      <c r="F220" s="228">
        <v>935.5</v>
      </c>
      <c r="G220" s="228">
        <v>946.25</v>
      </c>
      <c r="H220" s="228">
        <v>-10.75</v>
      </c>
      <c r="I220" s="229">
        <v>-1.14E-2</v>
      </c>
      <c r="J220" s="228">
        <v>936.5</v>
      </c>
      <c r="K220" s="228">
        <v>943.95</v>
      </c>
      <c r="L220" s="228">
        <v>-7.45</v>
      </c>
      <c r="M220" s="229">
        <v>-7.9000000000000008E-3</v>
      </c>
      <c r="N220" s="228">
        <v>935.5</v>
      </c>
      <c r="O220" s="228">
        <v>946.25</v>
      </c>
      <c r="P220" s="228">
        <v>-10.75</v>
      </c>
      <c r="Q220" s="229">
        <v>-1.14E-2</v>
      </c>
      <c r="R220" s="228">
        <v>942.1</v>
      </c>
      <c r="S220" s="228">
        <v>951.6</v>
      </c>
      <c r="T220" s="228">
        <v>-9.5</v>
      </c>
      <c r="U220" s="229">
        <v>-0.01</v>
      </c>
      <c r="V220" s="228">
        <v>944</v>
      </c>
      <c r="W220" s="228">
        <v>956.55</v>
      </c>
      <c r="X220" s="228">
        <v>-12.55</v>
      </c>
      <c r="Y220" s="229">
        <v>-1.3100000000000001E-2</v>
      </c>
      <c r="Z220" s="228">
        <v>-1</v>
      </c>
      <c r="AA220" s="228">
        <v>2.2999999999999998</v>
      </c>
      <c r="AB220" s="228">
        <v>-3.3</v>
      </c>
      <c r="AC220" s="229">
        <v>-1.1000000000000001E-3</v>
      </c>
      <c r="AD220" s="228">
        <v>-1</v>
      </c>
      <c r="AE220" s="228">
        <v>2.2999999999999998</v>
      </c>
      <c r="AF220" s="228">
        <v>-3.3</v>
      </c>
      <c r="AG220" s="229">
        <v>-1.1000000000000001E-3</v>
      </c>
      <c r="AH220" s="228">
        <v>5.6</v>
      </c>
      <c r="AI220" s="228">
        <v>7.65</v>
      </c>
      <c r="AJ220" s="228">
        <v>-2.0499999999999998</v>
      </c>
      <c r="AK220" s="229">
        <v>6.0000000000000001E-3</v>
      </c>
      <c r="AL220" s="228">
        <v>7.5</v>
      </c>
      <c r="AM220" s="228">
        <v>12.6</v>
      </c>
      <c r="AN220" s="228">
        <v>-5.0999999999999996</v>
      </c>
      <c r="AO220" s="229">
        <v>8.0000000000000002E-3</v>
      </c>
      <c r="AP220" s="228">
        <v>938.95</v>
      </c>
      <c r="AQ220" s="228">
        <v>944.93</v>
      </c>
      <c r="AR220" s="228">
        <v>0</v>
      </c>
      <c r="AS220" s="228">
        <v>141</v>
      </c>
      <c r="AT220" s="228">
        <v>77</v>
      </c>
      <c r="AU220" s="228">
        <v>65</v>
      </c>
      <c r="AV220" s="229">
        <v>0.84379999999999999</v>
      </c>
      <c r="AW220" s="228">
        <v>109</v>
      </c>
      <c r="AX220" s="228">
        <v>67</v>
      </c>
      <c r="AY220" s="228">
        <v>42</v>
      </c>
      <c r="AZ220" s="229">
        <v>0.63070000000000004</v>
      </c>
      <c r="BA220" s="228">
        <v>30</v>
      </c>
      <c r="BB220" s="228">
        <v>9</v>
      </c>
      <c r="BC220" s="228">
        <v>21</v>
      </c>
      <c r="BD220" s="229">
        <v>2.2844000000000002</v>
      </c>
      <c r="BE220" s="228">
        <v>2</v>
      </c>
      <c r="BF220" s="228">
        <v>0</v>
      </c>
      <c r="BG220" s="228">
        <v>1</v>
      </c>
      <c r="BH220" s="229">
        <v>4</v>
      </c>
      <c r="BI220" s="228">
        <v>225</v>
      </c>
      <c r="BJ220" s="228">
        <v>340</v>
      </c>
      <c r="BK220" s="228">
        <v>-115</v>
      </c>
      <c r="BL220" s="229">
        <v>-0.33789999999999998</v>
      </c>
      <c r="BM220" s="228">
        <v>82</v>
      </c>
      <c r="BN220" s="228">
        <v>123</v>
      </c>
      <c r="BO220" s="228">
        <v>-41</v>
      </c>
      <c r="BP220" s="229">
        <v>-0.33239999999999997</v>
      </c>
      <c r="BQ220" s="228">
        <v>449</v>
      </c>
      <c r="BR220" s="228">
        <v>540</v>
      </c>
      <c r="BS220" s="228">
        <v>-91</v>
      </c>
      <c r="BT220" s="229">
        <v>-0.16919999999999999</v>
      </c>
      <c r="BU220" s="230">
        <v>468797</v>
      </c>
      <c r="BV220" s="230">
        <v>534467</v>
      </c>
      <c r="BW220" s="230">
        <v>-65670</v>
      </c>
      <c r="BX220" s="229">
        <v>-0.1229</v>
      </c>
      <c r="BY220" s="228">
        <v>862</v>
      </c>
      <c r="BZ220" s="228">
        <v>869</v>
      </c>
      <c r="CA220" s="228">
        <v>-7</v>
      </c>
      <c r="CB220" s="229">
        <v>-7.7999999999999996E-3</v>
      </c>
      <c r="CC220" s="228">
        <v>812</v>
      </c>
      <c r="CD220" s="228">
        <v>842</v>
      </c>
      <c r="CE220" s="228">
        <v>-30</v>
      </c>
      <c r="CF220" s="229">
        <v>-3.5200000000000002E-2</v>
      </c>
      <c r="CG220" s="228">
        <v>47</v>
      </c>
      <c r="CH220" s="228">
        <v>25</v>
      </c>
      <c r="CI220" s="228">
        <v>21</v>
      </c>
      <c r="CJ220" s="229">
        <v>0.8528</v>
      </c>
      <c r="CK220" s="228">
        <v>4</v>
      </c>
      <c r="CL220" s="228">
        <v>2</v>
      </c>
      <c r="CM220" s="228">
        <v>1</v>
      </c>
      <c r="CN220" s="229">
        <v>0.59260000000000002</v>
      </c>
      <c r="CO220" s="228">
        <v>303</v>
      </c>
      <c r="CP220" s="228">
        <v>276</v>
      </c>
      <c r="CQ220" s="228">
        <v>27</v>
      </c>
      <c r="CR220" s="229">
        <v>9.8900000000000002E-2</v>
      </c>
      <c r="CS220" s="228">
        <v>213</v>
      </c>
      <c r="CT220" s="228">
        <v>211</v>
      </c>
      <c r="CU220" s="228">
        <v>2</v>
      </c>
      <c r="CV220" s="229">
        <v>7.6E-3</v>
      </c>
      <c r="CW220" s="230">
        <v>1378</v>
      </c>
      <c r="CX220" s="230">
        <v>1356</v>
      </c>
      <c r="CY220" s="228">
        <v>22</v>
      </c>
      <c r="CZ220" s="229">
        <v>1.6299999999999999E-2</v>
      </c>
      <c r="DA220" s="228">
        <v>28.28</v>
      </c>
      <c r="DB220" s="228">
        <v>25.82</v>
      </c>
      <c r="DC220" s="228">
        <v>2.46</v>
      </c>
      <c r="DD220" s="228">
        <v>2.46</v>
      </c>
      <c r="DE220" s="228">
        <v>28.12</v>
      </c>
      <c r="DF220" s="228">
        <v>28.15</v>
      </c>
      <c r="DG220" s="228">
        <v>0.16</v>
      </c>
      <c r="DH220" s="228">
        <v>-0.03</v>
      </c>
      <c r="DI220" s="228">
        <v>27.34</v>
      </c>
      <c r="DJ220" s="228">
        <v>24.44</v>
      </c>
      <c r="DK220" s="228">
        <v>2.9</v>
      </c>
      <c r="DL220" s="228">
        <v>2.9</v>
      </c>
      <c r="DM220" s="228">
        <v>30.84</v>
      </c>
      <c r="DN220" s="228">
        <v>29.62</v>
      </c>
      <c r="DO220" s="228">
        <v>1.22</v>
      </c>
      <c r="DP220" s="228">
        <v>1.22</v>
      </c>
      <c r="DQ220" s="228">
        <v>0.7</v>
      </c>
      <c r="DR220" s="228">
        <v>0.77</v>
      </c>
      <c r="DS220" s="228">
        <v>-7.0000000000000007E-2</v>
      </c>
      <c r="DT220" s="229">
        <v>-9.0899999999999995E-2</v>
      </c>
      <c r="DU220" s="228">
        <v>960</v>
      </c>
      <c r="DV220" s="228">
        <v>900</v>
      </c>
      <c r="DW220" s="228">
        <v>0.37</v>
      </c>
      <c r="DX220" s="228">
        <v>0.36</v>
      </c>
      <c r="DY220" s="228">
        <v>0.01</v>
      </c>
      <c r="DZ220" s="229">
        <v>2.7799999999999998E-2</v>
      </c>
      <c r="EA220" s="229">
        <v>5.8299999999999998E-2</v>
      </c>
      <c r="EB220" s="230">
        <v>293400</v>
      </c>
      <c r="EC220" s="229">
        <v>7.1000000000000004E-3</v>
      </c>
      <c r="ED220" s="229">
        <v>5.8299999999999998E-2</v>
      </c>
      <c r="EE220" s="228">
        <v>5.98</v>
      </c>
      <c r="EF220" s="229">
        <v>6.4000000000000003E-3</v>
      </c>
      <c r="EG220" s="230">
        <v>231424</v>
      </c>
      <c r="EH220" s="230">
        <v>285049</v>
      </c>
      <c r="EI220" s="229">
        <v>-0.18809999999999999</v>
      </c>
      <c r="EJ220" s="229">
        <v>0.49370000000000003</v>
      </c>
      <c r="EK220" s="228">
        <v>231.96</v>
      </c>
      <c r="EL220" s="228">
        <v>80.760000000000005</v>
      </c>
      <c r="EM220" s="228">
        <v>141.85</v>
      </c>
      <c r="EN220" s="228">
        <v>14.04</v>
      </c>
      <c r="EO220" s="228">
        <v>454.57</v>
      </c>
      <c r="EP220" s="228">
        <v>549.94000000000005</v>
      </c>
      <c r="EQ220" s="228">
        <v>-95.38</v>
      </c>
      <c r="ER220" s="229">
        <v>-0.1734</v>
      </c>
      <c r="ES220" s="228">
        <v>306.63</v>
      </c>
      <c r="ET220" s="228">
        <v>205.22</v>
      </c>
      <c r="EU220" s="228">
        <v>862.6</v>
      </c>
      <c r="EV220" s="231">
        <v>25160867</v>
      </c>
      <c r="EW220" s="231">
        <v>1374.45</v>
      </c>
      <c r="EX220" s="231">
        <v>1361.02</v>
      </c>
      <c r="EY220" s="228">
        <v>13.43</v>
      </c>
      <c r="EZ220" s="229">
        <v>9.9000000000000008E-3</v>
      </c>
      <c r="FA220" s="229">
        <v>0.58560000000000001</v>
      </c>
      <c r="FB220" s="227" t="s">
        <v>567</v>
      </c>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BY330-CC330</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BY394-CC394</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CB11" sqref="CB11"/>
    </sheetView>
  </sheetViews>
  <sheetFormatPr defaultRowHeight="15" x14ac:dyDescent="0.25"/>
  <cols>
    <col min="1" max="1" width="12"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9" customWidth="1"/>
    <col min="80" max="81" width="15.5703125" customWidth="1"/>
    <col min="82" max="82" width="14.85546875" customWidth="1"/>
    <col min="83" max="83" width="11.42578125" customWidth="1"/>
    <col min="84" max="84" width="14" customWidth="1"/>
    <col min="85" max="85" width="14.42578125" customWidth="1"/>
    <col min="86" max="86" width="14" customWidth="1"/>
    <col min="87" max="87" width="11.42578125" customWidth="1"/>
    <col min="88" max="90" width="12.7109375" customWidth="1"/>
    <col min="91" max="91" width="10.140625" customWidth="1"/>
    <col min="92" max="93" width="15.5703125" customWidth="1"/>
    <col min="94" max="94" width="14" customWidth="1"/>
    <col min="95" max="95" width="10.42578125" customWidth="1"/>
    <col min="96" max="97" width="14" customWidth="1"/>
    <col min="98" max="98" width="12.7109375"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4.710937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46132</v>
      </c>
      <c r="B2" s="227" t="s">
        <v>175</v>
      </c>
      <c r="C2" s="227" t="s">
        <v>680</v>
      </c>
      <c r="D2" s="228">
        <v>500</v>
      </c>
      <c r="E2" s="231">
        <v>1101.6500000000001</v>
      </c>
      <c r="F2" s="231">
        <v>1114.6500000000001</v>
      </c>
      <c r="G2" s="228">
        <v>-13</v>
      </c>
      <c r="H2" s="229">
        <v>-1.17E-2</v>
      </c>
      <c r="I2" s="231">
        <v>1109.25</v>
      </c>
      <c r="J2" s="231">
        <v>1113.3</v>
      </c>
      <c r="K2" s="228">
        <v>-4.05</v>
      </c>
      <c r="L2" s="229">
        <v>-3.5999999999999999E-3</v>
      </c>
      <c r="M2" s="231">
        <v>1101.6500000000001</v>
      </c>
      <c r="N2" s="231">
        <v>1114.6500000000001</v>
      </c>
      <c r="O2" s="228">
        <v>-13</v>
      </c>
      <c r="P2" s="229">
        <v>-1.17E-2</v>
      </c>
      <c r="Q2" s="231">
        <v>1100.9000000000001</v>
      </c>
      <c r="R2" s="231">
        <v>1114.3499999999999</v>
      </c>
      <c r="S2" s="228">
        <v>-13.45</v>
      </c>
      <c r="T2" s="229">
        <v>-1.21E-2</v>
      </c>
      <c r="U2" s="231">
        <v>1104</v>
      </c>
      <c r="V2" s="231">
        <v>1114.5999999999999</v>
      </c>
      <c r="W2" s="228">
        <v>-10.6</v>
      </c>
      <c r="X2" s="229">
        <v>-9.4999999999999998E-3</v>
      </c>
      <c r="Y2" s="228">
        <v>-7.6</v>
      </c>
      <c r="Z2" s="228">
        <v>1.35</v>
      </c>
      <c r="AA2" s="228">
        <v>-8.9499999999999993</v>
      </c>
      <c r="AB2" s="229">
        <v>-6.8999999999999999E-3</v>
      </c>
      <c r="AC2" s="228">
        <v>-7.6</v>
      </c>
      <c r="AD2" s="228">
        <v>1.35</v>
      </c>
      <c r="AE2" s="228">
        <v>-8.9499999999999993</v>
      </c>
      <c r="AF2" s="229">
        <v>-6.8999999999999999E-3</v>
      </c>
      <c r="AG2" s="228">
        <v>-8.35</v>
      </c>
      <c r="AH2" s="228">
        <v>1.05</v>
      </c>
      <c r="AI2" s="228">
        <v>-9.4</v>
      </c>
      <c r="AJ2" s="229">
        <v>-7.4999999999999997E-3</v>
      </c>
      <c r="AK2" s="228">
        <v>-5.25</v>
      </c>
      <c r="AL2" s="228">
        <v>1.3</v>
      </c>
      <c r="AM2" s="228">
        <v>-6.55</v>
      </c>
      <c r="AN2" s="229">
        <v>-4.7000000000000002E-3</v>
      </c>
      <c r="AO2" s="231">
        <v>1104.58</v>
      </c>
      <c r="AP2" s="231">
        <v>1102.73</v>
      </c>
      <c r="AQ2" s="228">
        <v>0</v>
      </c>
      <c r="AR2" s="230">
        <v>1073500</v>
      </c>
      <c r="AS2" s="230">
        <v>2520500</v>
      </c>
      <c r="AT2" s="230">
        <v>-1447000</v>
      </c>
      <c r="AU2" s="229">
        <v>-0.57410000000000005</v>
      </c>
      <c r="AV2" s="230">
        <v>982000</v>
      </c>
      <c r="AW2" s="230">
        <v>2398000</v>
      </c>
      <c r="AX2" s="230">
        <v>-1416000</v>
      </c>
      <c r="AY2" s="229">
        <v>-0.59050000000000002</v>
      </c>
      <c r="AZ2" s="230">
        <v>89000</v>
      </c>
      <c r="BA2" s="230">
        <v>118000</v>
      </c>
      <c r="BB2" s="230">
        <v>-29000</v>
      </c>
      <c r="BC2" s="229">
        <v>-0.24579999999999999</v>
      </c>
      <c r="BD2" s="230">
        <v>2500</v>
      </c>
      <c r="BE2" s="230">
        <v>4500</v>
      </c>
      <c r="BF2" s="230">
        <v>-2000</v>
      </c>
      <c r="BG2" s="229">
        <v>-0.44440000000000002</v>
      </c>
      <c r="BH2" s="230">
        <v>3055500</v>
      </c>
      <c r="BI2" s="230">
        <v>5152500</v>
      </c>
      <c r="BJ2" s="230">
        <v>-2097000</v>
      </c>
      <c r="BK2" s="229">
        <v>-0.40699999999999997</v>
      </c>
      <c r="BL2" s="230">
        <v>1212000</v>
      </c>
      <c r="BM2" s="230">
        <v>2794500</v>
      </c>
      <c r="BN2" s="230">
        <v>-1582500</v>
      </c>
      <c r="BO2" s="229">
        <v>-0.56630000000000003</v>
      </c>
      <c r="BP2" s="230">
        <v>5341000</v>
      </c>
      <c r="BQ2" s="230">
        <v>10467500</v>
      </c>
      <c r="BR2" s="230">
        <v>-5126500</v>
      </c>
      <c r="BS2" s="229">
        <v>-0.48980000000000001</v>
      </c>
      <c r="BT2" s="230">
        <v>698617</v>
      </c>
      <c r="BU2" s="230">
        <v>2736312</v>
      </c>
      <c r="BV2" s="230">
        <v>-2037695</v>
      </c>
      <c r="BW2" s="229">
        <v>-0.74470000000000003</v>
      </c>
      <c r="BX2" s="230">
        <v>5682500</v>
      </c>
      <c r="BY2" s="230">
        <v>5905500</v>
      </c>
      <c r="BZ2" s="230">
        <v>-223000</v>
      </c>
      <c r="CA2" s="229">
        <v>-3.78E-2</v>
      </c>
      <c r="CB2" s="230">
        <v>5142500</v>
      </c>
      <c r="CC2" s="230">
        <v>5379500</v>
      </c>
      <c r="CD2" s="230">
        <v>-237000</v>
      </c>
      <c r="CE2" s="229">
        <v>-4.41E-2</v>
      </c>
      <c r="CF2" s="230">
        <v>535500</v>
      </c>
      <c r="CG2" s="230">
        <v>521000</v>
      </c>
      <c r="CH2" s="230">
        <v>14500</v>
      </c>
      <c r="CI2" s="229">
        <v>2.7799999999999998E-2</v>
      </c>
      <c r="CJ2" s="230">
        <v>4500</v>
      </c>
      <c r="CK2" s="230">
        <v>5000</v>
      </c>
      <c r="CL2" s="228">
        <v>-500</v>
      </c>
      <c r="CM2" s="229">
        <v>-0.1</v>
      </c>
      <c r="CN2" s="230">
        <v>1979000</v>
      </c>
      <c r="CO2" s="230">
        <v>1780500</v>
      </c>
      <c r="CP2" s="230">
        <v>198500</v>
      </c>
      <c r="CQ2" s="229">
        <v>0.1115</v>
      </c>
      <c r="CR2" s="230">
        <v>2233500</v>
      </c>
      <c r="CS2" s="230">
        <v>2182000</v>
      </c>
      <c r="CT2" s="230">
        <v>51500</v>
      </c>
      <c r="CU2" s="229">
        <v>2.3599999999999999E-2</v>
      </c>
      <c r="CV2" s="230">
        <v>9895000</v>
      </c>
      <c r="CW2" s="230">
        <v>9868000</v>
      </c>
      <c r="CX2" s="230">
        <v>27000</v>
      </c>
      <c r="CY2" s="229">
        <v>2.7000000000000001E-3</v>
      </c>
      <c r="CZ2" s="228">
        <v>51.66</v>
      </c>
      <c r="DA2" s="228">
        <v>43</v>
      </c>
      <c r="DB2" s="228">
        <v>8.66</v>
      </c>
      <c r="DC2" s="228">
        <v>8.66</v>
      </c>
      <c r="DD2" s="228">
        <v>42.1</v>
      </c>
      <c r="DE2" s="228">
        <v>42.18</v>
      </c>
      <c r="DF2" s="228">
        <v>9.56</v>
      </c>
      <c r="DG2" s="228">
        <v>-0.08</v>
      </c>
      <c r="DH2" s="228">
        <v>50.87</v>
      </c>
      <c r="DI2" s="228">
        <v>42.41</v>
      </c>
      <c r="DJ2" s="228">
        <v>8.4600000000000009</v>
      </c>
      <c r="DK2" s="228">
        <v>8.4600000000000009</v>
      </c>
      <c r="DL2" s="228">
        <v>53.64</v>
      </c>
      <c r="DM2" s="228">
        <v>44.08</v>
      </c>
      <c r="DN2" s="228">
        <v>9.56</v>
      </c>
      <c r="DO2" s="228">
        <v>9.56</v>
      </c>
      <c r="DP2" s="228">
        <v>1.1299999999999999</v>
      </c>
      <c r="DQ2" s="228">
        <v>1.23</v>
      </c>
      <c r="DR2" s="228">
        <v>-0.1</v>
      </c>
      <c r="DS2" s="229">
        <v>-8.1299999999999997E-2</v>
      </c>
      <c r="DT2" s="231">
        <v>1100</v>
      </c>
      <c r="DU2" s="231">
        <v>1000</v>
      </c>
      <c r="DV2" s="228">
        <v>0.4</v>
      </c>
      <c r="DW2" s="228">
        <v>0.54</v>
      </c>
      <c r="DX2" s="228">
        <v>-0.14000000000000001</v>
      </c>
      <c r="DY2" s="229">
        <v>-0.25929999999999997</v>
      </c>
      <c r="DZ2" s="229">
        <v>9.5000000000000001E-2</v>
      </c>
      <c r="EA2" s="230">
        <v>526000</v>
      </c>
      <c r="EB2" s="229">
        <v>-6.9999999999999999E-4</v>
      </c>
      <c r="EC2" s="229">
        <v>9.5000000000000001E-2</v>
      </c>
      <c r="ED2" s="228">
        <v>-1.85</v>
      </c>
      <c r="EE2" s="229">
        <v>-1.6999999999999999E-3</v>
      </c>
      <c r="EF2" s="230">
        <v>333938</v>
      </c>
      <c r="EG2" s="230">
        <v>1560255</v>
      </c>
      <c r="EH2" s="229">
        <v>-0.78600000000000003</v>
      </c>
      <c r="EI2" s="229">
        <v>0.47799999999999998</v>
      </c>
      <c r="EJ2" s="231">
        <v>36440.660000000003</v>
      </c>
      <c r="EK2" s="231">
        <v>12581.51</v>
      </c>
      <c r="EL2" s="231">
        <v>11856.11</v>
      </c>
      <c r="EM2" s="231">
        <v>3295</v>
      </c>
      <c r="EN2" s="231">
        <v>60878.28</v>
      </c>
      <c r="EO2" s="231">
        <v>116702.17</v>
      </c>
      <c r="EP2" s="231">
        <v>-55823.89</v>
      </c>
      <c r="EQ2" s="229">
        <v>-0.4783</v>
      </c>
      <c r="ER2" s="231">
        <v>22227</v>
      </c>
      <c r="ES2" s="231">
        <v>22637</v>
      </c>
      <c r="ET2" s="231">
        <v>62597</v>
      </c>
      <c r="EU2" s="231">
        <v>37756901</v>
      </c>
      <c r="EV2" s="231">
        <v>107461</v>
      </c>
      <c r="EW2" s="231">
        <v>107635</v>
      </c>
      <c r="EX2" s="228">
        <v>-174</v>
      </c>
      <c r="EY2" s="229">
        <v>-1.6000000000000001E-3</v>
      </c>
      <c r="EZ2" s="229">
        <v>0.2621</v>
      </c>
      <c r="FA2" s="227" t="s">
        <v>567</v>
      </c>
      <c r="FB2" s="161">
        <f>BX2-CB2</f>
        <v>540000</v>
      </c>
    </row>
    <row r="3" spans="1:158" ht="17.25" thickBot="1" x14ac:dyDescent="0.3">
      <c r="A3" s="226">
        <v>46132</v>
      </c>
      <c r="B3" s="227" t="s">
        <v>184</v>
      </c>
      <c r="C3" s="227" t="s">
        <v>553</v>
      </c>
      <c r="D3" s="228">
        <v>125</v>
      </c>
      <c r="E3" s="231">
        <v>7150.5</v>
      </c>
      <c r="F3" s="231">
        <v>7037</v>
      </c>
      <c r="G3" s="228">
        <v>113.5</v>
      </c>
      <c r="H3" s="229">
        <v>1.61E-2</v>
      </c>
      <c r="I3" s="231">
        <v>7158</v>
      </c>
      <c r="J3" s="231">
        <v>7029.5</v>
      </c>
      <c r="K3" s="228">
        <v>128.5</v>
      </c>
      <c r="L3" s="229">
        <v>1.83E-2</v>
      </c>
      <c r="M3" s="231">
        <v>7150.5</v>
      </c>
      <c r="N3" s="231">
        <v>7037</v>
      </c>
      <c r="O3" s="228">
        <v>113.5</v>
      </c>
      <c r="P3" s="229">
        <v>1.61E-2</v>
      </c>
      <c r="Q3" s="231">
        <v>7102</v>
      </c>
      <c r="R3" s="231">
        <v>6985</v>
      </c>
      <c r="S3" s="228">
        <v>117</v>
      </c>
      <c r="T3" s="229">
        <v>1.6799999999999999E-2</v>
      </c>
      <c r="U3" s="231">
        <v>7094.5</v>
      </c>
      <c r="V3" s="231">
        <v>6969</v>
      </c>
      <c r="W3" s="228">
        <v>125.5</v>
      </c>
      <c r="X3" s="229">
        <v>1.7999999999999999E-2</v>
      </c>
      <c r="Y3" s="228">
        <v>-7.5</v>
      </c>
      <c r="Z3" s="228">
        <v>7.5</v>
      </c>
      <c r="AA3" s="228">
        <v>-15</v>
      </c>
      <c r="AB3" s="229">
        <v>-1E-3</v>
      </c>
      <c r="AC3" s="228">
        <v>-7.5</v>
      </c>
      <c r="AD3" s="228">
        <v>7.5</v>
      </c>
      <c r="AE3" s="228">
        <v>-15</v>
      </c>
      <c r="AF3" s="229">
        <v>-1E-3</v>
      </c>
      <c r="AG3" s="228">
        <v>-56</v>
      </c>
      <c r="AH3" s="228">
        <v>-44.5</v>
      </c>
      <c r="AI3" s="228">
        <v>-11.5</v>
      </c>
      <c r="AJ3" s="229">
        <v>-7.7999999999999996E-3</v>
      </c>
      <c r="AK3" s="228">
        <v>-63.5</v>
      </c>
      <c r="AL3" s="228">
        <v>-60.5</v>
      </c>
      <c r="AM3" s="228">
        <v>-3</v>
      </c>
      <c r="AN3" s="229">
        <v>-8.8999999999999999E-3</v>
      </c>
      <c r="AO3" s="231">
        <v>7177.66</v>
      </c>
      <c r="AP3" s="231">
        <v>7127.28</v>
      </c>
      <c r="AQ3" s="228">
        <v>0</v>
      </c>
      <c r="AR3" s="230">
        <v>746250</v>
      </c>
      <c r="AS3" s="230">
        <v>624875</v>
      </c>
      <c r="AT3" s="230">
        <v>121375</v>
      </c>
      <c r="AU3" s="229">
        <v>0.19420000000000001</v>
      </c>
      <c r="AV3" s="230">
        <v>593250</v>
      </c>
      <c r="AW3" s="230">
        <v>543375</v>
      </c>
      <c r="AX3" s="230">
        <v>49875</v>
      </c>
      <c r="AY3" s="229">
        <v>9.1800000000000007E-2</v>
      </c>
      <c r="AZ3" s="230">
        <v>142250</v>
      </c>
      <c r="BA3" s="230">
        <v>75375</v>
      </c>
      <c r="BB3" s="230">
        <v>66875</v>
      </c>
      <c r="BC3" s="229">
        <v>0.88719999999999999</v>
      </c>
      <c r="BD3" s="230">
        <v>10750</v>
      </c>
      <c r="BE3" s="230">
        <v>6125</v>
      </c>
      <c r="BF3" s="230">
        <v>4625</v>
      </c>
      <c r="BG3" s="229">
        <v>0.75509999999999999</v>
      </c>
      <c r="BH3" s="230">
        <v>8811625</v>
      </c>
      <c r="BI3" s="230">
        <v>4190375</v>
      </c>
      <c r="BJ3" s="230">
        <v>4621250</v>
      </c>
      <c r="BK3" s="229">
        <v>1.1028</v>
      </c>
      <c r="BL3" s="230">
        <v>3152625</v>
      </c>
      <c r="BM3" s="230">
        <v>1996875</v>
      </c>
      <c r="BN3" s="230">
        <v>1155750</v>
      </c>
      <c r="BO3" s="229">
        <v>0.57879999999999998</v>
      </c>
      <c r="BP3" s="230">
        <v>12710500</v>
      </c>
      <c r="BQ3" s="230">
        <v>6812125</v>
      </c>
      <c r="BR3" s="230">
        <v>5898375</v>
      </c>
      <c r="BS3" s="229">
        <v>0.8659</v>
      </c>
      <c r="BT3" s="230">
        <v>586941</v>
      </c>
      <c r="BU3" s="230">
        <v>576988</v>
      </c>
      <c r="BV3" s="230">
        <v>9953</v>
      </c>
      <c r="BW3" s="229">
        <v>1.72E-2</v>
      </c>
      <c r="BX3" s="230">
        <v>2419750</v>
      </c>
      <c r="BY3" s="230">
        <v>2403125</v>
      </c>
      <c r="BZ3" s="230">
        <v>16625</v>
      </c>
      <c r="CA3" s="229">
        <v>6.8999999999999999E-3</v>
      </c>
      <c r="CB3" s="230">
        <v>2228000</v>
      </c>
      <c r="CC3" s="230">
        <v>2247250</v>
      </c>
      <c r="CD3" s="230">
        <v>-19250</v>
      </c>
      <c r="CE3" s="229">
        <v>-8.6E-3</v>
      </c>
      <c r="CF3" s="230">
        <v>173125</v>
      </c>
      <c r="CG3" s="230">
        <v>137625</v>
      </c>
      <c r="CH3" s="230">
        <v>35500</v>
      </c>
      <c r="CI3" s="229">
        <v>0.25790000000000002</v>
      </c>
      <c r="CJ3" s="230">
        <v>18625</v>
      </c>
      <c r="CK3" s="230">
        <v>18250</v>
      </c>
      <c r="CL3" s="228">
        <v>375</v>
      </c>
      <c r="CM3" s="229">
        <v>2.0500000000000001E-2</v>
      </c>
      <c r="CN3" s="230">
        <v>1425750</v>
      </c>
      <c r="CO3" s="230">
        <v>999500</v>
      </c>
      <c r="CP3" s="230">
        <v>426250</v>
      </c>
      <c r="CQ3" s="229">
        <v>0.42649999999999999</v>
      </c>
      <c r="CR3" s="230">
        <v>1297875</v>
      </c>
      <c r="CS3" s="230">
        <v>1131500</v>
      </c>
      <c r="CT3" s="230">
        <v>166375</v>
      </c>
      <c r="CU3" s="229">
        <v>0.14699999999999999</v>
      </c>
      <c r="CV3" s="230">
        <v>5143375</v>
      </c>
      <c r="CW3" s="230">
        <v>4534125</v>
      </c>
      <c r="CX3" s="230">
        <v>609250</v>
      </c>
      <c r="CY3" s="229">
        <v>0.13439999999999999</v>
      </c>
      <c r="CZ3" s="228">
        <v>39.119999999999997</v>
      </c>
      <c r="DA3" s="228">
        <v>33.28</v>
      </c>
      <c r="DB3" s="228">
        <v>5.84</v>
      </c>
      <c r="DC3" s="228">
        <v>5.84</v>
      </c>
      <c r="DD3" s="228">
        <v>37.090000000000003</v>
      </c>
      <c r="DE3" s="228">
        <v>37.11</v>
      </c>
      <c r="DF3" s="228">
        <v>2.0299999999999998</v>
      </c>
      <c r="DG3" s="228">
        <v>-0.02</v>
      </c>
      <c r="DH3" s="228">
        <v>38.549999999999997</v>
      </c>
      <c r="DI3" s="228">
        <v>31.92</v>
      </c>
      <c r="DJ3" s="228">
        <v>6.63</v>
      </c>
      <c r="DK3" s="228">
        <v>6.63</v>
      </c>
      <c r="DL3" s="228">
        <v>40.71</v>
      </c>
      <c r="DM3" s="228">
        <v>36.119999999999997</v>
      </c>
      <c r="DN3" s="228">
        <v>4.59</v>
      </c>
      <c r="DO3" s="228">
        <v>4.59</v>
      </c>
      <c r="DP3" s="228">
        <v>0.91</v>
      </c>
      <c r="DQ3" s="228">
        <v>1.1299999999999999</v>
      </c>
      <c r="DR3" s="228">
        <v>-0.22</v>
      </c>
      <c r="DS3" s="229">
        <v>-0.19470000000000001</v>
      </c>
      <c r="DT3" s="231">
        <v>7500</v>
      </c>
      <c r="DU3" s="231">
        <v>7000</v>
      </c>
      <c r="DV3" s="228">
        <v>0.36</v>
      </c>
      <c r="DW3" s="228">
        <v>0.48</v>
      </c>
      <c r="DX3" s="228">
        <v>-0.12</v>
      </c>
      <c r="DY3" s="229">
        <v>-0.25</v>
      </c>
      <c r="DZ3" s="229">
        <v>7.9200000000000007E-2</v>
      </c>
      <c r="EA3" s="230">
        <v>155875</v>
      </c>
      <c r="EB3" s="229">
        <v>-6.7999999999999996E-3</v>
      </c>
      <c r="EC3" s="229">
        <v>7.9200000000000007E-2</v>
      </c>
      <c r="ED3" s="228">
        <v>-50.38</v>
      </c>
      <c r="EE3" s="229">
        <v>-7.0000000000000001E-3</v>
      </c>
      <c r="EF3" s="230">
        <v>212314</v>
      </c>
      <c r="EG3" s="230">
        <v>246166</v>
      </c>
      <c r="EH3" s="229">
        <v>-0.13750000000000001</v>
      </c>
      <c r="EI3" s="229">
        <v>0.36170000000000002</v>
      </c>
      <c r="EJ3" s="231">
        <v>660185.41</v>
      </c>
      <c r="EK3" s="231">
        <v>218406.96</v>
      </c>
      <c r="EL3" s="231">
        <v>53485.26</v>
      </c>
      <c r="EM3" s="231">
        <v>4689</v>
      </c>
      <c r="EN3" s="231">
        <v>932077.63</v>
      </c>
      <c r="EO3" s="231">
        <v>483158.43</v>
      </c>
      <c r="EP3" s="231">
        <v>448919.2</v>
      </c>
      <c r="EQ3" s="229">
        <v>0.92910000000000004</v>
      </c>
      <c r="ER3" s="231">
        <v>102386</v>
      </c>
      <c r="ES3" s="231">
        <v>84512</v>
      </c>
      <c r="ET3" s="231">
        <v>172930</v>
      </c>
      <c r="EU3" s="231">
        <v>7946564</v>
      </c>
      <c r="EV3" s="231">
        <v>359828</v>
      </c>
      <c r="EW3" s="231">
        <v>310686</v>
      </c>
      <c r="EX3" s="231">
        <v>49142</v>
      </c>
      <c r="EY3" s="229">
        <v>0.15820000000000001</v>
      </c>
      <c r="EZ3" s="229">
        <v>0.6472</v>
      </c>
      <c r="FA3" s="227" t="s">
        <v>555</v>
      </c>
      <c r="FB3" s="161">
        <f t="shared" ref="FB3:FB66" si="0">BX3-CB3</f>
        <v>191750</v>
      </c>
    </row>
    <row r="4" spans="1:158" ht="17.25" thickBot="1" x14ac:dyDescent="0.3">
      <c r="A4" s="226">
        <v>46132</v>
      </c>
      <c r="B4" s="227" t="s">
        <v>175</v>
      </c>
      <c r="C4" s="227" t="s">
        <v>544</v>
      </c>
      <c r="D4" s="228">
        <v>3100</v>
      </c>
      <c r="E4" s="228">
        <v>341</v>
      </c>
      <c r="F4" s="228">
        <v>340.8</v>
      </c>
      <c r="G4" s="228">
        <v>0.2</v>
      </c>
      <c r="H4" s="229">
        <v>5.9999999999999995E-4</v>
      </c>
      <c r="I4" s="228">
        <v>341.6</v>
      </c>
      <c r="J4" s="228">
        <v>340.4</v>
      </c>
      <c r="K4" s="228">
        <v>1.2</v>
      </c>
      <c r="L4" s="229">
        <v>3.5000000000000001E-3</v>
      </c>
      <c r="M4" s="228">
        <v>341</v>
      </c>
      <c r="N4" s="228">
        <v>340.8</v>
      </c>
      <c r="O4" s="228">
        <v>0.2</v>
      </c>
      <c r="P4" s="229">
        <v>5.9999999999999995E-4</v>
      </c>
      <c r="Q4" s="228">
        <v>342.55</v>
      </c>
      <c r="R4" s="228">
        <v>343.1</v>
      </c>
      <c r="S4" s="228">
        <v>-0.55000000000000004</v>
      </c>
      <c r="T4" s="229">
        <v>-1.6000000000000001E-3</v>
      </c>
      <c r="U4" s="228">
        <v>345.25</v>
      </c>
      <c r="V4" s="228">
        <v>345.15</v>
      </c>
      <c r="W4" s="228">
        <v>0.1</v>
      </c>
      <c r="X4" s="229">
        <v>2.9999999999999997E-4</v>
      </c>
      <c r="Y4" s="228">
        <v>-0.6</v>
      </c>
      <c r="Z4" s="228">
        <v>0.4</v>
      </c>
      <c r="AA4" s="228">
        <v>-1</v>
      </c>
      <c r="AB4" s="229">
        <v>-1.8E-3</v>
      </c>
      <c r="AC4" s="228">
        <v>-0.6</v>
      </c>
      <c r="AD4" s="228">
        <v>0.4</v>
      </c>
      <c r="AE4" s="228">
        <v>-1</v>
      </c>
      <c r="AF4" s="229">
        <v>-1.8E-3</v>
      </c>
      <c r="AG4" s="228">
        <v>0.95</v>
      </c>
      <c r="AH4" s="228">
        <v>2.7</v>
      </c>
      <c r="AI4" s="228">
        <v>-1.75</v>
      </c>
      <c r="AJ4" s="229">
        <v>2.8E-3</v>
      </c>
      <c r="AK4" s="228">
        <v>3.65</v>
      </c>
      <c r="AL4" s="228">
        <v>4.75</v>
      </c>
      <c r="AM4" s="228">
        <v>-1.1000000000000001</v>
      </c>
      <c r="AN4" s="229">
        <v>1.0699999999999999E-2</v>
      </c>
      <c r="AO4" s="228">
        <v>341.65</v>
      </c>
      <c r="AP4" s="228">
        <v>343.84</v>
      </c>
      <c r="AQ4" s="228">
        <v>0</v>
      </c>
      <c r="AR4" s="230">
        <v>5319600</v>
      </c>
      <c r="AS4" s="230">
        <v>6472800</v>
      </c>
      <c r="AT4" s="230">
        <v>-1153200</v>
      </c>
      <c r="AU4" s="229">
        <v>-0.1782</v>
      </c>
      <c r="AV4" s="230">
        <v>4929000</v>
      </c>
      <c r="AW4" s="230">
        <v>6017100</v>
      </c>
      <c r="AX4" s="230">
        <v>-1088100</v>
      </c>
      <c r="AY4" s="229">
        <v>-0.18079999999999999</v>
      </c>
      <c r="AZ4" s="230">
        <v>359600</v>
      </c>
      <c r="BA4" s="230">
        <v>396800</v>
      </c>
      <c r="BB4" s="230">
        <v>-37200</v>
      </c>
      <c r="BC4" s="229">
        <v>-9.3799999999999994E-2</v>
      </c>
      <c r="BD4" s="230">
        <v>31000</v>
      </c>
      <c r="BE4" s="230">
        <v>58900</v>
      </c>
      <c r="BF4" s="230">
        <v>-27900</v>
      </c>
      <c r="BG4" s="229">
        <v>-0.47370000000000001</v>
      </c>
      <c r="BH4" s="230">
        <v>23051600</v>
      </c>
      <c r="BI4" s="230">
        <v>53651700</v>
      </c>
      <c r="BJ4" s="230">
        <v>-30600100</v>
      </c>
      <c r="BK4" s="229">
        <v>-0.57030000000000003</v>
      </c>
      <c r="BL4" s="230">
        <v>10481100</v>
      </c>
      <c r="BM4" s="230">
        <v>12703800</v>
      </c>
      <c r="BN4" s="230">
        <v>-2222700</v>
      </c>
      <c r="BO4" s="229">
        <v>-0.17499999999999999</v>
      </c>
      <c r="BP4" s="230">
        <v>38852300</v>
      </c>
      <c r="BQ4" s="230">
        <v>72828300</v>
      </c>
      <c r="BR4" s="230">
        <v>-33976000</v>
      </c>
      <c r="BS4" s="229">
        <v>-0.46650000000000003</v>
      </c>
      <c r="BT4" s="230">
        <v>4181075</v>
      </c>
      <c r="BU4" s="230">
        <v>2816760</v>
      </c>
      <c r="BV4" s="230">
        <v>1364315</v>
      </c>
      <c r="BW4" s="229">
        <v>0.4844</v>
      </c>
      <c r="BX4" s="230">
        <v>42197200</v>
      </c>
      <c r="BY4" s="230">
        <v>43542600</v>
      </c>
      <c r="BZ4" s="230">
        <v>-1345400</v>
      </c>
      <c r="CA4" s="229">
        <v>-3.09E-2</v>
      </c>
      <c r="CB4" s="230">
        <v>41112200</v>
      </c>
      <c r="CC4" s="230">
        <v>42559900</v>
      </c>
      <c r="CD4" s="230">
        <v>-1447700</v>
      </c>
      <c r="CE4" s="229">
        <v>-3.4000000000000002E-2</v>
      </c>
      <c r="CF4" s="230">
        <v>967200</v>
      </c>
      <c r="CG4" s="230">
        <v>864900</v>
      </c>
      <c r="CH4" s="230">
        <v>102300</v>
      </c>
      <c r="CI4" s="229">
        <v>0.1183</v>
      </c>
      <c r="CJ4" s="230">
        <v>117800</v>
      </c>
      <c r="CK4" s="230">
        <v>117800</v>
      </c>
      <c r="CL4" s="228">
        <v>0</v>
      </c>
      <c r="CM4" s="229">
        <v>0</v>
      </c>
      <c r="CN4" s="230">
        <v>14232100</v>
      </c>
      <c r="CO4" s="230">
        <v>16433100</v>
      </c>
      <c r="CP4" s="230">
        <v>-2201000</v>
      </c>
      <c r="CQ4" s="229">
        <v>-0.13389999999999999</v>
      </c>
      <c r="CR4" s="230">
        <v>9582100</v>
      </c>
      <c r="CS4" s="230">
        <v>10099800</v>
      </c>
      <c r="CT4" s="230">
        <v>-517700</v>
      </c>
      <c r="CU4" s="229">
        <v>-5.1299999999999998E-2</v>
      </c>
      <c r="CV4" s="230">
        <v>66011400</v>
      </c>
      <c r="CW4" s="230">
        <v>70075500</v>
      </c>
      <c r="CX4" s="230">
        <v>-4064100</v>
      </c>
      <c r="CY4" s="229">
        <v>-5.8000000000000003E-2</v>
      </c>
      <c r="CZ4" s="228">
        <v>42.57</v>
      </c>
      <c r="DA4" s="228">
        <v>40.07</v>
      </c>
      <c r="DB4" s="228">
        <v>2.5</v>
      </c>
      <c r="DC4" s="228">
        <v>2.5</v>
      </c>
      <c r="DD4" s="228">
        <v>41.39</v>
      </c>
      <c r="DE4" s="228">
        <v>41.5</v>
      </c>
      <c r="DF4" s="228">
        <v>1.18</v>
      </c>
      <c r="DG4" s="228">
        <v>-0.11</v>
      </c>
      <c r="DH4" s="228">
        <v>41.91</v>
      </c>
      <c r="DI4" s="228">
        <v>39.83</v>
      </c>
      <c r="DJ4" s="228">
        <v>2.08</v>
      </c>
      <c r="DK4" s="228">
        <v>2.08</v>
      </c>
      <c r="DL4" s="228">
        <v>44.03</v>
      </c>
      <c r="DM4" s="228">
        <v>41.09</v>
      </c>
      <c r="DN4" s="228">
        <v>2.94</v>
      </c>
      <c r="DO4" s="228">
        <v>2.94</v>
      </c>
      <c r="DP4" s="228">
        <v>0.67</v>
      </c>
      <c r="DQ4" s="228">
        <v>0.61</v>
      </c>
      <c r="DR4" s="228">
        <v>0.06</v>
      </c>
      <c r="DS4" s="229">
        <v>9.8400000000000001E-2</v>
      </c>
      <c r="DT4" s="228">
        <v>355</v>
      </c>
      <c r="DU4" s="228">
        <v>320</v>
      </c>
      <c r="DV4" s="228">
        <v>0.45</v>
      </c>
      <c r="DW4" s="228">
        <v>0.24</v>
      </c>
      <c r="DX4" s="228">
        <v>0.21</v>
      </c>
      <c r="DY4" s="229">
        <v>0.875</v>
      </c>
      <c r="DZ4" s="229">
        <v>2.5700000000000001E-2</v>
      </c>
      <c r="EA4" s="230">
        <v>982700</v>
      </c>
      <c r="EB4" s="229">
        <v>4.4999999999999997E-3</v>
      </c>
      <c r="EC4" s="229">
        <v>2.5700000000000001E-2</v>
      </c>
      <c r="ED4" s="228">
        <v>2.19</v>
      </c>
      <c r="EE4" s="229">
        <v>6.4000000000000003E-3</v>
      </c>
      <c r="EF4" s="230">
        <v>2127410</v>
      </c>
      <c r="EG4" s="230">
        <v>1159984</v>
      </c>
      <c r="EH4" s="229">
        <v>0.83399999999999996</v>
      </c>
      <c r="EI4" s="229">
        <v>0.50880000000000003</v>
      </c>
      <c r="EJ4" s="231">
        <v>82679.37</v>
      </c>
      <c r="EK4" s="231">
        <v>34755.660000000003</v>
      </c>
      <c r="EL4" s="231">
        <v>18183.169999999998</v>
      </c>
      <c r="EM4" s="231">
        <v>2368</v>
      </c>
      <c r="EN4" s="231">
        <v>135618.20000000001</v>
      </c>
      <c r="EO4" s="231">
        <v>255518.58</v>
      </c>
      <c r="EP4" s="231">
        <v>-119900.38</v>
      </c>
      <c r="EQ4" s="229">
        <v>-0.46920000000000001</v>
      </c>
      <c r="ER4" s="231">
        <v>49168</v>
      </c>
      <c r="ES4" s="231">
        <v>30197</v>
      </c>
      <c r="ET4" s="231">
        <v>143912</v>
      </c>
      <c r="EU4" s="231">
        <v>123369777</v>
      </c>
      <c r="EV4" s="231">
        <v>223278</v>
      </c>
      <c r="EW4" s="231">
        <v>237149</v>
      </c>
      <c r="EX4" s="231">
        <v>-13871</v>
      </c>
      <c r="EY4" s="229">
        <v>-5.8500000000000003E-2</v>
      </c>
      <c r="EZ4" s="229">
        <v>0.53510000000000002</v>
      </c>
      <c r="FA4" s="227" t="s">
        <v>693</v>
      </c>
      <c r="FB4" s="161">
        <f t="shared" si="0"/>
        <v>1085000</v>
      </c>
    </row>
    <row r="5" spans="1:158" ht="17.25" thickBot="1" x14ac:dyDescent="0.3">
      <c r="A5" s="226">
        <v>46132</v>
      </c>
      <c r="B5" s="227" t="s">
        <v>161</v>
      </c>
      <c r="C5" s="227" t="s">
        <v>578</v>
      </c>
      <c r="D5" s="228">
        <v>675</v>
      </c>
      <c r="E5" s="231">
        <v>1258.3</v>
      </c>
      <c r="F5" s="231">
        <v>1261.7</v>
      </c>
      <c r="G5" s="228">
        <v>-3.4</v>
      </c>
      <c r="H5" s="229">
        <v>-2.7000000000000001E-3</v>
      </c>
      <c r="I5" s="231">
        <v>1259.4000000000001</v>
      </c>
      <c r="J5" s="231">
        <v>1259.8</v>
      </c>
      <c r="K5" s="228">
        <v>-0.4</v>
      </c>
      <c r="L5" s="229">
        <v>-2.9999999999999997E-4</v>
      </c>
      <c r="M5" s="231">
        <v>1258.3</v>
      </c>
      <c r="N5" s="231">
        <v>1261.7</v>
      </c>
      <c r="O5" s="228">
        <v>-3.4</v>
      </c>
      <c r="P5" s="229">
        <v>-2.7000000000000001E-3</v>
      </c>
      <c r="Q5" s="231">
        <v>1263.5</v>
      </c>
      <c r="R5" s="231">
        <v>1267.7</v>
      </c>
      <c r="S5" s="228">
        <v>-4.2</v>
      </c>
      <c r="T5" s="229">
        <v>-3.3E-3</v>
      </c>
      <c r="U5" s="231">
        <v>1272.4000000000001</v>
      </c>
      <c r="V5" s="231">
        <v>1272.6500000000001</v>
      </c>
      <c r="W5" s="228">
        <v>-0.25</v>
      </c>
      <c r="X5" s="229">
        <v>-2.0000000000000001E-4</v>
      </c>
      <c r="Y5" s="228">
        <v>-1.1000000000000001</v>
      </c>
      <c r="Z5" s="228">
        <v>1.9</v>
      </c>
      <c r="AA5" s="228">
        <v>-3</v>
      </c>
      <c r="AB5" s="229">
        <v>-8.9999999999999998E-4</v>
      </c>
      <c r="AC5" s="228">
        <v>-1.1000000000000001</v>
      </c>
      <c r="AD5" s="228">
        <v>1.9</v>
      </c>
      <c r="AE5" s="228">
        <v>-3</v>
      </c>
      <c r="AF5" s="229">
        <v>-8.9999999999999998E-4</v>
      </c>
      <c r="AG5" s="228">
        <v>4.0999999999999996</v>
      </c>
      <c r="AH5" s="228">
        <v>7.9</v>
      </c>
      <c r="AI5" s="228">
        <v>-3.8</v>
      </c>
      <c r="AJ5" s="229">
        <v>3.3E-3</v>
      </c>
      <c r="AK5" s="228">
        <v>13</v>
      </c>
      <c r="AL5" s="228">
        <v>12.85</v>
      </c>
      <c r="AM5" s="228">
        <v>0.15</v>
      </c>
      <c r="AN5" s="229">
        <v>1.03E-2</v>
      </c>
      <c r="AO5" s="231">
        <v>1265.07</v>
      </c>
      <c r="AP5" s="231">
        <v>1274.1199999999999</v>
      </c>
      <c r="AQ5" s="228">
        <v>0</v>
      </c>
      <c r="AR5" s="230">
        <v>2870100</v>
      </c>
      <c r="AS5" s="230">
        <v>6612300</v>
      </c>
      <c r="AT5" s="230">
        <v>-3742200</v>
      </c>
      <c r="AU5" s="229">
        <v>-0.56589999999999996</v>
      </c>
      <c r="AV5" s="230">
        <v>2659500</v>
      </c>
      <c r="AW5" s="230">
        <v>6301800</v>
      </c>
      <c r="AX5" s="230">
        <v>-3642300</v>
      </c>
      <c r="AY5" s="229">
        <v>-0.57799999999999996</v>
      </c>
      <c r="AZ5" s="230">
        <v>195075</v>
      </c>
      <c r="BA5" s="230">
        <v>291600</v>
      </c>
      <c r="BB5" s="230">
        <v>-96525</v>
      </c>
      <c r="BC5" s="229">
        <v>-0.33100000000000002</v>
      </c>
      <c r="BD5" s="230">
        <v>15525</v>
      </c>
      <c r="BE5" s="230">
        <v>18900</v>
      </c>
      <c r="BF5" s="230">
        <v>-3375</v>
      </c>
      <c r="BG5" s="229">
        <v>-0.17860000000000001</v>
      </c>
      <c r="BH5" s="230">
        <v>9381150</v>
      </c>
      <c r="BI5" s="230">
        <v>12719025</v>
      </c>
      <c r="BJ5" s="230">
        <v>-3337875</v>
      </c>
      <c r="BK5" s="229">
        <v>-0.26240000000000002</v>
      </c>
      <c r="BL5" s="230">
        <v>3597075</v>
      </c>
      <c r="BM5" s="230">
        <v>6996375</v>
      </c>
      <c r="BN5" s="230">
        <v>-3399300</v>
      </c>
      <c r="BO5" s="229">
        <v>-0.4859</v>
      </c>
      <c r="BP5" s="230">
        <v>15848325</v>
      </c>
      <c r="BQ5" s="230">
        <v>26327700</v>
      </c>
      <c r="BR5" s="230">
        <v>-10479375</v>
      </c>
      <c r="BS5" s="229">
        <v>-0.39800000000000002</v>
      </c>
      <c r="BT5" s="230">
        <v>2442352</v>
      </c>
      <c r="BU5" s="230">
        <v>5133355</v>
      </c>
      <c r="BV5" s="230">
        <v>-2691003</v>
      </c>
      <c r="BW5" s="229">
        <v>-0.5242</v>
      </c>
      <c r="BX5" s="230">
        <v>22454550</v>
      </c>
      <c r="BY5" s="230">
        <v>23224725</v>
      </c>
      <c r="BZ5" s="230">
        <v>-770175</v>
      </c>
      <c r="CA5" s="229">
        <v>-3.32E-2</v>
      </c>
      <c r="CB5" s="230">
        <v>19172025</v>
      </c>
      <c r="CC5" s="230">
        <v>19971225</v>
      </c>
      <c r="CD5" s="230">
        <v>-799200</v>
      </c>
      <c r="CE5" s="229">
        <v>-0.04</v>
      </c>
      <c r="CF5" s="230">
        <v>3250800</v>
      </c>
      <c r="CG5" s="230">
        <v>3222450</v>
      </c>
      <c r="CH5" s="230">
        <v>28350</v>
      </c>
      <c r="CI5" s="229">
        <v>8.8000000000000005E-3</v>
      </c>
      <c r="CJ5" s="230">
        <v>31725</v>
      </c>
      <c r="CK5" s="230">
        <v>31050</v>
      </c>
      <c r="CL5" s="228">
        <v>675</v>
      </c>
      <c r="CM5" s="229">
        <v>2.1700000000000001E-2</v>
      </c>
      <c r="CN5" s="230">
        <v>4276800</v>
      </c>
      <c r="CO5" s="230">
        <v>3996675</v>
      </c>
      <c r="CP5" s="230">
        <v>280125</v>
      </c>
      <c r="CQ5" s="229">
        <v>7.0099999999999996E-2</v>
      </c>
      <c r="CR5" s="230">
        <v>2729700</v>
      </c>
      <c r="CS5" s="230">
        <v>2743875</v>
      </c>
      <c r="CT5" s="230">
        <v>-14175</v>
      </c>
      <c r="CU5" s="229">
        <v>-5.1999999999999998E-3</v>
      </c>
      <c r="CV5" s="230">
        <v>29461050</v>
      </c>
      <c r="CW5" s="230">
        <v>29965275</v>
      </c>
      <c r="CX5" s="230">
        <v>-504225</v>
      </c>
      <c r="CY5" s="229">
        <v>-1.6799999999999999E-2</v>
      </c>
      <c r="CZ5" s="228">
        <v>55.23</v>
      </c>
      <c r="DA5" s="228">
        <v>49.08</v>
      </c>
      <c r="DB5" s="228">
        <v>6.15</v>
      </c>
      <c r="DC5" s="228">
        <v>6.15</v>
      </c>
      <c r="DD5" s="228">
        <v>55.67</v>
      </c>
      <c r="DE5" s="228">
        <v>55.81</v>
      </c>
      <c r="DF5" s="228">
        <v>-0.44</v>
      </c>
      <c r="DG5" s="228">
        <v>-0.14000000000000001</v>
      </c>
      <c r="DH5" s="228">
        <v>55.51</v>
      </c>
      <c r="DI5" s="228">
        <v>47.23</v>
      </c>
      <c r="DJ5" s="228">
        <v>8.2799999999999994</v>
      </c>
      <c r="DK5" s="228">
        <v>8.2799999999999994</v>
      </c>
      <c r="DL5" s="228">
        <v>54.49</v>
      </c>
      <c r="DM5" s="228">
        <v>52.43</v>
      </c>
      <c r="DN5" s="228">
        <v>2.06</v>
      </c>
      <c r="DO5" s="228">
        <v>2.06</v>
      </c>
      <c r="DP5" s="228">
        <v>0.64</v>
      </c>
      <c r="DQ5" s="228">
        <v>0.69</v>
      </c>
      <c r="DR5" s="228">
        <v>-0.05</v>
      </c>
      <c r="DS5" s="229">
        <v>-7.2499999999999995E-2</v>
      </c>
      <c r="DT5" s="231">
        <v>1200</v>
      </c>
      <c r="DU5" s="231">
        <v>1200</v>
      </c>
      <c r="DV5" s="228">
        <v>0.38</v>
      </c>
      <c r="DW5" s="228">
        <v>0.55000000000000004</v>
      </c>
      <c r="DX5" s="228">
        <v>-0.17</v>
      </c>
      <c r="DY5" s="229">
        <v>-0.30909999999999999</v>
      </c>
      <c r="DZ5" s="229">
        <v>0.1462</v>
      </c>
      <c r="EA5" s="230">
        <v>3253500</v>
      </c>
      <c r="EB5" s="229">
        <v>4.1000000000000003E-3</v>
      </c>
      <c r="EC5" s="229">
        <v>0.1462</v>
      </c>
      <c r="ED5" s="228">
        <v>9.0500000000000007</v>
      </c>
      <c r="EE5" s="229">
        <v>7.1999999999999998E-3</v>
      </c>
      <c r="EF5" s="230">
        <v>845670</v>
      </c>
      <c r="EG5" s="230">
        <v>2719746</v>
      </c>
      <c r="EH5" s="229">
        <v>-0.68910000000000005</v>
      </c>
      <c r="EI5" s="229">
        <v>0.3463</v>
      </c>
      <c r="EJ5" s="231">
        <v>126421.99</v>
      </c>
      <c r="EK5" s="231">
        <v>44185.85</v>
      </c>
      <c r="EL5" s="231">
        <v>36328.629999999997</v>
      </c>
      <c r="EM5" s="231">
        <v>6128</v>
      </c>
      <c r="EN5" s="231">
        <v>206936.47</v>
      </c>
      <c r="EO5" s="231">
        <v>332675.15000000002</v>
      </c>
      <c r="EP5" s="231">
        <v>-125738.68</v>
      </c>
      <c r="EQ5" s="229">
        <v>-0.378</v>
      </c>
      <c r="ER5" s="231">
        <v>50071</v>
      </c>
      <c r="ES5" s="231">
        <v>29590</v>
      </c>
      <c r="ET5" s="231">
        <v>282719</v>
      </c>
      <c r="EU5" s="231">
        <v>35196587</v>
      </c>
      <c r="EV5" s="231">
        <v>362380</v>
      </c>
      <c r="EW5" s="231">
        <v>368888</v>
      </c>
      <c r="EX5" s="231">
        <v>-6508</v>
      </c>
      <c r="EY5" s="229">
        <v>-1.7600000000000001E-2</v>
      </c>
      <c r="EZ5" s="229">
        <v>0.83699999999999997</v>
      </c>
      <c r="FA5" s="227" t="s">
        <v>567</v>
      </c>
      <c r="FB5" s="161">
        <f t="shared" si="0"/>
        <v>3282525</v>
      </c>
    </row>
    <row r="6" spans="1:158" ht="17.25" thickBot="1" x14ac:dyDescent="0.3">
      <c r="A6" s="226">
        <v>46132</v>
      </c>
      <c r="B6" s="227" t="s">
        <v>215</v>
      </c>
      <c r="C6" s="227" t="s">
        <v>159</v>
      </c>
      <c r="D6" s="228">
        <v>309</v>
      </c>
      <c r="E6" s="231">
        <v>2230.5</v>
      </c>
      <c r="F6" s="231">
        <v>2224.9</v>
      </c>
      <c r="G6" s="228">
        <v>5.6</v>
      </c>
      <c r="H6" s="229">
        <v>2.5000000000000001E-3</v>
      </c>
      <c r="I6" s="231">
        <v>2229.6</v>
      </c>
      <c r="J6" s="231">
        <v>2218.3000000000002</v>
      </c>
      <c r="K6" s="228">
        <v>11.3</v>
      </c>
      <c r="L6" s="229">
        <v>5.1000000000000004E-3</v>
      </c>
      <c r="M6" s="231">
        <v>2230.5</v>
      </c>
      <c r="N6" s="231">
        <v>2224.9</v>
      </c>
      <c r="O6" s="228">
        <v>5.6</v>
      </c>
      <c r="P6" s="229">
        <v>2.5000000000000001E-3</v>
      </c>
      <c r="Q6" s="231">
        <v>2243.6</v>
      </c>
      <c r="R6" s="231">
        <v>2237.6999999999998</v>
      </c>
      <c r="S6" s="228">
        <v>5.9</v>
      </c>
      <c r="T6" s="229">
        <v>2.5999999999999999E-3</v>
      </c>
      <c r="U6" s="231">
        <v>2257.3000000000002</v>
      </c>
      <c r="V6" s="231">
        <v>2249.9</v>
      </c>
      <c r="W6" s="228">
        <v>7.4</v>
      </c>
      <c r="X6" s="229">
        <v>3.3E-3</v>
      </c>
      <c r="Y6" s="228">
        <v>0.9</v>
      </c>
      <c r="Z6" s="228">
        <v>6.6</v>
      </c>
      <c r="AA6" s="228">
        <v>-5.7</v>
      </c>
      <c r="AB6" s="229">
        <v>4.0000000000000002E-4</v>
      </c>
      <c r="AC6" s="228">
        <v>0.9</v>
      </c>
      <c r="AD6" s="228">
        <v>6.6</v>
      </c>
      <c r="AE6" s="228">
        <v>-5.7</v>
      </c>
      <c r="AF6" s="229">
        <v>4.0000000000000002E-4</v>
      </c>
      <c r="AG6" s="228">
        <v>14</v>
      </c>
      <c r="AH6" s="228">
        <v>19.399999999999999</v>
      </c>
      <c r="AI6" s="228">
        <v>-5.4</v>
      </c>
      <c r="AJ6" s="229">
        <v>6.3E-3</v>
      </c>
      <c r="AK6" s="228">
        <v>27.7</v>
      </c>
      <c r="AL6" s="228">
        <v>31.6</v>
      </c>
      <c r="AM6" s="228">
        <v>-3.9</v>
      </c>
      <c r="AN6" s="229">
        <v>1.24E-2</v>
      </c>
      <c r="AO6" s="231">
        <v>2248.11</v>
      </c>
      <c r="AP6" s="231">
        <v>2256.9</v>
      </c>
      <c r="AQ6" s="228">
        <v>0</v>
      </c>
      <c r="AR6" s="230">
        <v>3426810</v>
      </c>
      <c r="AS6" s="230">
        <v>3433608</v>
      </c>
      <c r="AT6" s="230">
        <v>-6798</v>
      </c>
      <c r="AU6" s="229">
        <v>-2E-3</v>
      </c>
      <c r="AV6" s="230">
        <v>2636697</v>
      </c>
      <c r="AW6" s="230">
        <v>2808810</v>
      </c>
      <c r="AX6" s="230">
        <v>-172113</v>
      </c>
      <c r="AY6" s="229">
        <v>-6.13E-2</v>
      </c>
      <c r="AZ6" s="230">
        <v>744072</v>
      </c>
      <c r="BA6" s="230">
        <v>578757</v>
      </c>
      <c r="BB6" s="230">
        <v>165315</v>
      </c>
      <c r="BC6" s="229">
        <v>0.28560000000000002</v>
      </c>
      <c r="BD6" s="230">
        <v>46041</v>
      </c>
      <c r="BE6" s="230">
        <v>46041</v>
      </c>
      <c r="BF6" s="228">
        <v>0</v>
      </c>
      <c r="BG6" s="229">
        <v>0</v>
      </c>
      <c r="BH6" s="230">
        <v>14348724</v>
      </c>
      <c r="BI6" s="230">
        <v>14176302</v>
      </c>
      <c r="BJ6" s="230">
        <v>172422</v>
      </c>
      <c r="BK6" s="229">
        <v>1.2200000000000001E-2</v>
      </c>
      <c r="BL6" s="230">
        <v>7424034</v>
      </c>
      <c r="BM6" s="230">
        <v>6814068</v>
      </c>
      <c r="BN6" s="230">
        <v>609966</v>
      </c>
      <c r="BO6" s="229">
        <v>8.9499999999999996E-2</v>
      </c>
      <c r="BP6" s="230">
        <v>25199568</v>
      </c>
      <c r="BQ6" s="230">
        <v>24423978</v>
      </c>
      <c r="BR6" s="230">
        <v>775590</v>
      </c>
      <c r="BS6" s="229">
        <v>3.1800000000000002E-2</v>
      </c>
      <c r="BT6" s="230">
        <v>1970473</v>
      </c>
      <c r="BU6" s="230">
        <v>2625958</v>
      </c>
      <c r="BV6" s="230">
        <v>-655485</v>
      </c>
      <c r="BW6" s="229">
        <v>-0.24959999999999999</v>
      </c>
      <c r="BX6" s="230">
        <v>17270010</v>
      </c>
      <c r="BY6" s="230">
        <v>17311107</v>
      </c>
      <c r="BZ6" s="230">
        <v>-41097</v>
      </c>
      <c r="CA6" s="229">
        <v>-2.3999999999999998E-3</v>
      </c>
      <c r="CB6" s="230">
        <v>15357918</v>
      </c>
      <c r="CC6" s="230">
        <v>15672480</v>
      </c>
      <c r="CD6" s="230">
        <v>-314562</v>
      </c>
      <c r="CE6" s="229">
        <v>-2.01E-2</v>
      </c>
      <c r="CF6" s="230">
        <v>1812594</v>
      </c>
      <c r="CG6" s="230">
        <v>1543455</v>
      </c>
      <c r="CH6" s="230">
        <v>269139</v>
      </c>
      <c r="CI6" s="229">
        <v>0.1744</v>
      </c>
      <c r="CJ6" s="230">
        <v>99498</v>
      </c>
      <c r="CK6" s="230">
        <v>95172</v>
      </c>
      <c r="CL6" s="230">
        <v>4326</v>
      </c>
      <c r="CM6" s="229">
        <v>4.5499999999999999E-2</v>
      </c>
      <c r="CN6" s="230">
        <v>7246977</v>
      </c>
      <c r="CO6" s="230">
        <v>7272315</v>
      </c>
      <c r="CP6" s="230">
        <v>-25338</v>
      </c>
      <c r="CQ6" s="229">
        <v>-3.5000000000000001E-3</v>
      </c>
      <c r="CR6" s="230">
        <v>7254084</v>
      </c>
      <c r="CS6" s="230">
        <v>6807270</v>
      </c>
      <c r="CT6" s="230">
        <v>446814</v>
      </c>
      <c r="CU6" s="229">
        <v>6.5600000000000006E-2</v>
      </c>
      <c r="CV6" s="230">
        <v>31771071</v>
      </c>
      <c r="CW6" s="230">
        <v>31390692</v>
      </c>
      <c r="CX6" s="230">
        <v>380379</v>
      </c>
      <c r="CY6" s="229">
        <v>1.21E-2</v>
      </c>
      <c r="CZ6" s="228">
        <v>42.31</v>
      </c>
      <c r="DA6" s="228">
        <v>40.03</v>
      </c>
      <c r="DB6" s="228">
        <v>2.2799999999999998</v>
      </c>
      <c r="DC6" s="228">
        <v>2.2799999999999998</v>
      </c>
      <c r="DD6" s="228">
        <v>49.51</v>
      </c>
      <c r="DE6" s="228">
        <v>49.63</v>
      </c>
      <c r="DF6" s="228">
        <v>-7.2</v>
      </c>
      <c r="DG6" s="228">
        <v>-0.12</v>
      </c>
      <c r="DH6" s="228">
        <v>41.18</v>
      </c>
      <c r="DI6" s="228">
        <v>38.51</v>
      </c>
      <c r="DJ6" s="228">
        <v>2.67</v>
      </c>
      <c r="DK6" s="228">
        <v>2.67</v>
      </c>
      <c r="DL6" s="228">
        <v>44.49</v>
      </c>
      <c r="DM6" s="228">
        <v>43.19</v>
      </c>
      <c r="DN6" s="228">
        <v>1.3</v>
      </c>
      <c r="DO6" s="228">
        <v>1.3</v>
      </c>
      <c r="DP6" s="228">
        <v>1</v>
      </c>
      <c r="DQ6" s="228">
        <v>0.94</v>
      </c>
      <c r="DR6" s="228">
        <v>0.06</v>
      </c>
      <c r="DS6" s="229">
        <v>6.3799999999999996E-2</v>
      </c>
      <c r="DT6" s="231">
        <v>2200</v>
      </c>
      <c r="DU6" s="231">
        <v>2200</v>
      </c>
      <c r="DV6" s="228">
        <v>0.52</v>
      </c>
      <c r="DW6" s="228">
        <v>0.48</v>
      </c>
      <c r="DX6" s="228">
        <v>0.04</v>
      </c>
      <c r="DY6" s="229">
        <v>8.3299999999999999E-2</v>
      </c>
      <c r="DZ6" s="229">
        <v>0.11070000000000001</v>
      </c>
      <c r="EA6" s="230">
        <v>1638627</v>
      </c>
      <c r="EB6" s="229">
        <v>5.8999999999999999E-3</v>
      </c>
      <c r="EC6" s="229">
        <v>0.11070000000000001</v>
      </c>
      <c r="ED6" s="228">
        <v>8.7899999999999991</v>
      </c>
      <c r="EE6" s="229">
        <v>3.8999999999999998E-3</v>
      </c>
      <c r="EF6" s="230">
        <v>614224</v>
      </c>
      <c r="EG6" s="230">
        <v>651709</v>
      </c>
      <c r="EH6" s="229">
        <v>-5.7500000000000002E-2</v>
      </c>
      <c r="EI6" s="229">
        <v>0.31169999999999998</v>
      </c>
      <c r="EJ6" s="231">
        <v>336749.9</v>
      </c>
      <c r="EK6" s="231">
        <v>162357.57999999999</v>
      </c>
      <c r="EL6" s="231">
        <v>77114.880000000005</v>
      </c>
      <c r="EM6" s="231">
        <v>10840</v>
      </c>
      <c r="EN6" s="231">
        <v>576222.36</v>
      </c>
      <c r="EO6" s="231">
        <v>550658.67000000004</v>
      </c>
      <c r="EP6" s="231">
        <v>25563.69</v>
      </c>
      <c r="EQ6" s="229">
        <v>4.6399999999999997E-2</v>
      </c>
      <c r="ER6" s="231">
        <v>155246</v>
      </c>
      <c r="ES6" s="231">
        <v>147327</v>
      </c>
      <c r="ET6" s="231">
        <v>385472</v>
      </c>
      <c r="EU6" s="231">
        <v>33645895</v>
      </c>
      <c r="EV6" s="231">
        <v>688044</v>
      </c>
      <c r="EW6" s="231">
        <v>677537</v>
      </c>
      <c r="EX6" s="231">
        <v>10507</v>
      </c>
      <c r="EY6" s="229">
        <v>1.55E-2</v>
      </c>
      <c r="EZ6" s="229">
        <v>0.94430000000000003</v>
      </c>
      <c r="FA6" s="227" t="s">
        <v>693</v>
      </c>
      <c r="FB6" s="161">
        <f t="shared" si="0"/>
        <v>1912092</v>
      </c>
    </row>
    <row r="7" spans="1:158" ht="17.25" thickBot="1" x14ac:dyDescent="0.3">
      <c r="A7" s="226">
        <v>46132</v>
      </c>
      <c r="B7" s="227" t="s">
        <v>161</v>
      </c>
      <c r="C7" s="227" t="s">
        <v>605</v>
      </c>
      <c r="D7" s="228">
        <v>600</v>
      </c>
      <c r="E7" s="231">
        <v>1154.5</v>
      </c>
      <c r="F7" s="231">
        <v>1129.1500000000001</v>
      </c>
      <c r="G7" s="228">
        <v>25.35</v>
      </c>
      <c r="H7" s="229">
        <v>2.2499999999999999E-2</v>
      </c>
      <c r="I7" s="231">
        <v>1152.7</v>
      </c>
      <c r="J7" s="231">
        <v>1127.3</v>
      </c>
      <c r="K7" s="228">
        <v>25.4</v>
      </c>
      <c r="L7" s="229">
        <v>2.2499999999999999E-2</v>
      </c>
      <c r="M7" s="231">
        <v>1154.5</v>
      </c>
      <c r="N7" s="231">
        <v>1129.1500000000001</v>
      </c>
      <c r="O7" s="228">
        <v>25.35</v>
      </c>
      <c r="P7" s="229">
        <v>2.2499999999999999E-2</v>
      </c>
      <c r="Q7" s="231">
        <v>1159.5</v>
      </c>
      <c r="R7" s="231">
        <v>1135.45</v>
      </c>
      <c r="S7" s="228">
        <v>24.05</v>
      </c>
      <c r="T7" s="229">
        <v>2.12E-2</v>
      </c>
      <c r="U7" s="231">
        <v>1165.7</v>
      </c>
      <c r="V7" s="231">
        <v>1140</v>
      </c>
      <c r="W7" s="228">
        <v>25.7</v>
      </c>
      <c r="X7" s="229">
        <v>2.2499999999999999E-2</v>
      </c>
      <c r="Y7" s="228">
        <v>1.8</v>
      </c>
      <c r="Z7" s="228">
        <v>1.85</v>
      </c>
      <c r="AA7" s="228">
        <v>-0.05</v>
      </c>
      <c r="AB7" s="229">
        <v>1.6000000000000001E-3</v>
      </c>
      <c r="AC7" s="228">
        <v>1.8</v>
      </c>
      <c r="AD7" s="228">
        <v>1.85</v>
      </c>
      <c r="AE7" s="228">
        <v>-0.05</v>
      </c>
      <c r="AF7" s="229">
        <v>1.6000000000000001E-3</v>
      </c>
      <c r="AG7" s="228">
        <v>6.8</v>
      </c>
      <c r="AH7" s="228">
        <v>8.15</v>
      </c>
      <c r="AI7" s="228">
        <v>-1.35</v>
      </c>
      <c r="AJ7" s="229">
        <v>5.8999999999999999E-3</v>
      </c>
      <c r="AK7" s="228">
        <v>13</v>
      </c>
      <c r="AL7" s="228">
        <v>12.7</v>
      </c>
      <c r="AM7" s="228">
        <v>0.3</v>
      </c>
      <c r="AN7" s="229">
        <v>1.1299999999999999E-2</v>
      </c>
      <c r="AO7" s="231">
        <v>1160.1400000000001</v>
      </c>
      <c r="AP7" s="231">
        <v>1167.1099999999999</v>
      </c>
      <c r="AQ7" s="228">
        <v>0</v>
      </c>
      <c r="AR7" s="230">
        <v>6015000</v>
      </c>
      <c r="AS7" s="230">
        <v>3750000</v>
      </c>
      <c r="AT7" s="230">
        <v>2265000</v>
      </c>
      <c r="AU7" s="229">
        <v>0.60399999999999998</v>
      </c>
      <c r="AV7" s="230">
        <v>5128800</v>
      </c>
      <c r="AW7" s="230">
        <v>3225600</v>
      </c>
      <c r="AX7" s="230">
        <v>1903200</v>
      </c>
      <c r="AY7" s="229">
        <v>0.59</v>
      </c>
      <c r="AZ7" s="230">
        <v>833400</v>
      </c>
      <c r="BA7" s="230">
        <v>478200</v>
      </c>
      <c r="BB7" s="230">
        <v>355200</v>
      </c>
      <c r="BC7" s="229">
        <v>0.74280000000000002</v>
      </c>
      <c r="BD7" s="230">
        <v>52800</v>
      </c>
      <c r="BE7" s="230">
        <v>46200</v>
      </c>
      <c r="BF7" s="230">
        <v>6600</v>
      </c>
      <c r="BG7" s="229">
        <v>0.1429</v>
      </c>
      <c r="BH7" s="230">
        <v>30876600</v>
      </c>
      <c r="BI7" s="230">
        <v>13622400</v>
      </c>
      <c r="BJ7" s="230">
        <v>17254200</v>
      </c>
      <c r="BK7" s="229">
        <v>1.2665999999999999</v>
      </c>
      <c r="BL7" s="230">
        <v>13186800</v>
      </c>
      <c r="BM7" s="230">
        <v>6788400</v>
      </c>
      <c r="BN7" s="230">
        <v>6398400</v>
      </c>
      <c r="BO7" s="229">
        <v>0.9425</v>
      </c>
      <c r="BP7" s="230">
        <v>50078400</v>
      </c>
      <c r="BQ7" s="230">
        <v>24160800</v>
      </c>
      <c r="BR7" s="230">
        <v>25917600</v>
      </c>
      <c r="BS7" s="229">
        <v>1.0727</v>
      </c>
      <c r="BT7" s="230">
        <v>8125509</v>
      </c>
      <c r="BU7" s="230">
        <v>6250982</v>
      </c>
      <c r="BV7" s="230">
        <v>1874527</v>
      </c>
      <c r="BW7" s="229">
        <v>0.2999</v>
      </c>
      <c r="BX7" s="230">
        <v>21483000</v>
      </c>
      <c r="BY7" s="230">
        <v>21190200</v>
      </c>
      <c r="BZ7" s="230">
        <v>292800</v>
      </c>
      <c r="CA7" s="229">
        <v>1.38E-2</v>
      </c>
      <c r="CB7" s="230">
        <v>20563200</v>
      </c>
      <c r="CC7" s="230">
        <v>20438400</v>
      </c>
      <c r="CD7" s="230">
        <v>124800</v>
      </c>
      <c r="CE7" s="229">
        <v>6.1000000000000004E-3</v>
      </c>
      <c r="CF7" s="230">
        <v>823800</v>
      </c>
      <c r="CG7" s="230">
        <v>667800</v>
      </c>
      <c r="CH7" s="230">
        <v>156000</v>
      </c>
      <c r="CI7" s="229">
        <v>0.2336</v>
      </c>
      <c r="CJ7" s="230">
        <v>96000</v>
      </c>
      <c r="CK7" s="230">
        <v>84000</v>
      </c>
      <c r="CL7" s="230">
        <v>12000</v>
      </c>
      <c r="CM7" s="229">
        <v>0.1429</v>
      </c>
      <c r="CN7" s="230">
        <v>9236400</v>
      </c>
      <c r="CO7" s="230">
        <v>8115600</v>
      </c>
      <c r="CP7" s="230">
        <v>1120800</v>
      </c>
      <c r="CQ7" s="229">
        <v>0.1381</v>
      </c>
      <c r="CR7" s="230">
        <v>7016400</v>
      </c>
      <c r="CS7" s="230">
        <v>6835800</v>
      </c>
      <c r="CT7" s="230">
        <v>180600</v>
      </c>
      <c r="CU7" s="229">
        <v>2.64E-2</v>
      </c>
      <c r="CV7" s="230">
        <v>37735800</v>
      </c>
      <c r="CW7" s="230">
        <v>36141600</v>
      </c>
      <c r="CX7" s="230">
        <v>1594200</v>
      </c>
      <c r="CY7" s="229">
        <v>4.41E-2</v>
      </c>
      <c r="CZ7" s="228">
        <v>53.56</v>
      </c>
      <c r="DA7" s="228">
        <v>48.08</v>
      </c>
      <c r="DB7" s="228">
        <v>5.48</v>
      </c>
      <c r="DC7" s="228">
        <v>5.48</v>
      </c>
      <c r="DD7" s="228">
        <v>59.22</v>
      </c>
      <c r="DE7" s="228">
        <v>59.29</v>
      </c>
      <c r="DF7" s="228">
        <v>-5.66</v>
      </c>
      <c r="DG7" s="228">
        <v>-7.0000000000000007E-2</v>
      </c>
      <c r="DH7" s="228">
        <v>52.6</v>
      </c>
      <c r="DI7" s="228">
        <v>46.58</v>
      </c>
      <c r="DJ7" s="228">
        <v>6.02</v>
      </c>
      <c r="DK7" s="228">
        <v>6.02</v>
      </c>
      <c r="DL7" s="228">
        <v>55.81</v>
      </c>
      <c r="DM7" s="228">
        <v>51.09</v>
      </c>
      <c r="DN7" s="228">
        <v>4.72</v>
      </c>
      <c r="DO7" s="228">
        <v>4.72</v>
      </c>
      <c r="DP7" s="228">
        <v>0.76</v>
      </c>
      <c r="DQ7" s="228">
        <v>0.84</v>
      </c>
      <c r="DR7" s="228">
        <v>-0.08</v>
      </c>
      <c r="DS7" s="229">
        <v>-9.5200000000000007E-2</v>
      </c>
      <c r="DT7" s="231">
        <v>1200</v>
      </c>
      <c r="DU7" s="231">
        <v>1000</v>
      </c>
      <c r="DV7" s="228">
        <v>0.43</v>
      </c>
      <c r="DW7" s="228">
        <v>0.5</v>
      </c>
      <c r="DX7" s="228">
        <v>-7.0000000000000007E-2</v>
      </c>
      <c r="DY7" s="229">
        <v>-0.14000000000000001</v>
      </c>
      <c r="DZ7" s="229">
        <v>4.2799999999999998E-2</v>
      </c>
      <c r="EA7" s="230">
        <v>751800</v>
      </c>
      <c r="EB7" s="229">
        <v>4.3E-3</v>
      </c>
      <c r="EC7" s="229">
        <v>4.2799999999999998E-2</v>
      </c>
      <c r="ED7" s="228">
        <v>6.97</v>
      </c>
      <c r="EE7" s="229">
        <v>6.0000000000000001E-3</v>
      </c>
      <c r="EF7" s="230">
        <v>1957240</v>
      </c>
      <c r="EG7" s="230">
        <v>1893136</v>
      </c>
      <c r="EH7" s="229">
        <v>3.39E-2</v>
      </c>
      <c r="EI7" s="229">
        <v>0.2409</v>
      </c>
      <c r="EJ7" s="231">
        <v>374868.94</v>
      </c>
      <c r="EK7" s="231">
        <v>148619.01999999999</v>
      </c>
      <c r="EL7" s="231">
        <v>69848.14</v>
      </c>
      <c r="EM7" s="231">
        <v>5776</v>
      </c>
      <c r="EN7" s="231">
        <v>593336.1</v>
      </c>
      <c r="EO7" s="231">
        <v>276926.31</v>
      </c>
      <c r="EP7" s="231">
        <v>316409.78999999998</v>
      </c>
      <c r="EQ7" s="229">
        <v>1.1426000000000001</v>
      </c>
      <c r="ER7" s="231">
        <v>99460</v>
      </c>
      <c r="ES7" s="231">
        <v>70814</v>
      </c>
      <c r="ET7" s="231">
        <v>248073</v>
      </c>
      <c r="EU7" s="231">
        <v>64724093</v>
      </c>
      <c r="EV7" s="231">
        <v>418347</v>
      </c>
      <c r="EW7" s="231">
        <v>392451</v>
      </c>
      <c r="EX7" s="231">
        <v>25896</v>
      </c>
      <c r="EY7" s="229">
        <v>6.6000000000000003E-2</v>
      </c>
      <c r="EZ7" s="229">
        <v>0.58299999999999996</v>
      </c>
      <c r="FA7" s="227" t="s">
        <v>555</v>
      </c>
      <c r="FB7" s="161">
        <f t="shared" si="0"/>
        <v>919800</v>
      </c>
    </row>
    <row r="8" spans="1:158" ht="17.25" thickBot="1" x14ac:dyDescent="0.3">
      <c r="A8" s="226">
        <v>46132</v>
      </c>
      <c r="B8" s="227" t="s">
        <v>215</v>
      </c>
      <c r="C8" s="227" t="s">
        <v>160</v>
      </c>
      <c r="D8" s="228">
        <v>475</v>
      </c>
      <c r="E8" s="231">
        <v>1581.1</v>
      </c>
      <c r="F8" s="231">
        <v>1573.2</v>
      </c>
      <c r="G8" s="228">
        <v>7.9</v>
      </c>
      <c r="H8" s="229">
        <v>5.0000000000000001E-3</v>
      </c>
      <c r="I8" s="231">
        <v>1578.4</v>
      </c>
      <c r="J8" s="231">
        <v>1573.4</v>
      </c>
      <c r="K8" s="228">
        <v>5</v>
      </c>
      <c r="L8" s="229">
        <v>3.2000000000000002E-3</v>
      </c>
      <c r="M8" s="231">
        <v>1581.1</v>
      </c>
      <c r="N8" s="231">
        <v>1573.2</v>
      </c>
      <c r="O8" s="228">
        <v>7.9</v>
      </c>
      <c r="P8" s="229">
        <v>5.0000000000000001E-3</v>
      </c>
      <c r="Q8" s="231">
        <v>1589</v>
      </c>
      <c r="R8" s="231">
        <v>1582.3</v>
      </c>
      <c r="S8" s="228">
        <v>6.7</v>
      </c>
      <c r="T8" s="229">
        <v>4.1999999999999997E-3</v>
      </c>
      <c r="U8" s="231">
        <v>1591.2</v>
      </c>
      <c r="V8" s="231">
        <v>1585</v>
      </c>
      <c r="W8" s="228">
        <v>6.2</v>
      </c>
      <c r="X8" s="229">
        <v>3.8999999999999998E-3</v>
      </c>
      <c r="Y8" s="228">
        <v>2.7</v>
      </c>
      <c r="Z8" s="228">
        <v>-0.2</v>
      </c>
      <c r="AA8" s="228">
        <v>2.9</v>
      </c>
      <c r="AB8" s="229">
        <v>1.6999999999999999E-3</v>
      </c>
      <c r="AC8" s="228">
        <v>2.7</v>
      </c>
      <c r="AD8" s="228">
        <v>-0.2</v>
      </c>
      <c r="AE8" s="228">
        <v>2.9</v>
      </c>
      <c r="AF8" s="229">
        <v>1.6999999999999999E-3</v>
      </c>
      <c r="AG8" s="228">
        <v>10.6</v>
      </c>
      <c r="AH8" s="228">
        <v>8.9</v>
      </c>
      <c r="AI8" s="228">
        <v>1.7</v>
      </c>
      <c r="AJ8" s="229">
        <v>6.7000000000000002E-3</v>
      </c>
      <c r="AK8" s="228">
        <v>12.8</v>
      </c>
      <c r="AL8" s="228">
        <v>11.6</v>
      </c>
      <c r="AM8" s="228">
        <v>1.2</v>
      </c>
      <c r="AN8" s="229">
        <v>8.0999999999999996E-3</v>
      </c>
      <c r="AO8" s="231">
        <v>1586.8</v>
      </c>
      <c r="AP8" s="231">
        <v>1594.85</v>
      </c>
      <c r="AQ8" s="228">
        <v>0</v>
      </c>
      <c r="AR8" s="230">
        <v>3554425</v>
      </c>
      <c r="AS8" s="230">
        <v>3988100</v>
      </c>
      <c r="AT8" s="230">
        <v>-433675</v>
      </c>
      <c r="AU8" s="229">
        <v>-0.1087</v>
      </c>
      <c r="AV8" s="230">
        <v>2907000</v>
      </c>
      <c r="AW8" s="230">
        <v>3581025</v>
      </c>
      <c r="AX8" s="230">
        <v>-674025</v>
      </c>
      <c r="AY8" s="229">
        <v>-0.18820000000000001</v>
      </c>
      <c r="AZ8" s="230">
        <v>579500</v>
      </c>
      <c r="BA8" s="230">
        <v>351500</v>
      </c>
      <c r="BB8" s="230">
        <v>228000</v>
      </c>
      <c r="BC8" s="229">
        <v>0.64859999999999995</v>
      </c>
      <c r="BD8" s="230">
        <v>67925</v>
      </c>
      <c r="BE8" s="230">
        <v>55575</v>
      </c>
      <c r="BF8" s="230">
        <v>12350</v>
      </c>
      <c r="BG8" s="229">
        <v>0.22220000000000001</v>
      </c>
      <c r="BH8" s="230">
        <v>17372650</v>
      </c>
      <c r="BI8" s="230">
        <v>25247200</v>
      </c>
      <c r="BJ8" s="230">
        <v>-7874550</v>
      </c>
      <c r="BK8" s="229">
        <v>-0.31190000000000001</v>
      </c>
      <c r="BL8" s="230">
        <v>10060025</v>
      </c>
      <c r="BM8" s="230">
        <v>12141950</v>
      </c>
      <c r="BN8" s="230">
        <v>-2081925</v>
      </c>
      <c r="BO8" s="229">
        <v>-0.17150000000000001</v>
      </c>
      <c r="BP8" s="230">
        <v>30987100</v>
      </c>
      <c r="BQ8" s="230">
        <v>41377250</v>
      </c>
      <c r="BR8" s="230">
        <v>-10390150</v>
      </c>
      <c r="BS8" s="229">
        <v>-0.25109999999999999</v>
      </c>
      <c r="BT8" s="230">
        <v>3162693</v>
      </c>
      <c r="BU8" s="230">
        <v>6270922</v>
      </c>
      <c r="BV8" s="230">
        <v>-3108229</v>
      </c>
      <c r="BW8" s="229">
        <v>-0.49569999999999997</v>
      </c>
      <c r="BX8" s="230">
        <v>19695875</v>
      </c>
      <c r="BY8" s="230">
        <v>19844075</v>
      </c>
      <c r="BZ8" s="230">
        <v>-148200</v>
      </c>
      <c r="CA8" s="229">
        <v>-7.4999999999999997E-3</v>
      </c>
      <c r="CB8" s="230">
        <v>16608375</v>
      </c>
      <c r="CC8" s="230">
        <v>16932325</v>
      </c>
      <c r="CD8" s="230">
        <v>-323950</v>
      </c>
      <c r="CE8" s="229">
        <v>-1.9099999999999999E-2</v>
      </c>
      <c r="CF8" s="230">
        <v>2941200</v>
      </c>
      <c r="CG8" s="230">
        <v>2783500</v>
      </c>
      <c r="CH8" s="230">
        <v>157700</v>
      </c>
      <c r="CI8" s="229">
        <v>5.67E-2</v>
      </c>
      <c r="CJ8" s="230">
        <v>146300</v>
      </c>
      <c r="CK8" s="230">
        <v>128250</v>
      </c>
      <c r="CL8" s="230">
        <v>18050</v>
      </c>
      <c r="CM8" s="229">
        <v>0.14069999999999999</v>
      </c>
      <c r="CN8" s="230">
        <v>9273425</v>
      </c>
      <c r="CO8" s="230">
        <v>9410225</v>
      </c>
      <c r="CP8" s="230">
        <v>-136800</v>
      </c>
      <c r="CQ8" s="229">
        <v>-1.4500000000000001E-2</v>
      </c>
      <c r="CR8" s="230">
        <v>8520550</v>
      </c>
      <c r="CS8" s="230">
        <v>7909225</v>
      </c>
      <c r="CT8" s="230">
        <v>611325</v>
      </c>
      <c r="CU8" s="229">
        <v>7.7299999999999994E-2</v>
      </c>
      <c r="CV8" s="230">
        <v>37489850</v>
      </c>
      <c r="CW8" s="230">
        <v>37163525</v>
      </c>
      <c r="CX8" s="230">
        <v>326325</v>
      </c>
      <c r="CY8" s="229">
        <v>8.8000000000000005E-3</v>
      </c>
      <c r="CZ8" s="228">
        <v>35.619999999999997</v>
      </c>
      <c r="DA8" s="228">
        <v>33.14</v>
      </c>
      <c r="DB8" s="228">
        <v>2.48</v>
      </c>
      <c r="DC8" s="228">
        <v>2.48</v>
      </c>
      <c r="DD8" s="228">
        <v>40.22</v>
      </c>
      <c r="DE8" s="228">
        <v>40.31</v>
      </c>
      <c r="DF8" s="228">
        <v>-4.5999999999999996</v>
      </c>
      <c r="DG8" s="228">
        <v>-0.09</v>
      </c>
      <c r="DH8" s="228">
        <v>34.18</v>
      </c>
      <c r="DI8" s="228">
        <v>31.94</v>
      </c>
      <c r="DJ8" s="228">
        <v>2.2400000000000002</v>
      </c>
      <c r="DK8" s="228">
        <v>2.2400000000000002</v>
      </c>
      <c r="DL8" s="228">
        <v>38.130000000000003</v>
      </c>
      <c r="DM8" s="228">
        <v>35.630000000000003</v>
      </c>
      <c r="DN8" s="228">
        <v>2.5</v>
      </c>
      <c r="DO8" s="228">
        <v>2.5</v>
      </c>
      <c r="DP8" s="228">
        <v>0.92</v>
      </c>
      <c r="DQ8" s="228">
        <v>0.84</v>
      </c>
      <c r="DR8" s="228">
        <v>0.08</v>
      </c>
      <c r="DS8" s="229">
        <v>9.5200000000000007E-2</v>
      </c>
      <c r="DT8" s="231">
        <v>1500</v>
      </c>
      <c r="DU8" s="231">
        <v>1500</v>
      </c>
      <c r="DV8" s="228">
        <v>0.57999999999999996</v>
      </c>
      <c r="DW8" s="228">
        <v>0.48</v>
      </c>
      <c r="DX8" s="228">
        <v>0.1</v>
      </c>
      <c r="DY8" s="229">
        <v>0.20830000000000001</v>
      </c>
      <c r="DZ8" s="229">
        <v>0.15679999999999999</v>
      </c>
      <c r="EA8" s="230">
        <v>2911750</v>
      </c>
      <c r="EB8" s="229">
        <v>5.0000000000000001E-3</v>
      </c>
      <c r="EC8" s="229">
        <v>0.15679999999999999</v>
      </c>
      <c r="ED8" s="228">
        <v>8.0500000000000007</v>
      </c>
      <c r="EE8" s="229">
        <v>5.1000000000000004E-3</v>
      </c>
      <c r="EF8" s="230">
        <v>1408831</v>
      </c>
      <c r="EG8" s="230">
        <v>3966999</v>
      </c>
      <c r="EH8" s="229">
        <v>-0.64490000000000003</v>
      </c>
      <c r="EI8" s="229">
        <v>0.44550000000000001</v>
      </c>
      <c r="EJ8" s="231">
        <v>286444.52</v>
      </c>
      <c r="EK8" s="231">
        <v>154787.38</v>
      </c>
      <c r="EL8" s="231">
        <v>56453.97</v>
      </c>
      <c r="EM8" s="231">
        <v>8517</v>
      </c>
      <c r="EN8" s="231">
        <v>497685.87</v>
      </c>
      <c r="EO8" s="231">
        <v>659508.21</v>
      </c>
      <c r="EP8" s="231">
        <v>-161822.34</v>
      </c>
      <c r="EQ8" s="229">
        <v>-0.24540000000000001</v>
      </c>
      <c r="ER8" s="231">
        <v>142843</v>
      </c>
      <c r="ES8" s="231">
        <v>123079</v>
      </c>
      <c r="ET8" s="231">
        <v>311659</v>
      </c>
      <c r="EU8" s="231">
        <v>88142691</v>
      </c>
      <c r="EV8" s="231">
        <v>577581</v>
      </c>
      <c r="EW8" s="231">
        <v>569704</v>
      </c>
      <c r="EX8" s="231">
        <v>7877</v>
      </c>
      <c r="EY8" s="229">
        <v>1.38E-2</v>
      </c>
      <c r="EZ8" s="229">
        <v>0.42530000000000001</v>
      </c>
      <c r="FA8" s="227" t="s">
        <v>693</v>
      </c>
      <c r="FB8" s="161">
        <f t="shared" si="0"/>
        <v>3087500</v>
      </c>
    </row>
    <row r="9" spans="1:158" ht="17.25" thickBot="1" x14ac:dyDescent="0.3">
      <c r="A9" s="226">
        <v>46132</v>
      </c>
      <c r="B9" s="227" t="s">
        <v>161</v>
      </c>
      <c r="C9" s="227" t="s">
        <v>695</v>
      </c>
      <c r="D9" s="228">
        <v>3550</v>
      </c>
      <c r="E9" s="228">
        <v>200.66</v>
      </c>
      <c r="F9" s="228">
        <v>199.23</v>
      </c>
      <c r="G9" s="228">
        <v>1.43</v>
      </c>
      <c r="H9" s="229">
        <v>7.1999999999999998E-3</v>
      </c>
      <c r="I9" s="228">
        <v>200.83</v>
      </c>
      <c r="J9" s="228">
        <v>198.5</v>
      </c>
      <c r="K9" s="228">
        <v>2.33</v>
      </c>
      <c r="L9" s="229">
        <v>1.17E-2</v>
      </c>
      <c r="M9" s="228">
        <v>200.66</v>
      </c>
      <c r="N9" s="228">
        <v>199.23</v>
      </c>
      <c r="O9" s="228">
        <v>1.43</v>
      </c>
      <c r="P9" s="229">
        <v>7.1999999999999998E-3</v>
      </c>
      <c r="Q9" s="228">
        <v>202.11</v>
      </c>
      <c r="R9" s="228">
        <v>199.81</v>
      </c>
      <c r="S9" s="228">
        <v>2.2999999999999998</v>
      </c>
      <c r="T9" s="229">
        <v>1.15E-2</v>
      </c>
      <c r="U9" s="228">
        <v>203.02</v>
      </c>
      <c r="V9" s="228">
        <v>200.52</v>
      </c>
      <c r="W9" s="228">
        <v>2.5</v>
      </c>
      <c r="X9" s="229">
        <v>1.2500000000000001E-2</v>
      </c>
      <c r="Y9" s="228">
        <v>-0.17</v>
      </c>
      <c r="Z9" s="228">
        <v>0.73</v>
      </c>
      <c r="AA9" s="228">
        <v>-0.9</v>
      </c>
      <c r="AB9" s="229">
        <v>-8.0000000000000004E-4</v>
      </c>
      <c r="AC9" s="228">
        <v>-0.17</v>
      </c>
      <c r="AD9" s="228">
        <v>0.73</v>
      </c>
      <c r="AE9" s="228">
        <v>-0.9</v>
      </c>
      <c r="AF9" s="229">
        <v>-8.0000000000000004E-4</v>
      </c>
      <c r="AG9" s="228">
        <v>1.28</v>
      </c>
      <c r="AH9" s="228">
        <v>1.31</v>
      </c>
      <c r="AI9" s="228">
        <v>-0.03</v>
      </c>
      <c r="AJ9" s="229">
        <v>6.4000000000000003E-3</v>
      </c>
      <c r="AK9" s="228">
        <v>2.19</v>
      </c>
      <c r="AL9" s="228">
        <v>2.02</v>
      </c>
      <c r="AM9" s="228">
        <v>0.17</v>
      </c>
      <c r="AN9" s="229">
        <v>1.09E-2</v>
      </c>
      <c r="AO9" s="228">
        <v>203.29</v>
      </c>
      <c r="AP9" s="228">
        <v>204.39</v>
      </c>
      <c r="AQ9" s="228">
        <v>0</v>
      </c>
      <c r="AR9" s="230">
        <v>44552500</v>
      </c>
      <c r="AS9" s="230">
        <v>62948600</v>
      </c>
      <c r="AT9" s="230">
        <v>-18396100</v>
      </c>
      <c r="AU9" s="229">
        <v>-0.29220000000000002</v>
      </c>
      <c r="AV9" s="230">
        <v>33306100</v>
      </c>
      <c r="AW9" s="230">
        <v>56480500</v>
      </c>
      <c r="AX9" s="230">
        <v>-23174400</v>
      </c>
      <c r="AY9" s="229">
        <v>-0.4103</v>
      </c>
      <c r="AZ9" s="230">
        <v>10586100</v>
      </c>
      <c r="BA9" s="230">
        <v>5910750</v>
      </c>
      <c r="BB9" s="230">
        <v>4675350</v>
      </c>
      <c r="BC9" s="229">
        <v>0.79100000000000004</v>
      </c>
      <c r="BD9" s="230">
        <v>660300</v>
      </c>
      <c r="BE9" s="230">
        <v>557350</v>
      </c>
      <c r="BF9" s="230">
        <v>102950</v>
      </c>
      <c r="BG9" s="229">
        <v>0.1847</v>
      </c>
      <c r="BH9" s="230">
        <v>147051650</v>
      </c>
      <c r="BI9" s="230">
        <v>129862550</v>
      </c>
      <c r="BJ9" s="230">
        <v>17189100</v>
      </c>
      <c r="BK9" s="229">
        <v>0.13239999999999999</v>
      </c>
      <c r="BL9" s="230">
        <v>49455050</v>
      </c>
      <c r="BM9" s="230">
        <v>47917900</v>
      </c>
      <c r="BN9" s="230">
        <v>1537150</v>
      </c>
      <c r="BO9" s="229">
        <v>3.2099999999999997E-2</v>
      </c>
      <c r="BP9" s="230">
        <v>241059200</v>
      </c>
      <c r="BQ9" s="230">
        <v>240729050</v>
      </c>
      <c r="BR9" s="230">
        <v>330150</v>
      </c>
      <c r="BS9" s="229">
        <v>1.4E-3</v>
      </c>
      <c r="BT9" s="230">
        <v>85678820</v>
      </c>
      <c r="BU9" s="230">
        <v>98947986</v>
      </c>
      <c r="BV9" s="230">
        <v>-13269166</v>
      </c>
      <c r="BW9" s="229">
        <v>-0.1341</v>
      </c>
      <c r="BX9" s="230">
        <v>87805700</v>
      </c>
      <c r="BY9" s="230">
        <v>83325600</v>
      </c>
      <c r="BZ9" s="230">
        <v>4480100</v>
      </c>
      <c r="CA9" s="229">
        <v>5.3800000000000001E-2</v>
      </c>
      <c r="CB9" s="230">
        <v>77297700</v>
      </c>
      <c r="CC9" s="230">
        <v>77184100</v>
      </c>
      <c r="CD9" s="230">
        <v>113600</v>
      </c>
      <c r="CE9" s="229">
        <v>1.5E-3</v>
      </c>
      <c r="CF9" s="230">
        <v>9833500</v>
      </c>
      <c r="CG9" s="230">
        <v>5658700</v>
      </c>
      <c r="CH9" s="230">
        <v>4174800</v>
      </c>
      <c r="CI9" s="229">
        <v>0.73780000000000001</v>
      </c>
      <c r="CJ9" s="230">
        <v>674500</v>
      </c>
      <c r="CK9" s="230">
        <v>482800</v>
      </c>
      <c r="CL9" s="230">
        <v>191700</v>
      </c>
      <c r="CM9" s="229">
        <v>0.39710000000000001</v>
      </c>
      <c r="CN9" s="230">
        <v>35642000</v>
      </c>
      <c r="CO9" s="230">
        <v>29564400</v>
      </c>
      <c r="CP9" s="230">
        <v>6077600</v>
      </c>
      <c r="CQ9" s="229">
        <v>0.2056</v>
      </c>
      <c r="CR9" s="230">
        <v>24619250</v>
      </c>
      <c r="CS9" s="230">
        <v>21921250</v>
      </c>
      <c r="CT9" s="230">
        <v>2698000</v>
      </c>
      <c r="CU9" s="229">
        <v>0.1231</v>
      </c>
      <c r="CV9" s="230">
        <v>148066950</v>
      </c>
      <c r="CW9" s="230">
        <v>134811250</v>
      </c>
      <c r="CX9" s="230">
        <v>13255700</v>
      </c>
      <c r="CY9" s="229">
        <v>9.8299999999999998E-2</v>
      </c>
      <c r="CZ9" s="228">
        <v>66.92</v>
      </c>
      <c r="DA9" s="228">
        <v>53.27</v>
      </c>
      <c r="DB9" s="228">
        <v>13.65</v>
      </c>
      <c r="DC9" s="228">
        <v>13.65</v>
      </c>
      <c r="DD9" s="228">
        <v>52.56</v>
      </c>
      <c r="DE9" s="228">
        <v>52.67</v>
      </c>
      <c r="DF9" s="228">
        <v>14.36</v>
      </c>
      <c r="DG9" s="228">
        <v>-0.11</v>
      </c>
      <c r="DH9" s="228">
        <v>67.69</v>
      </c>
      <c r="DI9" s="228">
        <v>52.55</v>
      </c>
      <c r="DJ9" s="228">
        <v>15.14</v>
      </c>
      <c r="DK9" s="228">
        <v>15.14</v>
      </c>
      <c r="DL9" s="228">
        <v>64.63</v>
      </c>
      <c r="DM9" s="228">
        <v>55.23</v>
      </c>
      <c r="DN9" s="228">
        <v>9.4</v>
      </c>
      <c r="DO9" s="228">
        <v>9.4</v>
      </c>
      <c r="DP9" s="228">
        <v>0.69</v>
      </c>
      <c r="DQ9" s="228">
        <v>0.74</v>
      </c>
      <c r="DR9" s="228">
        <v>-0.05</v>
      </c>
      <c r="DS9" s="229">
        <v>-6.7599999999999993E-2</v>
      </c>
      <c r="DT9" s="228">
        <v>210</v>
      </c>
      <c r="DU9" s="228">
        <v>185</v>
      </c>
      <c r="DV9" s="228">
        <v>0.34</v>
      </c>
      <c r="DW9" s="228">
        <v>0.37</v>
      </c>
      <c r="DX9" s="228">
        <v>-0.03</v>
      </c>
      <c r="DY9" s="229">
        <v>-8.1100000000000005E-2</v>
      </c>
      <c r="DZ9" s="229">
        <v>0.1197</v>
      </c>
      <c r="EA9" s="230">
        <v>6141500</v>
      </c>
      <c r="EB9" s="229">
        <v>7.1999999999999998E-3</v>
      </c>
      <c r="EC9" s="229">
        <v>0.1197</v>
      </c>
      <c r="ED9" s="228">
        <v>1.1000000000000001</v>
      </c>
      <c r="EE9" s="229">
        <v>5.4000000000000003E-3</v>
      </c>
      <c r="EF9" s="230">
        <v>17448535</v>
      </c>
      <c r="EG9" s="230">
        <v>26866341</v>
      </c>
      <c r="EH9" s="229">
        <v>-0.35049999999999998</v>
      </c>
      <c r="EI9" s="229">
        <v>0.20369999999999999</v>
      </c>
      <c r="EJ9" s="231">
        <v>316294.71000000002</v>
      </c>
      <c r="EK9" s="231">
        <v>97119.12</v>
      </c>
      <c r="EL9" s="231">
        <v>90698.76</v>
      </c>
      <c r="EM9" s="231">
        <v>12819</v>
      </c>
      <c r="EN9" s="231">
        <v>504112.59</v>
      </c>
      <c r="EO9" s="231">
        <v>482700.71</v>
      </c>
      <c r="EP9" s="231">
        <v>21411.88</v>
      </c>
      <c r="EQ9" s="229">
        <v>4.4400000000000002E-2</v>
      </c>
      <c r="ER9" s="231">
        <v>69802</v>
      </c>
      <c r="ES9" s="231">
        <v>44359</v>
      </c>
      <c r="ET9" s="231">
        <v>176349</v>
      </c>
      <c r="EU9" s="231">
        <v>482906787</v>
      </c>
      <c r="EV9" s="231">
        <v>290511</v>
      </c>
      <c r="EW9" s="231">
        <v>261024</v>
      </c>
      <c r="EX9" s="231">
        <v>29487</v>
      </c>
      <c r="EY9" s="229">
        <v>0.113</v>
      </c>
      <c r="EZ9" s="229">
        <v>0.30659999999999998</v>
      </c>
      <c r="FA9" s="227" t="s">
        <v>555</v>
      </c>
      <c r="FB9" s="161">
        <f t="shared" si="0"/>
        <v>10508000</v>
      </c>
    </row>
    <row r="10" spans="1:158" ht="17.25" thickBot="1" x14ac:dyDescent="0.3">
      <c r="A10" s="226">
        <v>46132</v>
      </c>
      <c r="B10" s="227" t="s">
        <v>170</v>
      </c>
      <c r="C10" s="227" t="s">
        <v>497</v>
      </c>
      <c r="D10" s="228">
        <v>125</v>
      </c>
      <c r="E10" s="231">
        <v>5638</v>
      </c>
      <c r="F10" s="231">
        <v>5579</v>
      </c>
      <c r="G10" s="228">
        <v>59</v>
      </c>
      <c r="H10" s="229">
        <v>1.06E-2</v>
      </c>
      <c r="I10" s="231">
        <v>5642</v>
      </c>
      <c r="J10" s="231">
        <v>5582</v>
      </c>
      <c r="K10" s="228">
        <v>60</v>
      </c>
      <c r="L10" s="229">
        <v>1.0699999999999999E-2</v>
      </c>
      <c r="M10" s="231">
        <v>5638</v>
      </c>
      <c r="N10" s="231">
        <v>5579</v>
      </c>
      <c r="O10" s="228">
        <v>59</v>
      </c>
      <c r="P10" s="229">
        <v>1.06E-2</v>
      </c>
      <c r="Q10" s="231">
        <v>5669</v>
      </c>
      <c r="R10" s="231">
        <v>5608.5</v>
      </c>
      <c r="S10" s="228">
        <v>60.5</v>
      </c>
      <c r="T10" s="229">
        <v>1.0800000000000001E-2</v>
      </c>
      <c r="U10" s="231">
        <v>5482</v>
      </c>
      <c r="V10" s="231">
        <v>5482</v>
      </c>
      <c r="W10" s="228">
        <v>0</v>
      </c>
      <c r="X10" s="229">
        <v>0</v>
      </c>
      <c r="Y10" s="228">
        <v>-4</v>
      </c>
      <c r="Z10" s="228">
        <v>-3</v>
      </c>
      <c r="AA10" s="228">
        <v>-1</v>
      </c>
      <c r="AB10" s="229">
        <v>-6.9999999999999999E-4</v>
      </c>
      <c r="AC10" s="228">
        <v>-4</v>
      </c>
      <c r="AD10" s="228">
        <v>-3</v>
      </c>
      <c r="AE10" s="228">
        <v>-1</v>
      </c>
      <c r="AF10" s="229">
        <v>-6.9999999999999999E-4</v>
      </c>
      <c r="AG10" s="228">
        <v>27</v>
      </c>
      <c r="AH10" s="228">
        <v>26.5</v>
      </c>
      <c r="AI10" s="228">
        <v>0.5</v>
      </c>
      <c r="AJ10" s="229">
        <v>4.7999999999999996E-3</v>
      </c>
      <c r="AK10" s="228">
        <v>-160</v>
      </c>
      <c r="AL10" s="228">
        <v>-100</v>
      </c>
      <c r="AM10" s="228">
        <v>-60</v>
      </c>
      <c r="AN10" s="229">
        <v>-2.8400000000000002E-2</v>
      </c>
      <c r="AO10" s="231">
        <v>5648.32</v>
      </c>
      <c r="AP10" s="231">
        <v>5675.59</v>
      </c>
      <c r="AQ10" s="228">
        <v>0</v>
      </c>
      <c r="AR10" s="230">
        <v>189750</v>
      </c>
      <c r="AS10" s="230">
        <v>103875</v>
      </c>
      <c r="AT10" s="230">
        <v>85875</v>
      </c>
      <c r="AU10" s="229">
        <v>0.82669999999999999</v>
      </c>
      <c r="AV10" s="230">
        <v>175000</v>
      </c>
      <c r="AW10" s="230">
        <v>98125</v>
      </c>
      <c r="AX10" s="230">
        <v>76875</v>
      </c>
      <c r="AY10" s="229">
        <v>0.78339999999999999</v>
      </c>
      <c r="AZ10" s="230">
        <v>14750</v>
      </c>
      <c r="BA10" s="230">
        <v>5750</v>
      </c>
      <c r="BB10" s="230">
        <v>9000</v>
      </c>
      <c r="BC10" s="229">
        <v>1.5651999999999999</v>
      </c>
      <c r="BD10" s="228">
        <v>0</v>
      </c>
      <c r="BE10" s="228">
        <v>0</v>
      </c>
      <c r="BF10" s="228">
        <v>0</v>
      </c>
      <c r="BG10" s="229">
        <v>0</v>
      </c>
      <c r="BH10" s="230">
        <v>1075625</v>
      </c>
      <c r="BI10" s="230">
        <v>282250</v>
      </c>
      <c r="BJ10" s="230">
        <v>793375</v>
      </c>
      <c r="BK10" s="229">
        <v>2.8109000000000002</v>
      </c>
      <c r="BL10" s="230">
        <v>263125</v>
      </c>
      <c r="BM10" s="230">
        <v>92875</v>
      </c>
      <c r="BN10" s="230">
        <v>170250</v>
      </c>
      <c r="BO10" s="229">
        <v>1.8331</v>
      </c>
      <c r="BP10" s="230">
        <v>1528500</v>
      </c>
      <c r="BQ10" s="230">
        <v>479000</v>
      </c>
      <c r="BR10" s="230">
        <v>1049500</v>
      </c>
      <c r="BS10" s="229">
        <v>2.1909999999999998</v>
      </c>
      <c r="BT10" s="230">
        <v>66390</v>
      </c>
      <c r="BU10" s="230">
        <v>126859</v>
      </c>
      <c r="BV10" s="230">
        <v>-60469</v>
      </c>
      <c r="BW10" s="229">
        <v>-0.47670000000000001</v>
      </c>
      <c r="BX10" s="230">
        <v>1191625</v>
      </c>
      <c r="BY10" s="230">
        <v>1174750</v>
      </c>
      <c r="BZ10" s="230">
        <v>16875</v>
      </c>
      <c r="CA10" s="229">
        <v>1.44E-2</v>
      </c>
      <c r="CB10" s="230">
        <v>1176000</v>
      </c>
      <c r="CC10" s="230">
        <v>1163375</v>
      </c>
      <c r="CD10" s="230">
        <v>12625</v>
      </c>
      <c r="CE10" s="229">
        <v>1.09E-2</v>
      </c>
      <c r="CF10" s="230">
        <v>15500</v>
      </c>
      <c r="CG10" s="230">
        <v>11250</v>
      </c>
      <c r="CH10" s="230">
        <v>4250</v>
      </c>
      <c r="CI10" s="229">
        <v>0.37780000000000002</v>
      </c>
      <c r="CJ10" s="228">
        <v>125</v>
      </c>
      <c r="CK10" s="228">
        <v>125</v>
      </c>
      <c r="CL10" s="228">
        <v>0</v>
      </c>
      <c r="CM10" s="229">
        <v>0</v>
      </c>
      <c r="CN10" s="230">
        <v>387250</v>
      </c>
      <c r="CO10" s="230">
        <v>280000</v>
      </c>
      <c r="CP10" s="230">
        <v>107250</v>
      </c>
      <c r="CQ10" s="229">
        <v>0.38300000000000001</v>
      </c>
      <c r="CR10" s="230">
        <v>203375</v>
      </c>
      <c r="CS10" s="230">
        <v>152000</v>
      </c>
      <c r="CT10" s="230">
        <v>51375</v>
      </c>
      <c r="CU10" s="229">
        <v>0.33800000000000002</v>
      </c>
      <c r="CV10" s="230">
        <v>1782250</v>
      </c>
      <c r="CW10" s="230">
        <v>1606750</v>
      </c>
      <c r="CX10" s="230">
        <v>175500</v>
      </c>
      <c r="CY10" s="229">
        <v>0.10920000000000001</v>
      </c>
      <c r="CZ10" s="228">
        <v>30.35</v>
      </c>
      <c r="DA10" s="228">
        <v>25.99</v>
      </c>
      <c r="DB10" s="228">
        <v>4.3600000000000003</v>
      </c>
      <c r="DC10" s="228">
        <v>4.3600000000000003</v>
      </c>
      <c r="DD10" s="228">
        <v>28.5</v>
      </c>
      <c r="DE10" s="228">
        <v>28.53</v>
      </c>
      <c r="DF10" s="228">
        <v>1.85</v>
      </c>
      <c r="DG10" s="228">
        <v>-0.03</v>
      </c>
      <c r="DH10" s="228">
        <v>30.2</v>
      </c>
      <c r="DI10" s="228">
        <v>25.6</v>
      </c>
      <c r="DJ10" s="228">
        <v>4.5999999999999996</v>
      </c>
      <c r="DK10" s="228">
        <v>4.5999999999999996</v>
      </c>
      <c r="DL10" s="228">
        <v>30.97</v>
      </c>
      <c r="DM10" s="228">
        <v>27.19</v>
      </c>
      <c r="DN10" s="228">
        <v>3.78</v>
      </c>
      <c r="DO10" s="228">
        <v>3.78</v>
      </c>
      <c r="DP10" s="228">
        <v>0.53</v>
      </c>
      <c r="DQ10" s="228">
        <v>0.54</v>
      </c>
      <c r="DR10" s="228">
        <v>-0.01</v>
      </c>
      <c r="DS10" s="229">
        <v>-1.8499999999999999E-2</v>
      </c>
      <c r="DT10" s="231">
        <v>5600</v>
      </c>
      <c r="DU10" s="231">
        <v>5200</v>
      </c>
      <c r="DV10" s="228">
        <v>0.24</v>
      </c>
      <c r="DW10" s="228">
        <v>0.33</v>
      </c>
      <c r="DX10" s="228">
        <v>-0.09</v>
      </c>
      <c r="DY10" s="229">
        <v>-0.2727</v>
      </c>
      <c r="DZ10" s="229">
        <v>1.3100000000000001E-2</v>
      </c>
      <c r="EA10" s="230">
        <v>11375</v>
      </c>
      <c r="EB10" s="229">
        <v>5.4999999999999997E-3</v>
      </c>
      <c r="EC10" s="229">
        <v>1.3100000000000001E-2</v>
      </c>
      <c r="ED10" s="228">
        <v>27.27</v>
      </c>
      <c r="EE10" s="229">
        <v>4.7999999999999996E-3</v>
      </c>
      <c r="EF10" s="230">
        <v>26322</v>
      </c>
      <c r="EG10" s="230">
        <v>85180</v>
      </c>
      <c r="EH10" s="229">
        <v>-0.69099999999999995</v>
      </c>
      <c r="EI10" s="229">
        <v>0.39650000000000002</v>
      </c>
      <c r="EJ10" s="231">
        <v>62400.27</v>
      </c>
      <c r="EK10" s="231">
        <v>14681.79</v>
      </c>
      <c r="EL10" s="231">
        <v>10721.71</v>
      </c>
      <c r="EM10" s="231">
        <v>1151</v>
      </c>
      <c r="EN10" s="231">
        <v>87803.77</v>
      </c>
      <c r="EO10" s="231">
        <v>27123</v>
      </c>
      <c r="EP10" s="231">
        <v>60680.77</v>
      </c>
      <c r="EQ10" s="229">
        <v>2.2372000000000001</v>
      </c>
      <c r="ER10" s="231">
        <v>21950</v>
      </c>
      <c r="ES10" s="231">
        <v>10871</v>
      </c>
      <c r="ET10" s="231">
        <v>67188</v>
      </c>
      <c r="EU10" s="231">
        <v>5873365</v>
      </c>
      <c r="EV10" s="231">
        <v>100008</v>
      </c>
      <c r="EW10" s="231">
        <v>89358</v>
      </c>
      <c r="EX10" s="231">
        <v>10650</v>
      </c>
      <c r="EY10" s="229">
        <v>0.1192</v>
      </c>
      <c r="EZ10" s="229">
        <v>0.3034</v>
      </c>
      <c r="FA10" s="227" t="s">
        <v>555</v>
      </c>
      <c r="FB10" s="161">
        <f t="shared" si="0"/>
        <v>15625</v>
      </c>
    </row>
    <row r="11" spans="1:158" ht="17.25" thickBot="1" x14ac:dyDescent="0.3">
      <c r="A11" s="226">
        <v>46132</v>
      </c>
      <c r="B11" s="227" t="s">
        <v>184</v>
      </c>
      <c r="C11" s="227" t="s">
        <v>679</v>
      </c>
      <c r="D11" s="228">
        <v>100</v>
      </c>
      <c r="E11" s="231">
        <v>7944</v>
      </c>
      <c r="F11" s="231">
        <v>7941.5</v>
      </c>
      <c r="G11" s="228">
        <v>2.5</v>
      </c>
      <c r="H11" s="229">
        <v>2.9999999999999997E-4</v>
      </c>
      <c r="I11" s="231">
        <v>7980.5</v>
      </c>
      <c r="J11" s="231">
        <v>7958.5</v>
      </c>
      <c r="K11" s="228">
        <v>22</v>
      </c>
      <c r="L11" s="229">
        <v>2.8E-3</v>
      </c>
      <c r="M11" s="231">
        <v>7944</v>
      </c>
      <c r="N11" s="231">
        <v>7941.5</v>
      </c>
      <c r="O11" s="228">
        <v>2.5</v>
      </c>
      <c r="P11" s="229">
        <v>2.9999999999999997E-4</v>
      </c>
      <c r="Q11" s="231">
        <v>7859.5</v>
      </c>
      <c r="R11" s="231">
        <v>7863</v>
      </c>
      <c r="S11" s="228">
        <v>-3.5</v>
      </c>
      <c r="T11" s="229">
        <v>-4.0000000000000002E-4</v>
      </c>
      <c r="U11" s="231">
        <v>7849</v>
      </c>
      <c r="V11" s="231">
        <v>7835</v>
      </c>
      <c r="W11" s="228">
        <v>14</v>
      </c>
      <c r="X11" s="229">
        <v>1.8E-3</v>
      </c>
      <c r="Y11" s="228">
        <v>-36.5</v>
      </c>
      <c r="Z11" s="228">
        <v>-17</v>
      </c>
      <c r="AA11" s="228">
        <v>-19.5</v>
      </c>
      <c r="AB11" s="229">
        <v>-4.5999999999999999E-3</v>
      </c>
      <c r="AC11" s="228">
        <v>-36.5</v>
      </c>
      <c r="AD11" s="228">
        <v>-17</v>
      </c>
      <c r="AE11" s="228">
        <v>-19.5</v>
      </c>
      <c r="AF11" s="229">
        <v>-4.5999999999999999E-3</v>
      </c>
      <c r="AG11" s="228">
        <v>-121</v>
      </c>
      <c r="AH11" s="228">
        <v>-95.5</v>
      </c>
      <c r="AI11" s="228">
        <v>-25.5</v>
      </c>
      <c r="AJ11" s="229">
        <v>-1.52E-2</v>
      </c>
      <c r="AK11" s="228">
        <v>-131.5</v>
      </c>
      <c r="AL11" s="228">
        <v>-123.5</v>
      </c>
      <c r="AM11" s="228">
        <v>-8</v>
      </c>
      <c r="AN11" s="229">
        <v>-1.6500000000000001E-2</v>
      </c>
      <c r="AO11" s="231">
        <v>7944.95</v>
      </c>
      <c r="AP11" s="231">
        <v>7871.38</v>
      </c>
      <c r="AQ11" s="228">
        <v>0</v>
      </c>
      <c r="AR11" s="230">
        <v>346600</v>
      </c>
      <c r="AS11" s="230">
        <v>436400</v>
      </c>
      <c r="AT11" s="230">
        <v>-89800</v>
      </c>
      <c r="AU11" s="229">
        <v>-0.20580000000000001</v>
      </c>
      <c r="AV11" s="230">
        <v>298800</v>
      </c>
      <c r="AW11" s="230">
        <v>400400</v>
      </c>
      <c r="AX11" s="230">
        <v>-101600</v>
      </c>
      <c r="AY11" s="229">
        <v>-0.25369999999999998</v>
      </c>
      <c r="AZ11" s="230">
        <v>45000</v>
      </c>
      <c r="BA11" s="230">
        <v>30700</v>
      </c>
      <c r="BB11" s="230">
        <v>14300</v>
      </c>
      <c r="BC11" s="229">
        <v>0.46579999999999999</v>
      </c>
      <c r="BD11" s="230">
        <v>2800</v>
      </c>
      <c r="BE11" s="230">
        <v>5300</v>
      </c>
      <c r="BF11" s="230">
        <v>-2500</v>
      </c>
      <c r="BG11" s="229">
        <v>-0.47170000000000001</v>
      </c>
      <c r="BH11" s="230">
        <v>1704700</v>
      </c>
      <c r="BI11" s="230">
        <v>2382800</v>
      </c>
      <c r="BJ11" s="230">
        <v>-678100</v>
      </c>
      <c r="BK11" s="229">
        <v>-0.28460000000000002</v>
      </c>
      <c r="BL11" s="230">
        <v>1283200</v>
      </c>
      <c r="BM11" s="230">
        <v>1308700</v>
      </c>
      <c r="BN11" s="230">
        <v>-25500</v>
      </c>
      <c r="BO11" s="229">
        <v>-1.95E-2</v>
      </c>
      <c r="BP11" s="230">
        <v>3334500</v>
      </c>
      <c r="BQ11" s="230">
        <v>4127900</v>
      </c>
      <c r="BR11" s="230">
        <v>-793400</v>
      </c>
      <c r="BS11" s="229">
        <v>-0.19220000000000001</v>
      </c>
      <c r="BT11" s="230">
        <v>372413</v>
      </c>
      <c r="BU11" s="230">
        <v>407726</v>
      </c>
      <c r="BV11" s="230">
        <v>-35313</v>
      </c>
      <c r="BW11" s="229">
        <v>-8.6599999999999996E-2</v>
      </c>
      <c r="BX11" s="230">
        <v>1268900</v>
      </c>
      <c r="BY11" s="230">
        <v>1276000</v>
      </c>
      <c r="BZ11" s="230">
        <v>-7100</v>
      </c>
      <c r="CA11" s="229">
        <v>-5.5999999999999999E-3</v>
      </c>
      <c r="CB11" s="230">
        <v>1182500</v>
      </c>
      <c r="CC11" s="230">
        <v>1197600</v>
      </c>
      <c r="CD11" s="230">
        <v>-15100</v>
      </c>
      <c r="CE11" s="229">
        <v>-1.26E-2</v>
      </c>
      <c r="CF11" s="230">
        <v>77500</v>
      </c>
      <c r="CG11" s="230">
        <v>69900</v>
      </c>
      <c r="CH11" s="230">
        <v>7600</v>
      </c>
      <c r="CI11" s="229">
        <v>0.1087</v>
      </c>
      <c r="CJ11" s="230">
        <v>8900</v>
      </c>
      <c r="CK11" s="230">
        <v>8500</v>
      </c>
      <c r="CL11" s="228">
        <v>400</v>
      </c>
      <c r="CM11" s="229">
        <v>4.7100000000000003E-2</v>
      </c>
      <c r="CN11" s="230">
        <v>1080500</v>
      </c>
      <c r="CO11" s="230">
        <v>1005300</v>
      </c>
      <c r="CP11" s="230">
        <v>75200</v>
      </c>
      <c r="CQ11" s="229">
        <v>7.4800000000000005E-2</v>
      </c>
      <c r="CR11" s="230">
        <v>730400</v>
      </c>
      <c r="CS11" s="230">
        <v>782600</v>
      </c>
      <c r="CT11" s="230">
        <v>-52200</v>
      </c>
      <c r="CU11" s="229">
        <v>-6.6699999999999995E-2</v>
      </c>
      <c r="CV11" s="230">
        <v>3079800</v>
      </c>
      <c r="CW11" s="230">
        <v>3063900</v>
      </c>
      <c r="CX11" s="230">
        <v>15900</v>
      </c>
      <c r="CY11" s="229">
        <v>5.1999999999999998E-3</v>
      </c>
      <c r="CZ11" s="228">
        <v>48.08</v>
      </c>
      <c r="DA11" s="228">
        <v>44.29</v>
      </c>
      <c r="DB11" s="228">
        <v>3.79</v>
      </c>
      <c r="DC11" s="228">
        <v>3.79</v>
      </c>
      <c r="DD11" s="228">
        <v>54.19</v>
      </c>
      <c r="DE11" s="228">
        <v>54.33</v>
      </c>
      <c r="DF11" s="228">
        <v>-6.11</v>
      </c>
      <c r="DG11" s="228">
        <v>-0.14000000000000001</v>
      </c>
      <c r="DH11" s="228">
        <v>47.39</v>
      </c>
      <c r="DI11" s="228">
        <v>43.48</v>
      </c>
      <c r="DJ11" s="228">
        <v>3.91</v>
      </c>
      <c r="DK11" s="228">
        <v>3.91</v>
      </c>
      <c r="DL11" s="228">
        <v>48.99</v>
      </c>
      <c r="DM11" s="228">
        <v>45.75</v>
      </c>
      <c r="DN11" s="228">
        <v>3.24</v>
      </c>
      <c r="DO11" s="228">
        <v>3.24</v>
      </c>
      <c r="DP11" s="228">
        <v>0.68</v>
      </c>
      <c r="DQ11" s="228">
        <v>0.78</v>
      </c>
      <c r="DR11" s="228">
        <v>-0.1</v>
      </c>
      <c r="DS11" s="229">
        <v>-0.12820000000000001</v>
      </c>
      <c r="DT11" s="231">
        <v>8000</v>
      </c>
      <c r="DU11" s="231">
        <v>7000</v>
      </c>
      <c r="DV11" s="228">
        <v>0.75</v>
      </c>
      <c r="DW11" s="228">
        <v>0.55000000000000004</v>
      </c>
      <c r="DX11" s="228">
        <v>0.2</v>
      </c>
      <c r="DY11" s="229">
        <v>0.36359999999999998</v>
      </c>
      <c r="DZ11" s="229">
        <v>6.8099999999999994E-2</v>
      </c>
      <c r="EA11" s="230">
        <v>78400</v>
      </c>
      <c r="EB11" s="229">
        <v>-1.06E-2</v>
      </c>
      <c r="EC11" s="229">
        <v>6.8099999999999994E-2</v>
      </c>
      <c r="ED11" s="228">
        <v>-73.569999999999993</v>
      </c>
      <c r="EE11" s="229">
        <v>-9.2999999999999992E-3</v>
      </c>
      <c r="EF11" s="230">
        <v>125428</v>
      </c>
      <c r="EG11" s="230">
        <v>137757</v>
      </c>
      <c r="EH11" s="229">
        <v>-8.9499999999999996E-2</v>
      </c>
      <c r="EI11" s="229">
        <v>0.33679999999999999</v>
      </c>
      <c r="EJ11" s="231">
        <v>142083.73000000001</v>
      </c>
      <c r="EK11" s="231">
        <v>96451.8</v>
      </c>
      <c r="EL11" s="231">
        <v>27501.279999999999</v>
      </c>
      <c r="EM11" s="231">
        <v>5500</v>
      </c>
      <c r="EN11" s="231">
        <v>266036.81</v>
      </c>
      <c r="EO11" s="231">
        <v>327730.37</v>
      </c>
      <c r="EP11" s="231">
        <v>-61693.56</v>
      </c>
      <c r="EQ11" s="229">
        <v>-0.18820000000000001</v>
      </c>
      <c r="ER11" s="231">
        <v>84278</v>
      </c>
      <c r="ES11" s="231">
        <v>51489</v>
      </c>
      <c r="ET11" s="231">
        <v>100727</v>
      </c>
      <c r="EU11" s="231">
        <v>3260820</v>
      </c>
      <c r="EV11" s="231">
        <v>236494</v>
      </c>
      <c r="EW11" s="231">
        <v>233977</v>
      </c>
      <c r="EX11" s="231">
        <v>2517</v>
      </c>
      <c r="EY11" s="229">
        <v>1.0800000000000001E-2</v>
      </c>
      <c r="EZ11" s="229">
        <v>0.94450000000000001</v>
      </c>
      <c r="FA11" s="227" t="s">
        <v>693</v>
      </c>
      <c r="FB11" s="161">
        <f t="shared" si="0"/>
        <v>86400</v>
      </c>
    </row>
    <row r="12" spans="1:158" ht="17.25" thickBot="1" x14ac:dyDescent="0.3">
      <c r="A12" s="226">
        <v>46132</v>
      </c>
      <c r="B12" s="227" t="s">
        <v>157</v>
      </c>
      <c r="C12" s="227" t="s">
        <v>164</v>
      </c>
      <c r="D12" s="228">
        <v>1050</v>
      </c>
      <c r="E12" s="228">
        <v>454.95</v>
      </c>
      <c r="F12" s="228">
        <v>458.8</v>
      </c>
      <c r="G12" s="228">
        <v>-3.85</v>
      </c>
      <c r="H12" s="229">
        <v>-8.3999999999999995E-3</v>
      </c>
      <c r="I12" s="228">
        <v>454.9</v>
      </c>
      <c r="J12" s="228">
        <v>459</v>
      </c>
      <c r="K12" s="228">
        <v>-4.0999999999999996</v>
      </c>
      <c r="L12" s="229">
        <v>-8.8999999999999999E-3</v>
      </c>
      <c r="M12" s="228">
        <v>454.95</v>
      </c>
      <c r="N12" s="228">
        <v>458.8</v>
      </c>
      <c r="O12" s="228">
        <v>-3.85</v>
      </c>
      <c r="P12" s="229">
        <v>-8.3999999999999995E-3</v>
      </c>
      <c r="Q12" s="228">
        <v>457.35</v>
      </c>
      <c r="R12" s="228">
        <v>461.65</v>
      </c>
      <c r="S12" s="228">
        <v>-4.3</v>
      </c>
      <c r="T12" s="229">
        <v>-9.2999999999999992E-3</v>
      </c>
      <c r="U12" s="228">
        <v>458.9</v>
      </c>
      <c r="V12" s="228">
        <v>463.1</v>
      </c>
      <c r="W12" s="228">
        <v>-4.2</v>
      </c>
      <c r="X12" s="229">
        <v>-9.1000000000000004E-3</v>
      </c>
      <c r="Y12" s="228">
        <v>0.05</v>
      </c>
      <c r="Z12" s="228">
        <v>-0.2</v>
      </c>
      <c r="AA12" s="228">
        <v>0.25</v>
      </c>
      <c r="AB12" s="229">
        <v>1E-4</v>
      </c>
      <c r="AC12" s="228">
        <v>0.05</v>
      </c>
      <c r="AD12" s="228">
        <v>-0.2</v>
      </c>
      <c r="AE12" s="228">
        <v>0.25</v>
      </c>
      <c r="AF12" s="229">
        <v>1E-4</v>
      </c>
      <c r="AG12" s="228">
        <v>2.4500000000000002</v>
      </c>
      <c r="AH12" s="228">
        <v>2.65</v>
      </c>
      <c r="AI12" s="228">
        <v>-0.2</v>
      </c>
      <c r="AJ12" s="229">
        <v>5.4000000000000003E-3</v>
      </c>
      <c r="AK12" s="228">
        <v>4</v>
      </c>
      <c r="AL12" s="228">
        <v>4.0999999999999996</v>
      </c>
      <c r="AM12" s="228">
        <v>-0.1</v>
      </c>
      <c r="AN12" s="229">
        <v>8.8000000000000005E-3</v>
      </c>
      <c r="AO12" s="228">
        <v>458.45</v>
      </c>
      <c r="AP12" s="228">
        <v>462.43</v>
      </c>
      <c r="AQ12" s="228">
        <v>0</v>
      </c>
      <c r="AR12" s="230">
        <v>7395150</v>
      </c>
      <c r="AS12" s="230">
        <v>4075050</v>
      </c>
      <c r="AT12" s="230">
        <v>3320100</v>
      </c>
      <c r="AU12" s="229">
        <v>0.81469999999999998</v>
      </c>
      <c r="AV12" s="230">
        <v>5348700</v>
      </c>
      <c r="AW12" s="230">
        <v>3612000</v>
      </c>
      <c r="AX12" s="230">
        <v>1736700</v>
      </c>
      <c r="AY12" s="229">
        <v>0.48080000000000001</v>
      </c>
      <c r="AZ12" s="230">
        <v>1998150</v>
      </c>
      <c r="BA12" s="230">
        <v>434700</v>
      </c>
      <c r="BB12" s="230">
        <v>1563450</v>
      </c>
      <c r="BC12" s="229">
        <v>3.5966</v>
      </c>
      <c r="BD12" s="230">
        <v>48300</v>
      </c>
      <c r="BE12" s="230">
        <v>28350</v>
      </c>
      <c r="BF12" s="230">
        <v>19950</v>
      </c>
      <c r="BG12" s="229">
        <v>0.70369999999999999</v>
      </c>
      <c r="BH12" s="230">
        <v>10060050</v>
      </c>
      <c r="BI12" s="230">
        <v>6624450</v>
      </c>
      <c r="BJ12" s="230">
        <v>3435600</v>
      </c>
      <c r="BK12" s="229">
        <v>0.51859999999999995</v>
      </c>
      <c r="BL12" s="230">
        <v>3500700</v>
      </c>
      <c r="BM12" s="230">
        <v>3701250</v>
      </c>
      <c r="BN12" s="230">
        <v>-200550</v>
      </c>
      <c r="BO12" s="229">
        <v>-5.4199999999999998E-2</v>
      </c>
      <c r="BP12" s="230">
        <v>20955900</v>
      </c>
      <c r="BQ12" s="230">
        <v>14400750</v>
      </c>
      <c r="BR12" s="230">
        <v>6555150</v>
      </c>
      <c r="BS12" s="229">
        <v>0.45519999999999999</v>
      </c>
      <c r="BT12" s="230">
        <v>1805903</v>
      </c>
      <c r="BU12" s="230">
        <v>2035940</v>
      </c>
      <c r="BV12" s="230">
        <v>-230037</v>
      </c>
      <c r="BW12" s="229">
        <v>-0.113</v>
      </c>
      <c r="BX12" s="230">
        <v>59502450</v>
      </c>
      <c r="BY12" s="230">
        <v>59653650</v>
      </c>
      <c r="BZ12" s="230">
        <v>-151200</v>
      </c>
      <c r="CA12" s="229">
        <v>-2.5000000000000001E-3</v>
      </c>
      <c r="CB12" s="230">
        <v>49472850</v>
      </c>
      <c r="CC12" s="230">
        <v>51263100</v>
      </c>
      <c r="CD12" s="230">
        <v>-1790250</v>
      </c>
      <c r="CE12" s="229">
        <v>-3.49E-2</v>
      </c>
      <c r="CF12" s="230">
        <v>9863700</v>
      </c>
      <c r="CG12" s="230">
        <v>8255100</v>
      </c>
      <c r="CH12" s="230">
        <v>1608600</v>
      </c>
      <c r="CI12" s="229">
        <v>0.19489999999999999</v>
      </c>
      <c r="CJ12" s="230">
        <v>165900</v>
      </c>
      <c r="CK12" s="230">
        <v>135450</v>
      </c>
      <c r="CL12" s="230">
        <v>30450</v>
      </c>
      <c r="CM12" s="229">
        <v>0.2248</v>
      </c>
      <c r="CN12" s="230">
        <v>10557750</v>
      </c>
      <c r="CO12" s="230">
        <v>10616550</v>
      </c>
      <c r="CP12" s="230">
        <v>-58800</v>
      </c>
      <c r="CQ12" s="229">
        <v>-5.4999999999999997E-3</v>
      </c>
      <c r="CR12" s="230">
        <v>9919350</v>
      </c>
      <c r="CS12" s="230">
        <v>10006500</v>
      </c>
      <c r="CT12" s="230">
        <v>-87150</v>
      </c>
      <c r="CU12" s="229">
        <v>-8.6999999999999994E-3</v>
      </c>
      <c r="CV12" s="230">
        <v>79979550</v>
      </c>
      <c r="CW12" s="230">
        <v>80276700</v>
      </c>
      <c r="CX12" s="230">
        <v>-297150</v>
      </c>
      <c r="CY12" s="229">
        <v>-3.7000000000000002E-3</v>
      </c>
      <c r="CZ12" s="228">
        <v>39.33</v>
      </c>
      <c r="DA12" s="228">
        <v>35.770000000000003</v>
      </c>
      <c r="DB12" s="228">
        <v>3.56</v>
      </c>
      <c r="DC12" s="228">
        <v>3.56</v>
      </c>
      <c r="DD12" s="228">
        <v>36.71</v>
      </c>
      <c r="DE12" s="228">
        <v>36.78</v>
      </c>
      <c r="DF12" s="228">
        <v>2.62</v>
      </c>
      <c r="DG12" s="228">
        <v>-7.0000000000000007E-2</v>
      </c>
      <c r="DH12" s="228">
        <v>39.15</v>
      </c>
      <c r="DI12" s="228">
        <v>34.51</v>
      </c>
      <c r="DJ12" s="228">
        <v>4.6399999999999997</v>
      </c>
      <c r="DK12" s="228">
        <v>4.6399999999999997</v>
      </c>
      <c r="DL12" s="228">
        <v>39.85</v>
      </c>
      <c r="DM12" s="228">
        <v>38.01</v>
      </c>
      <c r="DN12" s="228">
        <v>1.84</v>
      </c>
      <c r="DO12" s="228">
        <v>1.84</v>
      </c>
      <c r="DP12" s="228">
        <v>0.94</v>
      </c>
      <c r="DQ12" s="228">
        <v>0.94</v>
      </c>
      <c r="DR12" s="228">
        <v>0</v>
      </c>
      <c r="DS12" s="229">
        <v>0</v>
      </c>
      <c r="DT12" s="228">
        <v>500</v>
      </c>
      <c r="DU12" s="228">
        <v>500</v>
      </c>
      <c r="DV12" s="228">
        <v>0.35</v>
      </c>
      <c r="DW12" s="228">
        <v>0.56000000000000005</v>
      </c>
      <c r="DX12" s="228">
        <v>-0.21</v>
      </c>
      <c r="DY12" s="229">
        <v>-0.375</v>
      </c>
      <c r="DZ12" s="229">
        <v>0.1686</v>
      </c>
      <c r="EA12" s="230">
        <v>8390550</v>
      </c>
      <c r="EB12" s="229">
        <v>5.3E-3</v>
      </c>
      <c r="EC12" s="229">
        <v>0.1686</v>
      </c>
      <c r="ED12" s="228">
        <v>3.98</v>
      </c>
      <c r="EE12" s="229">
        <v>8.6999999999999994E-3</v>
      </c>
      <c r="EF12" s="230">
        <v>694800</v>
      </c>
      <c r="EG12" s="230">
        <v>1015021</v>
      </c>
      <c r="EH12" s="229">
        <v>-0.3155</v>
      </c>
      <c r="EI12" s="229">
        <v>0.38469999999999999</v>
      </c>
      <c r="EJ12" s="231">
        <v>48245.46</v>
      </c>
      <c r="EK12" s="231">
        <v>15976.88</v>
      </c>
      <c r="EL12" s="231">
        <v>33984.78</v>
      </c>
      <c r="EM12" s="231">
        <v>4708</v>
      </c>
      <c r="EN12" s="231">
        <v>98207.12</v>
      </c>
      <c r="EO12" s="231">
        <v>66983.13</v>
      </c>
      <c r="EP12" s="231">
        <v>31223.99</v>
      </c>
      <c r="EQ12" s="229">
        <v>0.46610000000000001</v>
      </c>
      <c r="ER12" s="231">
        <v>48222</v>
      </c>
      <c r="ES12" s="231">
        <v>45707</v>
      </c>
      <c r="ET12" s="231">
        <v>270950</v>
      </c>
      <c r="EU12" s="231">
        <v>97233107</v>
      </c>
      <c r="EV12" s="231">
        <v>364878</v>
      </c>
      <c r="EW12" s="231">
        <v>368374</v>
      </c>
      <c r="EX12" s="231">
        <v>-3496</v>
      </c>
      <c r="EY12" s="229">
        <v>-9.4999999999999998E-3</v>
      </c>
      <c r="EZ12" s="229">
        <v>0.8226</v>
      </c>
      <c r="FA12" s="227" t="s">
        <v>567</v>
      </c>
      <c r="FB12" s="161">
        <f t="shared" si="0"/>
        <v>10029600</v>
      </c>
    </row>
    <row r="13" spans="1:158" ht="17.25" thickBot="1" x14ac:dyDescent="0.3">
      <c r="A13" s="226">
        <v>46132</v>
      </c>
      <c r="B13" s="227" t="s">
        <v>175</v>
      </c>
      <c r="C13" s="227" t="s">
        <v>608</v>
      </c>
      <c r="D13" s="228">
        <v>2500</v>
      </c>
      <c r="E13" s="228">
        <v>319.7</v>
      </c>
      <c r="F13" s="228">
        <v>322.60000000000002</v>
      </c>
      <c r="G13" s="228">
        <v>-2.9</v>
      </c>
      <c r="H13" s="229">
        <v>-8.9999999999999993E-3</v>
      </c>
      <c r="I13" s="228">
        <v>319.16000000000003</v>
      </c>
      <c r="J13" s="228">
        <v>322.47000000000003</v>
      </c>
      <c r="K13" s="228">
        <v>-3.31</v>
      </c>
      <c r="L13" s="229">
        <v>-1.03E-2</v>
      </c>
      <c r="M13" s="228">
        <v>319.7</v>
      </c>
      <c r="N13" s="228">
        <v>322.60000000000002</v>
      </c>
      <c r="O13" s="228">
        <v>-2.9</v>
      </c>
      <c r="P13" s="229">
        <v>-8.9999999999999993E-3</v>
      </c>
      <c r="Q13" s="228">
        <v>315.57</v>
      </c>
      <c r="R13" s="228">
        <v>317.45999999999998</v>
      </c>
      <c r="S13" s="228">
        <v>-1.89</v>
      </c>
      <c r="T13" s="229">
        <v>-6.0000000000000001E-3</v>
      </c>
      <c r="U13" s="228">
        <v>313.16000000000003</v>
      </c>
      <c r="V13" s="228">
        <v>314.64999999999998</v>
      </c>
      <c r="W13" s="228">
        <v>-1.49</v>
      </c>
      <c r="X13" s="229">
        <v>-4.7000000000000002E-3</v>
      </c>
      <c r="Y13" s="228">
        <v>0.54</v>
      </c>
      <c r="Z13" s="228">
        <v>0.13</v>
      </c>
      <c r="AA13" s="228">
        <v>0.41</v>
      </c>
      <c r="AB13" s="229">
        <v>1.6999999999999999E-3</v>
      </c>
      <c r="AC13" s="228">
        <v>0.54</v>
      </c>
      <c r="AD13" s="228">
        <v>0.13</v>
      </c>
      <c r="AE13" s="228">
        <v>0.41</v>
      </c>
      <c r="AF13" s="229">
        <v>1.6999999999999999E-3</v>
      </c>
      <c r="AG13" s="228">
        <v>-3.59</v>
      </c>
      <c r="AH13" s="228">
        <v>-5.01</v>
      </c>
      <c r="AI13" s="228">
        <v>1.42</v>
      </c>
      <c r="AJ13" s="229">
        <v>-1.12E-2</v>
      </c>
      <c r="AK13" s="228">
        <v>-6</v>
      </c>
      <c r="AL13" s="228">
        <v>-7.82</v>
      </c>
      <c r="AM13" s="228">
        <v>1.82</v>
      </c>
      <c r="AN13" s="229">
        <v>-1.8800000000000001E-2</v>
      </c>
      <c r="AO13" s="228">
        <v>319.94</v>
      </c>
      <c r="AP13" s="228">
        <v>315.51</v>
      </c>
      <c r="AQ13" s="228">
        <v>0</v>
      </c>
      <c r="AR13" s="230">
        <v>21807500</v>
      </c>
      <c r="AS13" s="230">
        <v>59080000</v>
      </c>
      <c r="AT13" s="230">
        <v>-37272500</v>
      </c>
      <c r="AU13" s="229">
        <v>-0.63090000000000002</v>
      </c>
      <c r="AV13" s="230">
        <v>18740000</v>
      </c>
      <c r="AW13" s="230">
        <v>49957500</v>
      </c>
      <c r="AX13" s="230">
        <v>-31217500</v>
      </c>
      <c r="AY13" s="229">
        <v>-0.62490000000000001</v>
      </c>
      <c r="AZ13" s="230">
        <v>2785000</v>
      </c>
      <c r="BA13" s="230">
        <v>8302500</v>
      </c>
      <c r="BB13" s="230">
        <v>-5517500</v>
      </c>
      <c r="BC13" s="229">
        <v>-0.66459999999999997</v>
      </c>
      <c r="BD13" s="230">
        <v>282500</v>
      </c>
      <c r="BE13" s="230">
        <v>820000</v>
      </c>
      <c r="BF13" s="230">
        <v>-537500</v>
      </c>
      <c r="BG13" s="229">
        <v>-0.65549999999999997</v>
      </c>
      <c r="BH13" s="230">
        <v>105522500</v>
      </c>
      <c r="BI13" s="230">
        <v>424155000</v>
      </c>
      <c r="BJ13" s="230">
        <v>-318632500</v>
      </c>
      <c r="BK13" s="229">
        <v>-0.75119999999999998</v>
      </c>
      <c r="BL13" s="230">
        <v>77307500</v>
      </c>
      <c r="BM13" s="230">
        <v>205372500</v>
      </c>
      <c r="BN13" s="230">
        <v>-128065000</v>
      </c>
      <c r="BO13" s="229">
        <v>-0.62360000000000004</v>
      </c>
      <c r="BP13" s="230">
        <v>204637500</v>
      </c>
      <c r="BQ13" s="230">
        <v>688607500</v>
      </c>
      <c r="BR13" s="230">
        <v>-483970000</v>
      </c>
      <c r="BS13" s="229">
        <v>-0.70279999999999998</v>
      </c>
      <c r="BT13" s="230">
        <v>24593129</v>
      </c>
      <c r="BU13" s="230">
        <v>83526215</v>
      </c>
      <c r="BV13" s="230">
        <v>-58933086</v>
      </c>
      <c r="BW13" s="229">
        <v>-0.7056</v>
      </c>
      <c r="BX13" s="230">
        <v>29600000</v>
      </c>
      <c r="BY13" s="230">
        <v>31820000</v>
      </c>
      <c r="BZ13" s="230">
        <v>-2220000</v>
      </c>
      <c r="CA13" s="229">
        <v>-6.9800000000000001E-2</v>
      </c>
      <c r="CB13" s="230">
        <v>24032500</v>
      </c>
      <c r="CC13" s="230">
        <v>26377500</v>
      </c>
      <c r="CD13" s="230">
        <v>-2345000</v>
      </c>
      <c r="CE13" s="229">
        <v>-8.8900000000000007E-2</v>
      </c>
      <c r="CF13" s="230">
        <v>5075000</v>
      </c>
      <c r="CG13" s="230">
        <v>5010000</v>
      </c>
      <c r="CH13" s="230">
        <v>65000</v>
      </c>
      <c r="CI13" s="229">
        <v>1.2999999999999999E-2</v>
      </c>
      <c r="CJ13" s="230">
        <v>492500</v>
      </c>
      <c r="CK13" s="230">
        <v>432500</v>
      </c>
      <c r="CL13" s="230">
        <v>60000</v>
      </c>
      <c r="CM13" s="229">
        <v>0.13869999999999999</v>
      </c>
      <c r="CN13" s="230">
        <v>36165000</v>
      </c>
      <c r="CO13" s="230">
        <v>32425000</v>
      </c>
      <c r="CP13" s="230">
        <v>3740000</v>
      </c>
      <c r="CQ13" s="229">
        <v>0.1153</v>
      </c>
      <c r="CR13" s="230">
        <v>35435000</v>
      </c>
      <c r="CS13" s="230">
        <v>39760000</v>
      </c>
      <c r="CT13" s="230">
        <v>-4325000</v>
      </c>
      <c r="CU13" s="229">
        <v>-0.10879999999999999</v>
      </c>
      <c r="CV13" s="230">
        <v>101200000</v>
      </c>
      <c r="CW13" s="230">
        <v>104005000</v>
      </c>
      <c r="CX13" s="230">
        <v>-2805000</v>
      </c>
      <c r="CY13" s="229">
        <v>-2.7E-2</v>
      </c>
      <c r="CZ13" s="228">
        <v>48.05</v>
      </c>
      <c r="DA13" s="228">
        <v>47.43</v>
      </c>
      <c r="DB13" s="228">
        <v>0.62</v>
      </c>
      <c r="DC13" s="228">
        <v>0.62</v>
      </c>
      <c r="DD13" s="228">
        <v>57.37</v>
      </c>
      <c r="DE13" s="228">
        <v>57.5</v>
      </c>
      <c r="DF13" s="228">
        <v>-9.32</v>
      </c>
      <c r="DG13" s="228">
        <v>-0.13</v>
      </c>
      <c r="DH13" s="228">
        <v>47.11</v>
      </c>
      <c r="DI13" s="228">
        <v>45.23</v>
      </c>
      <c r="DJ13" s="228">
        <v>1.88</v>
      </c>
      <c r="DK13" s="228">
        <v>1.88</v>
      </c>
      <c r="DL13" s="228">
        <v>49.33</v>
      </c>
      <c r="DM13" s="228">
        <v>51.98</v>
      </c>
      <c r="DN13" s="228">
        <v>-2.65</v>
      </c>
      <c r="DO13" s="228">
        <v>-2.65</v>
      </c>
      <c r="DP13" s="228">
        <v>0.98</v>
      </c>
      <c r="DQ13" s="228">
        <v>1.23</v>
      </c>
      <c r="DR13" s="228">
        <v>-0.25</v>
      </c>
      <c r="DS13" s="229">
        <v>-0.20330000000000001</v>
      </c>
      <c r="DT13" s="228">
        <v>320</v>
      </c>
      <c r="DU13" s="228">
        <v>300</v>
      </c>
      <c r="DV13" s="228">
        <v>0.73</v>
      </c>
      <c r="DW13" s="228">
        <v>0.48</v>
      </c>
      <c r="DX13" s="228">
        <v>0.25</v>
      </c>
      <c r="DY13" s="229">
        <v>0.52080000000000004</v>
      </c>
      <c r="DZ13" s="229">
        <v>0.18809999999999999</v>
      </c>
      <c r="EA13" s="230">
        <v>5442500</v>
      </c>
      <c r="EB13" s="229">
        <v>-1.29E-2</v>
      </c>
      <c r="EC13" s="229">
        <v>0.18809999999999999</v>
      </c>
      <c r="ED13" s="228">
        <v>-4.43</v>
      </c>
      <c r="EE13" s="229">
        <v>-1.38E-2</v>
      </c>
      <c r="EF13" s="230">
        <v>6230918</v>
      </c>
      <c r="EG13" s="230">
        <v>14991728</v>
      </c>
      <c r="EH13" s="229">
        <v>-0.58440000000000003</v>
      </c>
      <c r="EI13" s="229">
        <v>0.25340000000000001</v>
      </c>
      <c r="EJ13" s="231">
        <v>354513.67</v>
      </c>
      <c r="EK13" s="231">
        <v>240672.11</v>
      </c>
      <c r="EL13" s="231">
        <v>69627.64</v>
      </c>
      <c r="EM13" s="231">
        <v>11193</v>
      </c>
      <c r="EN13" s="231">
        <v>664813.42000000004</v>
      </c>
      <c r="EO13" s="231">
        <v>2178721.9</v>
      </c>
      <c r="EP13" s="231">
        <v>-1513908.48</v>
      </c>
      <c r="EQ13" s="229">
        <v>-0.69489999999999996</v>
      </c>
      <c r="ER13" s="231">
        <v>113183</v>
      </c>
      <c r="ES13" s="231">
        <v>101247</v>
      </c>
      <c r="ET13" s="231">
        <v>94389</v>
      </c>
      <c r="EU13" s="231">
        <v>96940911</v>
      </c>
      <c r="EV13" s="231">
        <v>308819</v>
      </c>
      <c r="EW13" s="231">
        <v>316230</v>
      </c>
      <c r="EX13" s="231">
        <v>-7411</v>
      </c>
      <c r="EY13" s="229">
        <v>-2.3400000000000001E-2</v>
      </c>
      <c r="EZ13" s="229">
        <v>1.0439000000000001</v>
      </c>
      <c r="FA13" s="227" t="s">
        <v>567</v>
      </c>
      <c r="FB13" s="161">
        <f t="shared" si="0"/>
        <v>5567500</v>
      </c>
    </row>
    <row r="14" spans="1:158" ht="17.25" thickBot="1" x14ac:dyDescent="0.3">
      <c r="A14" s="226">
        <v>46132</v>
      </c>
      <c r="B14" s="227" t="s">
        <v>227</v>
      </c>
      <c r="C14" s="227" t="s">
        <v>597</v>
      </c>
      <c r="D14" s="228">
        <v>350</v>
      </c>
      <c r="E14" s="231">
        <v>2140.5</v>
      </c>
      <c r="F14" s="231">
        <v>2105.9</v>
      </c>
      <c r="G14" s="228">
        <v>34.6</v>
      </c>
      <c r="H14" s="229">
        <v>1.6400000000000001E-2</v>
      </c>
      <c r="I14" s="231">
        <v>2143.9</v>
      </c>
      <c r="J14" s="231">
        <v>2105.6999999999998</v>
      </c>
      <c r="K14" s="228">
        <v>38.200000000000003</v>
      </c>
      <c r="L14" s="229">
        <v>1.8100000000000002E-2</v>
      </c>
      <c r="M14" s="231">
        <v>2140.5</v>
      </c>
      <c r="N14" s="231">
        <v>2105.9</v>
      </c>
      <c r="O14" s="228">
        <v>34.6</v>
      </c>
      <c r="P14" s="229">
        <v>1.6400000000000001E-2</v>
      </c>
      <c r="Q14" s="231">
        <v>2150.4</v>
      </c>
      <c r="R14" s="231">
        <v>2115.6</v>
      </c>
      <c r="S14" s="228">
        <v>34.799999999999997</v>
      </c>
      <c r="T14" s="229">
        <v>1.6400000000000001E-2</v>
      </c>
      <c r="U14" s="231">
        <v>2165.3000000000002</v>
      </c>
      <c r="V14" s="231">
        <v>2126.5</v>
      </c>
      <c r="W14" s="228">
        <v>38.799999999999997</v>
      </c>
      <c r="X14" s="229">
        <v>1.8200000000000001E-2</v>
      </c>
      <c r="Y14" s="228">
        <v>-3.4</v>
      </c>
      <c r="Z14" s="228">
        <v>0.2</v>
      </c>
      <c r="AA14" s="228">
        <v>-3.6</v>
      </c>
      <c r="AB14" s="229">
        <v>-1.6000000000000001E-3</v>
      </c>
      <c r="AC14" s="228">
        <v>-3.4</v>
      </c>
      <c r="AD14" s="228">
        <v>0.2</v>
      </c>
      <c r="AE14" s="228">
        <v>-3.6</v>
      </c>
      <c r="AF14" s="229">
        <v>-1.6000000000000001E-3</v>
      </c>
      <c r="AG14" s="228">
        <v>6.5</v>
      </c>
      <c r="AH14" s="228">
        <v>9.9</v>
      </c>
      <c r="AI14" s="228">
        <v>-3.4</v>
      </c>
      <c r="AJ14" s="229">
        <v>3.0000000000000001E-3</v>
      </c>
      <c r="AK14" s="228">
        <v>21.4</v>
      </c>
      <c r="AL14" s="228">
        <v>20.8</v>
      </c>
      <c r="AM14" s="228">
        <v>0.6</v>
      </c>
      <c r="AN14" s="229">
        <v>0.01</v>
      </c>
      <c r="AO14" s="231">
        <v>2128.4299999999998</v>
      </c>
      <c r="AP14" s="231">
        <v>2137.54</v>
      </c>
      <c r="AQ14" s="228">
        <v>0</v>
      </c>
      <c r="AR14" s="230">
        <v>1023400</v>
      </c>
      <c r="AS14" s="230">
        <v>752500</v>
      </c>
      <c r="AT14" s="230">
        <v>270900</v>
      </c>
      <c r="AU14" s="229">
        <v>0.36</v>
      </c>
      <c r="AV14" s="230">
        <v>942550</v>
      </c>
      <c r="AW14" s="230">
        <v>701750</v>
      </c>
      <c r="AX14" s="230">
        <v>240800</v>
      </c>
      <c r="AY14" s="229">
        <v>0.34310000000000002</v>
      </c>
      <c r="AZ14" s="230">
        <v>75950</v>
      </c>
      <c r="BA14" s="230">
        <v>45150</v>
      </c>
      <c r="BB14" s="230">
        <v>30800</v>
      </c>
      <c r="BC14" s="229">
        <v>0.68220000000000003</v>
      </c>
      <c r="BD14" s="230">
        <v>4900</v>
      </c>
      <c r="BE14" s="230">
        <v>5600</v>
      </c>
      <c r="BF14" s="228">
        <v>-700</v>
      </c>
      <c r="BG14" s="229">
        <v>-0.125</v>
      </c>
      <c r="BH14" s="230">
        <v>2523850</v>
      </c>
      <c r="BI14" s="230">
        <v>3880100</v>
      </c>
      <c r="BJ14" s="230">
        <v>-1356250</v>
      </c>
      <c r="BK14" s="229">
        <v>-0.34949999999999998</v>
      </c>
      <c r="BL14" s="230">
        <v>1022000</v>
      </c>
      <c r="BM14" s="230">
        <v>1080800</v>
      </c>
      <c r="BN14" s="230">
        <v>-58800</v>
      </c>
      <c r="BO14" s="229">
        <v>-5.4399999999999997E-2</v>
      </c>
      <c r="BP14" s="230">
        <v>4569250</v>
      </c>
      <c r="BQ14" s="230">
        <v>5713400</v>
      </c>
      <c r="BR14" s="230">
        <v>-1144150</v>
      </c>
      <c r="BS14" s="229">
        <v>-0.20030000000000001</v>
      </c>
      <c r="BT14" s="230">
        <v>1076581</v>
      </c>
      <c r="BU14" s="230">
        <v>757328</v>
      </c>
      <c r="BV14" s="230">
        <v>319253</v>
      </c>
      <c r="BW14" s="229">
        <v>0.42159999999999997</v>
      </c>
      <c r="BX14" s="230">
        <v>4756150</v>
      </c>
      <c r="BY14" s="230">
        <v>5087250</v>
      </c>
      <c r="BZ14" s="230">
        <v>-331100</v>
      </c>
      <c r="CA14" s="229">
        <v>-6.5100000000000005E-2</v>
      </c>
      <c r="CB14" s="230">
        <v>4171650</v>
      </c>
      <c r="CC14" s="230">
        <v>4515700</v>
      </c>
      <c r="CD14" s="230">
        <v>-344050</v>
      </c>
      <c r="CE14" s="229">
        <v>-7.6200000000000004E-2</v>
      </c>
      <c r="CF14" s="230">
        <v>94850</v>
      </c>
      <c r="CG14" s="230">
        <v>81200</v>
      </c>
      <c r="CH14" s="230">
        <v>13650</v>
      </c>
      <c r="CI14" s="229">
        <v>0.1681</v>
      </c>
      <c r="CJ14" s="230">
        <v>489650</v>
      </c>
      <c r="CK14" s="230">
        <v>490350</v>
      </c>
      <c r="CL14" s="228">
        <v>-700</v>
      </c>
      <c r="CM14" s="229">
        <v>-1.4E-3</v>
      </c>
      <c r="CN14" s="230">
        <v>1280650</v>
      </c>
      <c r="CO14" s="230">
        <v>1288350</v>
      </c>
      <c r="CP14" s="230">
        <v>-7700</v>
      </c>
      <c r="CQ14" s="229">
        <v>-6.0000000000000001E-3</v>
      </c>
      <c r="CR14" s="230">
        <v>915600</v>
      </c>
      <c r="CS14" s="230">
        <v>868700</v>
      </c>
      <c r="CT14" s="230">
        <v>46900</v>
      </c>
      <c r="CU14" s="229">
        <v>5.3999999999999999E-2</v>
      </c>
      <c r="CV14" s="230">
        <v>6952400</v>
      </c>
      <c r="CW14" s="230">
        <v>7244300</v>
      </c>
      <c r="CX14" s="230">
        <v>-291900</v>
      </c>
      <c r="CY14" s="229">
        <v>-4.0300000000000002E-2</v>
      </c>
      <c r="CZ14" s="228">
        <v>35.479999999999997</v>
      </c>
      <c r="DA14" s="228">
        <v>32.42</v>
      </c>
      <c r="DB14" s="228">
        <v>3.06</v>
      </c>
      <c r="DC14" s="228">
        <v>3.06</v>
      </c>
      <c r="DD14" s="228">
        <v>36.04</v>
      </c>
      <c r="DE14" s="228">
        <v>36.049999999999997</v>
      </c>
      <c r="DF14" s="228">
        <v>-0.56000000000000005</v>
      </c>
      <c r="DG14" s="228">
        <v>-0.01</v>
      </c>
      <c r="DH14" s="228">
        <v>34.64</v>
      </c>
      <c r="DI14" s="228">
        <v>31.58</v>
      </c>
      <c r="DJ14" s="228">
        <v>3.06</v>
      </c>
      <c r="DK14" s="228">
        <v>3.06</v>
      </c>
      <c r="DL14" s="228">
        <v>37.54</v>
      </c>
      <c r="DM14" s="228">
        <v>35.46</v>
      </c>
      <c r="DN14" s="228">
        <v>2.08</v>
      </c>
      <c r="DO14" s="228">
        <v>2.08</v>
      </c>
      <c r="DP14" s="228">
        <v>0.71</v>
      </c>
      <c r="DQ14" s="228">
        <v>0.67</v>
      </c>
      <c r="DR14" s="228">
        <v>0.04</v>
      </c>
      <c r="DS14" s="229">
        <v>5.9700000000000003E-2</v>
      </c>
      <c r="DT14" s="231">
        <v>2180</v>
      </c>
      <c r="DU14" s="231">
        <v>2000</v>
      </c>
      <c r="DV14" s="228">
        <v>0.4</v>
      </c>
      <c r="DW14" s="228">
        <v>0.28000000000000003</v>
      </c>
      <c r="DX14" s="228">
        <v>0.12</v>
      </c>
      <c r="DY14" s="229">
        <v>0.42859999999999998</v>
      </c>
      <c r="DZ14" s="229">
        <v>0.1229</v>
      </c>
      <c r="EA14" s="230">
        <v>571550</v>
      </c>
      <c r="EB14" s="229">
        <v>4.5999999999999999E-3</v>
      </c>
      <c r="EC14" s="229">
        <v>0.1229</v>
      </c>
      <c r="ED14" s="228">
        <v>9.11</v>
      </c>
      <c r="EE14" s="229">
        <v>4.3E-3</v>
      </c>
      <c r="EF14" s="230">
        <v>599548</v>
      </c>
      <c r="EG14" s="230">
        <v>390685</v>
      </c>
      <c r="EH14" s="229">
        <v>0.53459999999999996</v>
      </c>
      <c r="EI14" s="229">
        <v>0.55689999999999995</v>
      </c>
      <c r="EJ14" s="231">
        <v>55606.02</v>
      </c>
      <c r="EK14" s="231">
        <v>21086.26</v>
      </c>
      <c r="EL14" s="231">
        <v>21790</v>
      </c>
      <c r="EM14" s="231">
        <v>3021</v>
      </c>
      <c r="EN14" s="231">
        <v>98482.28</v>
      </c>
      <c r="EO14" s="231">
        <v>121587.35</v>
      </c>
      <c r="EP14" s="231">
        <v>-23105.07</v>
      </c>
      <c r="EQ14" s="229">
        <v>-0.19</v>
      </c>
      <c r="ER14" s="231">
        <v>27260</v>
      </c>
      <c r="ES14" s="231">
        <v>17901</v>
      </c>
      <c r="ET14" s="231">
        <v>101936</v>
      </c>
      <c r="EU14" s="231">
        <v>29871221</v>
      </c>
      <c r="EV14" s="231">
        <v>147097</v>
      </c>
      <c r="EW14" s="231">
        <v>151412</v>
      </c>
      <c r="EX14" s="231">
        <v>-4315</v>
      </c>
      <c r="EY14" s="229">
        <v>-2.8500000000000001E-2</v>
      </c>
      <c r="EZ14" s="229">
        <v>0.23269999999999999</v>
      </c>
      <c r="FA14" s="227" t="s">
        <v>693</v>
      </c>
      <c r="FB14" s="161">
        <f t="shared" si="0"/>
        <v>584500</v>
      </c>
    </row>
    <row r="15" spans="1:158" ht="17.25" thickBot="1" x14ac:dyDescent="0.3">
      <c r="A15" s="226">
        <v>46132</v>
      </c>
      <c r="B15" s="227" t="s">
        <v>170</v>
      </c>
      <c r="C15" s="227" t="s">
        <v>165</v>
      </c>
      <c r="D15" s="228">
        <v>125</v>
      </c>
      <c r="E15" s="231">
        <v>7650</v>
      </c>
      <c r="F15" s="231">
        <v>7698</v>
      </c>
      <c r="G15" s="228">
        <v>-48</v>
      </c>
      <c r="H15" s="229">
        <v>-6.1999999999999998E-3</v>
      </c>
      <c r="I15" s="231">
        <v>7657</v>
      </c>
      <c r="J15" s="231">
        <v>7699</v>
      </c>
      <c r="K15" s="228">
        <v>-42</v>
      </c>
      <c r="L15" s="229">
        <v>-5.4999999999999997E-3</v>
      </c>
      <c r="M15" s="231">
        <v>7650</v>
      </c>
      <c r="N15" s="231">
        <v>7698</v>
      </c>
      <c r="O15" s="228">
        <v>-48</v>
      </c>
      <c r="P15" s="229">
        <v>-6.1999999999999998E-3</v>
      </c>
      <c r="Q15" s="231">
        <v>7692.5</v>
      </c>
      <c r="R15" s="231">
        <v>7738.5</v>
      </c>
      <c r="S15" s="228">
        <v>-46</v>
      </c>
      <c r="T15" s="229">
        <v>-5.8999999999999999E-3</v>
      </c>
      <c r="U15" s="231">
        <v>7746.5</v>
      </c>
      <c r="V15" s="231">
        <v>7787</v>
      </c>
      <c r="W15" s="228">
        <v>-40.5</v>
      </c>
      <c r="X15" s="229">
        <v>-5.1999999999999998E-3</v>
      </c>
      <c r="Y15" s="228">
        <v>-7</v>
      </c>
      <c r="Z15" s="228">
        <v>-1</v>
      </c>
      <c r="AA15" s="228">
        <v>-6</v>
      </c>
      <c r="AB15" s="229">
        <v>-8.9999999999999998E-4</v>
      </c>
      <c r="AC15" s="228">
        <v>-7</v>
      </c>
      <c r="AD15" s="228">
        <v>-1</v>
      </c>
      <c r="AE15" s="228">
        <v>-6</v>
      </c>
      <c r="AF15" s="229">
        <v>-8.9999999999999998E-4</v>
      </c>
      <c r="AG15" s="228">
        <v>35.5</v>
      </c>
      <c r="AH15" s="228">
        <v>39.5</v>
      </c>
      <c r="AI15" s="228">
        <v>-4</v>
      </c>
      <c r="AJ15" s="229">
        <v>4.5999999999999999E-3</v>
      </c>
      <c r="AK15" s="228">
        <v>89.5</v>
      </c>
      <c r="AL15" s="228">
        <v>88</v>
      </c>
      <c r="AM15" s="228">
        <v>1.5</v>
      </c>
      <c r="AN15" s="229">
        <v>1.17E-2</v>
      </c>
      <c r="AO15" s="231">
        <v>7662.7</v>
      </c>
      <c r="AP15" s="231">
        <v>7708.96</v>
      </c>
      <c r="AQ15" s="228">
        <v>0</v>
      </c>
      <c r="AR15" s="230">
        <v>244500</v>
      </c>
      <c r="AS15" s="230">
        <v>314625</v>
      </c>
      <c r="AT15" s="230">
        <v>-70125</v>
      </c>
      <c r="AU15" s="229">
        <v>-0.22289999999999999</v>
      </c>
      <c r="AV15" s="230">
        <v>188875</v>
      </c>
      <c r="AW15" s="230">
        <v>262375</v>
      </c>
      <c r="AX15" s="230">
        <v>-73500</v>
      </c>
      <c r="AY15" s="229">
        <v>-0.28010000000000002</v>
      </c>
      <c r="AZ15" s="230">
        <v>53000</v>
      </c>
      <c r="BA15" s="230">
        <v>49250</v>
      </c>
      <c r="BB15" s="230">
        <v>3750</v>
      </c>
      <c r="BC15" s="229">
        <v>7.6100000000000001E-2</v>
      </c>
      <c r="BD15" s="230">
        <v>2625</v>
      </c>
      <c r="BE15" s="230">
        <v>3000</v>
      </c>
      <c r="BF15" s="228">
        <v>-375</v>
      </c>
      <c r="BG15" s="229">
        <v>-0.125</v>
      </c>
      <c r="BH15" s="230">
        <v>1575000</v>
      </c>
      <c r="BI15" s="230">
        <v>2859875</v>
      </c>
      <c r="BJ15" s="230">
        <v>-1284875</v>
      </c>
      <c r="BK15" s="229">
        <v>-0.44929999999999998</v>
      </c>
      <c r="BL15" s="230">
        <v>845750</v>
      </c>
      <c r="BM15" s="230">
        <v>1064375</v>
      </c>
      <c r="BN15" s="230">
        <v>-218625</v>
      </c>
      <c r="BO15" s="229">
        <v>-0.2054</v>
      </c>
      <c r="BP15" s="230">
        <v>2665250</v>
      </c>
      <c r="BQ15" s="230">
        <v>4238875</v>
      </c>
      <c r="BR15" s="230">
        <v>-1573625</v>
      </c>
      <c r="BS15" s="229">
        <v>-0.37119999999999997</v>
      </c>
      <c r="BT15" s="230">
        <v>351110</v>
      </c>
      <c r="BU15" s="230">
        <v>354844</v>
      </c>
      <c r="BV15" s="230">
        <v>-3734</v>
      </c>
      <c r="BW15" s="229">
        <v>-1.0500000000000001E-2</v>
      </c>
      <c r="BX15" s="230">
        <v>2387875</v>
      </c>
      <c r="BY15" s="230">
        <v>2396375</v>
      </c>
      <c r="BZ15" s="230">
        <v>-8500</v>
      </c>
      <c r="CA15" s="229">
        <v>-3.5000000000000001E-3</v>
      </c>
      <c r="CB15" s="230">
        <v>2254625</v>
      </c>
      <c r="CC15" s="230">
        <v>2281375</v>
      </c>
      <c r="CD15" s="230">
        <v>-26750</v>
      </c>
      <c r="CE15" s="229">
        <v>-1.17E-2</v>
      </c>
      <c r="CF15" s="230">
        <v>118125</v>
      </c>
      <c r="CG15" s="230">
        <v>101750</v>
      </c>
      <c r="CH15" s="230">
        <v>16375</v>
      </c>
      <c r="CI15" s="229">
        <v>0.16089999999999999</v>
      </c>
      <c r="CJ15" s="230">
        <v>15125</v>
      </c>
      <c r="CK15" s="230">
        <v>13250</v>
      </c>
      <c r="CL15" s="230">
        <v>1875</v>
      </c>
      <c r="CM15" s="229">
        <v>0.14149999999999999</v>
      </c>
      <c r="CN15" s="230">
        <v>884750</v>
      </c>
      <c r="CO15" s="230">
        <v>872625</v>
      </c>
      <c r="CP15" s="230">
        <v>12125</v>
      </c>
      <c r="CQ15" s="229">
        <v>1.3899999999999999E-2</v>
      </c>
      <c r="CR15" s="230">
        <v>773750</v>
      </c>
      <c r="CS15" s="230">
        <v>796750</v>
      </c>
      <c r="CT15" s="230">
        <v>-23000</v>
      </c>
      <c r="CU15" s="229">
        <v>-2.8899999999999999E-2</v>
      </c>
      <c r="CV15" s="230">
        <v>4046375</v>
      </c>
      <c r="CW15" s="230">
        <v>4065750</v>
      </c>
      <c r="CX15" s="230">
        <v>-19375</v>
      </c>
      <c r="CY15" s="229">
        <v>-4.7999999999999996E-3</v>
      </c>
      <c r="CZ15" s="228">
        <v>25.67</v>
      </c>
      <c r="DA15" s="228">
        <v>22.92</v>
      </c>
      <c r="DB15" s="228">
        <v>2.75</v>
      </c>
      <c r="DC15" s="228">
        <v>2.75</v>
      </c>
      <c r="DD15" s="228">
        <v>25.18</v>
      </c>
      <c r="DE15" s="228">
        <v>25.23</v>
      </c>
      <c r="DF15" s="228">
        <v>0.49</v>
      </c>
      <c r="DG15" s="228">
        <v>-0.05</v>
      </c>
      <c r="DH15" s="228">
        <v>24.93</v>
      </c>
      <c r="DI15" s="228">
        <v>22.34</v>
      </c>
      <c r="DJ15" s="228">
        <v>2.59</v>
      </c>
      <c r="DK15" s="228">
        <v>2.59</v>
      </c>
      <c r="DL15" s="228">
        <v>27.03</v>
      </c>
      <c r="DM15" s="228">
        <v>24.48</v>
      </c>
      <c r="DN15" s="228">
        <v>2.5499999999999998</v>
      </c>
      <c r="DO15" s="228">
        <v>2.5499999999999998</v>
      </c>
      <c r="DP15" s="228">
        <v>0.87</v>
      </c>
      <c r="DQ15" s="228">
        <v>0.91</v>
      </c>
      <c r="DR15" s="228">
        <v>-0.04</v>
      </c>
      <c r="DS15" s="229">
        <v>-4.3999999999999997E-2</v>
      </c>
      <c r="DT15" s="231">
        <v>7700</v>
      </c>
      <c r="DU15" s="231">
        <v>6700</v>
      </c>
      <c r="DV15" s="228">
        <v>0.54</v>
      </c>
      <c r="DW15" s="228">
        <v>0.37</v>
      </c>
      <c r="DX15" s="228">
        <v>0.17</v>
      </c>
      <c r="DY15" s="229">
        <v>0.45950000000000002</v>
      </c>
      <c r="DZ15" s="229">
        <v>5.5800000000000002E-2</v>
      </c>
      <c r="EA15" s="230">
        <v>115000</v>
      </c>
      <c r="EB15" s="229">
        <v>5.5999999999999999E-3</v>
      </c>
      <c r="EC15" s="229">
        <v>5.5800000000000002E-2</v>
      </c>
      <c r="ED15" s="228">
        <v>46.26</v>
      </c>
      <c r="EE15" s="229">
        <v>6.0000000000000001E-3</v>
      </c>
      <c r="EF15" s="230">
        <v>191006</v>
      </c>
      <c r="EG15" s="230">
        <v>214210</v>
      </c>
      <c r="EH15" s="229">
        <v>-0.10829999999999999</v>
      </c>
      <c r="EI15" s="229">
        <v>0.54400000000000004</v>
      </c>
      <c r="EJ15" s="231">
        <v>123846.46</v>
      </c>
      <c r="EK15" s="231">
        <v>63604.05</v>
      </c>
      <c r="EL15" s="231">
        <v>18762.47</v>
      </c>
      <c r="EM15" s="231">
        <v>2771</v>
      </c>
      <c r="EN15" s="231">
        <v>206212.98</v>
      </c>
      <c r="EO15" s="231">
        <v>328767.46999999997</v>
      </c>
      <c r="EP15" s="231">
        <v>-122554.49</v>
      </c>
      <c r="EQ15" s="229">
        <v>-0.37280000000000002</v>
      </c>
      <c r="ER15" s="231">
        <v>68625</v>
      </c>
      <c r="ES15" s="231">
        <v>55207</v>
      </c>
      <c r="ET15" s="231">
        <v>182737</v>
      </c>
      <c r="EU15" s="231">
        <v>15524629</v>
      </c>
      <c r="EV15" s="231">
        <v>306569</v>
      </c>
      <c r="EW15" s="231">
        <v>309131</v>
      </c>
      <c r="EX15" s="231">
        <v>-2562</v>
      </c>
      <c r="EY15" s="229">
        <v>-8.3000000000000001E-3</v>
      </c>
      <c r="EZ15" s="229">
        <v>0.2606</v>
      </c>
      <c r="FA15" s="227" t="s">
        <v>567</v>
      </c>
      <c r="FB15" s="161">
        <f t="shared" si="0"/>
        <v>133250</v>
      </c>
    </row>
    <row r="16" spans="1:158" ht="17.25" thickBot="1" x14ac:dyDescent="0.3">
      <c r="A16" s="226">
        <v>46132</v>
      </c>
      <c r="B16" s="227" t="s">
        <v>162</v>
      </c>
      <c r="C16" s="227" t="s">
        <v>167</v>
      </c>
      <c r="D16" s="228">
        <v>5000</v>
      </c>
      <c r="E16" s="228">
        <v>176.18</v>
      </c>
      <c r="F16" s="228">
        <v>174.97</v>
      </c>
      <c r="G16" s="228">
        <v>1.21</v>
      </c>
      <c r="H16" s="229">
        <v>6.8999999999999999E-3</v>
      </c>
      <c r="I16" s="228">
        <v>175.96</v>
      </c>
      <c r="J16" s="228">
        <v>174.78</v>
      </c>
      <c r="K16" s="228">
        <v>1.18</v>
      </c>
      <c r="L16" s="229">
        <v>6.7999999999999996E-3</v>
      </c>
      <c r="M16" s="228">
        <v>176.18</v>
      </c>
      <c r="N16" s="228">
        <v>174.97</v>
      </c>
      <c r="O16" s="228">
        <v>1.21</v>
      </c>
      <c r="P16" s="229">
        <v>6.8999999999999999E-3</v>
      </c>
      <c r="Q16" s="228">
        <v>174.43</v>
      </c>
      <c r="R16" s="228">
        <v>173.24</v>
      </c>
      <c r="S16" s="228">
        <v>1.19</v>
      </c>
      <c r="T16" s="229">
        <v>6.8999999999999999E-3</v>
      </c>
      <c r="U16" s="228">
        <v>173.68</v>
      </c>
      <c r="V16" s="228">
        <v>172.42</v>
      </c>
      <c r="W16" s="228">
        <v>1.26</v>
      </c>
      <c r="X16" s="229">
        <v>7.3000000000000001E-3</v>
      </c>
      <c r="Y16" s="228">
        <v>0.22</v>
      </c>
      <c r="Z16" s="228">
        <v>0.19</v>
      </c>
      <c r="AA16" s="228">
        <v>0.03</v>
      </c>
      <c r="AB16" s="229">
        <v>1.2999999999999999E-3</v>
      </c>
      <c r="AC16" s="228">
        <v>0.22</v>
      </c>
      <c r="AD16" s="228">
        <v>0.19</v>
      </c>
      <c r="AE16" s="228">
        <v>0.03</v>
      </c>
      <c r="AF16" s="229">
        <v>1.2999999999999999E-3</v>
      </c>
      <c r="AG16" s="228">
        <v>-1.53</v>
      </c>
      <c r="AH16" s="228">
        <v>-1.54</v>
      </c>
      <c r="AI16" s="228">
        <v>0.01</v>
      </c>
      <c r="AJ16" s="229">
        <v>-8.6999999999999994E-3</v>
      </c>
      <c r="AK16" s="228">
        <v>-2.2799999999999998</v>
      </c>
      <c r="AL16" s="228">
        <v>-2.36</v>
      </c>
      <c r="AM16" s="228">
        <v>0.08</v>
      </c>
      <c r="AN16" s="229">
        <v>-1.2999999999999999E-2</v>
      </c>
      <c r="AO16" s="228">
        <v>175.82</v>
      </c>
      <c r="AP16" s="228">
        <v>174.03</v>
      </c>
      <c r="AQ16" s="228">
        <v>0</v>
      </c>
      <c r="AR16" s="230">
        <v>21080000</v>
      </c>
      <c r="AS16" s="230">
        <v>32935000</v>
      </c>
      <c r="AT16" s="230">
        <v>-11855000</v>
      </c>
      <c r="AU16" s="229">
        <v>-0.36</v>
      </c>
      <c r="AV16" s="230">
        <v>15955000</v>
      </c>
      <c r="AW16" s="230">
        <v>25055000</v>
      </c>
      <c r="AX16" s="230">
        <v>-9100000</v>
      </c>
      <c r="AY16" s="229">
        <v>-0.36320000000000002</v>
      </c>
      <c r="AZ16" s="230">
        <v>4405000</v>
      </c>
      <c r="BA16" s="230">
        <v>7010000</v>
      </c>
      <c r="BB16" s="230">
        <v>-2605000</v>
      </c>
      <c r="BC16" s="229">
        <v>-0.37159999999999999</v>
      </c>
      <c r="BD16" s="230">
        <v>720000</v>
      </c>
      <c r="BE16" s="230">
        <v>870000</v>
      </c>
      <c r="BF16" s="230">
        <v>-150000</v>
      </c>
      <c r="BG16" s="229">
        <v>-0.1724</v>
      </c>
      <c r="BH16" s="230">
        <v>96995000</v>
      </c>
      <c r="BI16" s="230">
        <v>76005000</v>
      </c>
      <c r="BJ16" s="230">
        <v>20990000</v>
      </c>
      <c r="BK16" s="229">
        <v>0.2762</v>
      </c>
      <c r="BL16" s="230">
        <v>44590000</v>
      </c>
      <c r="BM16" s="230">
        <v>43375000</v>
      </c>
      <c r="BN16" s="230">
        <v>1215000</v>
      </c>
      <c r="BO16" s="229">
        <v>2.8000000000000001E-2</v>
      </c>
      <c r="BP16" s="230">
        <v>162665000</v>
      </c>
      <c r="BQ16" s="230">
        <v>152315000</v>
      </c>
      <c r="BR16" s="230">
        <v>10350000</v>
      </c>
      <c r="BS16" s="229">
        <v>6.8000000000000005E-2</v>
      </c>
      <c r="BT16" s="230">
        <v>12464217</v>
      </c>
      <c r="BU16" s="230">
        <v>22380777</v>
      </c>
      <c r="BV16" s="230">
        <v>-9916560</v>
      </c>
      <c r="BW16" s="229">
        <v>-0.44309999999999999</v>
      </c>
      <c r="BX16" s="230">
        <v>135670000</v>
      </c>
      <c r="BY16" s="230">
        <v>137975000</v>
      </c>
      <c r="BZ16" s="230">
        <v>-2305000</v>
      </c>
      <c r="CA16" s="229">
        <v>-1.67E-2</v>
      </c>
      <c r="CB16" s="230">
        <v>121020000</v>
      </c>
      <c r="CC16" s="230">
        <v>124145000</v>
      </c>
      <c r="CD16" s="230">
        <v>-3125000</v>
      </c>
      <c r="CE16" s="229">
        <v>-2.52E-2</v>
      </c>
      <c r="CF16" s="230">
        <v>12270000</v>
      </c>
      <c r="CG16" s="230">
        <v>11380000</v>
      </c>
      <c r="CH16" s="230">
        <v>890000</v>
      </c>
      <c r="CI16" s="229">
        <v>7.8200000000000006E-2</v>
      </c>
      <c r="CJ16" s="230">
        <v>2380000</v>
      </c>
      <c r="CK16" s="230">
        <v>2450000</v>
      </c>
      <c r="CL16" s="230">
        <v>-70000</v>
      </c>
      <c r="CM16" s="229">
        <v>-2.86E-2</v>
      </c>
      <c r="CN16" s="230">
        <v>96045000</v>
      </c>
      <c r="CO16" s="230">
        <v>92395000</v>
      </c>
      <c r="CP16" s="230">
        <v>3650000</v>
      </c>
      <c r="CQ16" s="229">
        <v>3.95E-2</v>
      </c>
      <c r="CR16" s="230">
        <v>68755000</v>
      </c>
      <c r="CS16" s="230">
        <v>68100000</v>
      </c>
      <c r="CT16" s="230">
        <v>655000</v>
      </c>
      <c r="CU16" s="229">
        <v>9.5999999999999992E-3</v>
      </c>
      <c r="CV16" s="230">
        <v>300470000</v>
      </c>
      <c r="CW16" s="230">
        <v>298470000</v>
      </c>
      <c r="CX16" s="230">
        <v>2000000</v>
      </c>
      <c r="CY16" s="229">
        <v>6.7000000000000002E-3</v>
      </c>
      <c r="CZ16" s="228">
        <v>44.63</v>
      </c>
      <c r="DA16" s="228">
        <v>40.729999999999997</v>
      </c>
      <c r="DB16" s="228">
        <v>3.9</v>
      </c>
      <c r="DC16" s="228">
        <v>3.9</v>
      </c>
      <c r="DD16" s="228">
        <v>42.5</v>
      </c>
      <c r="DE16" s="228">
        <v>42.6</v>
      </c>
      <c r="DF16" s="228">
        <v>2.13</v>
      </c>
      <c r="DG16" s="228">
        <v>-0.1</v>
      </c>
      <c r="DH16" s="228">
        <v>43.31</v>
      </c>
      <c r="DI16" s="228">
        <v>38.97</v>
      </c>
      <c r="DJ16" s="228">
        <v>4.34</v>
      </c>
      <c r="DK16" s="228">
        <v>4.34</v>
      </c>
      <c r="DL16" s="228">
        <v>47.51</v>
      </c>
      <c r="DM16" s="228">
        <v>43.8</v>
      </c>
      <c r="DN16" s="228">
        <v>3.71</v>
      </c>
      <c r="DO16" s="228">
        <v>3.71</v>
      </c>
      <c r="DP16" s="228">
        <v>0.72</v>
      </c>
      <c r="DQ16" s="228">
        <v>0.74</v>
      </c>
      <c r="DR16" s="228">
        <v>-0.02</v>
      </c>
      <c r="DS16" s="229">
        <v>-2.7E-2</v>
      </c>
      <c r="DT16" s="228">
        <v>180</v>
      </c>
      <c r="DU16" s="228">
        <v>160</v>
      </c>
      <c r="DV16" s="228">
        <v>0.46</v>
      </c>
      <c r="DW16" s="228">
        <v>0.56999999999999995</v>
      </c>
      <c r="DX16" s="228">
        <v>-0.11</v>
      </c>
      <c r="DY16" s="229">
        <v>-0.193</v>
      </c>
      <c r="DZ16" s="229">
        <v>0.108</v>
      </c>
      <c r="EA16" s="230">
        <v>13830000</v>
      </c>
      <c r="EB16" s="229">
        <v>-9.9000000000000008E-3</v>
      </c>
      <c r="EC16" s="229">
        <v>0.108</v>
      </c>
      <c r="ED16" s="228">
        <v>-1.79</v>
      </c>
      <c r="EE16" s="229">
        <v>-1.0200000000000001E-2</v>
      </c>
      <c r="EF16" s="230">
        <v>5074881</v>
      </c>
      <c r="EG16" s="230">
        <v>10715878</v>
      </c>
      <c r="EH16" s="229">
        <v>-0.52639999999999998</v>
      </c>
      <c r="EI16" s="229">
        <v>0.40720000000000001</v>
      </c>
      <c r="EJ16" s="231">
        <v>181819.43</v>
      </c>
      <c r="EK16" s="231">
        <v>74280.149999999994</v>
      </c>
      <c r="EL16" s="231">
        <v>36967.35</v>
      </c>
      <c r="EM16" s="231">
        <v>6227</v>
      </c>
      <c r="EN16" s="231">
        <v>293066.93</v>
      </c>
      <c r="EO16" s="231">
        <v>271403.58</v>
      </c>
      <c r="EP16" s="231">
        <v>21663.35</v>
      </c>
      <c r="EQ16" s="229">
        <v>7.9799999999999996E-2</v>
      </c>
      <c r="ER16" s="231">
        <v>174395</v>
      </c>
      <c r="ES16" s="231">
        <v>114698</v>
      </c>
      <c r="ET16" s="231">
        <v>238749</v>
      </c>
      <c r="EU16" s="231">
        <v>423779104</v>
      </c>
      <c r="EV16" s="231">
        <v>527842</v>
      </c>
      <c r="EW16" s="231">
        <v>521907</v>
      </c>
      <c r="EX16" s="231">
        <v>5935</v>
      </c>
      <c r="EY16" s="229">
        <v>1.14E-2</v>
      </c>
      <c r="EZ16" s="229">
        <v>0.70899999999999996</v>
      </c>
      <c r="FA16" s="227" t="s">
        <v>693</v>
      </c>
      <c r="FB16" s="161">
        <f t="shared" si="0"/>
        <v>14650000</v>
      </c>
    </row>
    <row r="17" spans="1:158" ht="17.25" thickBot="1" x14ac:dyDescent="0.3">
      <c r="A17" s="226">
        <v>46132</v>
      </c>
      <c r="B17" s="227" t="s">
        <v>168</v>
      </c>
      <c r="C17" s="227" t="s">
        <v>169</v>
      </c>
      <c r="D17" s="228">
        <v>250</v>
      </c>
      <c r="E17" s="231">
        <v>2514.6</v>
      </c>
      <c r="F17" s="231">
        <v>2464.3000000000002</v>
      </c>
      <c r="G17" s="228">
        <v>50.3</v>
      </c>
      <c r="H17" s="229">
        <v>2.0400000000000001E-2</v>
      </c>
      <c r="I17" s="231">
        <v>2516.8000000000002</v>
      </c>
      <c r="J17" s="231">
        <v>2464</v>
      </c>
      <c r="K17" s="228">
        <v>52.8</v>
      </c>
      <c r="L17" s="229">
        <v>2.1399999999999999E-2</v>
      </c>
      <c r="M17" s="231">
        <v>2514.6</v>
      </c>
      <c r="N17" s="231">
        <v>2464.3000000000002</v>
      </c>
      <c r="O17" s="228">
        <v>50.3</v>
      </c>
      <c r="P17" s="229">
        <v>2.0400000000000001E-2</v>
      </c>
      <c r="Q17" s="231">
        <v>2529.8000000000002</v>
      </c>
      <c r="R17" s="231">
        <v>2478.9</v>
      </c>
      <c r="S17" s="228">
        <v>50.9</v>
      </c>
      <c r="T17" s="229">
        <v>2.0500000000000001E-2</v>
      </c>
      <c r="U17" s="231">
        <v>2517.9</v>
      </c>
      <c r="V17" s="231">
        <v>2464.1999999999998</v>
      </c>
      <c r="W17" s="228">
        <v>53.7</v>
      </c>
      <c r="X17" s="229">
        <v>2.18E-2</v>
      </c>
      <c r="Y17" s="228">
        <v>-2.2000000000000002</v>
      </c>
      <c r="Z17" s="228">
        <v>0.3</v>
      </c>
      <c r="AA17" s="228">
        <v>-2.5</v>
      </c>
      <c r="AB17" s="229">
        <v>-8.9999999999999998E-4</v>
      </c>
      <c r="AC17" s="228">
        <v>-2.2000000000000002</v>
      </c>
      <c r="AD17" s="228">
        <v>0.3</v>
      </c>
      <c r="AE17" s="228">
        <v>-2.5</v>
      </c>
      <c r="AF17" s="229">
        <v>-8.9999999999999998E-4</v>
      </c>
      <c r="AG17" s="228">
        <v>13</v>
      </c>
      <c r="AH17" s="228">
        <v>14.9</v>
      </c>
      <c r="AI17" s="228">
        <v>-1.9</v>
      </c>
      <c r="AJ17" s="229">
        <v>5.1999999999999998E-3</v>
      </c>
      <c r="AK17" s="228">
        <v>1.1000000000000001</v>
      </c>
      <c r="AL17" s="228">
        <v>0.2</v>
      </c>
      <c r="AM17" s="228">
        <v>0.9</v>
      </c>
      <c r="AN17" s="229">
        <v>4.0000000000000002E-4</v>
      </c>
      <c r="AO17" s="231">
        <v>2500.17</v>
      </c>
      <c r="AP17" s="231">
        <v>2515.54</v>
      </c>
      <c r="AQ17" s="228">
        <v>0</v>
      </c>
      <c r="AR17" s="230">
        <v>1996000</v>
      </c>
      <c r="AS17" s="230">
        <v>3243750</v>
      </c>
      <c r="AT17" s="230">
        <v>-1247750</v>
      </c>
      <c r="AU17" s="229">
        <v>-0.38469999999999999</v>
      </c>
      <c r="AV17" s="230">
        <v>1629250</v>
      </c>
      <c r="AW17" s="230">
        <v>2379750</v>
      </c>
      <c r="AX17" s="230">
        <v>-750500</v>
      </c>
      <c r="AY17" s="229">
        <v>-0.31540000000000001</v>
      </c>
      <c r="AZ17" s="230">
        <v>323250</v>
      </c>
      <c r="BA17" s="230">
        <v>211000</v>
      </c>
      <c r="BB17" s="230">
        <v>112250</v>
      </c>
      <c r="BC17" s="229">
        <v>0.53200000000000003</v>
      </c>
      <c r="BD17" s="230">
        <v>43500</v>
      </c>
      <c r="BE17" s="230">
        <v>653000</v>
      </c>
      <c r="BF17" s="230">
        <v>-609500</v>
      </c>
      <c r="BG17" s="229">
        <v>-0.93340000000000001</v>
      </c>
      <c r="BH17" s="230">
        <v>9253000</v>
      </c>
      <c r="BI17" s="230">
        <v>9214250</v>
      </c>
      <c r="BJ17" s="230">
        <v>38750</v>
      </c>
      <c r="BK17" s="229">
        <v>4.1999999999999997E-3</v>
      </c>
      <c r="BL17" s="230">
        <v>7339500</v>
      </c>
      <c r="BM17" s="230">
        <v>6451250</v>
      </c>
      <c r="BN17" s="230">
        <v>888250</v>
      </c>
      <c r="BO17" s="229">
        <v>0.13769999999999999</v>
      </c>
      <c r="BP17" s="230">
        <v>18588500</v>
      </c>
      <c r="BQ17" s="230">
        <v>18909250</v>
      </c>
      <c r="BR17" s="230">
        <v>-320750</v>
      </c>
      <c r="BS17" s="229">
        <v>-1.7000000000000001E-2</v>
      </c>
      <c r="BT17" s="230">
        <v>1240595</v>
      </c>
      <c r="BU17" s="230">
        <v>1345408</v>
      </c>
      <c r="BV17" s="230">
        <v>-104813</v>
      </c>
      <c r="BW17" s="229">
        <v>-7.7899999999999997E-2</v>
      </c>
      <c r="BX17" s="230">
        <v>14537250</v>
      </c>
      <c r="BY17" s="230">
        <v>14574750</v>
      </c>
      <c r="BZ17" s="230">
        <v>-37500</v>
      </c>
      <c r="CA17" s="229">
        <v>-2.5999999999999999E-3</v>
      </c>
      <c r="CB17" s="230">
        <v>12307250</v>
      </c>
      <c r="CC17" s="230">
        <v>12529000</v>
      </c>
      <c r="CD17" s="230">
        <v>-221750</v>
      </c>
      <c r="CE17" s="229">
        <v>-1.77E-2</v>
      </c>
      <c r="CF17" s="230">
        <v>1474000</v>
      </c>
      <c r="CG17" s="230">
        <v>1308000</v>
      </c>
      <c r="CH17" s="230">
        <v>166000</v>
      </c>
      <c r="CI17" s="229">
        <v>0.12690000000000001</v>
      </c>
      <c r="CJ17" s="230">
        <v>756000</v>
      </c>
      <c r="CK17" s="230">
        <v>737750</v>
      </c>
      <c r="CL17" s="230">
        <v>18250</v>
      </c>
      <c r="CM17" s="229">
        <v>2.47E-2</v>
      </c>
      <c r="CN17" s="230">
        <v>4817250</v>
      </c>
      <c r="CO17" s="230">
        <v>4461750</v>
      </c>
      <c r="CP17" s="230">
        <v>355500</v>
      </c>
      <c r="CQ17" s="229">
        <v>7.9699999999999993E-2</v>
      </c>
      <c r="CR17" s="230">
        <v>5908000</v>
      </c>
      <c r="CS17" s="230">
        <v>5148000</v>
      </c>
      <c r="CT17" s="230">
        <v>760000</v>
      </c>
      <c r="CU17" s="229">
        <v>0.14760000000000001</v>
      </c>
      <c r="CV17" s="230">
        <v>25262500</v>
      </c>
      <c r="CW17" s="230">
        <v>24184500</v>
      </c>
      <c r="CX17" s="230">
        <v>1078000</v>
      </c>
      <c r="CY17" s="229">
        <v>4.4600000000000001E-2</v>
      </c>
      <c r="CZ17" s="228">
        <v>30.75</v>
      </c>
      <c r="DA17" s="228">
        <v>28.94</v>
      </c>
      <c r="DB17" s="228">
        <v>1.81</v>
      </c>
      <c r="DC17" s="228">
        <v>1.81</v>
      </c>
      <c r="DD17" s="228">
        <v>29.26</v>
      </c>
      <c r="DE17" s="228">
        <v>29.21</v>
      </c>
      <c r="DF17" s="228">
        <v>1.49</v>
      </c>
      <c r="DG17" s="228">
        <v>0.05</v>
      </c>
      <c r="DH17" s="228">
        <v>28.66</v>
      </c>
      <c r="DI17" s="228">
        <v>27.12</v>
      </c>
      <c r="DJ17" s="228">
        <v>1.54</v>
      </c>
      <c r="DK17" s="228">
        <v>1.54</v>
      </c>
      <c r="DL17" s="228">
        <v>33.380000000000003</v>
      </c>
      <c r="DM17" s="228">
        <v>31.55</v>
      </c>
      <c r="DN17" s="228">
        <v>1.83</v>
      </c>
      <c r="DO17" s="228">
        <v>1.83</v>
      </c>
      <c r="DP17" s="228">
        <v>1.23</v>
      </c>
      <c r="DQ17" s="228">
        <v>1.1499999999999999</v>
      </c>
      <c r="DR17" s="228">
        <v>0.08</v>
      </c>
      <c r="DS17" s="229">
        <v>6.9599999999999995E-2</v>
      </c>
      <c r="DT17" s="231">
        <v>2500</v>
      </c>
      <c r="DU17" s="231">
        <v>2400</v>
      </c>
      <c r="DV17" s="228">
        <v>0.79</v>
      </c>
      <c r="DW17" s="228">
        <v>0.7</v>
      </c>
      <c r="DX17" s="228">
        <v>0.09</v>
      </c>
      <c r="DY17" s="229">
        <v>0.12859999999999999</v>
      </c>
      <c r="DZ17" s="229">
        <v>0.15340000000000001</v>
      </c>
      <c r="EA17" s="230">
        <v>2045750</v>
      </c>
      <c r="EB17" s="229">
        <v>6.0000000000000001E-3</v>
      </c>
      <c r="EC17" s="229">
        <v>0.15340000000000001</v>
      </c>
      <c r="ED17" s="228">
        <v>15.37</v>
      </c>
      <c r="EE17" s="229">
        <v>6.1000000000000004E-3</v>
      </c>
      <c r="EF17" s="230">
        <v>680355</v>
      </c>
      <c r="EG17" s="230">
        <v>742881</v>
      </c>
      <c r="EH17" s="229">
        <v>-8.4199999999999997E-2</v>
      </c>
      <c r="EI17" s="229">
        <v>0.5484</v>
      </c>
      <c r="EJ17" s="231">
        <v>238242.77</v>
      </c>
      <c r="EK17" s="231">
        <v>177483</v>
      </c>
      <c r="EL17" s="231">
        <v>49954.27</v>
      </c>
      <c r="EM17" s="231">
        <v>8615</v>
      </c>
      <c r="EN17" s="231">
        <v>465680.04</v>
      </c>
      <c r="EO17" s="231">
        <v>468760.47</v>
      </c>
      <c r="EP17" s="231">
        <v>-3080.43</v>
      </c>
      <c r="EQ17" s="229">
        <v>-6.6E-3</v>
      </c>
      <c r="ER17" s="231">
        <v>118160</v>
      </c>
      <c r="ES17" s="231">
        <v>132469</v>
      </c>
      <c r="ET17" s="231">
        <v>365803</v>
      </c>
      <c r="EU17" s="231">
        <v>62818628</v>
      </c>
      <c r="EV17" s="231">
        <v>616431</v>
      </c>
      <c r="EW17" s="231">
        <v>581389</v>
      </c>
      <c r="EX17" s="231">
        <v>35042</v>
      </c>
      <c r="EY17" s="229">
        <v>6.0299999999999999E-2</v>
      </c>
      <c r="EZ17" s="229">
        <v>0.40210000000000001</v>
      </c>
      <c r="FA17" s="227" t="s">
        <v>693</v>
      </c>
      <c r="FB17" s="161">
        <f t="shared" si="0"/>
        <v>2230000</v>
      </c>
    </row>
    <row r="18" spans="1:158" ht="17.25" thickBot="1" x14ac:dyDescent="0.3">
      <c r="A18" s="226">
        <v>46132</v>
      </c>
      <c r="B18" s="227" t="s">
        <v>184</v>
      </c>
      <c r="C18" s="227" t="s">
        <v>503</v>
      </c>
      <c r="D18" s="228">
        <v>425</v>
      </c>
      <c r="E18" s="231">
        <v>1542.6</v>
      </c>
      <c r="F18" s="231">
        <v>1544.7</v>
      </c>
      <c r="G18" s="228">
        <v>-2.1</v>
      </c>
      <c r="H18" s="229">
        <v>-1.4E-3</v>
      </c>
      <c r="I18" s="231">
        <v>1591.4</v>
      </c>
      <c r="J18" s="231">
        <v>1605</v>
      </c>
      <c r="K18" s="228">
        <v>-13.6</v>
      </c>
      <c r="L18" s="229">
        <v>-8.5000000000000006E-3</v>
      </c>
      <c r="M18" s="231">
        <v>1542.6</v>
      </c>
      <c r="N18" s="231">
        <v>1544.7</v>
      </c>
      <c r="O18" s="228">
        <v>-2.1</v>
      </c>
      <c r="P18" s="229">
        <v>-1.4E-3</v>
      </c>
      <c r="Q18" s="231">
        <v>1492.5</v>
      </c>
      <c r="R18" s="231">
        <v>1494.8</v>
      </c>
      <c r="S18" s="228">
        <v>-2.2999999999999998</v>
      </c>
      <c r="T18" s="229">
        <v>-1.5E-3</v>
      </c>
      <c r="U18" s="231">
        <v>1470.9</v>
      </c>
      <c r="V18" s="231">
        <v>1465.2</v>
      </c>
      <c r="W18" s="228">
        <v>5.7</v>
      </c>
      <c r="X18" s="229">
        <v>3.8999999999999998E-3</v>
      </c>
      <c r="Y18" s="228">
        <v>-48.8</v>
      </c>
      <c r="Z18" s="228">
        <v>-60.3</v>
      </c>
      <c r="AA18" s="228">
        <v>11.5</v>
      </c>
      <c r="AB18" s="229">
        <v>-3.0700000000000002E-2</v>
      </c>
      <c r="AC18" s="228">
        <v>-48.8</v>
      </c>
      <c r="AD18" s="228">
        <v>-60.3</v>
      </c>
      <c r="AE18" s="228">
        <v>11.5</v>
      </c>
      <c r="AF18" s="229">
        <v>-3.0700000000000002E-2</v>
      </c>
      <c r="AG18" s="228">
        <v>-98.9</v>
      </c>
      <c r="AH18" s="228">
        <v>-110.2</v>
      </c>
      <c r="AI18" s="228">
        <v>11.3</v>
      </c>
      <c r="AJ18" s="229">
        <v>-6.2100000000000002E-2</v>
      </c>
      <c r="AK18" s="228">
        <v>-120.5</v>
      </c>
      <c r="AL18" s="228">
        <v>-139.80000000000001</v>
      </c>
      <c r="AM18" s="228">
        <v>19.3</v>
      </c>
      <c r="AN18" s="229">
        <v>-7.5700000000000003E-2</v>
      </c>
      <c r="AO18" s="231">
        <v>1552.16</v>
      </c>
      <c r="AP18" s="231">
        <v>1504.47</v>
      </c>
      <c r="AQ18" s="228">
        <v>0</v>
      </c>
      <c r="AR18" s="230">
        <v>2301800</v>
      </c>
      <c r="AS18" s="230">
        <v>3668175</v>
      </c>
      <c r="AT18" s="230">
        <v>-1366375</v>
      </c>
      <c r="AU18" s="229">
        <v>-0.3725</v>
      </c>
      <c r="AV18" s="230">
        <v>1453500</v>
      </c>
      <c r="AW18" s="230">
        <v>2556800</v>
      </c>
      <c r="AX18" s="230">
        <v>-1103300</v>
      </c>
      <c r="AY18" s="229">
        <v>-0.43149999999999999</v>
      </c>
      <c r="AZ18" s="230">
        <v>815150</v>
      </c>
      <c r="BA18" s="230">
        <v>1050175</v>
      </c>
      <c r="BB18" s="230">
        <v>-235025</v>
      </c>
      <c r="BC18" s="229">
        <v>-0.2238</v>
      </c>
      <c r="BD18" s="230">
        <v>33150</v>
      </c>
      <c r="BE18" s="230">
        <v>61200</v>
      </c>
      <c r="BF18" s="230">
        <v>-28050</v>
      </c>
      <c r="BG18" s="229">
        <v>-0.45829999999999999</v>
      </c>
      <c r="BH18" s="230">
        <v>5053675</v>
      </c>
      <c r="BI18" s="230">
        <v>9523400</v>
      </c>
      <c r="BJ18" s="230">
        <v>-4469725</v>
      </c>
      <c r="BK18" s="229">
        <v>-0.46929999999999999</v>
      </c>
      <c r="BL18" s="230">
        <v>1936300</v>
      </c>
      <c r="BM18" s="230">
        <v>4642700</v>
      </c>
      <c r="BN18" s="230">
        <v>-2706400</v>
      </c>
      <c r="BO18" s="229">
        <v>-0.58289999999999997</v>
      </c>
      <c r="BP18" s="230">
        <v>9291775</v>
      </c>
      <c r="BQ18" s="230">
        <v>17834275</v>
      </c>
      <c r="BR18" s="230">
        <v>-8542500</v>
      </c>
      <c r="BS18" s="229">
        <v>-0.47899999999999998</v>
      </c>
      <c r="BT18" s="230">
        <v>820393</v>
      </c>
      <c r="BU18" s="230">
        <v>1717129</v>
      </c>
      <c r="BV18" s="230">
        <v>-896736</v>
      </c>
      <c r="BW18" s="229">
        <v>-0.5222</v>
      </c>
      <c r="BX18" s="230">
        <v>14443625</v>
      </c>
      <c r="BY18" s="230">
        <v>14134225</v>
      </c>
      <c r="BZ18" s="230">
        <v>309400</v>
      </c>
      <c r="CA18" s="229">
        <v>2.1899999999999999E-2</v>
      </c>
      <c r="CB18" s="230">
        <v>10607575</v>
      </c>
      <c r="CC18" s="230">
        <v>10654325</v>
      </c>
      <c r="CD18" s="230">
        <v>-46750</v>
      </c>
      <c r="CE18" s="229">
        <v>-4.4000000000000003E-3</v>
      </c>
      <c r="CF18" s="230">
        <v>3696225</v>
      </c>
      <c r="CG18" s="230">
        <v>3341775</v>
      </c>
      <c r="CH18" s="230">
        <v>354450</v>
      </c>
      <c r="CI18" s="229">
        <v>0.1061</v>
      </c>
      <c r="CJ18" s="230">
        <v>139825</v>
      </c>
      <c r="CK18" s="230">
        <v>138125</v>
      </c>
      <c r="CL18" s="230">
        <v>1700</v>
      </c>
      <c r="CM18" s="229">
        <v>1.23E-2</v>
      </c>
      <c r="CN18" s="230">
        <v>4069375</v>
      </c>
      <c r="CO18" s="230">
        <v>4231725</v>
      </c>
      <c r="CP18" s="230">
        <v>-162350</v>
      </c>
      <c r="CQ18" s="229">
        <v>-3.8399999999999997E-2</v>
      </c>
      <c r="CR18" s="230">
        <v>2493475</v>
      </c>
      <c r="CS18" s="230">
        <v>2486675</v>
      </c>
      <c r="CT18" s="230">
        <v>6800</v>
      </c>
      <c r="CU18" s="229">
        <v>2.7000000000000001E-3</v>
      </c>
      <c r="CV18" s="230">
        <v>21006475</v>
      </c>
      <c r="CW18" s="230">
        <v>20852625</v>
      </c>
      <c r="CX18" s="230">
        <v>153850</v>
      </c>
      <c r="CY18" s="229">
        <v>7.4000000000000003E-3</v>
      </c>
      <c r="CZ18" s="228">
        <v>40.08</v>
      </c>
      <c r="DA18" s="228">
        <v>35.71</v>
      </c>
      <c r="DB18" s="228">
        <v>4.37</v>
      </c>
      <c r="DC18" s="228">
        <v>4.37</v>
      </c>
      <c r="DD18" s="228">
        <v>35.93</v>
      </c>
      <c r="DE18" s="228">
        <v>36</v>
      </c>
      <c r="DF18" s="228">
        <v>4.1500000000000004</v>
      </c>
      <c r="DG18" s="228">
        <v>-7.0000000000000007E-2</v>
      </c>
      <c r="DH18" s="228">
        <v>40.28</v>
      </c>
      <c r="DI18" s="228">
        <v>36.159999999999997</v>
      </c>
      <c r="DJ18" s="228">
        <v>4.12</v>
      </c>
      <c r="DK18" s="228">
        <v>4.12</v>
      </c>
      <c r="DL18" s="228">
        <v>39.56</v>
      </c>
      <c r="DM18" s="228">
        <v>34.770000000000003</v>
      </c>
      <c r="DN18" s="228">
        <v>4.79</v>
      </c>
      <c r="DO18" s="228">
        <v>4.79</v>
      </c>
      <c r="DP18" s="228">
        <v>0.61</v>
      </c>
      <c r="DQ18" s="228">
        <v>0.59</v>
      </c>
      <c r="DR18" s="228">
        <v>0.02</v>
      </c>
      <c r="DS18" s="229">
        <v>3.39E-2</v>
      </c>
      <c r="DT18" s="231">
        <v>1640</v>
      </c>
      <c r="DU18" s="231">
        <v>1500</v>
      </c>
      <c r="DV18" s="228">
        <v>0.38</v>
      </c>
      <c r="DW18" s="228">
        <v>0.49</v>
      </c>
      <c r="DX18" s="228">
        <v>-0.11</v>
      </c>
      <c r="DY18" s="229">
        <v>-0.22450000000000001</v>
      </c>
      <c r="DZ18" s="229">
        <v>0.2656</v>
      </c>
      <c r="EA18" s="230">
        <v>3479900</v>
      </c>
      <c r="EB18" s="229">
        <v>-3.2500000000000001E-2</v>
      </c>
      <c r="EC18" s="229">
        <v>0.2656</v>
      </c>
      <c r="ED18" s="228">
        <v>-47.69</v>
      </c>
      <c r="EE18" s="229">
        <v>-3.0700000000000002E-2</v>
      </c>
      <c r="EF18" s="230">
        <v>327988</v>
      </c>
      <c r="EG18" s="230">
        <v>905321</v>
      </c>
      <c r="EH18" s="229">
        <v>-0.63770000000000004</v>
      </c>
      <c r="EI18" s="229">
        <v>0.39979999999999999</v>
      </c>
      <c r="EJ18" s="231">
        <v>82843.11</v>
      </c>
      <c r="EK18" s="231">
        <v>29654.92</v>
      </c>
      <c r="EL18" s="231">
        <v>35313.9</v>
      </c>
      <c r="EM18" s="231">
        <v>9580</v>
      </c>
      <c r="EN18" s="231">
        <v>147811.93</v>
      </c>
      <c r="EO18" s="231">
        <v>283694.26</v>
      </c>
      <c r="EP18" s="231">
        <v>-135882.32999999999</v>
      </c>
      <c r="EQ18" s="229">
        <v>-0.47899999999999998</v>
      </c>
      <c r="ER18" s="231">
        <v>66729</v>
      </c>
      <c r="ES18" s="231">
        <v>37743</v>
      </c>
      <c r="ET18" s="231">
        <v>220855</v>
      </c>
      <c r="EU18" s="231">
        <v>17577908</v>
      </c>
      <c r="EV18" s="231">
        <v>325328</v>
      </c>
      <c r="EW18" s="231">
        <v>323438</v>
      </c>
      <c r="EX18" s="231">
        <v>1890</v>
      </c>
      <c r="EY18" s="229">
        <v>5.7999999999999996E-3</v>
      </c>
      <c r="EZ18" s="229">
        <v>1.1950000000000001</v>
      </c>
      <c r="FA18" s="227" t="s">
        <v>566</v>
      </c>
      <c r="FB18" s="161">
        <f t="shared" si="0"/>
        <v>3836050</v>
      </c>
    </row>
    <row r="19" spans="1:158" ht="17.25" thickBot="1" x14ac:dyDescent="0.3">
      <c r="A19" s="226">
        <v>46132</v>
      </c>
      <c r="B19" s="227" t="s">
        <v>172</v>
      </c>
      <c r="C19" s="227" t="s">
        <v>495</v>
      </c>
      <c r="D19" s="228">
        <v>1000</v>
      </c>
      <c r="E19" s="228">
        <v>998.65</v>
      </c>
      <c r="F19" s="228">
        <v>993.2</v>
      </c>
      <c r="G19" s="228">
        <v>5.45</v>
      </c>
      <c r="H19" s="229">
        <v>5.4999999999999997E-3</v>
      </c>
      <c r="I19" s="228">
        <v>997.65</v>
      </c>
      <c r="J19" s="228">
        <v>990.6</v>
      </c>
      <c r="K19" s="228">
        <v>7.05</v>
      </c>
      <c r="L19" s="229">
        <v>7.1000000000000004E-3</v>
      </c>
      <c r="M19" s="228">
        <v>998.65</v>
      </c>
      <c r="N19" s="228">
        <v>993.2</v>
      </c>
      <c r="O19" s="228">
        <v>5.45</v>
      </c>
      <c r="P19" s="229">
        <v>5.4999999999999997E-3</v>
      </c>
      <c r="Q19" s="231">
        <v>1004.75</v>
      </c>
      <c r="R19" s="228">
        <v>998.95</v>
      </c>
      <c r="S19" s="228">
        <v>5.8</v>
      </c>
      <c r="T19" s="229">
        <v>5.7999999999999996E-3</v>
      </c>
      <c r="U19" s="231">
        <v>1008.75</v>
      </c>
      <c r="V19" s="231">
        <v>1006.2</v>
      </c>
      <c r="W19" s="228">
        <v>2.5499999999999998</v>
      </c>
      <c r="X19" s="229">
        <v>2.5000000000000001E-3</v>
      </c>
      <c r="Y19" s="228">
        <v>1</v>
      </c>
      <c r="Z19" s="228">
        <v>2.6</v>
      </c>
      <c r="AA19" s="228">
        <v>-1.6</v>
      </c>
      <c r="AB19" s="229">
        <v>1E-3</v>
      </c>
      <c r="AC19" s="228">
        <v>1</v>
      </c>
      <c r="AD19" s="228">
        <v>2.6</v>
      </c>
      <c r="AE19" s="228">
        <v>-1.6</v>
      </c>
      <c r="AF19" s="229">
        <v>1E-3</v>
      </c>
      <c r="AG19" s="228">
        <v>7.1</v>
      </c>
      <c r="AH19" s="228">
        <v>8.35</v>
      </c>
      <c r="AI19" s="228">
        <v>-1.25</v>
      </c>
      <c r="AJ19" s="229">
        <v>7.1000000000000004E-3</v>
      </c>
      <c r="AK19" s="228">
        <v>11.1</v>
      </c>
      <c r="AL19" s="228">
        <v>15.6</v>
      </c>
      <c r="AM19" s="228">
        <v>-4.5</v>
      </c>
      <c r="AN19" s="229">
        <v>1.11E-2</v>
      </c>
      <c r="AO19" s="231">
        <v>1005.27</v>
      </c>
      <c r="AP19" s="231">
        <v>1011.15</v>
      </c>
      <c r="AQ19" s="228">
        <v>0</v>
      </c>
      <c r="AR19" s="230">
        <v>4252000</v>
      </c>
      <c r="AS19" s="230">
        <v>3023000</v>
      </c>
      <c r="AT19" s="230">
        <v>1229000</v>
      </c>
      <c r="AU19" s="229">
        <v>0.40649999999999997</v>
      </c>
      <c r="AV19" s="230">
        <v>3527000</v>
      </c>
      <c r="AW19" s="230">
        <v>2454000</v>
      </c>
      <c r="AX19" s="230">
        <v>1073000</v>
      </c>
      <c r="AY19" s="229">
        <v>0.43719999999999998</v>
      </c>
      <c r="AZ19" s="230">
        <v>671000</v>
      </c>
      <c r="BA19" s="230">
        <v>532000</v>
      </c>
      <c r="BB19" s="230">
        <v>139000</v>
      </c>
      <c r="BC19" s="229">
        <v>0.26129999999999998</v>
      </c>
      <c r="BD19" s="230">
        <v>54000</v>
      </c>
      <c r="BE19" s="230">
        <v>37000</v>
      </c>
      <c r="BF19" s="230">
        <v>17000</v>
      </c>
      <c r="BG19" s="229">
        <v>0.45950000000000002</v>
      </c>
      <c r="BH19" s="230">
        <v>10490000</v>
      </c>
      <c r="BI19" s="230">
        <v>4955000</v>
      </c>
      <c r="BJ19" s="230">
        <v>5535000</v>
      </c>
      <c r="BK19" s="229">
        <v>1.1171</v>
      </c>
      <c r="BL19" s="230">
        <v>5961000</v>
      </c>
      <c r="BM19" s="230">
        <v>3704000</v>
      </c>
      <c r="BN19" s="230">
        <v>2257000</v>
      </c>
      <c r="BO19" s="229">
        <v>0.60929999999999995</v>
      </c>
      <c r="BP19" s="230">
        <v>20703000</v>
      </c>
      <c r="BQ19" s="230">
        <v>11682000</v>
      </c>
      <c r="BR19" s="230">
        <v>9021000</v>
      </c>
      <c r="BS19" s="229">
        <v>0.7722</v>
      </c>
      <c r="BT19" s="230">
        <v>1683234</v>
      </c>
      <c r="BU19" s="230">
        <v>1203396</v>
      </c>
      <c r="BV19" s="230">
        <v>479838</v>
      </c>
      <c r="BW19" s="229">
        <v>0.3987</v>
      </c>
      <c r="BX19" s="230">
        <v>24720000</v>
      </c>
      <c r="BY19" s="230">
        <v>24725000</v>
      </c>
      <c r="BZ19" s="230">
        <v>-5000</v>
      </c>
      <c r="CA19" s="229">
        <v>-2.0000000000000001E-4</v>
      </c>
      <c r="CB19" s="230">
        <v>22984000</v>
      </c>
      <c r="CC19" s="230">
        <v>23247000</v>
      </c>
      <c r="CD19" s="230">
        <v>-263000</v>
      </c>
      <c r="CE19" s="229">
        <v>-1.1299999999999999E-2</v>
      </c>
      <c r="CF19" s="230">
        <v>1569000</v>
      </c>
      <c r="CG19" s="230">
        <v>1332000</v>
      </c>
      <c r="CH19" s="230">
        <v>237000</v>
      </c>
      <c r="CI19" s="229">
        <v>0.1779</v>
      </c>
      <c r="CJ19" s="230">
        <v>167000</v>
      </c>
      <c r="CK19" s="230">
        <v>146000</v>
      </c>
      <c r="CL19" s="230">
        <v>21000</v>
      </c>
      <c r="CM19" s="229">
        <v>0.14380000000000001</v>
      </c>
      <c r="CN19" s="230">
        <v>7193000</v>
      </c>
      <c r="CO19" s="230">
        <v>6799000</v>
      </c>
      <c r="CP19" s="230">
        <v>394000</v>
      </c>
      <c r="CQ19" s="229">
        <v>5.79E-2</v>
      </c>
      <c r="CR19" s="230">
        <v>5755000</v>
      </c>
      <c r="CS19" s="230">
        <v>5430000</v>
      </c>
      <c r="CT19" s="230">
        <v>325000</v>
      </c>
      <c r="CU19" s="229">
        <v>5.9900000000000002E-2</v>
      </c>
      <c r="CV19" s="230">
        <v>37668000</v>
      </c>
      <c r="CW19" s="230">
        <v>36954000</v>
      </c>
      <c r="CX19" s="230">
        <v>714000</v>
      </c>
      <c r="CY19" s="229">
        <v>1.9300000000000001E-2</v>
      </c>
      <c r="CZ19" s="228">
        <v>40.770000000000003</v>
      </c>
      <c r="DA19" s="228">
        <v>37.64</v>
      </c>
      <c r="DB19" s="228">
        <v>3.13</v>
      </c>
      <c r="DC19" s="228">
        <v>3.13</v>
      </c>
      <c r="DD19" s="228">
        <v>38.22</v>
      </c>
      <c r="DE19" s="228">
        <v>38.299999999999997</v>
      </c>
      <c r="DF19" s="228">
        <v>2.5499999999999998</v>
      </c>
      <c r="DG19" s="228">
        <v>-0.08</v>
      </c>
      <c r="DH19" s="228">
        <v>40.049999999999997</v>
      </c>
      <c r="DI19" s="228">
        <v>35.79</v>
      </c>
      <c r="DJ19" s="228">
        <v>4.26</v>
      </c>
      <c r="DK19" s="228">
        <v>4.26</v>
      </c>
      <c r="DL19" s="228">
        <v>42.04</v>
      </c>
      <c r="DM19" s="228">
        <v>40.11</v>
      </c>
      <c r="DN19" s="228">
        <v>1.93</v>
      </c>
      <c r="DO19" s="228">
        <v>1.93</v>
      </c>
      <c r="DP19" s="228">
        <v>0.8</v>
      </c>
      <c r="DQ19" s="228">
        <v>0.8</v>
      </c>
      <c r="DR19" s="228">
        <v>0</v>
      </c>
      <c r="DS19" s="229">
        <v>0</v>
      </c>
      <c r="DT19" s="231">
        <v>1000</v>
      </c>
      <c r="DU19" s="228">
        <v>900</v>
      </c>
      <c r="DV19" s="228">
        <v>0.56999999999999995</v>
      </c>
      <c r="DW19" s="228">
        <v>0.75</v>
      </c>
      <c r="DX19" s="228">
        <v>-0.18</v>
      </c>
      <c r="DY19" s="229">
        <v>-0.24</v>
      </c>
      <c r="DZ19" s="229">
        <v>7.0199999999999999E-2</v>
      </c>
      <c r="EA19" s="230">
        <v>1478000</v>
      </c>
      <c r="EB19" s="229">
        <v>6.1000000000000004E-3</v>
      </c>
      <c r="EC19" s="229">
        <v>7.0199999999999999E-2</v>
      </c>
      <c r="ED19" s="228">
        <v>5.88</v>
      </c>
      <c r="EE19" s="229">
        <v>5.7999999999999996E-3</v>
      </c>
      <c r="EF19" s="230">
        <v>690549</v>
      </c>
      <c r="EG19" s="230">
        <v>596849</v>
      </c>
      <c r="EH19" s="229">
        <v>0.157</v>
      </c>
      <c r="EI19" s="229">
        <v>0.4103</v>
      </c>
      <c r="EJ19" s="231">
        <v>108891.75</v>
      </c>
      <c r="EK19" s="231">
        <v>58577.59</v>
      </c>
      <c r="EL19" s="231">
        <v>42789.1</v>
      </c>
      <c r="EM19" s="231">
        <v>3350</v>
      </c>
      <c r="EN19" s="231">
        <v>210258.44</v>
      </c>
      <c r="EO19" s="231">
        <v>116435.41</v>
      </c>
      <c r="EP19" s="231">
        <v>93823.03</v>
      </c>
      <c r="EQ19" s="229">
        <v>0.80579999999999996</v>
      </c>
      <c r="ER19" s="231">
        <v>70024</v>
      </c>
      <c r="ES19" s="231">
        <v>52712</v>
      </c>
      <c r="ET19" s="231">
        <v>246979</v>
      </c>
      <c r="EU19" s="231">
        <v>86532345</v>
      </c>
      <c r="EV19" s="231">
        <v>369714</v>
      </c>
      <c r="EW19" s="231">
        <v>360690</v>
      </c>
      <c r="EX19" s="231">
        <v>9024</v>
      </c>
      <c r="EY19" s="229">
        <v>2.5000000000000001E-2</v>
      </c>
      <c r="EZ19" s="229">
        <v>0.43530000000000002</v>
      </c>
      <c r="FA19" s="227" t="s">
        <v>693</v>
      </c>
      <c r="FB19" s="161">
        <f t="shared" si="0"/>
        <v>1736000</v>
      </c>
    </row>
    <row r="20" spans="1:158" ht="17.25" thickBot="1" x14ac:dyDescent="0.3">
      <c r="A20" s="226">
        <v>46132</v>
      </c>
      <c r="B20" s="227" t="s">
        <v>170</v>
      </c>
      <c r="C20" s="227" t="s">
        <v>171</v>
      </c>
      <c r="D20" s="228">
        <v>550</v>
      </c>
      <c r="E20" s="231">
        <v>1369.6</v>
      </c>
      <c r="F20" s="231">
        <v>1388.6</v>
      </c>
      <c r="G20" s="228">
        <v>-19</v>
      </c>
      <c r="H20" s="229">
        <v>-1.37E-2</v>
      </c>
      <c r="I20" s="231">
        <v>1367.8</v>
      </c>
      <c r="J20" s="231">
        <v>1386</v>
      </c>
      <c r="K20" s="228">
        <v>-18.2</v>
      </c>
      <c r="L20" s="229">
        <v>-1.3100000000000001E-2</v>
      </c>
      <c r="M20" s="231">
        <v>1369.6</v>
      </c>
      <c r="N20" s="231">
        <v>1388.6</v>
      </c>
      <c r="O20" s="228">
        <v>-19</v>
      </c>
      <c r="P20" s="229">
        <v>-1.37E-2</v>
      </c>
      <c r="Q20" s="231">
        <v>1376.8</v>
      </c>
      <c r="R20" s="231">
        <v>1394.7</v>
      </c>
      <c r="S20" s="228">
        <v>-17.899999999999999</v>
      </c>
      <c r="T20" s="229">
        <v>-1.2800000000000001E-2</v>
      </c>
      <c r="U20" s="231">
        <v>1385.5</v>
      </c>
      <c r="V20" s="231">
        <v>1398</v>
      </c>
      <c r="W20" s="228">
        <v>-12.5</v>
      </c>
      <c r="X20" s="229">
        <v>-8.8999999999999999E-3</v>
      </c>
      <c r="Y20" s="228">
        <v>1.8</v>
      </c>
      <c r="Z20" s="228">
        <v>2.6</v>
      </c>
      <c r="AA20" s="228">
        <v>-0.8</v>
      </c>
      <c r="AB20" s="229">
        <v>1.2999999999999999E-3</v>
      </c>
      <c r="AC20" s="228">
        <v>1.8</v>
      </c>
      <c r="AD20" s="228">
        <v>2.6</v>
      </c>
      <c r="AE20" s="228">
        <v>-0.8</v>
      </c>
      <c r="AF20" s="229">
        <v>1.2999999999999999E-3</v>
      </c>
      <c r="AG20" s="228">
        <v>9</v>
      </c>
      <c r="AH20" s="228">
        <v>8.6999999999999993</v>
      </c>
      <c r="AI20" s="228">
        <v>0.3</v>
      </c>
      <c r="AJ20" s="229">
        <v>6.6E-3</v>
      </c>
      <c r="AK20" s="228">
        <v>17.7</v>
      </c>
      <c r="AL20" s="228">
        <v>12</v>
      </c>
      <c r="AM20" s="228">
        <v>5.7</v>
      </c>
      <c r="AN20" s="229">
        <v>1.29E-2</v>
      </c>
      <c r="AO20" s="231">
        <v>1378.73</v>
      </c>
      <c r="AP20" s="231">
        <v>1386.88</v>
      </c>
      <c r="AQ20" s="228">
        <v>0</v>
      </c>
      <c r="AR20" s="230">
        <v>9832350</v>
      </c>
      <c r="AS20" s="230">
        <v>1499850</v>
      </c>
      <c r="AT20" s="230">
        <v>8332500</v>
      </c>
      <c r="AU20" s="229">
        <v>5.5556000000000001</v>
      </c>
      <c r="AV20" s="230">
        <v>5278900</v>
      </c>
      <c r="AW20" s="230">
        <v>1393700</v>
      </c>
      <c r="AX20" s="230">
        <v>3885200</v>
      </c>
      <c r="AY20" s="229">
        <v>2.7877000000000001</v>
      </c>
      <c r="AZ20" s="230">
        <v>4546850</v>
      </c>
      <c r="BA20" s="230">
        <v>102300</v>
      </c>
      <c r="BB20" s="230">
        <v>4444550</v>
      </c>
      <c r="BC20" s="229">
        <v>43.446199999999997</v>
      </c>
      <c r="BD20" s="230">
        <v>6600</v>
      </c>
      <c r="BE20" s="230">
        <v>3850</v>
      </c>
      <c r="BF20" s="230">
        <v>2750</v>
      </c>
      <c r="BG20" s="229">
        <v>0.71430000000000005</v>
      </c>
      <c r="BH20" s="230">
        <v>3231800</v>
      </c>
      <c r="BI20" s="230">
        <v>3700400</v>
      </c>
      <c r="BJ20" s="230">
        <v>-468600</v>
      </c>
      <c r="BK20" s="229">
        <v>-0.12659999999999999</v>
      </c>
      <c r="BL20" s="230">
        <v>2051500</v>
      </c>
      <c r="BM20" s="230">
        <v>2462350</v>
      </c>
      <c r="BN20" s="230">
        <v>-410850</v>
      </c>
      <c r="BO20" s="229">
        <v>-0.16689999999999999</v>
      </c>
      <c r="BP20" s="230">
        <v>15115650</v>
      </c>
      <c r="BQ20" s="230">
        <v>7662600</v>
      </c>
      <c r="BR20" s="230">
        <v>7453050</v>
      </c>
      <c r="BS20" s="229">
        <v>0.97270000000000001</v>
      </c>
      <c r="BT20" s="230">
        <v>723321</v>
      </c>
      <c r="BU20" s="230">
        <v>1636625</v>
      </c>
      <c r="BV20" s="230">
        <v>-913304</v>
      </c>
      <c r="BW20" s="229">
        <v>-0.55800000000000005</v>
      </c>
      <c r="BX20" s="230">
        <v>21283350</v>
      </c>
      <c r="BY20" s="230">
        <v>21009450</v>
      </c>
      <c r="BZ20" s="230">
        <v>273900</v>
      </c>
      <c r="CA20" s="229">
        <v>1.2999999999999999E-2</v>
      </c>
      <c r="CB20" s="230">
        <v>16237100</v>
      </c>
      <c r="CC20" s="230">
        <v>20341200</v>
      </c>
      <c r="CD20" s="230">
        <v>-4104100</v>
      </c>
      <c r="CE20" s="229">
        <v>-0.20180000000000001</v>
      </c>
      <c r="CF20" s="230">
        <v>5026450</v>
      </c>
      <c r="CG20" s="230">
        <v>650650</v>
      </c>
      <c r="CH20" s="230">
        <v>4375800</v>
      </c>
      <c r="CI20" s="229">
        <v>6.7252999999999998</v>
      </c>
      <c r="CJ20" s="230">
        <v>19800</v>
      </c>
      <c r="CK20" s="230">
        <v>17600</v>
      </c>
      <c r="CL20" s="230">
        <v>2200</v>
      </c>
      <c r="CM20" s="229">
        <v>0.125</v>
      </c>
      <c r="CN20" s="230">
        <v>4244350</v>
      </c>
      <c r="CO20" s="230">
        <v>3853300</v>
      </c>
      <c r="CP20" s="230">
        <v>391050</v>
      </c>
      <c r="CQ20" s="229">
        <v>0.10150000000000001</v>
      </c>
      <c r="CR20" s="230">
        <v>2696100</v>
      </c>
      <c r="CS20" s="230">
        <v>2701050</v>
      </c>
      <c r="CT20" s="230">
        <v>-4950</v>
      </c>
      <c r="CU20" s="229">
        <v>-1.8E-3</v>
      </c>
      <c r="CV20" s="230">
        <v>28223800</v>
      </c>
      <c r="CW20" s="230">
        <v>27563800</v>
      </c>
      <c r="CX20" s="230">
        <v>660000</v>
      </c>
      <c r="CY20" s="229">
        <v>2.3900000000000001E-2</v>
      </c>
      <c r="CZ20" s="228">
        <v>31.01</v>
      </c>
      <c r="DA20" s="228">
        <v>27.85</v>
      </c>
      <c r="DB20" s="228">
        <v>3.16</v>
      </c>
      <c r="DC20" s="228">
        <v>3.16</v>
      </c>
      <c r="DD20" s="228">
        <v>33.299999999999997</v>
      </c>
      <c r="DE20" s="228">
        <v>33.33</v>
      </c>
      <c r="DF20" s="228">
        <v>-2.29</v>
      </c>
      <c r="DG20" s="228">
        <v>-0.03</v>
      </c>
      <c r="DH20" s="228">
        <v>30.22</v>
      </c>
      <c r="DI20" s="228">
        <v>26.82</v>
      </c>
      <c r="DJ20" s="228">
        <v>3.4</v>
      </c>
      <c r="DK20" s="228">
        <v>3.4</v>
      </c>
      <c r="DL20" s="228">
        <v>32.24</v>
      </c>
      <c r="DM20" s="228">
        <v>29.39</v>
      </c>
      <c r="DN20" s="228">
        <v>2.85</v>
      </c>
      <c r="DO20" s="228">
        <v>2.85</v>
      </c>
      <c r="DP20" s="228">
        <v>0.64</v>
      </c>
      <c r="DQ20" s="228">
        <v>0.7</v>
      </c>
      <c r="DR20" s="228">
        <v>-0.06</v>
      </c>
      <c r="DS20" s="229">
        <v>-8.5699999999999998E-2</v>
      </c>
      <c r="DT20" s="231">
        <v>1500</v>
      </c>
      <c r="DU20" s="231">
        <v>1300</v>
      </c>
      <c r="DV20" s="228">
        <v>0.63</v>
      </c>
      <c r="DW20" s="228">
        <v>0.67</v>
      </c>
      <c r="DX20" s="228">
        <v>-0.04</v>
      </c>
      <c r="DY20" s="229">
        <v>-5.9700000000000003E-2</v>
      </c>
      <c r="DZ20" s="229">
        <v>0.23710000000000001</v>
      </c>
      <c r="EA20" s="230">
        <v>668250</v>
      </c>
      <c r="EB20" s="229">
        <v>5.3E-3</v>
      </c>
      <c r="EC20" s="229">
        <v>0.23710000000000001</v>
      </c>
      <c r="ED20" s="228">
        <v>8.15</v>
      </c>
      <c r="EE20" s="229">
        <v>5.8999999999999999E-3</v>
      </c>
      <c r="EF20" s="230">
        <v>311424</v>
      </c>
      <c r="EG20" s="230">
        <v>835575</v>
      </c>
      <c r="EH20" s="229">
        <v>-0.62729999999999997</v>
      </c>
      <c r="EI20" s="229">
        <v>0.43049999999999999</v>
      </c>
      <c r="EJ20" s="231">
        <v>46255.91</v>
      </c>
      <c r="EK20" s="231">
        <v>27827.5</v>
      </c>
      <c r="EL20" s="231">
        <v>135932.87</v>
      </c>
      <c r="EM20" s="231">
        <v>3206</v>
      </c>
      <c r="EN20" s="231">
        <v>210016.28</v>
      </c>
      <c r="EO20" s="231">
        <v>107180.38</v>
      </c>
      <c r="EP20" s="231">
        <v>102835.9</v>
      </c>
      <c r="EQ20" s="229">
        <v>0.95950000000000002</v>
      </c>
      <c r="ER20" s="231">
        <v>58491</v>
      </c>
      <c r="ES20" s="231">
        <v>34798</v>
      </c>
      <c r="ET20" s="231">
        <v>291862</v>
      </c>
      <c r="EU20" s="231">
        <v>41977935</v>
      </c>
      <c r="EV20" s="231">
        <v>385150</v>
      </c>
      <c r="EW20" s="231">
        <v>379363</v>
      </c>
      <c r="EX20" s="231">
        <v>5787</v>
      </c>
      <c r="EY20" s="229">
        <v>1.5299999999999999E-2</v>
      </c>
      <c r="EZ20" s="229">
        <v>0.67230000000000001</v>
      </c>
      <c r="FA20" s="227" t="s">
        <v>566</v>
      </c>
      <c r="FB20" s="161">
        <f t="shared" si="0"/>
        <v>5046250</v>
      </c>
    </row>
    <row r="21" spans="1:158" ht="17.25" thickBot="1" x14ac:dyDescent="0.3">
      <c r="A21" s="226">
        <v>46132</v>
      </c>
      <c r="B21" s="227" t="s">
        <v>172</v>
      </c>
      <c r="C21" s="227" t="s">
        <v>173</v>
      </c>
      <c r="D21" s="228">
        <v>625</v>
      </c>
      <c r="E21" s="231">
        <v>1356.2</v>
      </c>
      <c r="F21" s="231">
        <v>1363.3</v>
      </c>
      <c r="G21" s="228">
        <v>-7.1</v>
      </c>
      <c r="H21" s="229">
        <v>-5.1999999999999998E-3</v>
      </c>
      <c r="I21" s="231">
        <v>1354.7</v>
      </c>
      <c r="J21" s="231">
        <v>1359.1</v>
      </c>
      <c r="K21" s="228">
        <v>-4.4000000000000004</v>
      </c>
      <c r="L21" s="229">
        <v>-3.2000000000000002E-3</v>
      </c>
      <c r="M21" s="231">
        <v>1356.2</v>
      </c>
      <c r="N21" s="231">
        <v>1363.3</v>
      </c>
      <c r="O21" s="228">
        <v>-7.1</v>
      </c>
      <c r="P21" s="229">
        <v>-5.1999999999999998E-3</v>
      </c>
      <c r="Q21" s="231">
        <v>1363.3</v>
      </c>
      <c r="R21" s="231">
        <v>1370</v>
      </c>
      <c r="S21" s="228">
        <v>-6.7</v>
      </c>
      <c r="T21" s="229">
        <v>-4.8999999999999998E-3</v>
      </c>
      <c r="U21" s="231">
        <v>1373.1</v>
      </c>
      <c r="V21" s="231">
        <v>1379.9</v>
      </c>
      <c r="W21" s="228">
        <v>-6.8</v>
      </c>
      <c r="X21" s="229">
        <v>-4.8999999999999998E-3</v>
      </c>
      <c r="Y21" s="228">
        <v>1.5</v>
      </c>
      <c r="Z21" s="228">
        <v>4.2</v>
      </c>
      <c r="AA21" s="228">
        <v>-2.7</v>
      </c>
      <c r="AB21" s="229">
        <v>1.1000000000000001E-3</v>
      </c>
      <c r="AC21" s="228">
        <v>1.5</v>
      </c>
      <c r="AD21" s="228">
        <v>4.2</v>
      </c>
      <c r="AE21" s="228">
        <v>-2.7</v>
      </c>
      <c r="AF21" s="229">
        <v>1.1000000000000001E-3</v>
      </c>
      <c r="AG21" s="228">
        <v>8.6</v>
      </c>
      <c r="AH21" s="228">
        <v>10.9</v>
      </c>
      <c r="AI21" s="228">
        <v>-2.2999999999999998</v>
      </c>
      <c r="AJ21" s="229">
        <v>6.3E-3</v>
      </c>
      <c r="AK21" s="228">
        <v>18.399999999999999</v>
      </c>
      <c r="AL21" s="228">
        <v>20.8</v>
      </c>
      <c r="AM21" s="228">
        <v>-2.4</v>
      </c>
      <c r="AN21" s="229">
        <v>1.3599999999999999E-2</v>
      </c>
      <c r="AO21" s="231">
        <v>1363.14</v>
      </c>
      <c r="AP21" s="231">
        <v>1369.55</v>
      </c>
      <c r="AQ21" s="228">
        <v>0</v>
      </c>
      <c r="AR21" s="230">
        <v>7470000</v>
      </c>
      <c r="AS21" s="230">
        <v>7070000</v>
      </c>
      <c r="AT21" s="230">
        <v>400000</v>
      </c>
      <c r="AU21" s="229">
        <v>5.6599999999999998E-2</v>
      </c>
      <c r="AV21" s="230">
        <v>6172500</v>
      </c>
      <c r="AW21" s="230">
        <v>5801875</v>
      </c>
      <c r="AX21" s="230">
        <v>370625</v>
      </c>
      <c r="AY21" s="229">
        <v>6.3899999999999998E-2</v>
      </c>
      <c r="AZ21" s="230">
        <v>1183125</v>
      </c>
      <c r="BA21" s="230">
        <v>1253125</v>
      </c>
      <c r="BB21" s="230">
        <v>-70000</v>
      </c>
      <c r="BC21" s="229">
        <v>-5.5899999999999998E-2</v>
      </c>
      <c r="BD21" s="230">
        <v>114375</v>
      </c>
      <c r="BE21" s="230">
        <v>15000</v>
      </c>
      <c r="BF21" s="230">
        <v>99375</v>
      </c>
      <c r="BG21" s="229">
        <v>6.625</v>
      </c>
      <c r="BH21" s="230">
        <v>18971250</v>
      </c>
      <c r="BI21" s="230">
        <v>16048125</v>
      </c>
      <c r="BJ21" s="230">
        <v>2923125</v>
      </c>
      <c r="BK21" s="229">
        <v>0.18210000000000001</v>
      </c>
      <c r="BL21" s="230">
        <v>12998750</v>
      </c>
      <c r="BM21" s="230">
        <v>11123125</v>
      </c>
      <c r="BN21" s="230">
        <v>1875625</v>
      </c>
      <c r="BO21" s="229">
        <v>0.1686</v>
      </c>
      <c r="BP21" s="230">
        <v>39440000</v>
      </c>
      <c r="BQ21" s="230">
        <v>34241250</v>
      </c>
      <c r="BR21" s="230">
        <v>5198750</v>
      </c>
      <c r="BS21" s="229">
        <v>0.15179999999999999</v>
      </c>
      <c r="BT21" s="230">
        <v>5601419</v>
      </c>
      <c r="BU21" s="230">
        <v>4182251</v>
      </c>
      <c r="BV21" s="230">
        <v>1419168</v>
      </c>
      <c r="BW21" s="229">
        <v>0.33929999999999999</v>
      </c>
      <c r="BX21" s="230">
        <v>64467500</v>
      </c>
      <c r="BY21" s="230">
        <v>64568125</v>
      </c>
      <c r="BZ21" s="230">
        <v>-100625</v>
      </c>
      <c r="CA21" s="229">
        <v>-1.6000000000000001E-3</v>
      </c>
      <c r="CB21" s="230">
        <v>46210625</v>
      </c>
      <c r="CC21" s="230">
        <v>47011875</v>
      </c>
      <c r="CD21" s="230">
        <v>-801250</v>
      </c>
      <c r="CE21" s="229">
        <v>-1.7000000000000001E-2</v>
      </c>
      <c r="CF21" s="230">
        <v>16526875</v>
      </c>
      <c r="CG21" s="230">
        <v>15898125</v>
      </c>
      <c r="CH21" s="230">
        <v>628750</v>
      </c>
      <c r="CI21" s="229">
        <v>3.95E-2</v>
      </c>
      <c r="CJ21" s="230">
        <v>1730000</v>
      </c>
      <c r="CK21" s="230">
        <v>1658125</v>
      </c>
      <c r="CL21" s="230">
        <v>71875</v>
      </c>
      <c r="CM21" s="229">
        <v>4.3299999999999998E-2</v>
      </c>
      <c r="CN21" s="230">
        <v>16973750</v>
      </c>
      <c r="CO21" s="230">
        <v>16693125</v>
      </c>
      <c r="CP21" s="230">
        <v>280625</v>
      </c>
      <c r="CQ21" s="229">
        <v>1.6799999999999999E-2</v>
      </c>
      <c r="CR21" s="230">
        <v>13691875</v>
      </c>
      <c r="CS21" s="230">
        <v>13978750</v>
      </c>
      <c r="CT21" s="230">
        <v>-286875</v>
      </c>
      <c r="CU21" s="229">
        <v>-2.0500000000000001E-2</v>
      </c>
      <c r="CV21" s="230">
        <v>95133125</v>
      </c>
      <c r="CW21" s="230">
        <v>95240000</v>
      </c>
      <c r="CX21" s="230">
        <v>-106875</v>
      </c>
      <c r="CY21" s="229">
        <v>-1.1000000000000001E-3</v>
      </c>
      <c r="CZ21" s="228">
        <v>37.909999999999997</v>
      </c>
      <c r="DA21" s="228">
        <v>32.81</v>
      </c>
      <c r="DB21" s="228">
        <v>5.0999999999999996</v>
      </c>
      <c r="DC21" s="228">
        <v>5.0999999999999996</v>
      </c>
      <c r="DD21" s="228">
        <v>29.99</v>
      </c>
      <c r="DE21" s="228">
        <v>30.06</v>
      </c>
      <c r="DF21" s="228">
        <v>7.92</v>
      </c>
      <c r="DG21" s="228">
        <v>-7.0000000000000007E-2</v>
      </c>
      <c r="DH21" s="228">
        <v>36.770000000000003</v>
      </c>
      <c r="DI21" s="228">
        <v>31.47</v>
      </c>
      <c r="DJ21" s="228">
        <v>5.3</v>
      </c>
      <c r="DK21" s="228">
        <v>5.3</v>
      </c>
      <c r="DL21" s="228">
        <v>39.56</v>
      </c>
      <c r="DM21" s="228">
        <v>34.729999999999997</v>
      </c>
      <c r="DN21" s="228">
        <v>4.83</v>
      </c>
      <c r="DO21" s="228">
        <v>4.83</v>
      </c>
      <c r="DP21" s="228">
        <v>0.81</v>
      </c>
      <c r="DQ21" s="228">
        <v>0.84</v>
      </c>
      <c r="DR21" s="228">
        <v>-0.03</v>
      </c>
      <c r="DS21" s="229">
        <v>-3.5700000000000003E-2</v>
      </c>
      <c r="DT21" s="231">
        <v>1400</v>
      </c>
      <c r="DU21" s="231">
        <v>1300</v>
      </c>
      <c r="DV21" s="228">
        <v>0.69</v>
      </c>
      <c r="DW21" s="228">
        <v>0.69</v>
      </c>
      <c r="DX21" s="228">
        <v>0</v>
      </c>
      <c r="DY21" s="229">
        <v>0</v>
      </c>
      <c r="DZ21" s="229">
        <v>0.28320000000000001</v>
      </c>
      <c r="EA21" s="230">
        <v>17556250</v>
      </c>
      <c r="EB21" s="229">
        <v>5.1999999999999998E-3</v>
      </c>
      <c r="EC21" s="229">
        <v>0.28320000000000001</v>
      </c>
      <c r="ED21" s="228">
        <v>6.41</v>
      </c>
      <c r="EE21" s="229">
        <v>4.7000000000000002E-3</v>
      </c>
      <c r="EF21" s="230">
        <v>3323759</v>
      </c>
      <c r="EG21" s="230">
        <v>2477087</v>
      </c>
      <c r="EH21" s="229">
        <v>0.34179999999999999</v>
      </c>
      <c r="EI21" s="229">
        <v>0.59340000000000004</v>
      </c>
      <c r="EJ21" s="231">
        <v>267442.40000000002</v>
      </c>
      <c r="EK21" s="231">
        <v>173017.7</v>
      </c>
      <c r="EL21" s="231">
        <v>101919.28</v>
      </c>
      <c r="EM21" s="231">
        <v>13446</v>
      </c>
      <c r="EN21" s="231">
        <v>542379.38</v>
      </c>
      <c r="EO21" s="231">
        <v>470238.77</v>
      </c>
      <c r="EP21" s="231">
        <v>72140.61</v>
      </c>
      <c r="EQ21" s="229">
        <v>0.15340000000000001</v>
      </c>
      <c r="ER21" s="231">
        <v>227482</v>
      </c>
      <c r="ES21" s="231">
        <v>171093</v>
      </c>
      <c r="ET21" s="231">
        <v>875774</v>
      </c>
      <c r="EU21" s="231">
        <v>331596880</v>
      </c>
      <c r="EV21" s="231">
        <v>1274349</v>
      </c>
      <c r="EW21" s="231">
        <v>1279079</v>
      </c>
      <c r="EX21" s="231">
        <v>-4730</v>
      </c>
      <c r="EY21" s="229">
        <v>-3.7000000000000002E-3</v>
      </c>
      <c r="EZ21" s="229">
        <v>0.28689999999999999</v>
      </c>
      <c r="FA21" s="227" t="s">
        <v>567</v>
      </c>
      <c r="FB21" s="161">
        <f t="shared" si="0"/>
        <v>18256875</v>
      </c>
    </row>
    <row r="22" spans="1:158" ht="17.25" thickBot="1" x14ac:dyDescent="0.3">
      <c r="A22" s="226">
        <v>46132</v>
      </c>
      <c r="B22" s="227" t="s">
        <v>162</v>
      </c>
      <c r="C22" s="227" t="s">
        <v>174</v>
      </c>
      <c r="D22" s="228">
        <v>75</v>
      </c>
      <c r="E22" s="231">
        <v>9811</v>
      </c>
      <c r="F22" s="231">
        <v>9761.5</v>
      </c>
      <c r="G22" s="228">
        <v>49.5</v>
      </c>
      <c r="H22" s="229">
        <v>5.1000000000000004E-3</v>
      </c>
      <c r="I22" s="231">
        <v>9803</v>
      </c>
      <c r="J22" s="231">
        <v>9773.5</v>
      </c>
      <c r="K22" s="228">
        <v>29.5</v>
      </c>
      <c r="L22" s="229">
        <v>3.0000000000000001E-3</v>
      </c>
      <c r="M22" s="231">
        <v>9811</v>
      </c>
      <c r="N22" s="231">
        <v>9761.5</v>
      </c>
      <c r="O22" s="228">
        <v>49.5</v>
      </c>
      <c r="P22" s="229">
        <v>5.1000000000000004E-3</v>
      </c>
      <c r="Q22" s="231">
        <v>9829.5</v>
      </c>
      <c r="R22" s="231">
        <v>9752</v>
      </c>
      <c r="S22" s="228">
        <v>77.5</v>
      </c>
      <c r="T22" s="229">
        <v>7.9000000000000008E-3</v>
      </c>
      <c r="U22" s="231">
        <v>9810</v>
      </c>
      <c r="V22" s="231">
        <v>9733.5</v>
      </c>
      <c r="W22" s="228">
        <v>76.5</v>
      </c>
      <c r="X22" s="229">
        <v>7.9000000000000008E-3</v>
      </c>
      <c r="Y22" s="228">
        <v>8</v>
      </c>
      <c r="Z22" s="228">
        <v>-12</v>
      </c>
      <c r="AA22" s="228">
        <v>20</v>
      </c>
      <c r="AB22" s="229">
        <v>8.0000000000000004E-4</v>
      </c>
      <c r="AC22" s="228">
        <v>8</v>
      </c>
      <c r="AD22" s="228">
        <v>-12</v>
      </c>
      <c r="AE22" s="228">
        <v>20</v>
      </c>
      <c r="AF22" s="229">
        <v>8.0000000000000004E-4</v>
      </c>
      <c r="AG22" s="228">
        <v>26.5</v>
      </c>
      <c r="AH22" s="228">
        <v>-21.5</v>
      </c>
      <c r="AI22" s="228">
        <v>48</v>
      </c>
      <c r="AJ22" s="229">
        <v>2.7000000000000001E-3</v>
      </c>
      <c r="AK22" s="228">
        <v>7</v>
      </c>
      <c r="AL22" s="228">
        <v>-40</v>
      </c>
      <c r="AM22" s="228">
        <v>47</v>
      </c>
      <c r="AN22" s="229">
        <v>6.9999999999999999E-4</v>
      </c>
      <c r="AO22" s="231">
        <v>9819.3799999999992</v>
      </c>
      <c r="AP22" s="231">
        <v>9829.83</v>
      </c>
      <c r="AQ22" s="228">
        <v>0</v>
      </c>
      <c r="AR22" s="230">
        <v>290325</v>
      </c>
      <c r="AS22" s="230">
        <v>314025</v>
      </c>
      <c r="AT22" s="230">
        <v>-23700</v>
      </c>
      <c r="AU22" s="229">
        <v>-7.5499999999999998E-2</v>
      </c>
      <c r="AV22" s="230">
        <v>240825</v>
      </c>
      <c r="AW22" s="230">
        <v>281925</v>
      </c>
      <c r="AX22" s="230">
        <v>-41100</v>
      </c>
      <c r="AY22" s="229">
        <v>-0.14580000000000001</v>
      </c>
      <c r="AZ22" s="230">
        <v>46725</v>
      </c>
      <c r="BA22" s="230">
        <v>30075</v>
      </c>
      <c r="BB22" s="230">
        <v>16650</v>
      </c>
      <c r="BC22" s="229">
        <v>0.55359999999999998</v>
      </c>
      <c r="BD22" s="230">
        <v>2775</v>
      </c>
      <c r="BE22" s="230">
        <v>2025</v>
      </c>
      <c r="BF22" s="228">
        <v>750</v>
      </c>
      <c r="BG22" s="229">
        <v>0.37040000000000001</v>
      </c>
      <c r="BH22" s="230">
        <v>1773000</v>
      </c>
      <c r="BI22" s="230">
        <v>1262475</v>
      </c>
      <c r="BJ22" s="230">
        <v>510525</v>
      </c>
      <c r="BK22" s="229">
        <v>0.40439999999999998</v>
      </c>
      <c r="BL22" s="230">
        <v>904875</v>
      </c>
      <c r="BM22" s="230">
        <v>849600</v>
      </c>
      <c r="BN22" s="230">
        <v>55275</v>
      </c>
      <c r="BO22" s="229">
        <v>6.5100000000000005E-2</v>
      </c>
      <c r="BP22" s="230">
        <v>2968200</v>
      </c>
      <c r="BQ22" s="230">
        <v>2426100</v>
      </c>
      <c r="BR22" s="230">
        <v>542100</v>
      </c>
      <c r="BS22" s="229">
        <v>0.22339999999999999</v>
      </c>
      <c r="BT22" s="230">
        <v>355520</v>
      </c>
      <c r="BU22" s="230">
        <v>274564</v>
      </c>
      <c r="BV22" s="230">
        <v>80956</v>
      </c>
      <c r="BW22" s="229">
        <v>0.2949</v>
      </c>
      <c r="BX22" s="230">
        <v>3038625</v>
      </c>
      <c r="BY22" s="230">
        <v>3065250</v>
      </c>
      <c r="BZ22" s="230">
        <v>-26625</v>
      </c>
      <c r="CA22" s="229">
        <v>-8.6999999999999994E-3</v>
      </c>
      <c r="CB22" s="230">
        <v>2733600</v>
      </c>
      <c r="CC22" s="230">
        <v>2777775</v>
      </c>
      <c r="CD22" s="230">
        <v>-44175</v>
      </c>
      <c r="CE22" s="229">
        <v>-1.5900000000000001E-2</v>
      </c>
      <c r="CF22" s="230">
        <v>288000</v>
      </c>
      <c r="CG22" s="230">
        <v>270900</v>
      </c>
      <c r="CH22" s="230">
        <v>17100</v>
      </c>
      <c r="CI22" s="229">
        <v>6.3100000000000003E-2</v>
      </c>
      <c r="CJ22" s="230">
        <v>17025</v>
      </c>
      <c r="CK22" s="230">
        <v>16575</v>
      </c>
      <c r="CL22" s="228">
        <v>450</v>
      </c>
      <c r="CM22" s="229">
        <v>2.7099999999999999E-2</v>
      </c>
      <c r="CN22" s="230">
        <v>1235550</v>
      </c>
      <c r="CO22" s="230">
        <v>1282500</v>
      </c>
      <c r="CP22" s="230">
        <v>-46950</v>
      </c>
      <c r="CQ22" s="229">
        <v>-3.6600000000000001E-2</v>
      </c>
      <c r="CR22" s="230">
        <v>1121625</v>
      </c>
      <c r="CS22" s="230">
        <v>1139025</v>
      </c>
      <c r="CT22" s="230">
        <v>-17400</v>
      </c>
      <c r="CU22" s="229">
        <v>-1.5299999999999999E-2</v>
      </c>
      <c r="CV22" s="230">
        <v>5395800</v>
      </c>
      <c r="CW22" s="230">
        <v>5486775</v>
      </c>
      <c r="CX22" s="230">
        <v>-90975</v>
      </c>
      <c r="CY22" s="229">
        <v>-1.66E-2</v>
      </c>
      <c r="CZ22" s="228">
        <v>29.78</v>
      </c>
      <c r="DA22" s="228">
        <v>28.23</v>
      </c>
      <c r="DB22" s="228">
        <v>1.55</v>
      </c>
      <c r="DC22" s="228">
        <v>1.55</v>
      </c>
      <c r="DD22" s="228">
        <v>29.61</v>
      </c>
      <c r="DE22" s="228">
        <v>29.68</v>
      </c>
      <c r="DF22" s="228">
        <v>0.17</v>
      </c>
      <c r="DG22" s="228">
        <v>-7.0000000000000007E-2</v>
      </c>
      <c r="DH22" s="228">
        <v>29.1</v>
      </c>
      <c r="DI22" s="228">
        <v>27.06</v>
      </c>
      <c r="DJ22" s="228">
        <v>2.04</v>
      </c>
      <c r="DK22" s="228">
        <v>2.04</v>
      </c>
      <c r="DL22" s="228">
        <v>31.11</v>
      </c>
      <c r="DM22" s="228">
        <v>29.97</v>
      </c>
      <c r="DN22" s="228">
        <v>1.1399999999999999</v>
      </c>
      <c r="DO22" s="228">
        <v>1.1399999999999999</v>
      </c>
      <c r="DP22" s="228">
        <v>0.91</v>
      </c>
      <c r="DQ22" s="228">
        <v>0.89</v>
      </c>
      <c r="DR22" s="228">
        <v>0.02</v>
      </c>
      <c r="DS22" s="229">
        <v>2.2499999999999999E-2</v>
      </c>
      <c r="DT22" s="231">
        <v>9900</v>
      </c>
      <c r="DU22" s="231">
        <v>8000</v>
      </c>
      <c r="DV22" s="228">
        <v>0.51</v>
      </c>
      <c r="DW22" s="228">
        <v>0.67</v>
      </c>
      <c r="DX22" s="228">
        <v>-0.16</v>
      </c>
      <c r="DY22" s="229">
        <v>-0.23880000000000001</v>
      </c>
      <c r="DZ22" s="229">
        <v>0.1004</v>
      </c>
      <c r="EA22" s="230">
        <v>287475</v>
      </c>
      <c r="EB22" s="229">
        <v>1.9E-3</v>
      </c>
      <c r="EC22" s="229">
        <v>0.1004</v>
      </c>
      <c r="ED22" s="228">
        <v>10.45</v>
      </c>
      <c r="EE22" s="229">
        <v>1.1000000000000001E-3</v>
      </c>
      <c r="EF22" s="230">
        <v>219751</v>
      </c>
      <c r="EG22" s="230">
        <v>143768</v>
      </c>
      <c r="EH22" s="229">
        <v>0.52849999999999997</v>
      </c>
      <c r="EI22" s="229">
        <v>0.61809999999999998</v>
      </c>
      <c r="EJ22" s="231">
        <v>179853.53</v>
      </c>
      <c r="EK22" s="231">
        <v>85361.85</v>
      </c>
      <c r="EL22" s="231">
        <v>28512.34</v>
      </c>
      <c r="EM22" s="231">
        <v>6942</v>
      </c>
      <c r="EN22" s="231">
        <v>293727.71999999997</v>
      </c>
      <c r="EO22" s="231">
        <v>240738.6</v>
      </c>
      <c r="EP22" s="231">
        <v>52989.120000000003</v>
      </c>
      <c r="EQ22" s="229">
        <v>0.22009999999999999</v>
      </c>
      <c r="ER22" s="231">
        <v>121824</v>
      </c>
      <c r="ES22" s="231">
        <v>101488</v>
      </c>
      <c r="ET22" s="231">
        <v>298173</v>
      </c>
      <c r="EU22" s="231">
        <v>12553818</v>
      </c>
      <c r="EV22" s="231">
        <v>521484</v>
      </c>
      <c r="EW22" s="231">
        <v>528472</v>
      </c>
      <c r="EX22" s="231">
        <v>-6988</v>
      </c>
      <c r="EY22" s="229">
        <v>-1.32E-2</v>
      </c>
      <c r="EZ22" s="229">
        <v>0.42980000000000002</v>
      </c>
      <c r="FA22" s="227" t="s">
        <v>693</v>
      </c>
      <c r="FB22" s="161">
        <f t="shared" si="0"/>
        <v>305025</v>
      </c>
    </row>
    <row r="23" spans="1:158" ht="17.25" thickBot="1" x14ac:dyDescent="0.3">
      <c r="A23" s="226">
        <v>46132</v>
      </c>
      <c r="B23" s="227" t="s">
        <v>175</v>
      </c>
      <c r="C23" s="227" t="s">
        <v>176</v>
      </c>
      <c r="D23" s="228">
        <v>250</v>
      </c>
      <c r="E23" s="231">
        <v>1828.1</v>
      </c>
      <c r="F23" s="231">
        <v>1839.4</v>
      </c>
      <c r="G23" s="228">
        <v>-11.3</v>
      </c>
      <c r="H23" s="229">
        <v>-6.1000000000000004E-3</v>
      </c>
      <c r="I23" s="231">
        <v>1830.6</v>
      </c>
      <c r="J23" s="231">
        <v>1838.9</v>
      </c>
      <c r="K23" s="228">
        <v>-8.3000000000000007</v>
      </c>
      <c r="L23" s="229">
        <v>-4.4999999999999997E-3</v>
      </c>
      <c r="M23" s="231">
        <v>1828.1</v>
      </c>
      <c r="N23" s="231">
        <v>1839.4</v>
      </c>
      <c r="O23" s="228">
        <v>-11.3</v>
      </c>
      <c r="P23" s="229">
        <v>-6.1000000000000004E-3</v>
      </c>
      <c r="Q23" s="231">
        <v>1839.2</v>
      </c>
      <c r="R23" s="231">
        <v>1849.7</v>
      </c>
      <c r="S23" s="228">
        <v>-10.5</v>
      </c>
      <c r="T23" s="229">
        <v>-5.7000000000000002E-3</v>
      </c>
      <c r="U23" s="231">
        <v>1848.3</v>
      </c>
      <c r="V23" s="231">
        <v>1861.2</v>
      </c>
      <c r="W23" s="228">
        <v>-12.9</v>
      </c>
      <c r="X23" s="229">
        <v>-6.8999999999999999E-3</v>
      </c>
      <c r="Y23" s="228">
        <v>-2.5</v>
      </c>
      <c r="Z23" s="228">
        <v>0.5</v>
      </c>
      <c r="AA23" s="228">
        <v>-3</v>
      </c>
      <c r="AB23" s="229">
        <v>-1.4E-3</v>
      </c>
      <c r="AC23" s="228">
        <v>-2.5</v>
      </c>
      <c r="AD23" s="228">
        <v>0.5</v>
      </c>
      <c r="AE23" s="228">
        <v>-3</v>
      </c>
      <c r="AF23" s="229">
        <v>-1.4E-3</v>
      </c>
      <c r="AG23" s="228">
        <v>8.6</v>
      </c>
      <c r="AH23" s="228">
        <v>10.8</v>
      </c>
      <c r="AI23" s="228">
        <v>-2.2000000000000002</v>
      </c>
      <c r="AJ23" s="229">
        <v>4.7000000000000002E-3</v>
      </c>
      <c r="AK23" s="228">
        <v>17.7</v>
      </c>
      <c r="AL23" s="228">
        <v>22.3</v>
      </c>
      <c r="AM23" s="228">
        <v>-4.5999999999999996</v>
      </c>
      <c r="AN23" s="229">
        <v>9.7000000000000003E-3</v>
      </c>
      <c r="AO23" s="231">
        <v>1833.26</v>
      </c>
      <c r="AP23" s="231">
        <v>1846</v>
      </c>
      <c r="AQ23" s="228">
        <v>0</v>
      </c>
      <c r="AR23" s="230">
        <v>1213750</v>
      </c>
      <c r="AS23" s="230">
        <v>448250</v>
      </c>
      <c r="AT23" s="230">
        <v>765500</v>
      </c>
      <c r="AU23" s="229">
        <v>1.7078</v>
      </c>
      <c r="AV23" s="230">
        <v>840750</v>
      </c>
      <c r="AW23" s="230">
        <v>385750</v>
      </c>
      <c r="AX23" s="230">
        <v>455000</v>
      </c>
      <c r="AY23" s="229">
        <v>1.1795</v>
      </c>
      <c r="AZ23" s="230">
        <v>110750</v>
      </c>
      <c r="BA23" s="230">
        <v>58250</v>
      </c>
      <c r="BB23" s="230">
        <v>52500</v>
      </c>
      <c r="BC23" s="229">
        <v>0.90129999999999999</v>
      </c>
      <c r="BD23" s="230">
        <v>262250</v>
      </c>
      <c r="BE23" s="230">
        <v>4250</v>
      </c>
      <c r="BF23" s="230">
        <v>258000</v>
      </c>
      <c r="BG23" s="229">
        <v>60.7059</v>
      </c>
      <c r="BH23" s="230">
        <v>2325750</v>
      </c>
      <c r="BI23" s="230">
        <v>1944000</v>
      </c>
      <c r="BJ23" s="230">
        <v>381750</v>
      </c>
      <c r="BK23" s="229">
        <v>0.19639999999999999</v>
      </c>
      <c r="BL23" s="230">
        <v>1524250</v>
      </c>
      <c r="BM23" s="230">
        <v>1278000</v>
      </c>
      <c r="BN23" s="230">
        <v>246250</v>
      </c>
      <c r="BO23" s="229">
        <v>0.19270000000000001</v>
      </c>
      <c r="BP23" s="230">
        <v>5063750</v>
      </c>
      <c r="BQ23" s="230">
        <v>3670250</v>
      </c>
      <c r="BR23" s="230">
        <v>1393500</v>
      </c>
      <c r="BS23" s="229">
        <v>0.37969999999999998</v>
      </c>
      <c r="BT23" s="230">
        <v>923681</v>
      </c>
      <c r="BU23" s="230">
        <v>512844</v>
      </c>
      <c r="BV23" s="230">
        <v>410837</v>
      </c>
      <c r="BW23" s="229">
        <v>0.80110000000000003</v>
      </c>
      <c r="BX23" s="230">
        <v>11019000</v>
      </c>
      <c r="BY23" s="230">
        <v>11202250</v>
      </c>
      <c r="BZ23" s="230">
        <v>-183250</v>
      </c>
      <c r="CA23" s="229">
        <v>-1.6400000000000001E-2</v>
      </c>
      <c r="CB23" s="230">
        <v>8966250</v>
      </c>
      <c r="CC23" s="230">
        <v>9455500</v>
      </c>
      <c r="CD23" s="230">
        <v>-489250</v>
      </c>
      <c r="CE23" s="229">
        <v>-5.1700000000000003E-2</v>
      </c>
      <c r="CF23" s="230">
        <v>1736750</v>
      </c>
      <c r="CG23" s="230">
        <v>1681250</v>
      </c>
      <c r="CH23" s="230">
        <v>55500</v>
      </c>
      <c r="CI23" s="229">
        <v>3.3000000000000002E-2</v>
      </c>
      <c r="CJ23" s="230">
        <v>316000</v>
      </c>
      <c r="CK23" s="230">
        <v>65500</v>
      </c>
      <c r="CL23" s="230">
        <v>250500</v>
      </c>
      <c r="CM23" s="229">
        <v>3.8243999999999998</v>
      </c>
      <c r="CN23" s="230">
        <v>3527250</v>
      </c>
      <c r="CO23" s="230">
        <v>3498750</v>
      </c>
      <c r="CP23" s="230">
        <v>28500</v>
      </c>
      <c r="CQ23" s="229">
        <v>8.0999999999999996E-3</v>
      </c>
      <c r="CR23" s="230">
        <v>3571000</v>
      </c>
      <c r="CS23" s="230">
        <v>3578500</v>
      </c>
      <c r="CT23" s="230">
        <v>-7500</v>
      </c>
      <c r="CU23" s="229">
        <v>-2.0999999999999999E-3</v>
      </c>
      <c r="CV23" s="230">
        <v>18117250</v>
      </c>
      <c r="CW23" s="230">
        <v>18279500</v>
      </c>
      <c r="CX23" s="230">
        <v>-162250</v>
      </c>
      <c r="CY23" s="229">
        <v>-8.8999999999999999E-3</v>
      </c>
      <c r="CZ23" s="228">
        <v>30.67</v>
      </c>
      <c r="DA23" s="228">
        <v>27.51</v>
      </c>
      <c r="DB23" s="228">
        <v>3.16</v>
      </c>
      <c r="DC23" s="228">
        <v>3.16</v>
      </c>
      <c r="DD23" s="228">
        <v>30.55</v>
      </c>
      <c r="DE23" s="228">
        <v>30.62</v>
      </c>
      <c r="DF23" s="228">
        <v>0.12</v>
      </c>
      <c r="DG23" s="228">
        <v>-7.0000000000000007E-2</v>
      </c>
      <c r="DH23" s="228">
        <v>30.09</v>
      </c>
      <c r="DI23" s="228">
        <v>26.39</v>
      </c>
      <c r="DJ23" s="228">
        <v>3.7</v>
      </c>
      <c r="DK23" s="228">
        <v>3.7</v>
      </c>
      <c r="DL23" s="228">
        <v>31.57</v>
      </c>
      <c r="DM23" s="228">
        <v>29.21</v>
      </c>
      <c r="DN23" s="228">
        <v>2.36</v>
      </c>
      <c r="DO23" s="228">
        <v>2.36</v>
      </c>
      <c r="DP23" s="228">
        <v>1.01</v>
      </c>
      <c r="DQ23" s="228">
        <v>1.02</v>
      </c>
      <c r="DR23" s="228">
        <v>-0.01</v>
      </c>
      <c r="DS23" s="229">
        <v>-9.7999999999999997E-3</v>
      </c>
      <c r="DT23" s="231">
        <v>1760</v>
      </c>
      <c r="DU23" s="231">
        <v>1620</v>
      </c>
      <c r="DV23" s="228">
        <v>0.66</v>
      </c>
      <c r="DW23" s="228">
        <v>0.66</v>
      </c>
      <c r="DX23" s="228">
        <v>0</v>
      </c>
      <c r="DY23" s="229">
        <v>0</v>
      </c>
      <c r="DZ23" s="229">
        <v>0.18629999999999999</v>
      </c>
      <c r="EA23" s="230">
        <v>1746750</v>
      </c>
      <c r="EB23" s="229">
        <v>6.1000000000000004E-3</v>
      </c>
      <c r="EC23" s="229">
        <v>0.18629999999999999</v>
      </c>
      <c r="ED23" s="228">
        <v>12.74</v>
      </c>
      <c r="EE23" s="229">
        <v>6.8999999999999999E-3</v>
      </c>
      <c r="EF23" s="230">
        <v>516179</v>
      </c>
      <c r="EG23" s="230">
        <v>266505</v>
      </c>
      <c r="EH23" s="229">
        <v>0.93679999999999997</v>
      </c>
      <c r="EI23" s="229">
        <v>0.55879999999999996</v>
      </c>
      <c r="EJ23" s="231">
        <v>44038.83</v>
      </c>
      <c r="EK23" s="231">
        <v>27774.39</v>
      </c>
      <c r="EL23" s="231">
        <v>22305.3</v>
      </c>
      <c r="EM23" s="231">
        <v>3614</v>
      </c>
      <c r="EN23" s="231">
        <v>94118.52</v>
      </c>
      <c r="EO23" s="231">
        <v>68196.259999999995</v>
      </c>
      <c r="EP23" s="231">
        <v>25922.26</v>
      </c>
      <c r="EQ23" s="229">
        <v>0.38009999999999999</v>
      </c>
      <c r="ER23" s="231">
        <v>64205</v>
      </c>
      <c r="ES23" s="231">
        <v>60919</v>
      </c>
      <c r="ET23" s="231">
        <v>201695</v>
      </c>
      <c r="EU23" s="231">
        <v>65784745</v>
      </c>
      <c r="EV23" s="231">
        <v>326820</v>
      </c>
      <c r="EW23" s="231">
        <v>330826</v>
      </c>
      <c r="EX23" s="231">
        <v>-4006</v>
      </c>
      <c r="EY23" s="229">
        <v>-1.21E-2</v>
      </c>
      <c r="EZ23" s="229">
        <v>0.27539999999999998</v>
      </c>
      <c r="FA23" s="227" t="s">
        <v>567</v>
      </c>
      <c r="FB23" s="161">
        <f t="shared" si="0"/>
        <v>2052750</v>
      </c>
    </row>
    <row r="24" spans="1:158" ht="17.25" thickBot="1" x14ac:dyDescent="0.3">
      <c r="A24" s="226">
        <v>46132</v>
      </c>
      <c r="B24" s="227" t="s">
        <v>175</v>
      </c>
      <c r="C24" s="227" t="s">
        <v>689</v>
      </c>
      <c r="D24" s="228">
        <v>50</v>
      </c>
      <c r="E24" s="231">
        <v>10373</v>
      </c>
      <c r="F24" s="231">
        <v>10358</v>
      </c>
      <c r="G24" s="228">
        <v>15</v>
      </c>
      <c r="H24" s="229">
        <v>1.4E-3</v>
      </c>
      <c r="I24" s="231">
        <v>10388</v>
      </c>
      <c r="J24" s="231">
        <v>10355.5</v>
      </c>
      <c r="K24" s="228">
        <v>32.5</v>
      </c>
      <c r="L24" s="229">
        <v>3.0999999999999999E-3</v>
      </c>
      <c r="M24" s="231">
        <v>10373</v>
      </c>
      <c r="N24" s="231">
        <v>10358</v>
      </c>
      <c r="O24" s="228">
        <v>15</v>
      </c>
      <c r="P24" s="229">
        <v>1.4E-3</v>
      </c>
      <c r="Q24" s="231">
        <v>10423.5</v>
      </c>
      <c r="R24" s="231">
        <v>10397.5</v>
      </c>
      <c r="S24" s="228">
        <v>26</v>
      </c>
      <c r="T24" s="229">
        <v>2.5000000000000001E-3</v>
      </c>
      <c r="U24" s="231">
        <v>10441</v>
      </c>
      <c r="V24" s="231">
        <v>10417</v>
      </c>
      <c r="W24" s="228">
        <v>24</v>
      </c>
      <c r="X24" s="229">
        <v>2.3E-3</v>
      </c>
      <c r="Y24" s="228">
        <v>-15</v>
      </c>
      <c r="Z24" s="228">
        <v>2.5</v>
      </c>
      <c r="AA24" s="228">
        <v>-17.5</v>
      </c>
      <c r="AB24" s="229">
        <v>-1.4E-3</v>
      </c>
      <c r="AC24" s="228">
        <v>-15</v>
      </c>
      <c r="AD24" s="228">
        <v>2.5</v>
      </c>
      <c r="AE24" s="228">
        <v>-17.5</v>
      </c>
      <c r="AF24" s="229">
        <v>-1.4E-3</v>
      </c>
      <c r="AG24" s="228">
        <v>35.5</v>
      </c>
      <c r="AH24" s="228">
        <v>42</v>
      </c>
      <c r="AI24" s="228">
        <v>-6.5</v>
      </c>
      <c r="AJ24" s="229">
        <v>3.3999999999999998E-3</v>
      </c>
      <c r="AK24" s="228">
        <v>53</v>
      </c>
      <c r="AL24" s="228">
        <v>61.5</v>
      </c>
      <c r="AM24" s="228">
        <v>-8.5</v>
      </c>
      <c r="AN24" s="229">
        <v>5.1000000000000004E-3</v>
      </c>
      <c r="AO24" s="231">
        <v>10410.33</v>
      </c>
      <c r="AP24" s="231">
        <v>10442.98</v>
      </c>
      <c r="AQ24" s="228">
        <v>0</v>
      </c>
      <c r="AR24" s="230">
        <v>28900</v>
      </c>
      <c r="AS24" s="230">
        <v>27600</v>
      </c>
      <c r="AT24" s="230">
        <v>1300</v>
      </c>
      <c r="AU24" s="229">
        <v>4.7100000000000003E-2</v>
      </c>
      <c r="AV24" s="230">
        <v>24000</v>
      </c>
      <c r="AW24" s="230">
        <v>21750</v>
      </c>
      <c r="AX24" s="230">
        <v>2250</v>
      </c>
      <c r="AY24" s="229">
        <v>0.10340000000000001</v>
      </c>
      <c r="AZ24" s="230">
        <v>4700</v>
      </c>
      <c r="BA24" s="230">
        <v>5750</v>
      </c>
      <c r="BB24" s="230">
        <v>-1050</v>
      </c>
      <c r="BC24" s="229">
        <v>-0.18260000000000001</v>
      </c>
      <c r="BD24" s="228">
        <v>200</v>
      </c>
      <c r="BE24" s="228">
        <v>100</v>
      </c>
      <c r="BF24" s="228">
        <v>100</v>
      </c>
      <c r="BG24" s="229">
        <v>1</v>
      </c>
      <c r="BH24" s="230">
        <v>191250</v>
      </c>
      <c r="BI24" s="230">
        <v>90100</v>
      </c>
      <c r="BJ24" s="230">
        <v>101150</v>
      </c>
      <c r="BK24" s="229">
        <v>1.1226</v>
      </c>
      <c r="BL24" s="230">
        <v>316250</v>
      </c>
      <c r="BM24" s="230">
        <v>134700</v>
      </c>
      <c r="BN24" s="230">
        <v>181550</v>
      </c>
      <c r="BO24" s="229">
        <v>1.3478000000000001</v>
      </c>
      <c r="BP24" s="230">
        <v>536400</v>
      </c>
      <c r="BQ24" s="230">
        <v>252400</v>
      </c>
      <c r="BR24" s="230">
        <v>284000</v>
      </c>
      <c r="BS24" s="229">
        <v>1.1252</v>
      </c>
      <c r="BT24" s="230">
        <v>40806</v>
      </c>
      <c r="BU24" s="230">
        <v>49448</v>
      </c>
      <c r="BV24" s="230">
        <v>-8642</v>
      </c>
      <c r="BW24" s="229">
        <v>-0.17480000000000001</v>
      </c>
      <c r="BX24" s="230">
        <v>294050</v>
      </c>
      <c r="BY24" s="230">
        <v>293800</v>
      </c>
      <c r="BZ24" s="228">
        <v>250</v>
      </c>
      <c r="CA24" s="229">
        <v>8.9999999999999998E-4</v>
      </c>
      <c r="CB24" s="230">
        <v>259700</v>
      </c>
      <c r="CC24" s="230">
        <v>260300</v>
      </c>
      <c r="CD24" s="228">
        <v>-600</v>
      </c>
      <c r="CE24" s="229">
        <v>-2.3E-3</v>
      </c>
      <c r="CF24" s="230">
        <v>33150</v>
      </c>
      <c r="CG24" s="230">
        <v>32400</v>
      </c>
      <c r="CH24" s="228">
        <v>750</v>
      </c>
      <c r="CI24" s="229">
        <v>2.3099999999999999E-2</v>
      </c>
      <c r="CJ24" s="230">
        <v>1200</v>
      </c>
      <c r="CK24" s="230">
        <v>1100</v>
      </c>
      <c r="CL24" s="228">
        <v>100</v>
      </c>
      <c r="CM24" s="229">
        <v>9.0899999999999995E-2</v>
      </c>
      <c r="CN24" s="230">
        <v>75400</v>
      </c>
      <c r="CO24" s="230">
        <v>85300</v>
      </c>
      <c r="CP24" s="230">
        <v>-9900</v>
      </c>
      <c r="CQ24" s="229">
        <v>-0.11609999999999999</v>
      </c>
      <c r="CR24" s="230">
        <v>56600</v>
      </c>
      <c r="CS24" s="230">
        <v>46900</v>
      </c>
      <c r="CT24" s="230">
        <v>9700</v>
      </c>
      <c r="CU24" s="229">
        <v>0.20680000000000001</v>
      </c>
      <c r="CV24" s="230">
        <v>426050</v>
      </c>
      <c r="CW24" s="230">
        <v>426000</v>
      </c>
      <c r="CX24" s="228">
        <v>50</v>
      </c>
      <c r="CY24" s="229">
        <v>1E-4</v>
      </c>
      <c r="CZ24" s="228">
        <v>57.37</v>
      </c>
      <c r="DA24" s="228">
        <v>46.44</v>
      </c>
      <c r="DB24" s="228">
        <v>10.93</v>
      </c>
      <c r="DC24" s="228">
        <v>10.93</v>
      </c>
      <c r="DD24" s="228">
        <v>38.93</v>
      </c>
      <c r="DE24" s="228">
        <v>39.020000000000003</v>
      </c>
      <c r="DF24" s="228">
        <v>18.440000000000001</v>
      </c>
      <c r="DG24" s="228">
        <v>-0.09</v>
      </c>
      <c r="DH24" s="228">
        <v>40.67</v>
      </c>
      <c r="DI24" s="228">
        <v>34.340000000000003</v>
      </c>
      <c r="DJ24" s="228">
        <v>6.33</v>
      </c>
      <c r="DK24" s="228">
        <v>6.33</v>
      </c>
      <c r="DL24" s="228">
        <v>67.459999999999994</v>
      </c>
      <c r="DM24" s="228">
        <v>54.54</v>
      </c>
      <c r="DN24" s="228">
        <v>12.92</v>
      </c>
      <c r="DO24" s="228">
        <v>12.92</v>
      </c>
      <c r="DP24" s="228">
        <v>0.75</v>
      </c>
      <c r="DQ24" s="228">
        <v>0.55000000000000004</v>
      </c>
      <c r="DR24" s="228">
        <v>0.2</v>
      </c>
      <c r="DS24" s="229">
        <v>0.36359999999999998</v>
      </c>
      <c r="DT24" s="231">
        <v>10500</v>
      </c>
      <c r="DU24" s="231">
        <v>8500</v>
      </c>
      <c r="DV24" s="228">
        <v>1.65</v>
      </c>
      <c r="DW24" s="228">
        <v>1.5</v>
      </c>
      <c r="DX24" s="228">
        <v>0.15</v>
      </c>
      <c r="DY24" s="229">
        <v>0.1</v>
      </c>
      <c r="DZ24" s="229">
        <v>0.1168</v>
      </c>
      <c r="EA24" s="230">
        <v>33500</v>
      </c>
      <c r="EB24" s="229">
        <v>4.8999999999999998E-3</v>
      </c>
      <c r="EC24" s="229">
        <v>0.1168</v>
      </c>
      <c r="ED24" s="228">
        <v>32.65</v>
      </c>
      <c r="EE24" s="229">
        <v>3.0999999999999999E-3</v>
      </c>
      <c r="EF24" s="230">
        <v>20880</v>
      </c>
      <c r="EG24" s="230">
        <v>27182</v>
      </c>
      <c r="EH24" s="229">
        <v>-0.23180000000000001</v>
      </c>
      <c r="EI24" s="229">
        <v>0.51170000000000004</v>
      </c>
      <c r="EJ24" s="231">
        <v>21590.59</v>
      </c>
      <c r="EK24" s="231">
        <v>27034.57</v>
      </c>
      <c r="EL24" s="231">
        <v>3010.24</v>
      </c>
      <c r="EM24" s="228">
        <v>880</v>
      </c>
      <c r="EN24" s="231">
        <v>51635.4</v>
      </c>
      <c r="EO24" s="231">
        <v>24406.35</v>
      </c>
      <c r="EP24" s="231">
        <v>27229.05</v>
      </c>
      <c r="EQ24" s="229">
        <v>1.1156999999999999</v>
      </c>
      <c r="ER24" s="231">
        <v>7727</v>
      </c>
      <c r="ES24" s="231">
        <v>5191</v>
      </c>
      <c r="ET24" s="231">
        <v>30519</v>
      </c>
      <c r="EU24" s="231">
        <v>5401993</v>
      </c>
      <c r="EV24" s="231">
        <v>43437</v>
      </c>
      <c r="EW24" s="231">
        <v>43624</v>
      </c>
      <c r="EX24" s="228">
        <v>-187</v>
      </c>
      <c r="EY24" s="229">
        <v>-4.3E-3</v>
      </c>
      <c r="EZ24" s="229">
        <v>7.8899999999999998E-2</v>
      </c>
      <c r="FA24" s="227" t="s">
        <v>555</v>
      </c>
      <c r="FB24" s="161">
        <f t="shared" si="0"/>
        <v>34350</v>
      </c>
    </row>
    <row r="25" spans="1:158" ht="17.25" thickBot="1" x14ac:dyDescent="0.3">
      <c r="A25" s="226">
        <v>46132</v>
      </c>
      <c r="B25" s="227" t="s">
        <v>175</v>
      </c>
      <c r="C25" s="227" t="s">
        <v>177</v>
      </c>
      <c r="D25" s="228">
        <v>750</v>
      </c>
      <c r="E25" s="228">
        <v>916.95</v>
      </c>
      <c r="F25" s="228">
        <v>910.95</v>
      </c>
      <c r="G25" s="228">
        <v>6</v>
      </c>
      <c r="H25" s="229">
        <v>6.6E-3</v>
      </c>
      <c r="I25" s="228">
        <v>917.75</v>
      </c>
      <c r="J25" s="228">
        <v>908.25</v>
      </c>
      <c r="K25" s="228">
        <v>9.5</v>
      </c>
      <c r="L25" s="229">
        <v>1.0500000000000001E-2</v>
      </c>
      <c r="M25" s="228">
        <v>916.95</v>
      </c>
      <c r="N25" s="228">
        <v>910.95</v>
      </c>
      <c r="O25" s="228">
        <v>6</v>
      </c>
      <c r="P25" s="229">
        <v>6.6E-3</v>
      </c>
      <c r="Q25" s="228">
        <v>921.1</v>
      </c>
      <c r="R25" s="228">
        <v>915.3</v>
      </c>
      <c r="S25" s="228">
        <v>5.8</v>
      </c>
      <c r="T25" s="229">
        <v>6.3E-3</v>
      </c>
      <c r="U25" s="228">
        <v>923.7</v>
      </c>
      <c r="V25" s="228">
        <v>917.2</v>
      </c>
      <c r="W25" s="228">
        <v>6.5</v>
      </c>
      <c r="X25" s="229">
        <v>7.1000000000000004E-3</v>
      </c>
      <c r="Y25" s="228">
        <v>-0.8</v>
      </c>
      <c r="Z25" s="228">
        <v>2.7</v>
      </c>
      <c r="AA25" s="228">
        <v>-3.5</v>
      </c>
      <c r="AB25" s="229">
        <v>-8.9999999999999998E-4</v>
      </c>
      <c r="AC25" s="228">
        <v>-0.8</v>
      </c>
      <c r="AD25" s="228">
        <v>2.7</v>
      </c>
      <c r="AE25" s="228">
        <v>-3.5</v>
      </c>
      <c r="AF25" s="229">
        <v>-8.9999999999999998E-4</v>
      </c>
      <c r="AG25" s="228">
        <v>3.35</v>
      </c>
      <c r="AH25" s="228">
        <v>7.05</v>
      </c>
      <c r="AI25" s="228">
        <v>-3.7</v>
      </c>
      <c r="AJ25" s="229">
        <v>3.7000000000000002E-3</v>
      </c>
      <c r="AK25" s="228">
        <v>5.95</v>
      </c>
      <c r="AL25" s="228">
        <v>8.9499999999999993</v>
      </c>
      <c r="AM25" s="228">
        <v>-3</v>
      </c>
      <c r="AN25" s="229">
        <v>6.4999999999999997E-3</v>
      </c>
      <c r="AO25" s="228">
        <v>914.87</v>
      </c>
      <c r="AP25" s="228">
        <v>919.31</v>
      </c>
      <c r="AQ25" s="228">
        <v>0</v>
      </c>
      <c r="AR25" s="230">
        <v>6112500</v>
      </c>
      <c r="AS25" s="230">
        <v>4827750</v>
      </c>
      <c r="AT25" s="230">
        <v>1284750</v>
      </c>
      <c r="AU25" s="229">
        <v>0.2661</v>
      </c>
      <c r="AV25" s="230">
        <v>5148000</v>
      </c>
      <c r="AW25" s="230">
        <v>3972750</v>
      </c>
      <c r="AX25" s="230">
        <v>1175250</v>
      </c>
      <c r="AY25" s="229">
        <v>0.29580000000000001</v>
      </c>
      <c r="AZ25" s="230">
        <v>853500</v>
      </c>
      <c r="BA25" s="230">
        <v>726000</v>
      </c>
      <c r="BB25" s="230">
        <v>127500</v>
      </c>
      <c r="BC25" s="229">
        <v>0.17560000000000001</v>
      </c>
      <c r="BD25" s="230">
        <v>111000</v>
      </c>
      <c r="BE25" s="230">
        <v>129000</v>
      </c>
      <c r="BF25" s="230">
        <v>-18000</v>
      </c>
      <c r="BG25" s="229">
        <v>-0.13950000000000001</v>
      </c>
      <c r="BH25" s="230">
        <v>20649000</v>
      </c>
      <c r="BI25" s="230">
        <v>13919250</v>
      </c>
      <c r="BJ25" s="230">
        <v>6729750</v>
      </c>
      <c r="BK25" s="229">
        <v>0.48349999999999999</v>
      </c>
      <c r="BL25" s="230">
        <v>11523000</v>
      </c>
      <c r="BM25" s="230">
        <v>8702250</v>
      </c>
      <c r="BN25" s="230">
        <v>2820750</v>
      </c>
      <c r="BO25" s="229">
        <v>0.3241</v>
      </c>
      <c r="BP25" s="230">
        <v>38284500</v>
      </c>
      <c r="BQ25" s="230">
        <v>27449250</v>
      </c>
      <c r="BR25" s="230">
        <v>10835250</v>
      </c>
      <c r="BS25" s="229">
        <v>0.3947</v>
      </c>
      <c r="BT25" s="230">
        <v>6630447</v>
      </c>
      <c r="BU25" s="230">
        <v>6274068</v>
      </c>
      <c r="BV25" s="230">
        <v>356379</v>
      </c>
      <c r="BW25" s="229">
        <v>5.6800000000000003E-2</v>
      </c>
      <c r="BX25" s="230">
        <v>70197750</v>
      </c>
      <c r="BY25" s="230">
        <v>70972500</v>
      </c>
      <c r="BZ25" s="230">
        <v>-774750</v>
      </c>
      <c r="CA25" s="229">
        <v>-1.09E-2</v>
      </c>
      <c r="CB25" s="230">
        <v>64403250</v>
      </c>
      <c r="CC25" s="230">
        <v>65455500</v>
      </c>
      <c r="CD25" s="230">
        <v>-1052250</v>
      </c>
      <c r="CE25" s="229">
        <v>-1.61E-2</v>
      </c>
      <c r="CF25" s="230">
        <v>5291250</v>
      </c>
      <c r="CG25" s="230">
        <v>5034750</v>
      </c>
      <c r="CH25" s="230">
        <v>256500</v>
      </c>
      <c r="CI25" s="229">
        <v>5.0900000000000001E-2</v>
      </c>
      <c r="CJ25" s="230">
        <v>503250</v>
      </c>
      <c r="CK25" s="230">
        <v>482250</v>
      </c>
      <c r="CL25" s="230">
        <v>21000</v>
      </c>
      <c r="CM25" s="229">
        <v>4.3499999999999997E-2</v>
      </c>
      <c r="CN25" s="230">
        <v>21276000</v>
      </c>
      <c r="CO25" s="230">
        <v>21938250</v>
      </c>
      <c r="CP25" s="230">
        <v>-662250</v>
      </c>
      <c r="CQ25" s="229">
        <v>-3.0200000000000001E-2</v>
      </c>
      <c r="CR25" s="230">
        <v>17077500</v>
      </c>
      <c r="CS25" s="230">
        <v>17085750</v>
      </c>
      <c r="CT25" s="230">
        <v>-8250</v>
      </c>
      <c r="CU25" s="229">
        <v>-5.0000000000000001E-4</v>
      </c>
      <c r="CV25" s="230">
        <v>108551250</v>
      </c>
      <c r="CW25" s="230">
        <v>109996500</v>
      </c>
      <c r="CX25" s="230">
        <v>-1445250</v>
      </c>
      <c r="CY25" s="229">
        <v>-1.3100000000000001E-2</v>
      </c>
      <c r="CZ25" s="228">
        <v>35.74</v>
      </c>
      <c r="DA25" s="228">
        <v>33.26</v>
      </c>
      <c r="DB25" s="228">
        <v>2.48</v>
      </c>
      <c r="DC25" s="228">
        <v>2.48</v>
      </c>
      <c r="DD25" s="228">
        <v>35.94</v>
      </c>
      <c r="DE25" s="228">
        <v>36</v>
      </c>
      <c r="DF25" s="228">
        <v>-0.2</v>
      </c>
      <c r="DG25" s="228">
        <v>-0.06</v>
      </c>
      <c r="DH25" s="228">
        <v>34.020000000000003</v>
      </c>
      <c r="DI25" s="228">
        <v>31.46</v>
      </c>
      <c r="DJ25" s="228">
        <v>2.56</v>
      </c>
      <c r="DK25" s="228">
        <v>2.56</v>
      </c>
      <c r="DL25" s="228">
        <v>38.82</v>
      </c>
      <c r="DM25" s="228">
        <v>36.15</v>
      </c>
      <c r="DN25" s="228">
        <v>2.67</v>
      </c>
      <c r="DO25" s="228">
        <v>2.67</v>
      </c>
      <c r="DP25" s="228">
        <v>0.8</v>
      </c>
      <c r="DQ25" s="228">
        <v>0.78</v>
      </c>
      <c r="DR25" s="228">
        <v>0.02</v>
      </c>
      <c r="DS25" s="229">
        <v>2.5600000000000001E-2</v>
      </c>
      <c r="DT25" s="228">
        <v>920</v>
      </c>
      <c r="DU25" s="228">
        <v>800</v>
      </c>
      <c r="DV25" s="228">
        <v>0.56000000000000005</v>
      </c>
      <c r="DW25" s="228">
        <v>0.63</v>
      </c>
      <c r="DX25" s="228">
        <v>-7.0000000000000007E-2</v>
      </c>
      <c r="DY25" s="229">
        <v>-0.1111</v>
      </c>
      <c r="DZ25" s="229">
        <v>8.2500000000000004E-2</v>
      </c>
      <c r="EA25" s="230">
        <v>5517000</v>
      </c>
      <c r="EB25" s="229">
        <v>4.4999999999999997E-3</v>
      </c>
      <c r="EC25" s="229">
        <v>8.2500000000000004E-2</v>
      </c>
      <c r="ED25" s="228">
        <v>4.4400000000000004</v>
      </c>
      <c r="EE25" s="229">
        <v>4.8999999999999998E-3</v>
      </c>
      <c r="EF25" s="230">
        <v>3597310</v>
      </c>
      <c r="EG25" s="230">
        <v>3926064</v>
      </c>
      <c r="EH25" s="229">
        <v>-8.3699999999999997E-2</v>
      </c>
      <c r="EI25" s="229">
        <v>0.54249999999999998</v>
      </c>
      <c r="EJ25" s="231">
        <v>195850.78</v>
      </c>
      <c r="EK25" s="231">
        <v>103467.08</v>
      </c>
      <c r="EL25" s="231">
        <v>55965.77</v>
      </c>
      <c r="EM25" s="231">
        <v>9674</v>
      </c>
      <c r="EN25" s="231">
        <v>355283.63</v>
      </c>
      <c r="EO25" s="231">
        <v>252641.03</v>
      </c>
      <c r="EP25" s="231">
        <v>102642.6</v>
      </c>
      <c r="EQ25" s="229">
        <v>0.40629999999999999</v>
      </c>
      <c r="ER25" s="231">
        <v>194499</v>
      </c>
      <c r="ES25" s="231">
        <v>147108</v>
      </c>
      <c r="ET25" s="231">
        <v>643932</v>
      </c>
      <c r="EU25" s="231">
        <v>387962395</v>
      </c>
      <c r="EV25" s="231">
        <v>985539</v>
      </c>
      <c r="EW25" s="231">
        <v>994212</v>
      </c>
      <c r="EX25" s="231">
        <v>-8673</v>
      </c>
      <c r="EY25" s="229">
        <v>-8.6999999999999994E-3</v>
      </c>
      <c r="EZ25" s="229">
        <v>0.27979999999999999</v>
      </c>
      <c r="FA25" s="227" t="s">
        <v>693</v>
      </c>
      <c r="FB25" s="161">
        <f t="shared" si="0"/>
        <v>5794500</v>
      </c>
    </row>
    <row r="26" spans="1:158" ht="17.25" thickBot="1" x14ac:dyDescent="0.3">
      <c r="A26" s="226">
        <v>46132</v>
      </c>
      <c r="B26" s="227" t="s">
        <v>172</v>
      </c>
      <c r="C26" s="227" t="s">
        <v>179</v>
      </c>
      <c r="D26" s="228">
        <v>3600</v>
      </c>
      <c r="E26" s="228">
        <v>175.22</v>
      </c>
      <c r="F26" s="228">
        <v>175.02</v>
      </c>
      <c r="G26" s="228">
        <v>0.2</v>
      </c>
      <c r="H26" s="229">
        <v>1.1000000000000001E-3</v>
      </c>
      <c r="I26" s="228">
        <v>175.43</v>
      </c>
      <c r="J26" s="228">
        <v>174.47</v>
      </c>
      <c r="K26" s="228">
        <v>0.96</v>
      </c>
      <c r="L26" s="229">
        <v>5.4999999999999997E-3</v>
      </c>
      <c r="M26" s="228">
        <v>175.22</v>
      </c>
      <c r="N26" s="228">
        <v>175.02</v>
      </c>
      <c r="O26" s="228">
        <v>0.2</v>
      </c>
      <c r="P26" s="229">
        <v>1.1000000000000001E-3</v>
      </c>
      <c r="Q26" s="228">
        <v>176.25</v>
      </c>
      <c r="R26" s="228">
        <v>176.04</v>
      </c>
      <c r="S26" s="228">
        <v>0.21</v>
      </c>
      <c r="T26" s="229">
        <v>1.1999999999999999E-3</v>
      </c>
      <c r="U26" s="228">
        <v>177.05</v>
      </c>
      <c r="V26" s="228">
        <v>176.44</v>
      </c>
      <c r="W26" s="228">
        <v>0.61</v>
      </c>
      <c r="X26" s="229">
        <v>3.5000000000000001E-3</v>
      </c>
      <c r="Y26" s="228">
        <v>-0.21</v>
      </c>
      <c r="Z26" s="228">
        <v>0.55000000000000004</v>
      </c>
      <c r="AA26" s="228">
        <v>-0.76</v>
      </c>
      <c r="AB26" s="229">
        <v>-1.1999999999999999E-3</v>
      </c>
      <c r="AC26" s="228">
        <v>-0.21</v>
      </c>
      <c r="AD26" s="228">
        <v>0.55000000000000004</v>
      </c>
      <c r="AE26" s="228">
        <v>-0.76</v>
      </c>
      <c r="AF26" s="229">
        <v>-1.1999999999999999E-3</v>
      </c>
      <c r="AG26" s="228">
        <v>0.82</v>
      </c>
      <c r="AH26" s="228">
        <v>1.57</v>
      </c>
      <c r="AI26" s="228">
        <v>-0.75</v>
      </c>
      <c r="AJ26" s="229">
        <v>4.7000000000000002E-3</v>
      </c>
      <c r="AK26" s="228">
        <v>1.62</v>
      </c>
      <c r="AL26" s="228">
        <v>1.97</v>
      </c>
      <c r="AM26" s="228">
        <v>-0.35</v>
      </c>
      <c r="AN26" s="229">
        <v>9.1999999999999998E-3</v>
      </c>
      <c r="AO26" s="228">
        <v>175.42</v>
      </c>
      <c r="AP26" s="228">
        <v>176.21</v>
      </c>
      <c r="AQ26" s="228">
        <v>0</v>
      </c>
      <c r="AR26" s="230">
        <v>17978400</v>
      </c>
      <c r="AS26" s="230">
        <v>25804800</v>
      </c>
      <c r="AT26" s="230">
        <v>-7826400</v>
      </c>
      <c r="AU26" s="229">
        <v>-0.30330000000000001</v>
      </c>
      <c r="AV26" s="230">
        <v>14760000</v>
      </c>
      <c r="AW26" s="230">
        <v>14626800</v>
      </c>
      <c r="AX26" s="230">
        <v>133200</v>
      </c>
      <c r="AY26" s="229">
        <v>9.1000000000000004E-3</v>
      </c>
      <c r="AZ26" s="230">
        <v>3114000</v>
      </c>
      <c r="BA26" s="230">
        <v>11145600</v>
      </c>
      <c r="BB26" s="230">
        <v>-8031600</v>
      </c>
      <c r="BC26" s="229">
        <v>-0.72060000000000002</v>
      </c>
      <c r="BD26" s="230">
        <v>104400</v>
      </c>
      <c r="BE26" s="230">
        <v>32400</v>
      </c>
      <c r="BF26" s="230">
        <v>72000</v>
      </c>
      <c r="BG26" s="229">
        <v>2.2222</v>
      </c>
      <c r="BH26" s="230">
        <v>18266400</v>
      </c>
      <c r="BI26" s="230">
        <v>9324000</v>
      </c>
      <c r="BJ26" s="230">
        <v>8942400</v>
      </c>
      <c r="BK26" s="229">
        <v>0.95909999999999995</v>
      </c>
      <c r="BL26" s="230">
        <v>11034000</v>
      </c>
      <c r="BM26" s="230">
        <v>6872400</v>
      </c>
      <c r="BN26" s="230">
        <v>4161600</v>
      </c>
      <c r="BO26" s="229">
        <v>0.60560000000000003</v>
      </c>
      <c r="BP26" s="230">
        <v>47278800</v>
      </c>
      <c r="BQ26" s="230">
        <v>42001200</v>
      </c>
      <c r="BR26" s="230">
        <v>5277600</v>
      </c>
      <c r="BS26" s="229">
        <v>0.12570000000000001</v>
      </c>
      <c r="BT26" s="230">
        <v>7756352</v>
      </c>
      <c r="BU26" s="230">
        <v>4592075</v>
      </c>
      <c r="BV26" s="230">
        <v>3164277</v>
      </c>
      <c r="BW26" s="229">
        <v>0.68910000000000005</v>
      </c>
      <c r="BX26" s="230">
        <v>87847200</v>
      </c>
      <c r="BY26" s="230">
        <v>89053200</v>
      </c>
      <c r="BZ26" s="230">
        <v>-1206000</v>
      </c>
      <c r="CA26" s="229">
        <v>-1.35E-2</v>
      </c>
      <c r="CB26" s="230">
        <v>70084800</v>
      </c>
      <c r="CC26" s="230">
        <v>73504800</v>
      </c>
      <c r="CD26" s="230">
        <v>-3420000</v>
      </c>
      <c r="CE26" s="229">
        <v>-4.65E-2</v>
      </c>
      <c r="CF26" s="230">
        <v>17438400</v>
      </c>
      <c r="CG26" s="230">
        <v>15246000</v>
      </c>
      <c r="CH26" s="230">
        <v>2192400</v>
      </c>
      <c r="CI26" s="229">
        <v>0.14380000000000001</v>
      </c>
      <c r="CJ26" s="230">
        <v>324000</v>
      </c>
      <c r="CK26" s="230">
        <v>302400</v>
      </c>
      <c r="CL26" s="230">
        <v>21600</v>
      </c>
      <c r="CM26" s="229">
        <v>7.1400000000000005E-2</v>
      </c>
      <c r="CN26" s="230">
        <v>27104400</v>
      </c>
      <c r="CO26" s="230">
        <v>26262000</v>
      </c>
      <c r="CP26" s="230">
        <v>842400</v>
      </c>
      <c r="CQ26" s="229">
        <v>3.2099999999999997E-2</v>
      </c>
      <c r="CR26" s="230">
        <v>19188000</v>
      </c>
      <c r="CS26" s="230">
        <v>20196000</v>
      </c>
      <c r="CT26" s="230">
        <v>-1008000</v>
      </c>
      <c r="CU26" s="229">
        <v>-4.99E-2</v>
      </c>
      <c r="CV26" s="230">
        <v>134139600</v>
      </c>
      <c r="CW26" s="230">
        <v>135511200</v>
      </c>
      <c r="CX26" s="230">
        <v>-1371600</v>
      </c>
      <c r="CY26" s="229">
        <v>-1.01E-2</v>
      </c>
      <c r="CZ26" s="228">
        <v>47.67</v>
      </c>
      <c r="DA26" s="228">
        <v>44.03</v>
      </c>
      <c r="DB26" s="228">
        <v>3.64</v>
      </c>
      <c r="DC26" s="228">
        <v>3.64</v>
      </c>
      <c r="DD26" s="228">
        <v>45.91</v>
      </c>
      <c r="DE26" s="228">
        <v>46.02</v>
      </c>
      <c r="DF26" s="228">
        <v>1.76</v>
      </c>
      <c r="DG26" s="228">
        <v>-0.11</v>
      </c>
      <c r="DH26" s="228">
        <v>46.37</v>
      </c>
      <c r="DI26" s="228">
        <v>42.86</v>
      </c>
      <c r="DJ26" s="228">
        <v>3.51</v>
      </c>
      <c r="DK26" s="228">
        <v>3.51</v>
      </c>
      <c r="DL26" s="228">
        <v>49.82</v>
      </c>
      <c r="DM26" s="228">
        <v>45.62</v>
      </c>
      <c r="DN26" s="228">
        <v>4.2</v>
      </c>
      <c r="DO26" s="228">
        <v>4.2</v>
      </c>
      <c r="DP26" s="228">
        <v>0.71</v>
      </c>
      <c r="DQ26" s="228">
        <v>0.77</v>
      </c>
      <c r="DR26" s="228">
        <v>-0.06</v>
      </c>
      <c r="DS26" s="229">
        <v>-7.7899999999999997E-2</v>
      </c>
      <c r="DT26" s="228">
        <v>150</v>
      </c>
      <c r="DU26" s="228">
        <v>170</v>
      </c>
      <c r="DV26" s="228">
        <v>0.6</v>
      </c>
      <c r="DW26" s="228">
        <v>0.74</v>
      </c>
      <c r="DX26" s="228">
        <v>-0.14000000000000001</v>
      </c>
      <c r="DY26" s="229">
        <v>-0.18920000000000001</v>
      </c>
      <c r="DZ26" s="229">
        <v>0.20219999999999999</v>
      </c>
      <c r="EA26" s="230">
        <v>15548400</v>
      </c>
      <c r="EB26" s="229">
        <v>5.8999999999999999E-3</v>
      </c>
      <c r="EC26" s="229">
        <v>0.20219999999999999</v>
      </c>
      <c r="ED26" s="228">
        <v>0.79</v>
      </c>
      <c r="EE26" s="229">
        <v>4.4999999999999997E-3</v>
      </c>
      <c r="EF26" s="230">
        <v>3395788</v>
      </c>
      <c r="EG26" s="230">
        <v>1541251</v>
      </c>
      <c r="EH26" s="229">
        <v>1.2033</v>
      </c>
      <c r="EI26" s="229">
        <v>0.43780000000000002</v>
      </c>
      <c r="EJ26" s="231">
        <v>33455.67</v>
      </c>
      <c r="EK26" s="231">
        <v>18762.47</v>
      </c>
      <c r="EL26" s="231">
        <v>31563.63</v>
      </c>
      <c r="EM26" s="231">
        <v>5050</v>
      </c>
      <c r="EN26" s="231">
        <v>83781.77</v>
      </c>
      <c r="EO26" s="231">
        <v>74172.42</v>
      </c>
      <c r="EP26" s="231">
        <v>9609.35</v>
      </c>
      <c r="EQ26" s="229">
        <v>0.12959999999999999</v>
      </c>
      <c r="ER26" s="231">
        <v>46351</v>
      </c>
      <c r="ES26" s="231">
        <v>30623</v>
      </c>
      <c r="ET26" s="231">
        <v>154111</v>
      </c>
      <c r="EU26" s="231">
        <v>145616308</v>
      </c>
      <c r="EV26" s="231">
        <v>231085</v>
      </c>
      <c r="EW26" s="231">
        <v>232970</v>
      </c>
      <c r="EX26" s="231">
        <v>-1885</v>
      </c>
      <c r="EY26" s="229">
        <v>-8.0999999999999996E-3</v>
      </c>
      <c r="EZ26" s="229">
        <v>0.92120000000000002</v>
      </c>
      <c r="FA26" s="227" t="s">
        <v>693</v>
      </c>
      <c r="FB26" s="161">
        <f t="shared" si="0"/>
        <v>17762400</v>
      </c>
    </row>
    <row r="27" spans="1:158" ht="17.25" thickBot="1" x14ac:dyDescent="0.3">
      <c r="A27" s="226">
        <v>46132</v>
      </c>
      <c r="B27" s="227" t="s">
        <v>172</v>
      </c>
      <c r="C27" s="227" t="s">
        <v>180</v>
      </c>
      <c r="D27" s="228">
        <v>2925</v>
      </c>
      <c r="E27" s="228">
        <v>281</v>
      </c>
      <c r="F27" s="228">
        <v>281.16000000000003</v>
      </c>
      <c r="G27" s="228">
        <v>-0.16</v>
      </c>
      <c r="H27" s="229">
        <v>-5.9999999999999995E-4</v>
      </c>
      <c r="I27" s="228">
        <v>281.01</v>
      </c>
      <c r="J27" s="228">
        <v>280.44</v>
      </c>
      <c r="K27" s="228">
        <v>0.56999999999999995</v>
      </c>
      <c r="L27" s="229">
        <v>2E-3</v>
      </c>
      <c r="M27" s="228">
        <v>281</v>
      </c>
      <c r="N27" s="228">
        <v>281.16000000000003</v>
      </c>
      <c r="O27" s="228">
        <v>-0.16</v>
      </c>
      <c r="P27" s="229">
        <v>-5.9999999999999995E-4</v>
      </c>
      <c r="Q27" s="228">
        <v>282.73</v>
      </c>
      <c r="R27" s="228">
        <v>282.67</v>
      </c>
      <c r="S27" s="228">
        <v>0.06</v>
      </c>
      <c r="T27" s="229">
        <v>2.0000000000000001E-4</v>
      </c>
      <c r="U27" s="228">
        <v>284.41000000000003</v>
      </c>
      <c r="V27" s="228">
        <v>284.47000000000003</v>
      </c>
      <c r="W27" s="228">
        <v>-0.06</v>
      </c>
      <c r="X27" s="229">
        <v>-2.0000000000000001E-4</v>
      </c>
      <c r="Y27" s="228">
        <v>-0.01</v>
      </c>
      <c r="Z27" s="228">
        <v>0.72</v>
      </c>
      <c r="AA27" s="228">
        <v>-0.73</v>
      </c>
      <c r="AB27" s="229">
        <v>0</v>
      </c>
      <c r="AC27" s="228">
        <v>-0.01</v>
      </c>
      <c r="AD27" s="228">
        <v>0.72</v>
      </c>
      <c r="AE27" s="228">
        <v>-0.73</v>
      </c>
      <c r="AF27" s="229">
        <v>0</v>
      </c>
      <c r="AG27" s="228">
        <v>1.72</v>
      </c>
      <c r="AH27" s="228">
        <v>2.23</v>
      </c>
      <c r="AI27" s="228">
        <v>-0.51</v>
      </c>
      <c r="AJ27" s="229">
        <v>6.1000000000000004E-3</v>
      </c>
      <c r="AK27" s="228">
        <v>3.4</v>
      </c>
      <c r="AL27" s="228">
        <v>4.03</v>
      </c>
      <c r="AM27" s="228">
        <v>-0.63</v>
      </c>
      <c r="AN27" s="229">
        <v>1.21E-2</v>
      </c>
      <c r="AO27" s="228">
        <v>282.52</v>
      </c>
      <c r="AP27" s="228">
        <v>284.48</v>
      </c>
      <c r="AQ27" s="228">
        <v>0</v>
      </c>
      <c r="AR27" s="230">
        <v>26693550</v>
      </c>
      <c r="AS27" s="230">
        <v>27006525</v>
      </c>
      <c r="AT27" s="230">
        <v>-312975</v>
      </c>
      <c r="AU27" s="229">
        <v>-1.1599999999999999E-2</v>
      </c>
      <c r="AV27" s="230">
        <v>21642075</v>
      </c>
      <c r="AW27" s="230">
        <v>18722925</v>
      </c>
      <c r="AX27" s="230">
        <v>2919150</v>
      </c>
      <c r="AY27" s="229">
        <v>0.15590000000000001</v>
      </c>
      <c r="AZ27" s="230">
        <v>4870125</v>
      </c>
      <c r="BA27" s="230">
        <v>2553525</v>
      </c>
      <c r="BB27" s="230">
        <v>2316600</v>
      </c>
      <c r="BC27" s="229">
        <v>0.90720000000000001</v>
      </c>
      <c r="BD27" s="230">
        <v>181350</v>
      </c>
      <c r="BE27" s="230">
        <v>5730075</v>
      </c>
      <c r="BF27" s="230">
        <v>-5548725</v>
      </c>
      <c r="BG27" s="229">
        <v>-0.96840000000000004</v>
      </c>
      <c r="BH27" s="230">
        <v>55560375</v>
      </c>
      <c r="BI27" s="230">
        <v>33546825</v>
      </c>
      <c r="BJ27" s="230">
        <v>22013550</v>
      </c>
      <c r="BK27" s="229">
        <v>0.65620000000000001</v>
      </c>
      <c r="BL27" s="230">
        <v>34485750</v>
      </c>
      <c r="BM27" s="230">
        <v>23780250</v>
      </c>
      <c r="BN27" s="230">
        <v>10705500</v>
      </c>
      <c r="BO27" s="229">
        <v>0.45019999999999999</v>
      </c>
      <c r="BP27" s="230">
        <v>116739675</v>
      </c>
      <c r="BQ27" s="230">
        <v>84333600</v>
      </c>
      <c r="BR27" s="230">
        <v>32406075</v>
      </c>
      <c r="BS27" s="229">
        <v>0.38429999999999997</v>
      </c>
      <c r="BT27" s="230">
        <v>12559012</v>
      </c>
      <c r="BU27" s="230">
        <v>7246769</v>
      </c>
      <c r="BV27" s="230">
        <v>5312243</v>
      </c>
      <c r="BW27" s="229">
        <v>0.73299999999999998</v>
      </c>
      <c r="BX27" s="230">
        <v>102313575</v>
      </c>
      <c r="BY27" s="230">
        <v>103334400</v>
      </c>
      <c r="BZ27" s="230">
        <v>-1020825</v>
      </c>
      <c r="CA27" s="229">
        <v>-9.9000000000000008E-3</v>
      </c>
      <c r="CB27" s="230">
        <v>85959900</v>
      </c>
      <c r="CC27" s="230">
        <v>89446500</v>
      </c>
      <c r="CD27" s="230">
        <v>-3486600</v>
      </c>
      <c r="CE27" s="229">
        <v>-3.9E-2</v>
      </c>
      <c r="CF27" s="230">
        <v>10167300</v>
      </c>
      <c r="CG27" s="230">
        <v>7751250</v>
      </c>
      <c r="CH27" s="230">
        <v>2416050</v>
      </c>
      <c r="CI27" s="229">
        <v>0.31169999999999998</v>
      </c>
      <c r="CJ27" s="230">
        <v>6186375</v>
      </c>
      <c r="CK27" s="230">
        <v>6136650</v>
      </c>
      <c r="CL27" s="230">
        <v>49725</v>
      </c>
      <c r="CM27" s="229">
        <v>8.0999999999999996E-3</v>
      </c>
      <c r="CN27" s="230">
        <v>44106075</v>
      </c>
      <c r="CO27" s="230">
        <v>41283450</v>
      </c>
      <c r="CP27" s="230">
        <v>2822625</v>
      </c>
      <c r="CQ27" s="229">
        <v>6.8400000000000002E-2</v>
      </c>
      <c r="CR27" s="230">
        <v>41725125</v>
      </c>
      <c r="CS27" s="230">
        <v>39373425</v>
      </c>
      <c r="CT27" s="230">
        <v>2351700</v>
      </c>
      <c r="CU27" s="229">
        <v>5.9700000000000003E-2</v>
      </c>
      <c r="CV27" s="230">
        <v>188144775</v>
      </c>
      <c r="CW27" s="230">
        <v>183991275</v>
      </c>
      <c r="CX27" s="230">
        <v>4153500</v>
      </c>
      <c r="CY27" s="229">
        <v>2.2599999999999999E-2</v>
      </c>
      <c r="CZ27" s="228">
        <v>36.590000000000003</v>
      </c>
      <c r="DA27" s="228">
        <v>33.5</v>
      </c>
      <c r="DB27" s="228">
        <v>3.09</v>
      </c>
      <c r="DC27" s="228">
        <v>3.09</v>
      </c>
      <c r="DD27" s="228">
        <v>36.92</v>
      </c>
      <c r="DE27" s="228">
        <v>37.020000000000003</v>
      </c>
      <c r="DF27" s="228">
        <v>-0.33</v>
      </c>
      <c r="DG27" s="228">
        <v>-0.1</v>
      </c>
      <c r="DH27" s="228">
        <v>34.450000000000003</v>
      </c>
      <c r="DI27" s="228">
        <v>31.6</v>
      </c>
      <c r="DJ27" s="228">
        <v>2.85</v>
      </c>
      <c r="DK27" s="228">
        <v>2.85</v>
      </c>
      <c r="DL27" s="228">
        <v>40.03</v>
      </c>
      <c r="DM27" s="228">
        <v>36.18</v>
      </c>
      <c r="DN27" s="228">
        <v>3.85</v>
      </c>
      <c r="DO27" s="228">
        <v>3.85</v>
      </c>
      <c r="DP27" s="228">
        <v>0.95</v>
      </c>
      <c r="DQ27" s="228">
        <v>0.95</v>
      </c>
      <c r="DR27" s="228">
        <v>0</v>
      </c>
      <c r="DS27" s="229">
        <v>0</v>
      </c>
      <c r="DT27" s="228">
        <v>300</v>
      </c>
      <c r="DU27" s="228">
        <v>250</v>
      </c>
      <c r="DV27" s="228">
        <v>0.62</v>
      </c>
      <c r="DW27" s="228">
        <v>0.71</v>
      </c>
      <c r="DX27" s="228">
        <v>-0.09</v>
      </c>
      <c r="DY27" s="229">
        <v>-0.1268</v>
      </c>
      <c r="DZ27" s="229">
        <v>0.1598</v>
      </c>
      <c r="EA27" s="230">
        <v>13887900</v>
      </c>
      <c r="EB27" s="229">
        <v>6.1999999999999998E-3</v>
      </c>
      <c r="EC27" s="229">
        <v>0.1598</v>
      </c>
      <c r="ED27" s="228">
        <v>1.96</v>
      </c>
      <c r="EE27" s="229">
        <v>6.8999999999999999E-3</v>
      </c>
      <c r="EF27" s="230">
        <v>5281794</v>
      </c>
      <c r="EG27" s="230">
        <v>3410331</v>
      </c>
      <c r="EH27" s="229">
        <v>0.54879999999999995</v>
      </c>
      <c r="EI27" s="229">
        <v>0.42059999999999997</v>
      </c>
      <c r="EJ27" s="231">
        <v>163549.64000000001</v>
      </c>
      <c r="EK27" s="231">
        <v>94881.68</v>
      </c>
      <c r="EL27" s="231">
        <v>75515.34</v>
      </c>
      <c r="EM27" s="231">
        <v>6650</v>
      </c>
      <c r="EN27" s="231">
        <v>333946.65999999997</v>
      </c>
      <c r="EO27" s="231">
        <v>237964.95</v>
      </c>
      <c r="EP27" s="231">
        <v>95981.71</v>
      </c>
      <c r="EQ27" s="229">
        <v>0.40329999999999999</v>
      </c>
      <c r="ER27" s="231">
        <v>125463</v>
      </c>
      <c r="ES27" s="231">
        <v>112385</v>
      </c>
      <c r="ET27" s="231">
        <v>287888</v>
      </c>
      <c r="EU27" s="231">
        <v>279476623</v>
      </c>
      <c r="EV27" s="231">
        <v>525735</v>
      </c>
      <c r="EW27" s="231">
        <v>513870</v>
      </c>
      <c r="EX27" s="231">
        <v>11865</v>
      </c>
      <c r="EY27" s="229">
        <v>2.3099999999999999E-2</v>
      </c>
      <c r="EZ27" s="229">
        <v>0.67320000000000002</v>
      </c>
      <c r="FA27" s="227" t="s">
        <v>567</v>
      </c>
      <c r="FB27" s="161">
        <f t="shared" si="0"/>
        <v>16353675</v>
      </c>
    </row>
    <row r="28" spans="1:158" ht="17.25" thickBot="1" x14ac:dyDescent="0.3">
      <c r="A28" s="226">
        <v>46132</v>
      </c>
      <c r="B28" s="227" t="s">
        <v>172</v>
      </c>
      <c r="C28" s="227" t="s">
        <v>601</v>
      </c>
      <c r="D28" s="228">
        <v>5200</v>
      </c>
      <c r="E28" s="228">
        <v>148.55000000000001</v>
      </c>
      <c r="F28" s="228">
        <v>148.28</v>
      </c>
      <c r="G28" s="228">
        <v>0.27</v>
      </c>
      <c r="H28" s="229">
        <v>1.8E-3</v>
      </c>
      <c r="I28" s="228">
        <v>148.31</v>
      </c>
      <c r="J28" s="228">
        <v>148.1</v>
      </c>
      <c r="K28" s="228">
        <v>0.21</v>
      </c>
      <c r="L28" s="229">
        <v>1.4E-3</v>
      </c>
      <c r="M28" s="228">
        <v>148.55000000000001</v>
      </c>
      <c r="N28" s="228">
        <v>148.28</v>
      </c>
      <c r="O28" s="228">
        <v>0.27</v>
      </c>
      <c r="P28" s="229">
        <v>1.8E-3</v>
      </c>
      <c r="Q28" s="228">
        <v>149.33000000000001</v>
      </c>
      <c r="R28" s="228">
        <v>149.11000000000001</v>
      </c>
      <c r="S28" s="228">
        <v>0.22</v>
      </c>
      <c r="T28" s="229">
        <v>1.5E-3</v>
      </c>
      <c r="U28" s="228">
        <v>150.30000000000001</v>
      </c>
      <c r="V28" s="228">
        <v>150.01</v>
      </c>
      <c r="W28" s="228">
        <v>0.28999999999999998</v>
      </c>
      <c r="X28" s="229">
        <v>1.9E-3</v>
      </c>
      <c r="Y28" s="228">
        <v>0.24</v>
      </c>
      <c r="Z28" s="228">
        <v>0.18</v>
      </c>
      <c r="AA28" s="228">
        <v>0.06</v>
      </c>
      <c r="AB28" s="229">
        <v>1.6000000000000001E-3</v>
      </c>
      <c r="AC28" s="228">
        <v>0.24</v>
      </c>
      <c r="AD28" s="228">
        <v>0.18</v>
      </c>
      <c r="AE28" s="228">
        <v>0.06</v>
      </c>
      <c r="AF28" s="229">
        <v>1.6000000000000001E-3</v>
      </c>
      <c r="AG28" s="228">
        <v>1.02</v>
      </c>
      <c r="AH28" s="228">
        <v>1.01</v>
      </c>
      <c r="AI28" s="228">
        <v>0.01</v>
      </c>
      <c r="AJ28" s="229">
        <v>6.8999999999999999E-3</v>
      </c>
      <c r="AK28" s="228">
        <v>1.99</v>
      </c>
      <c r="AL28" s="228">
        <v>1.91</v>
      </c>
      <c r="AM28" s="228">
        <v>0.08</v>
      </c>
      <c r="AN28" s="229">
        <v>1.34E-2</v>
      </c>
      <c r="AO28" s="228">
        <v>149.32</v>
      </c>
      <c r="AP28" s="228">
        <v>150.18</v>
      </c>
      <c r="AQ28" s="228">
        <v>0</v>
      </c>
      <c r="AR28" s="230">
        <v>16598400</v>
      </c>
      <c r="AS28" s="230">
        <v>13993200</v>
      </c>
      <c r="AT28" s="230">
        <v>2605200</v>
      </c>
      <c r="AU28" s="229">
        <v>0.1862</v>
      </c>
      <c r="AV28" s="230">
        <v>12714000</v>
      </c>
      <c r="AW28" s="230">
        <v>11585600</v>
      </c>
      <c r="AX28" s="230">
        <v>1128400</v>
      </c>
      <c r="AY28" s="229">
        <v>9.74E-2</v>
      </c>
      <c r="AZ28" s="230">
        <v>3702400</v>
      </c>
      <c r="BA28" s="230">
        <v>2334800</v>
      </c>
      <c r="BB28" s="230">
        <v>1367600</v>
      </c>
      <c r="BC28" s="229">
        <v>0.5857</v>
      </c>
      <c r="BD28" s="230">
        <v>182000</v>
      </c>
      <c r="BE28" s="230">
        <v>72800</v>
      </c>
      <c r="BF28" s="230">
        <v>109200</v>
      </c>
      <c r="BG28" s="229">
        <v>1.5</v>
      </c>
      <c r="BH28" s="230">
        <v>43773600</v>
      </c>
      <c r="BI28" s="230">
        <v>23868000</v>
      </c>
      <c r="BJ28" s="230">
        <v>19905600</v>
      </c>
      <c r="BK28" s="229">
        <v>0.83399999999999996</v>
      </c>
      <c r="BL28" s="230">
        <v>11310000</v>
      </c>
      <c r="BM28" s="230">
        <v>11367200</v>
      </c>
      <c r="BN28" s="230">
        <v>-57200</v>
      </c>
      <c r="BO28" s="229">
        <v>-5.0000000000000001E-3</v>
      </c>
      <c r="BP28" s="230">
        <v>71682000</v>
      </c>
      <c r="BQ28" s="230">
        <v>49228400</v>
      </c>
      <c r="BR28" s="230">
        <v>22453600</v>
      </c>
      <c r="BS28" s="229">
        <v>0.45610000000000001</v>
      </c>
      <c r="BT28" s="230">
        <v>9873311</v>
      </c>
      <c r="BU28" s="230">
        <v>9186397</v>
      </c>
      <c r="BV28" s="230">
        <v>686914</v>
      </c>
      <c r="BW28" s="229">
        <v>7.4800000000000005E-2</v>
      </c>
      <c r="BX28" s="230">
        <v>57205200</v>
      </c>
      <c r="BY28" s="230">
        <v>56482400</v>
      </c>
      <c r="BZ28" s="230">
        <v>722800</v>
      </c>
      <c r="CA28" s="229">
        <v>1.2800000000000001E-2</v>
      </c>
      <c r="CB28" s="230">
        <v>51350000</v>
      </c>
      <c r="CC28" s="230">
        <v>52026000</v>
      </c>
      <c r="CD28" s="230">
        <v>-676000</v>
      </c>
      <c r="CE28" s="229">
        <v>-1.2999999999999999E-2</v>
      </c>
      <c r="CF28" s="230">
        <v>5241600</v>
      </c>
      <c r="CG28" s="230">
        <v>3894800</v>
      </c>
      <c r="CH28" s="230">
        <v>1346800</v>
      </c>
      <c r="CI28" s="229">
        <v>0.3458</v>
      </c>
      <c r="CJ28" s="230">
        <v>613600</v>
      </c>
      <c r="CK28" s="230">
        <v>561600</v>
      </c>
      <c r="CL28" s="230">
        <v>52000</v>
      </c>
      <c r="CM28" s="229">
        <v>9.2600000000000002E-2</v>
      </c>
      <c r="CN28" s="230">
        <v>30004000</v>
      </c>
      <c r="CO28" s="230">
        <v>25625600</v>
      </c>
      <c r="CP28" s="230">
        <v>4378400</v>
      </c>
      <c r="CQ28" s="229">
        <v>0.1709</v>
      </c>
      <c r="CR28" s="230">
        <v>22609600</v>
      </c>
      <c r="CS28" s="230">
        <v>22391200</v>
      </c>
      <c r="CT28" s="230">
        <v>218400</v>
      </c>
      <c r="CU28" s="229">
        <v>9.7999999999999997E-3</v>
      </c>
      <c r="CV28" s="230">
        <v>109818800</v>
      </c>
      <c r="CW28" s="230">
        <v>104499200</v>
      </c>
      <c r="CX28" s="230">
        <v>5319600</v>
      </c>
      <c r="CY28" s="229">
        <v>5.0900000000000001E-2</v>
      </c>
      <c r="CZ28" s="228">
        <v>45.59</v>
      </c>
      <c r="DA28" s="228">
        <v>40.79</v>
      </c>
      <c r="DB28" s="228">
        <v>4.8</v>
      </c>
      <c r="DC28" s="228">
        <v>4.8</v>
      </c>
      <c r="DD28" s="228">
        <v>42.95</v>
      </c>
      <c r="DE28" s="228">
        <v>43.06</v>
      </c>
      <c r="DF28" s="228">
        <v>2.64</v>
      </c>
      <c r="DG28" s="228">
        <v>-0.11</v>
      </c>
      <c r="DH28" s="228">
        <v>45.39</v>
      </c>
      <c r="DI28" s="228">
        <v>40.35</v>
      </c>
      <c r="DJ28" s="228">
        <v>5.04</v>
      </c>
      <c r="DK28" s="228">
        <v>5.04</v>
      </c>
      <c r="DL28" s="228">
        <v>46.4</v>
      </c>
      <c r="DM28" s="228">
        <v>41.69</v>
      </c>
      <c r="DN28" s="228">
        <v>4.71</v>
      </c>
      <c r="DO28" s="228">
        <v>4.71</v>
      </c>
      <c r="DP28" s="228">
        <v>0.75</v>
      </c>
      <c r="DQ28" s="228">
        <v>0.87</v>
      </c>
      <c r="DR28" s="228">
        <v>-0.12</v>
      </c>
      <c r="DS28" s="229">
        <v>-0.13789999999999999</v>
      </c>
      <c r="DT28" s="228">
        <v>152</v>
      </c>
      <c r="DU28" s="228">
        <v>140</v>
      </c>
      <c r="DV28" s="228">
        <v>0.26</v>
      </c>
      <c r="DW28" s="228">
        <v>0.48</v>
      </c>
      <c r="DX28" s="228">
        <v>-0.22</v>
      </c>
      <c r="DY28" s="229">
        <v>-0.45829999999999999</v>
      </c>
      <c r="DZ28" s="229">
        <v>0.1024</v>
      </c>
      <c r="EA28" s="230">
        <v>4456400</v>
      </c>
      <c r="EB28" s="229">
        <v>5.3E-3</v>
      </c>
      <c r="EC28" s="229">
        <v>0.1024</v>
      </c>
      <c r="ED28" s="228">
        <v>0.86</v>
      </c>
      <c r="EE28" s="229">
        <v>5.7999999999999996E-3</v>
      </c>
      <c r="EF28" s="230">
        <v>3234896</v>
      </c>
      <c r="EG28" s="230">
        <v>3541384</v>
      </c>
      <c r="EH28" s="229">
        <v>-8.6499999999999994E-2</v>
      </c>
      <c r="EI28" s="229">
        <v>0.3276</v>
      </c>
      <c r="EJ28" s="231">
        <v>68269.91</v>
      </c>
      <c r="EK28" s="231">
        <v>16500.02</v>
      </c>
      <c r="EL28" s="231">
        <v>24820.03</v>
      </c>
      <c r="EM28" s="231">
        <v>2810</v>
      </c>
      <c r="EN28" s="231">
        <v>109589.96</v>
      </c>
      <c r="EO28" s="231">
        <v>74463.11</v>
      </c>
      <c r="EP28" s="231">
        <v>35126.85</v>
      </c>
      <c r="EQ28" s="229">
        <v>0.47170000000000001</v>
      </c>
      <c r="ER28" s="231">
        <v>45863</v>
      </c>
      <c r="ES28" s="231">
        <v>32322</v>
      </c>
      <c r="ET28" s="231">
        <v>85030</v>
      </c>
      <c r="EU28" s="231">
        <v>181770921</v>
      </c>
      <c r="EV28" s="231">
        <v>163216</v>
      </c>
      <c r="EW28" s="231">
        <v>154751</v>
      </c>
      <c r="EX28" s="231">
        <v>8465</v>
      </c>
      <c r="EY28" s="229">
        <v>5.4699999999999999E-2</v>
      </c>
      <c r="EZ28" s="229">
        <v>0.60419999999999996</v>
      </c>
      <c r="FA28" s="227" t="s">
        <v>555</v>
      </c>
      <c r="FB28" s="161">
        <f t="shared" si="0"/>
        <v>5855200</v>
      </c>
    </row>
    <row r="29" spans="1:158" ht="17.25" thickBot="1" x14ac:dyDescent="0.3">
      <c r="A29" s="226">
        <v>46132</v>
      </c>
      <c r="B29" s="227" t="s">
        <v>181</v>
      </c>
      <c r="C29" s="227" t="s">
        <v>182</v>
      </c>
      <c r="D29" s="228">
        <v>30</v>
      </c>
      <c r="E29" s="231">
        <v>56568.800000000003</v>
      </c>
      <c r="F29" s="231">
        <v>56666.8</v>
      </c>
      <c r="G29" s="228">
        <v>-98</v>
      </c>
      <c r="H29" s="229">
        <v>-1.6999999999999999E-3</v>
      </c>
      <c r="I29" s="231">
        <v>56582.35</v>
      </c>
      <c r="J29" s="231">
        <v>56565.7</v>
      </c>
      <c r="K29" s="228">
        <v>16.649999999999999</v>
      </c>
      <c r="L29" s="229">
        <v>2.9999999999999997E-4</v>
      </c>
      <c r="M29" s="231">
        <v>56568.800000000003</v>
      </c>
      <c r="N29" s="231">
        <v>56666.8</v>
      </c>
      <c r="O29" s="228">
        <v>-98</v>
      </c>
      <c r="P29" s="229">
        <v>-1.6999999999999999E-3</v>
      </c>
      <c r="Q29" s="231">
        <v>56887.199999999997</v>
      </c>
      <c r="R29" s="231">
        <v>56928.800000000003</v>
      </c>
      <c r="S29" s="228">
        <v>-41.6</v>
      </c>
      <c r="T29" s="229">
        <v>-6.9999999999999999E-4</v>
      </c>
      <c r="U29" s="231">
        <v>57144.2</v>
      </c>
      <c r="V29" s="231">
        <v>57250</v>
      </c>
      <c r="W29" s="228">
        <v>-105.8</v>
      </c>
      <c r="X29" s="229">
        <v>-1.8E-3</v>
      </c>
      <c r="Y29" s="228">
        <v>-13.55</v>
      </c>
      <c r="Z29" s="228">
        <v>101.1</v>
      </c>
      <c r="AA29" s="228">
        <v>-114.65</v>
      </c>
      <c r="AB29" s="229">
        <v>-2.0000000000000001E-4</v>
      </c>
      <c r="AC29" s="228">
        <v>-13.55</v>
      </c>
      <c r="AD29" s="228">
        <v>101.1</v>
      </c>
      <c r="AE29" s="228">
        <v>-114.65</v>
      </c>
      <c r="AF29" s="229">
        <v>-2.0000000000000001E-4</v>
      </c>
      <c r="AG29" s="228">
        <v>304.85000000000002</v>
      </c>
      <c r="AH29" s="228">
        <v>363.1</v>
      </c>
      <c r="AI29" s="228">
        <v>-58.25</v>
      </c>
      <c r="AJ29" s="229">
        <v>5.4000000000000003E-3</v>
      </c>
      <c r="AK29" s="228">
        <v>561.85</v>
      </c>
      <c r="AL29" s="228">
        <v>684.3</v>
      </c>
      <c r="AM29" s="228">
        <v>-122.45</v>
      </c>
      <c r="AN29" s="229">
        <v>9.9000000000000008E-3</v>
      </c>
      <c r="AO29" s="231">
        <v>56797.1</v>
      </c>
      <c r="AP29" s="231">
        <v>57092.38</v>
      </c>
      <c r="AQ29" s="228">
        <v>0</v>
      </c>
      <c r="AR29" s="230">
        <v>1183080</v>
      </c>
      <c r="AS29" s="230">
        <v>763170</v>
      </c>
      <c r="AT29" s="230">
        <v>419910</v>
      </c>
      <c r="AU29" s="229">
        <v>0.55020000000000002</v>
      </c>
      <c r="AV29" s="230">
        <v>962400</v>
      </c>
      <c r="AW29" s="230">
        <v>603690</v>
      </c>
      <c r="AX29" s="230">
        <v>358710</v>
      </c>
      <c r="AY29" s="229">
        <v>0.59419999999999995</v>
      </c>
      <c r="AZ29" s="230">
        <v>176610</v>
      </c>
      <c r="BA29" s="230">
        <v>133560</v>
      </c>
      <c r="BB29" s="230">
        <v>43050</v>
      </c>
      <c r="BC29" s="229">
        <v>0.32229999999999998</v>
      </c>
      <c r="BD29" s="230">
        <v>44070</v>
      </c>
      <c r="BE29" s="230">
        <v>25920</v>
      </c>
      <c r="BF29" s="230">
        <v>18150</v>
      </c>
      <c r="BG29" s="229">
        <v>0.70020000000000004</v>
      </c>
      <c r="BH29" s="230">
        <v>55709760</v>
      </c>
      <c r="BI29" s="230">
        <v>40643610</v>
      </c>
      <c r="BJ29" s="230">
        <v>15066150</v>
      </c>
      <c r="BK29" s="229">
        <v>0.37069999999999997</v>
      </c>
      <c r="BL29" s="230">
        <v>52550670</v>
      </c>
      <c r="BM29" s="230">
        <v>35739930</v>
      </c>
      <c r="BN29" s="230">
        <v>16810740</v>
      </c>
      <c r="BO29" s="229">
        <v>0.47039999999999998</v>
      </c>
      <c r="BP29" s="230">
        <v>109443510</v>
      </c>
      <c r="BQ29" s="230">
        <v>77146710</v>
      </c>
      <c r="BR29" s="230">
        <v>32296800</v>
      </c>
      <c r="BS29" s="229">
        <v>0.41860000000000003</v>
      </c>
      <c r="BT29" s="228">
        <v>0</v>
      </c>
      <c r="BU29" s="228">
        <v>0</v>
      </c>
      <c r="BV29" s="228">
        <v>0</v>
      </c>
      <c r="BW29" s="229">
        <v>0</v>
      </c>
      <c r="BX29" s="230">
        <v>2434770</v>
      </c>
      <c r="BY29" s="230">
        <v>2602470</v>
      </c>
      <c r="BZ29" s="230">
        <v>-167700</v>
      </c>
      <c r="CA29" s="229">
        <v>-6.4399999999999999E-2</v>
      </c>
      <c r="CB29" s="230">
        <v>1798770</v>
      </c>
      <c r="CC29" s="230">
        <v>1980030</v>
      </c>
      <c r="CD29" s="230">
        <v>-181260</v>
      </c>
      <c r="CE29" s="229">
        <v>-9.1499999999999998E-2</v>
      </c>
      <c r="CF29" s="230">
        <v>543720</v>
      </c>
      <c r="CG29" s="230">
        <v>528360</v>
      </c>
      <c r="CH29" s="230">
        <v>15360</v>
      </c>
      <c r="CI29" s="229">
        <v>2.9100000000000001E-2</v>
      </c>
      <c r="CJ29" s="230">
        <v>92280</v>
      </c>
      <c r="CK29" s="230">
        <v>94080</v>
      </c>
      <c r="CL29" s="230">
        <v>-1800</v>
      </c>
      <c r="CM29" s="229">
        <v>-1.9099999999999999E-2</v>
      </c>
      <c r="CN29" s="230">
        <v>19775550</v>
      </c>
      <c r="CO29" s="230">
        <v>19926240</v>
      </c>
      <c r="CP29" s="230">
        <v>-150690</v>
      </c>
      <c r="CQ29" s="229">
        <v>-7.6E-3</v>
      </c>
      <c r="CR29" s="230">
        <v>19667880</v>
      </c>
      <c r="CS29" s="230">
        <v>18585390</v>
      </c>
      <c r="CT29" s="230">
        <v>1082490</v>
      </c>
      <c r="CU29" s="229">
        <v>5.8200000000000002E-2</v>
      </c>
      <c r="CV29" s="230">
        <v>41878200</v>
      </c>
      <c r="CW29" s="230">
        <v>41114100</v>
      </c>
      <c r="CX29" s="230">
        <v>764100</v>
      </c>
      <c r="CY29" s="229">
        <v>1.8599999999999998E-2</v>
      </c>
      <c r="CZ29" s="228">
        <v>24.88</v>
      </c>
      <c r="DA29" s="228">
        <v>21.74</v>
      </c>
      <c r="DB29" s="228">
        <v>3.14</v>
      </c>
      <c r="DC29" s="228">
        <v>3.14</v>
      </c>
      <c r="DD29" s="228">
        <v>21.32</v>
      </c>
      <c r="DE29" s="228">
        <v>21.37</v>
      </c>
      <c r="DF29" s="228">
        <v>3.56</v>
      </c>
      <c r="DG29" s="228">
        <v>-0.05</v>
      </c>
      <c r="DH29" s="228">
        <v>23.21</v>
      </c>
      <c r="DI29" s="228">
        <v>19.78</v>
      </c>
      <c r="DJ29" s="228">
        <v>3.43</v>
      </c>
      <c r="DK29" s="228">
        <v>3.43</v>
      </c>
      <c r="DL29" s="228">
        <v>26.65</v>
      </c>
      <c r="DM29" s="228">
        <v>23.97</v>
      </c>
      <c r="DN29" s="228">
        <v>2.68</v>
      </c>
      <c r="DO29" s="228">
        <v>2.68</v>
      </c>
      <c r="DP29" s="228">
        <v>0.99</v>
      </c>
      <c r="DQ29" s="228">
        <v>0.93</v>
      </c>
      <c r="DR29" s="228">
        <v>0.06</v>
      </c>
      <c r="DS29" s="229">
        <v>6.4500000000000002E-2</v>
      </c>
      <c r="DT29" s="231">
        <v>60000</v>
      </c>
      <c r="DU29" s="231">
        <v>60000</v>
      </c>
      <c r="DV29" s="228">
        <v>0.94</v>
      </c>
      <c r="DW29" s="228">
        <v>0.88</v>
      </c>
      <c r="DX29" s="228">
        <v>0.06</v>
      </c>
      <c r="DY29" s="229">
        <v>6.8199999999999997E-2</v>
      </c>
      <c r="DZ29" s="229">
        <v>0.26119999999999999</v>
      </c>
      <c r="EA29" s="230">
        <v>622440</v>
      </c>
      <c r="EB29" s="229">
        <v>5.5999999999999999E-3</v>
      </c>
      <c r="EC29" s="229">
        <v>0.26119999999999999</v>
      </c>
      <c r="ED29" s="228">
        <v>295.27999999999997</v>
      </c>
      <c r="EE29" s="229">
        <v>5.1999999999999998E-3</v>
      </c>
      <c r="EF29" s="228">
        <v>0</v>
      </c>
      <c r="EG29" s="228">
        <v>0</v>
      </c>
      <c r="EH29" s="229">
        <v>0</v>
      </c>
      <c r="EI29" s="229">
        <v>0</v>
      </c>
      <c r="EJ29" s="231">
        <v>32782247.559999999</v>
      </c>
      <c r="EK29" s="231">
        <v>28687827.789999999</v>
      </c>
      <c r="EL29" s="231">
        <v>672734.95</v>
      </c>
      <c r="EM29" s="228">
        <v>0</v>
      </c>
      <c r="EN29" s="231">
        <v>62142810.299999997</v>
      </c>
      <c r="EO29" s="231">
        <v>43584619.329999998</v>
      </c>
      <c r="EP29" s="231">
        <v>18558190.969999999</v>
      </c>
      <c r="EQ29" s="229">
        <v>0.42580000000000001</v>
      </c>
      <c r="ER29" s="231">
        <v>11500278</v>
      </c>
      <c r="ES29" s="231">
        <v>10579204</v>
      </c>
      <c r="ET29" s="231">
        <v>1379582</v>
      </c>
      <c r="EU29" s="228">
        <v>0</v>
      </c>
      <c r="EV29" s="231">
        <v>23459065</v>
      </c>
      <c r="EW29" s="231">
        <v>23038939</v>
      </c>
      <c r="EX29" s="231">
        <v>420126</v>
      </c>
      <c r="EY29" s="229">
        <v>1.8200000000000001E-2</v>
      </c>
      <c r="EZ29" s="229">
        <v>0</v>
      </c>
      <c r="FA29" s="227" t="s">
        <v>567</v>
      </c>
      <c r="FB29" s="161">
        <f t="shared" si="0"/>
        <v>636000</v>
      </c>
    </row>
    <row r="30" spans="1:158" ht="17.25" thickBot="1" x14ac:dyDescent="0.3">
      <c r="A30" s="226">
        <v>46132</v>
      </c>
      <c r="B30" s="227" t="s">
        <v>184</v>
      </c>
      <c r="C30" s="227" t="s">
        <v>669</v>
      </c>
      <c r="D30" s="228">
        <v>350</v>
      </c>
      <c r="E30" s="231">
        <v>1370.2</v>
      </c>
      <c r="F30" s="231">
        <v>1380.8</v>
      </c>
      <c r="G30" s="228">
        <v>-10.6</v>
      </c>
      <c r="H30" s="229">
        <v>-7.7000000000000002E-3</v>
      </c>
      <c r="I30" s="231">
        <v>1369.8</v>
      </c>
      <c r="J30" s="231">
        <v>1380.7</v>
      </c>
      <c r="K30" s="228">
        <v>-10.9</v>
      </c>
      <c r="L30" s="229">
        <v>-7.9000000000000008E-3</v>
      </c>
      <c r="M30" s="231">
        <v>1370.2</v>
      </c>
      <c r="N30" s="231">
        <v>1380.8</v>
      </c>
      <c r="O30" s="228">
        <v>-10.6</v>
      </c>
      <c r="P30" s="229">
        <v>-7.7000000000000002E-3</v>
      </c>
      <c r="Q30" s="231">
        <v>1357</v>
      </c>
      <c r="R30" s="231">
        <v>1367.8</v>
      </c>
      <c r="S30" s="228">
        <v>-10.8</v>
      </c>
      <c r="T30" s="229">
        <v>-7.9000000000000008E-3</v>
      </c>
      <c r="U30" s="231">
        <v>1350.8</v>
      </c>
      <c r="V30" s="231">
        <v>1359.9</v>
      </c>
      <c r="W30" s="228">
        <v>-9.1</v>
      </c>
      <c r="X30" s="229">
        <v>-6.7000000000000002E-3</v>
      </c>
      <c r="Y30" s="228">
        <v>0.4</v>
      </c>
      <c r="Z30" s="228">
        <v>0.1</v>
      </c>
      <c r="AA30" s="228">
        <v>0.3</v>
      </c>
      <c r="AB30" s="229">
        <v>2.9999999999999997E-4</v>
      </c>
      <c r="AC30" s="228">
        <v>0.4</v>
      </c>
      <c r="AD30" s="228">
        <v>0.1</v>
      </c>
      <c r="AE30" s="228">
        <v>0.3</v>
      </c>
      <c r="AF30" s="229">
        <v>2.9999999999999997E-4</v>
      </c>
      <c r="AG30" s="228">
        <v>-12.8</v>
      </c>
      <c r="AH30" s="228">
        <v>-12.9</v>
      </c>
      <c r="AI30" s="228">
        <v>0.1</v>
      </c>
      <c r="AJ30" s="229">
        <v>-9.2999999999999992E-3</v>
      </c>
      <c r="AK30" s="228">
        <v>-19</v>
      </c>
      <c r="AL30" s="228">
        <v>-20.8</v>
      </c>
      <c r="AM30" s="228">
        <v>1.8</v>
      </c>
      <c r="AN30" s="229">
        <v>-1.3899999999999999E-2</v>
      </c>
      <c r="AO30" s="231">
        <v>1373.69</v>
      </c>
      <c r="AP30" s="231">
        <v>1362.24</v>
      </c>
      <c r="AQ30" s="228">
        <v>0</v>
      </c>
      <c r="AR30" s="230">
        <v>1037750</v>
      </c>
      <c r="AS30" s="230">
        <v>1185800</v>
      </c>
      <c r="AT30" s="230">
        <v>-148050</v>
      </c>
      <c r="AU30" s="229">
        <v>-0.1249</v>
      </c>
      <c r="AV30" s="230">
        <v>720300</v>
      </c>
      <c r="AW30" s="230">
        <v>940800</v>
      </c>
      <c r="AX30" s="230">
        <v>-220500</v>
      </c>
      <c r="AY30" s="229">
        <v>-0.2344</v>
      </c>
      <c r="AZ30" s="230">
        <v>301000</v>
      </c>
      <c r="BA30" s="230">
        <v>222950</v>
      </c>
      <c r="BB30" s="230">
        <v>78050</v>
      </c>
      <c r="BC30" s="229">
        <v>0.35010000000000002</v>
      </c>
      <c r="BD30" s="230">
        <v>16450</v>
      </c>
      <c r="BE30" s="230">
        <v>22050</v>
      </c>
      <c r="BF30" s="230">
        <v>-5600</v>
      </c>
      <c r="BG30" s="229">
        <v>-0.254</v>
      </c>
      <c r="BH30" s="230">
        <v>2170350</v>
      </c>
      <c r="BI30" s="230">
        <v>6002500</v>
      </c>
      <c r="BJ30" s="230">
        <v>-3832150</v>
      </c>
      <c r="BK30" s="229">
        <v>-0.63839999999999997</v>
      </c>
      <c r="BL30" s="230">
        <v>1578500</v>
      </c>
      <c r="BM30" s="230">
        <v>3139850</v>
      </c>
      <c r="BN30" s="230">
        <v>-1561350</v>
      </c>
      <c r="BO30" s="229">
        <v>-0.49730000000000002</v>
      </c>
      <c r="BP30" s="230">
        <v>4786600</v>
      </c>
      <c r="BQ30" s="230">
        <v>10328150</v>
      </c>
      <c r="BR30" s="230">
        <v>-5541550</v>
      </c>
      <c r="BS30" s="229">
        <v>-0.53649999999999998</v>
      </c>
      <c r="BT30" s="230">
        <v>1022738</v>
      </c>
      <c r="BU30" s="230">
        <v>1273066</v>
      </c>
      <c r="BV30" s="230">
        <v>-250328</v>
      </c>
      <c r="BW30" s="229">
        <v>-0.1966</v>
      </c>
      <c r="BX30" s="230">
        <v>3959200</v>
      </c>
      <c r="BY30" s="230">
        <v>3944850</v>
      </c>
      <c r="BZ30" s="230">
        <v>14350</v>
      </c>
      <c r="CA30" s="229">
        <v>3.5999999999999999E-3</v>
      </c>
      <c r="CB30" s="230">
        <v>3057600</v>
      </c>
      <c r="CC30" s="230">
        <v>3113600</v>
      </c>
      <c r="CD30" s="230">
        <v>-56000</v>
      </c>
      <c r="CE30" s="229">
        <v>-1.7999999999999999E-2</v>
      </c>
      <c r="CF30" s="230">
        <v>831950</v>
      </c>
      <c r="CG30" s="230">
        <v>766850</v>
      </c>
      <c r="CH30" s="230">
        <v>65100</v>
      </c>
      <c r="CI30" s="229">
        <v>8.4900000000000003E-2</v>
      </c>
      <c r="CJ30" s="230">
        <v>69650</v>
      </c>
      <c r="CK30" s="230">
        <v>64400</v>
      </c>
      <c r="CL30" s="230">
        <v>5250</v>
      </c>
      <c r="CM30" s="229">
        <v>8.1500000000000003E-2</v>
      </c>
      <c r="CN30" s="230">
        <v>3253600</v>
      </c>
      <c r="CO30" s="230">
        <v>3315550</v>
      </c>
      <c r="CP30" s="230">
        <v>-61950</v>
      </c>
      <c r="CQ30" s="229">
        <v>-1.8700000000000001E-2</v>
      </c>
      <c r="CR30" s="230">
        <v>2738750</v>
      </c>
      <c r="CS30" s="230">
        <v>2664200</v>
      </c>
      <c r="CT30" s="230">
        <v>74550</v>
      </c>
      <c r="CU30" s="229">
        <v>2.8000000000000001E-2</v>
      </c>
      <c r="CV30" s="230">
        <v>9951550</v>
      </c>
      <c r="CW30" s="230">
        <v>9924600</v>
      </c>
      <c r="CX30" s="230">
        <v>26950</v>
      </c>
      <c r="CY30" s="229">
        <v>2.7000000000000001E-3</v>
      </c>
      <c r="CZ30" s="228">
        <v>42.99</v>
      </c>
      <c r="DA30" s="228">
        <v>39.479999999999997</v>
      </c>
      <c r="DB30" s="228">
        <v>3.51</v>
      </c>
      <c r="DC30" s="228">
        <v>3.51</v>
      </c>
      <c r="DD30" s="228">
        <v>53.4</v>
      </c>
      <c r="DE30" s="228">
        <v>53.52</v>
      </c>
      <c r="DF30" s="228">
        <v>-10.41</v>
      </c>
      <c r="DG30" s="228">
        <v>-0.12</v>
      </c>
      <c r="DH30" s="228">
        <v>39.57</v>
      </c>
      <c r="DI30" s="228">
        <v>37.53</v>
      </c>
      <c r="DJ30" s="228">
        <v>2.04</v>
      </c>
      <c r="DK30" s="228">
        <v>2.04</v>
      </c>
      <c r="DL30" s="228">
        <v>47.71</v>
      </c>
      <c r="DM30" s="228">
        <v>43.21</v>
      </c>
      <c r="DN30" s="228">
        <v>4.5</v>
      </c>
      <c r="DO30" s="228">
        <v>4.5</v>
      </c>
      <c r="DP30" s="228">
        <v>0.84</v>
      </c>
      <c r="DQ30" s="228">
        <v>0.8</v>
      </c>
      <c r="DR30" s="228">
        <v>0.04</v>
      </c>
      <c r="DS30" s="229">
        <v>0.05</v>
      </c>
      <c r="DT30" s="231">
        <v>1400</v>
      </c>
      <c r="DU30" s="231">
        <v>1360</v>
      </c>
      <c r="DV30" s="228">
        <v>0.73</v>
      </c>
      <c r="DW30" s="228">
        <v>0.52</v>
      </c>
      <c r="DX30" s="228">
        <v>0.21</v>
      </c>
      <c r="DY30" s="229">
        <v>0.40379999999999999</v>
      </c>
      <c r="DZ30" s="229">
        <v>0.22770000000000001</v>
      </c>
      <c r="EA30" s="230">
        <v>831250</v>
      </c>
      <c r="EB30" s="229">
        <v>-9.5999999999999992E-3</v>
      </c>
      <c r="EC30" s="229">
        <v>0.22770000000000001</v>
      </c>
      <c r="ED30" s="228">
        <v>-11.45</v>
      </c>
      <c r="EE30" s="229">
        <v>-8.3000000000000001E-3</v>
      </c>
      <c r="EF30" s="230">
        <v>326547</v>
      </c>
      <c r="EG30" s="230">
        <v>403858</v>
      </c>
      <c r="EH30" s="229">
        <v>-0.19139999999999999</v>
      </c>
      <c r="EI30" s="229">
        <v>0.31929999999999997</v>
      </c>
      <c r="EJ30" s="231">
        <v>31343.759999999998</v>
      </c>
      <c r="EK30" s="231">
        <v>20229.63</v>
      </c>
      <c r="EL30" s="231">
        <v>14217.95</v>
      </c>
      <c r="EM30" s="231">
        <v>3535</v>
      </c>
      <c r="EN30" s="231">
        <v>65791.34</v>
      </c>
      <c r="EO30" s="231">
        <v>144569.95000000001</v>
      </c>
      <c r="EP30" s="231">
        <v>-78778.61</v>
      </c>
      <c r="EQ30" s="229">
        <v>-0.54490000000000005</v>
      </c>
      <c r="ER30" s="231">
        <v>44320</v>
      </c>
      <c r="ES30" s="231">
        <v>33935</v>
      </c>
      <c r="ET30" s="231">
        <v>54126</v>
      </c>
      <c r="EU30" s="231">
        <v>13786716</v>
      </c>
      <c r="EV30" s="231">
        <v>132382</v>
      </c>
      <c r="EW30" s="231">
        <v>132434</v>
      </c>
      <c r="EX30" s="228">
        <v>-52</v>
      </c>
      <c r="EY30" s="229">
        <v>-4.0000000000000002E-4</v>
      </c>
      <c r="EZ30" s="229">
        <v>0.7218</v>
      </c>
      <c r="FA30" s="227" t="s">
        <v>566</v>
      </c>
      <c r="FB30" s="161">
        <f t="shared" si="0"/>
        <v>901600</v>
      </c>
    </row>
    <row r="31" spans="1:158" ht="17.25" thickBot="1" x14ac:dyDescent="0.3">
      <c r="A31" s="226">
        <v>46132</v>
      </c>
      <c r="B31" s="227" t="s">
        <v>184</v>
      </c>
      <c r="C31" s="227" t="s">
        <v>185</v>
      </c>
      <c r="D31" s="228">
        <v>1425</v>
      </c>
      <c r="E31" s="228">
        <v>457.8</v>
      </c>
      <c r="F31" s="228">
        <v>462.9</v>
      </c>
      <c r="G31" s="228">
        <v>-5.0999999999999996</v>
      </c>
      <c r="H31" s="229">
        <v>-1.0999999999999999E-2</v>
      </c>
      <c r="I31" s="228">
        <v>457.55</v>
      </c>
      <c r="J31" s="228">
        <v>462.75</v>
      </c>
      <c r="K31" s="228">
        <v>-5.2</v>
      </c>
      <c r="L31" s="229">
        <v>-1.12E-2</v>
      </c>
      <c r="M31" s="228">
        <v>457.8</v>
      </c>
      <c r="N31" s="228">
        <v>462.9</v>
      </c>
      <c r="O31" s="228">
        <v>-5.0999999999999996</v>
      </c>
      <c r="P31" s="229">
        <v>-1.0999999999999999E-2</v>
      </c>
      <c r="Q31" s="228">
        <v>460.45</v>
      </c>
      <c r="R31" s="228">
        <v>465.55</v>
      </c>
      <c r="S31" s="228">
        <v>-5.0999999999999996</v>
      </c>
      <c r="T31" s="229">
        <v>-1.0999999999999999E-2</v>
      </c>
      <c r="U31" s="228">
        <v>463.6</v>
      </c>
      <c r="V31" s="228">
        <v>468.4</v>
      </c>
      <c r="W31" s="228">
        <v>-4.8</v>
      </c>
      <c r="X31" s="229">
        <v>-1.0200000000000001E-2</v>
      </c>
      <c r="Y31" s="228">
        <v>0.25</v>
      </c>
      <c r="Z31" s="228">
        <v>0.15</v>
      </c>
      <c r="AA31" s="228">
        <v>0.1</v>
      </c>
      <c r="AB31" s="229">
        <v>5.0000000000000001E-4</v>
      </c>
      <c r="AC31" s="228">
        <v>0.25</v>
      </c>
      <c r="AD31" s="228">
        <v>0.15</v>
      </c>
      <c r="AE31" s="228">
        <v>0.1</v>
      </c>
      <c r="AF31" s="229">
        <v>5.0000000000000001E-4</v>
      </c>
      <c r="AG31" s="228">
        <v>2.9</v>
      </c>
      <c r="AH31" s="228">
        <v>2.8</v>
      </c>
      <c r="AI31" s="228">
        <v>0.1</v>
      </c>
      <c r="AJ31" s="229">
        <v>6.3E-3</v>
      </c>
      <c r="AK31" s="228">
        <v>6.05</v>
      </c>
      <c r="AL31" s="228">
        <v>5.65</v>
      </c>
      <c r="AM31" s="228">
        <v>0.4</v>
      </c>
      <c r="AN31" s="229">
        <v>1.32E-2</v>
      </c>
      <c r="AO31" s="228">
        <v>460.97</v>
      </c>
      <c r="AP31" s="228">
        <v>463.66</v>
      </c>
      <c r="AQ31" s="228">
        <v>0</v>
      </c>
      <c r="AR31" s="230">
        <v>12974625</v>
      </c>
      <c r="AS31" s="230">
        <v>12468750</v>
      </c>
      <c r="AT31" s="230">
        <v>505875</v>
      </c>
      <c r="AU31" s="229">
        <v>4.0599999999999997E-2</v>
      </c>
      <c r="AV31" s="230">
        <v>8226525</v>
      </c>
      <c r="AW31" s="230">
        <v>10106100</v>
      </c>
      <c r="AX31" s="230">
        <v>-1879575</v>
      </c>
      <c r="AY31" s="229">
        <v>-0.186</v>
      </c>
      <c r="AZ31" s="230">
        <v>2915550</v>
      </c>
      <c r="BA31" s="230">
        <v>2013525</v>
      </c>
      <c r="BB31" s="230">
        <v>902025</v>
      </c>
      <c r="BC31" s="229">
        <v>0.44800000000000001</v>
      </c>
      <c r="BD31" s="230">
        <v>1832550</v>
      </c>
      <c r="BE31" s="230">
        <v>349125</v>
      </c>
      <c r="BF31" s="230">
        <v>1483425</v>
      </c>
      <c r="BG31" s="229">
        <v>4.2489999999999997</v>
      </c>
      <c r="BH31" s="230">
        <v>46160025</v>
      </c>
      <c r="BI31" s="230">
        <v>77725200</v>
      </c>
      <c r="BJ31" s="230">
        <v>-31565175</v>
      </c>
      <c r="BK31" s="229">
        <v>-0.40610000000000002</v>
      </c>
      <c r="BL31" s="230">
        <v>27073575</v>
      </c>
      <c r="BM31" s="230">
        <v>38618925</v>
      </c>
      <c r="BN31" s="230">
        <v>-11545350</v>
      </c>
      <c r="BO31" s="229">
        <v>-0.29899999999999999</v>
      </c>
      <c r="BP31" s="230">
        <v>86208225</v>
      </c>
      <c r="BQ31" s="230">
        <v>128812875</v>
      </c>
      <c r="BR31" s="230">
        <v>-42604650</v>
      </c>
      <c r="BS31" s="229">
        <v>-0.33069999999999999</v>
      </c>
      <c r="BT31" s="230">
        <v>10341964</v>
      </c>
      <c r="BU31" s="230">
        <v>14792143</v>
      </c>
      <c r="BV31" s="230">
        <v>-4450179</v>
      </c>
      <c r="BW31" s="229">
        <v>-0.30080000000000001</v>
      </c>
      <c r="BX31" s="230">
        <v>105950175</v>
      </c>
      <c r="BY31" s="230">
        <v>105736425</v>
      </c>
      <c r="BZ31" s="230">
        <v>213750</v>
      </c>
      <c r="CA31" s="229">
        <v>2E-3</v>
      </c>
      <c r="CB31" s="230">
        <v>88030800</v>
      </c>
      <c r="CC31" s="230">
        <v>90809550</v>
      </c>
      <c r="CD31" s="230">
        <v>-2778750</v>
      </c>
      <c r="CE31" s="229">
        <v>-3.0599999999999999E-2</v>
      </c>
      <c r="CF31" s="230">
        <v>12300600</v>
      </c>
      <c r="CG31" s="230">
        <v>10854225</v>
      </c>
      <c r="CH31" s="230">
        <v>1446375</v>
      </c>
      <c r="CI31" s="229">
        <v>0.1333</v>
      </c>
      <c r="CJ31" s="230">
        <v>5618775</v>
      </c>
      <c r="CK31" s="230">
        <v>4072650</v>
      </c>
      <c r="CL31" s="230">
        <v>1546125</v>
      </c>
      <c r="CM31" s="229">
        <v>0.37959999999999999</v>
      </c>
      <c r="CN31" s="230">
        <v>42465000</v>
      </c>
      <c r="CO31" s="230">
        <v>41927775</v>
      </c>
      <c r="CP31" s="230">
        <v>537225</v>
      </c>
      <c r="CQ31" s="229">
        <v>1.2800000000000001E-2</v>
      </c>
      <c r="CR31" s="230">
        <v>31206075</v>
      </c>
      <c r="CS31" s="230">
        <v>31526700</v>
      </c>
      <c r="CT31" s="230">
        <v>-320625</v>
      </c>
      <c r="CU31" s="229">
        <v>-1.0200000000000001E-2</v>
      </c>
      <c r="CV31" s="230">
        <v>179621250</v>
      </c>
      <c r="CW31" s="230">
        <v>179190900</v>
      </c>
      <c r="CX31" s="230">
        <v>430350</v>
      </c>
      <c r="CY31" s="229">
        <v>2.3999999999999998E-3</v>
      </c>
      <c r="CZ31" s="228">
        <v>34.29</v>
      </c>
      <c r="DA31" s="228">
        <v>31.06</v>
      </c>
      <c r="DB31" s="228">
        <v>3.23</v>
      </c>
      <c r="DC31" s="228">
        <v>3.23</v>
      </c>
      <c r="DD31" s="228">
        <v>37.21</v>
      </c>
      <c r="DE31" s="228">
        <v>37.28</v>
      </c>
      <c r="DF31" s="228">
        <v>-2.92</v>
      </c>
      <c r="DG31" s="228">
        <v>-7.0000000000000007E-2</v>
      </c>
      <c r="DH31" s="228">
        <v>33.56</v>
      </c>
      <c r="DI31" s="228">
        <v>29.9</v>
      </c>
      <c r="DJ31" s="228">
        <v>3.66</v>
      </c>
      <c r="DK31" s="228">
        <v>3.66</v>
      </c>
      <c r="DL31" s="228">
        <v>35.53</v>
      </c>
      <c r="DM31" s="228">
        <v>33.409999999999997</v>
      </c>
      <c r="DN31" s="228">
        <v>2.12</v>
      </c>
      <c r="DO31" s="228">
        <v>2.12</v>
      </c>
      <c r="DP31" s="228">
        <v>0.73</v>
      </c>
      <c r="DQ31" s="228">
        <v>0.75</v>
      </c>
      <c r="DR31" s="228">
        <v>-0.02</v>
      </c>
      <c r="DS31" s="229">
        <v>-2.6700000000000002E-2</v>
      </c>
      <c r="DT31" s="228">
        <v>500</v>
      </c>
      <c r="DU31" s="228">
        <v>450</v>
      </c>
      <c r="DV31" s="228">
        <v>0.59</v>
      </c>
      <c r="DW31" s="228">
        <v>0.5</v>
      </c>
      <c r="DX31" s="228">
        <v>0.09</v>
      </c>
      <c r="DY31" s="229">
        <v>0.18</v>
      </c>
      <c r="DZ31" s="229">
        <v>0.1691</v>
      </c>
      <c r="EA31" s="230">
        <v>14926875</v>
      </c>
      <c r="EB31" s="229">
        <v>5.7999999999999996E-3</v>
      </c>
      <c r="EC31" s="229">
        <v>0.1691</v>
      </c>
      <c r="ED31" s="228">
        <v>2.69</v>
      </c>
      <c r="EE31" s="229">
        <v>5.7999999999999996E-3</v>
      </c>
      <c r="EF31" s="230">
        <v>5499195</v>
      </c>
      <c r="EG31" s="230">
        <v>6636162</v>
      </c>
      <c r="EH31" s="229">
        <v>-0.17130000000000001</v>
      </c>
      <c r="EI31" s="229">
        <v>0.53169999999999995</v>
      </c>
      <c r="EJ31" s="231">
        <v>222930.61</v>
      </c>
      <c r="EK31" s="231">
        <v>121011.72</v>
      </c>
      <c r="EL31" s="231">
        <v>59998.94</v>
      </c>
      <c r="EM31" s="231">
        <v>9822</v>
      </c>
      <c r="EN31" s="231">
        <v>403941.27</v>
      </c>
      <c r="EO31" s="231">
        <v>601979.49</v>
      </c>
      <c r="EP31" s="231">
        <v>-198038.22</v>
      </c>
      <c r="EQ31" s="229">
        <v>-0.32900000000000001</v>
      </c>
      <c r="ER31" s="231">
        <v>196564</v>
      </c>
      <c r="ES31" s="231">
        <v>132741</v>
      </c>
      <c r="ET31" s="231">
        <v>485692</v>
      </c>
      <c r="EU31" s="231">
        <v>535778534</v>
      </c>
      <c r="EV31" s="231">
        <v>814997</v>
      </c>
      <c r="EW31" s="231">
        <v>817340</v>
      </c>
      <c r="EX31" s="231">
        <v>-2343</v>
      </c>
      <c r="EY31" s="229">
        <v>-2.8999999999999998E-3</v>
      </c>
      <c r="EZ31" s="229">
        <v>0.33529999999999999</v>
      </c>
      <c r="FA31" s="227" t="s">
        <v>566</v>
      </c>
      <c r="FB31" s="161">
        <f t="shared" si="0"/>
        <v>17919375</v>
      </c>
    </row>
    <row r="32" spans="1:158" ht="17.25" thickBot="1" x14ac:dyDescent="0.3">
      <c r="A32" s="226">
        <v>46132</v>
      </c>
      <c r="B32" s="227" t="s">
        <v>162</v>
      </c>
      <c r="C32" s="227" t="s">
        <v>187</v>
      </c>
      <c r="D32" s="228">
        <v>500</v>
      </c>
      <c r="E32" s="231">
        <v>1869.6</v>
      </c>
      <c r="F32" s="231">
        <v>1858.1</v>
      </c>
      <c r="G32" s="228">
        <v>11.5</v>
      </c>
      <c r="H32" s="229">
        <v>6.1999999999999998E-3</v>
      </c>
      <c r="I32" s="231">
        <v>1866.2</v>
      </c>
      <c r="J32" s="231">
        <v>1860.5</v>
      </c>
      <c r="K32" s="228">
        <v>5.7</v>
      </c>
      <c r="L32" s="229">
        <v>3.0999999999999999E-3</v>
      </c>
      <c r="M32" s="231">
        <v>1869.6</v>
      </c>
      <c r="N32" s="231">
        <v>1858.1</v>
      </c>
      <c r="O32" s="228">
        <v>11.5</v>
      </c>
      <c r="P32" s="229">
        <v>6.1999999999999998E-3</v>
      </c>
      <c r="Q32" s="231">
        <v>1869.3</v>
      </c>
      <c r="R32" s="231">
        <v>1854.9</v>
      </c>
      <c r="S32" s="228">
        <v>14.4</v>
      </c>
      <c r="T32" s="229">
        <v>7.7999999999999996E-3</v>
      </c>
      <c r="U32" s="231">
        <v>1866.3</v>
      </c>
      <c r="V32" s="231">
        <v>1852.6</v>
      </c>
      <c r="W32" s="228">
        <v>13.7</v>
      </c>
      <c r="X32" s="229">
        <v>7.4000000000000003E-3</v>
      </c>
      <c r="Y32" s="228">
        <v>3.4</v>
      </c>
      <c r="Z32" s="228">
        <v>-2.4</v>
      </c>
      <c r="AA32" s="228">
        <v>5.8</v>
      </c>
      <c r="AB32" s="229">
        <v>1.8E-3</v>
      </c>
      <c r="AC32" s="228">
        <v>3.4</v>
      </c>
      <c r="AD32" s="228">
        <v>-2.4</v>
      </c>
      <c r="AE32" s="228">
        <v>5.8</v>
      </c>
      <c r="AF32" s="229">
        <v>1.8E-3</v>
      </c>
      <c r="AG32" s="228">
        <v>3.1</v>
      </c>
      <c r="AH32" s="228">
        <v>-5.6</v>
      </c>
      <c r="AI32" s="228">
        <v>8.6999999999999993</v>
      </c>
      <c r="AJ32" s="229">
        <v>1.6999999999999999E-3</v>
      </c>
      <c r="AK32" s="228">
        <v>0.1</v>
      </c>
      <c r="AL32" s="228">
        <v>-7.9</v>
      </c>
      <c r="AM32" s="228">
        <v>8</v>
      </c>
      <c r="AN32" s="229">
        <v>1E-4</v>
      </c>
      <c r="AO32" s="231">
        <v>1866.46</v>
      </c>
      <c r="AP32" s="231">
        <v>1865.63</v>
      </c>
      <c r="AQ32" s="228">
        <v>0</v>
      </c>
      <c r="AR32" s="230">
        <v>1482500</v>
      </c>
      <c r="AS32" s="230">
        <v>1484500</v>
      </c>
      <c r="AT32" s="230">
        <v>-2000</v>
      </c>
      <c r="AU32" s="229">
        <v>-1.2999999999999999E-3</v>
      </c>
      <c r="AV32" s="230">
        <v>1241000</v>
      </c>
      <c r="AW32" s="230">
        <v>1182500</v>
      </c>
      <c r="AX32" s="230">
        <v>58500</v>
      </c>
      <c r="AY32" s="229">
        <v>4.9500000000000002E-2</v>
      </c>
      <c r="AZ32" s="230">
        <v>226500</v>
      </c>
      <c r="BA32" s="230">
        <v>282000</v>
      </c>
      <c r="BB32" s="230">
        <v>-55500</v>
      </c>
      <c r="BC32" s="229">
        <v>-0.1968</v>
      </c>
      <c r="BD32" s="230">
        <v>15000</v>
      </c>
      <c r="BE32" s="230">
        <v>20000</v>
      </c>
      <c r="BF32" s="230">
        <v>-5000</v>
      </c>
      <c r="BG32" s="229">
        <v>-0.25</v>
      </c>
      <c r="BH32" s="230">
        <v>2941500</v>
      </c>
      <c r="BI32" s="230">
        <v>3798000</v>
      </c>
      <c r="BJ32" s="230">
        <v>-856500</v>
      </c>
      <c r="BK32" s="229">
        <v>-0.22550000000000001</v>
      </c>
      <c r="BL32" s="230">
        <v>1780000</v>
      </c>
      <c r="BM32" s="230">
        <v>2424500</v>
      </c>
      <c r="BN32" s="230">
        <v>-644500</v>
      </c>
      <c r="BO32" s="229">
        <v>-0.26579999999999998</v>
      </c>
      <c r="BP32" s="230">
        <v>6204000</v>
      </c>
      <c r="BQ32" s="230">
        <v>7707000</v>
      </c>
      <c r="BR32" s="230">
        <v>-1503000</v>
      </c>
      <c r="BS32" s="229">
        <v>-0.19500000000000001</v>
      </c>
      <c r="BT32" s="230">
        <v>762194</v>
      </c>
      <c r="BU32" s="230">
        <v>1059041</v>
      </c>
      <c r="BV32" s="230">
        <v>-296847</v>
      </c>
      <c r="BW32" s="229">
        <v>-0.28029999999999999</v>
      </c>
      <c r="BX32" s="230">
        <v>8113500</v>
      </c>
      <c r="BY32" s="230">
        <v>8086000</v>
      </c>
      <c r="BZ32" s="230">
        <v>27500</v>
      </c>
      <c r="CA32" s="229">
        <v>3.3999999999999998E-3</v>
      </c>
      <c r="CB32" s="230">
        <v>7659500</v>
      </c>
      <c r="CC32" s="230">
        <v>7725500</v>
      </c>
      <c r="CD32" s="230">
        <v>-66000</v>
      </c>
      <c r="CE32" s="229">
        <v>-8.5000000000000006E-3</v>
      </c>
      <c r="CF32" s="230">
        <v>427000</v>
      </c>
      <c r="CG32" s="230">
        <v>334000</v>
      </c>
      <c r="CH32" s="230">
        <v>93000</v>
      </c>
      <c r="CI32" s="229">
        <v>0.27839999999999998</v>
      </c>
      <c r="CJ32" s="230">
        <v>27000</v>
      </c>
      <c r="CK32" s="230">
        <v>26500</v>
      </c>
      <c r="CL32" s="228">
        <v>500</v>
      </c>
      <c r="CM32" s="229">
        <v>1.89E-2</v>
      </c>
      <c r="CN32" s="230">
        <v>3185000</v>
      </c>
      <c r="CO32" s="230">
        <v>3239000</v>
      </c>
      <c r="CP32" s="230">
        <v>-54000</v>
      </c>
      <c r="CQ32" s="229">
        <v>-1.67E-2</v>
      </c>
      <c r="CR32" s="230">
        <v>2097000</v>
      </c>
      <c r="CS32" s="230">
        <v>1985500</v>
      </c>
      <c r="CT32" s="230">
        <v>111500</v>
      </c>
      <c r="CU32" s="229">
        <v>5.62E-2</v>
      </c>
      <c r="CV32" s="230">
        <v>13395500</v>
      </c>
      <c r="CW32" s="230">
        <v>13310500</v>
      </c>
      <c r="CX32" s="230">
        <v>85000</v>
      </c>
      <c r="CY32" s="229">
        <v>6.4000000000000003E-3</v>
      </c>
      <c r="CZ32" s="228">
        <v>37.14</v>
      </c>
      <c r="DA32" s="228">
        <v>33.83</v>
      </c>
      <c r="DB32" s="228">
        <v>3.31</v>
      </c>
      <c r="DC32" s="228">
        <v>3.31</v>
      </c>
      <c r="DD32" s="228">
        <v>39.79</v>
      </c>
      <c r="DE32" s="228">
        <v>39.880000000000003</v>
      </c>
      <c r="DF32" s="228">
        <v>-2.65</v>
      </c>
      <c r="DG32" s="228">
        <v>-0.09</v>
      </c>
      <c r="DH32" s="228">
        <v>35.75</v>
      </c>
      <c r="DI32" s="228">
        <v>32.47</v>
      </c>
      <c r="DJ32" s="228">
        <v>3.28</v>
      </c>
      <c r="DK32" s="228">
        <v>3.28</v>
      </c>
      <c r="DL32" s="228">
        <v>39.42</v>
      </c>
      <c r="DM32" s="228">
        <v>35.96</v>
      </c>
      <c r="DN32" s="228">
        <v>3.46</v>
      </c>
      <c r="DO32" s="228">
        <v>3.46</v>
      </c>
      <c r="DP32" s="228">
        <v>0.66</v>
      </c>
      <c r="DQ32" s="228">
        <v>0.61</v>
      </c>
      <c r="DR32" s="228">
        <v>0.05</v>
      </c>
      <c r="DS32" s="229">
        <v>8.2000000000000003E-2</v>
      </c>
      <c r="DT32" s="231">
        <v>1800</v>
      </c>
      <c r="DU32" s="231">
        <v>1800</v>
      </c>
      <c r="DV32" s="228">
        <v>0.61</v>
      </c>
      <c r="DW32" s="228">
        <v>0.64</v>
      </c>
      <c r="DX32" s="228">
        <v>-0.03</v>
      </c>
      <c r="DY32" s="229">
        <v>-4.6899999999999997E-2</v>
      </c>
      <c r="DZ32" s="229">
        <v>5.6000000000000001E-2</v>
      </c>
      <c r="EA32" s="230">
        <v>360500</v>
      </c>
      <c r="EB32" s="229">
        <v>-2.0000000000000001E-4</v>
      </c>
      <c r="EC32" s="229">
        <v>5.6000000000000001E-2</v>
      </c>
      <c r="ED32" s="228">
        <v>-0.83</v>
      </c>
      <c r="EE32" s="229">
        <v>-4.0000000000000002E-4</v>
      </c>
      <c r="EF32" s="230">
        <v>331245</v>
      </c>
      <c r="EG32" s="230">
        <v>488987</v>
      </c>
      <c r="EH32" s="229">
        <v>-0.3226</v>
      </c>
      <c r="EI32" s="229">
        <v>0.43459999999999999</v>
      </c>
      <c r="EJ32" s="231">
        <v>56942.44</v>
      </c>
      <c r="EK32" s="231">
        <v>32199.57</v>
      </c>
      <c r="EL32" s="231">
        <v>27667.26</v>
      </c>
      <c r="EM32" s="231">
        <v>3368</v>
      </c>
      <c r="EN32" s="231">
        <v>116809.27</v>
      </c>
      <c r="EO32" s="231">
        <v>144628.96</v>
      </c>
      <c r="EP32" s="231">
        <v>-27819.69</v>
      </c>
      <c r="EQ32" s="229">
        <v>-0.19239999999999999</v>
      </c>
      <c r="ER32" s="231">
        <v>58972</v>
      </c>
      <c r="ES32" s="231">
        <v>35965</v>
      </c>
      <c r="ET32" s="231">
        <v>151688</v>
      </c>
      <c r="EU32" s="231">
        <v>40107751</v>
      </c>
      <c r="EV32" s="231">
        <v>246624</v>
      </c>
      <c r="EW32" s="231">
        <v>243992</v>
      </c>
      <c r="EX32" s="231">
        <v>2632</v>
      </c>
      <c r="EY32" s="229">
        <v>1.0800000000000001E-2</v>
      </c>
      <c r="EZ32" s="229">
        <v>0.33400000000000002</v>
      </c>
      <c r="FA32" s="227" t="s">
        <v>555</v>
      </c>
      <c r="FB32" s="161">
        <f t="shared" si="0"/>
        <v>454000</v>
      </c>
    </row>
    <row r="33" spans="1:158" ht="17.25" thickBot="1" x14ac:dyDescent="0.3">
      <c r="A33" s="226">
        <v>46132</v>
      </c>
      <c r="B33" s="227" t="s">
        <v>188</v>
      </c>
      <c r="C33" s="227" t="s">
        <v>189</v>
      </c>
      <c r="D33" s="228">
        <v>475</v>
      </c>
      <c r="E33" s="231">
        <v>1845.6</v>
      </c>
      <c r="F33" s="231">
        <v>1849</v>
      </c>
      <c r="G33" s="228">
        <v>-3.4</v>
      </c>
      <c r="H33" s="229">
        <v>-1.8E-3</v>
      </c>
      <c r="I33" s="231">
        <v>1846.1</v>
      </c>
      <c r="J33" s="231">
        <v>1846.9</v>
      </c>
      <c r="K33" s="228">
        <v>-0.8</v>
      </c>
      <c r="L33" s="229">
        <v>-4.0000000000000002E-4</v>
      </c>
      <c r="M33" s="231">
        <v>1845.6</v>
      </c>
      <c r="N33" s="231">
        <v>1849</v>
      </c>
      <c r="O33" s="228">
        <v>-3.4</v>
      </c>
      <c r="P33" s="229">
        <v>-1.8E-3</v>
      </c>
      <c r="Q33" s="231">
        <v>1855.8</v>
      </c>
      <c r="R33" s="231">
        <v>1859.5</v>
      </c>
      <c r="S33" s="228">
        <v>-3.7</v>
      </c>
      <c r="T33" s="229">
        <v>-2E-3</v>
      </c>
      <c r="U33" s="231">
        <v>1868.7</v>
      </c>
      <c r="V33" s="231">
        <v>1870.8</v>
      </c>
      <c r="W33" s="228">
        <v>-2.1</v>
      </c>
      <c r="X33" s="229">
        <v>-1.1000000000000001E-3</v>
      </c>
      <c r="Y33" s="228">
        <v>-0.5</v>
      </c>
      <c r="Z33" s="228">
        <v>2.1</v>
      </c>
      <c r="AA33" s="228">
        <v>-2.6</v>
      </c>
      <c r="AB33" s="229">
        <v>-2.9999999999999997E-4</v>
      </c>
      <c r="AC33" s="228">
        <v>-0.5</v>
      </c>
      <c r="AD33" s="228">
        <v>2.1</v>
      </c>
      <c r="AE33" s="228">
        <v>-2.6</v>
      </c>
      <c r="AF33" s="229">
        <v>-2.9999999999999997E-4</v>
      </c>
      <c r="AG33" s="228">
        <v>9.6999999999999993</v>
      </c>
      <c r="AH33" s="228">
        <v>12.6</v>
      </c>
      <c r="AI33" s="228">
        <v>-2.9</v>
      </c>
      <c r="AJ33" s="229">
        <v>5.3E-3</v>
      </c>
      <c r="AK33" s="228">
        <v>22.6</v>
      </c>
      <c r="AL33" s="228">
        <v>23.9</v>
      </c>
      <c r="AM33" s="228">
        <v>-1.3</v>
      </c>
      <c r="AN33" s="229">
        <v>1.2200000000000001E-2</v>
      </c>
      <c r="AO33" s="231">
        <v>1854.47</v>
      </c>
      <c r="AP33" s="231">
        <v>1863.67</v>
      </c>
      <c r="AQ33" s="228">
        <v>0</v>
      </c>
      <c r="AR33" s="230">
        <v>6270950</v>
      </c>
      <c r="AS33" s="230">
        <v>3909250</v>
      </c>
      <c r="AT33" s="230">
        <v>2361700</v>
      </c>
      <c r="AU33" s="229">
        <v>0.60409999999999997</v>
      </c>
      <c r="AV33" s="230">
        <v>4285925</v>
      </c>
      <c r="AW33" s="230">
        <v>3121225</v>
      </c>
      <c r="AX33" s="230">
        <v>1164700</v>
      </c>
      <c r="AY33" s="229">
        <v>0.37319999999999998</v>
      </c>
      <c r="AZ33" s="230">
        <v>857375</v>
      </c>
      <c r="BA33" s="230">
        <v>755725</v>
      </c>
      <c r="BB33" s="230">
        <v>101650</v>
      </c>
      <c r="BC33" s="229">
        <v>0.13450000000000001</v>
      </c>
      <c r="BD33" s="230">
        <v>1127650</v>
      </c>
      <c r="BE33" s="230">
        <v>32300</v>
      </c>
      <c r="BF33" s="230">
        <v>1095350</v>
      </c>
      <c r="BG33" s="229">
        <v>33.911799999999999</v>
      </c>
      <c r="BH33" s="230">
        <v>20924225</v>
      </c>
      <c r="BI33" s="230">
        <v>15595200</v>
      </c>
      <c r="BJ33" s="230">
        <v>5329025</v>
      </c>
      <c r="BK33" s="229">
        <v>0.3417</v>
      </c>
      <c r="BL33" s="230">
        <v>8914800</v>
      </c>
      <c r="BM33" s="230">
        <v>7372950</v>
      </c>
      <c r="BN33" s="230">
        <v>1541850</v>
      </c>
      <c r="BO33" s="229">
        <v>0.20910000000000001</v>
      </c>
      <c r="BP33" s="230">
        <v>36109975</v>
      </c>
      <c r="BQ33" s="230">
        <v>26877400</v>
      </c>
      <c r="BR33" s="230">
        <v>9232575</v>
      </c>
      <c r="BS33" s="229">
        <v>0.34350000000000003</v>
      </c>
      <c r="BT33" s="230">
        <v>9387477</v>
      </c>
      <c r="BU33" s="230">
        <v>7465210</v>
      </c>
      <c r="BV33" s="230">
        <v>1922267</v>
      </c>
      <c r="BW33" s="229">
        <v>0.25750000000000001</v>
      </c>
      <c r="BX33" s="230">
        <v>60472250</v>
      </c>
      <c r="BY33" s="230">
        <v>60683150</v>
      </c>
      <c r="BZ33" s="230">
        <v>-210900</v>
      </c>
      <c r="CA33" s="229">
        <v>-3.5000000000000001E-3</v>
      </c>
      <c r="CB33" s="230">
        <v>43454425</v>
      </c>
      <c r="CC33" s="230">
        <v>45203375</v>
      </c>
      <c r="CD33" s="230">
        <v>-1748950</v>
      </c>
      <c r="CE33" s="229">
        <v>-3.8699999999999998E-2</v>
      </c>
      <c r="CF33" s="230">
        <v>10854700</v>
      </c>
      <c r="CG33" s="230">
        <v>10397750</v>
      </c>
      <c r="CH33" s="230">
        <v>456950</v>
      </c>
      <c r="CI33" s="229">
        <v>4.3900000000000002E-2</v>
      </c>
      <c r="CJ33" s="230">
        <v>6163125</v>
      </c>
      <c r="CK33" s="230">
        <v>5082025</v>
      </c>
      <c r="CL33" s="230">
        <v>1081100</v>
      </c>
      <c r="CM33" s="229">
        <v>0.2127</v>
      </c>
      <c r="CN33" s="230">
        <v>14108925</v>
      </c>
      <c r="CO33" s="230">
        <v>13701850</v>
      </c>
      <c r="CP33" s="230">
        <v>407075</v>
      </c>
      <c r="CQ33" s="229">
        <v>2.9700000000000001E-2</v>
      </c>
      <c r="CR33" s="230">
        <v>8442175</v>
      </c>
      <c r="CS33" s="230">
        <v>8349550</v>
      </c>
      <c r="CT33" s="230">
        <v>92625</v>
      </c>
      <c r="CU33" s="229">
        <v>1.11E-2</v>
      </c>
      <c r="CV33" s="230">
        <v>83023350</v>
      </c>
      <c r="CW33" s="230">
        <v>82734550</v>
      </c>
      <c r="CX33" s="230">
        <v>288800</v>
      </c>
      <c r="CY33" s="229">
        <v>3.5000000000000001E-3</v>
      </c>
      <c r="CZ33" s="228">
        <v>23.86</v>
      </c>
      <c r="DA33" s="228">
        <v>22.81</v>
      </c>
      <c r="DB33" s="228">
        <v>1.05</v>
      </c>
      <c r="DC33" s="228">
        <v>1.05</v>
      </c>
      <c r="DD33" s="228">
        <v>24.15</v>
      </c>
      <c r="DE33" s="228">
        <v>24.21</v>
      </c>
      <c r="DF33" s="228">
        <v>-0.28999999999999998</v>
      </c>
      <c r="DG33" s="228">
        <v>-0.06</v>
      </c>
      <c r="DH33" s="228">
        <v>24.04</v>
      </c>
      <c r="DI33" s="228">
        <v>22.06</v>
      </c>
      <c r="DJ33" s="228">
        <v>1.98</v>
      </c>
      <c r="DK33" s="228">
        <v>1.98</v>
      </c>
      <c r="DL33" s="228">
        <v>23.42</v>
      </c>
      <c r="DM33" s="228">
        <v>24.41</v>
      </c>
      <c r="DN33" s="228">
        <v>-0.99</v>
      </c>
      <c r="DO33" s="228">
        <v>-0.99</v>
      </c>
      <c r="DP33" s="228">
        <v>0.6</v>
      </c>
      <c r="DQ33" s="228">
        <v>0.61</v>
      </c>
      <c r="DR33" s="228">
        <v>-0.01</v>
      </c>
      <c r="DS33" s="229">
        <v>-1.6400000000000001E-2</v>
      </c>
      <c r="DT33" s="231">
        <v>1900</v>
      </c>
      <c r="DU33" s="231">
        <v>1800</v>
      </c>
      <c r="DV33" s="228">
        <v>0.43</v>
      </c>
      <c r="DW33" s="228">
        <v>0.47</v>
      </c>
      <c r="DX33" s="228">
        <v>-0.04</v>
      </c>
      <c r="DY33" s="229">
        <v>-8.5099999999999995E-2</v>
      </c>
      <c r="DZ33" s="229">
        <v>0.28139999999999998</v>
      </c>
      <c r="EA33" s="230">
        <v>15479775</v>
      </c>
      <c r="EB33" s="229">
        <v>5.4999999999999997E-3</v>
      </c>
      <c r="EC33" s="229">
        <v>0.28139999999999998</v>
      </c>
      <c r="ED33" s="228">
        <v>9.1999999999999993</v>
      </c>
      <c r="EE33" s="229">
        <v>5.0000000000000001E-3</v>
      </c>
      <c r="EF33" s="230">
        <v>5726616</v>
      </c>
      <c r="EG33" s="230">
        <v>3966487</v>
      </c>
      <c r="EH33" s="229">
        <v>0.44379999999999997</v>
      </c>
      <c r="EI33" s="229">
        <v>0.61</v>
      </c>
      <c r="EJ33" s="231">
        <v>399081</v>
      </c>
      <c r="EK33" s="231">
        <v>163150.92000000001</v>
      </c>
      <c r="EL33" s="231">
        <v>116645.15</v>
      </c>
      <c r="EM33" s="231">
        <v>14857</v>
      </c>
      <c r="EN33" s="231">
        <v>678877.07</v>
      </c>
      <c r="EO33" s="231">
        <v>502584.49</v>
      </c>
      <c r="EP33" s="231">
        <v>176292.58</v>
      </c>
      <c r="EQ33" s="229">
        <v>0.3508</v>
      </c>
      <c r="ER33" s="231">
        <v>267491</v>
      </c>
      <c r="ES33" s="231">
        <v>152328</v>
      </c>
      <c r="ET33" s="231">
        <v>1118607</v>
      </c>
      <c r="EU33" s="231">
        <v>342859930</v>
      </c>
      <c r="EV33" s="231">
        <v>1538426</v>
      </c>
      <c r="EW33" s="231">
        <v>1534556</v>
      </c>
      <c r="EX33" s="231">
        <v>3870</v>
      </c>
      <c r="EY33" s="229">
        <v>2.5000000000000001E-3</v>
      </c>
      <c r="EZ33" s="229">
        <v>0.24210000000000001</v>
      </c>
      <c r="FA33" s="227" t="s">
        <v>567</v>
      </c>
      <c r="FB33" s="161">
        <f t="shared" si="0"/>
        <v>17017825</v>
      </c>
    </row>
    <row r="34" spans="1:158" ht="17.25" thickBot="1" x14ac:dyDescent="0.3">
      <c r="A34" s="226">
        <v>46132</v>
      </c>
      <c r="B34" s="227" t="s">
        <v>184</v>
      </c>
      <c r="C34" s="227" t="s">
        <v>190</v>
      </c>
      <c r="D34" s="228">
        <v>2625</v>
      </c>
      <c r="E34" s="228">
        <v>325.26</v>
      </c>
      <c r="F34" s="228">
        <v>317.22000000000003</v>
      </c>
      <c r="G34" s="228">
        <v>8.0399999999999991</v>
      </c>
      <c r="H34" s="229">
        <v>2.53E-2</v>
      </c>
      <c r="I34" s="228">
        <v>325.63</v>
      </c>
      <c r="J34" s="228">
        <v>316.79000000000002</v>
      </c>
      <c r="K34" s="228">
        <v>8.84</v>
      </c>
      <c r="L34" s="229">
        <v>2.7900000000000001E-2</v>
      </c>
      <c r="M34" s="228">
        <v>325.26</v>
      </c>
      <c r="N34" s="228">
        <v>317.22000000000003</v>
      </c>
      <c r="O34" s="228">
        <v>8.0399999999999991</v>
      </c>
      <c r="P34" s="229">
        <v>2.53E-2</v>
      </c>
      <c r="Q34" s="228">
        <v>327.11</v>
      </c>
      <c r="R34" s="228">
        <v>318.72000000000003</v>
      </c>
      <c r="S34" s="228">
        <v>8.39</v>
      </c>
      <c r="T34" s="229">
        <v>2.63E-2</v>
      </c>
      <c r="U34" s="228">
        <v>328.96</v>
      </c>
      <c r="V34" s="228">
        <v>320.14999999999998</v>
      </c>
      <c r="W34" s="228">
        <v>8.81</v>
      </c>
      <c r="X34" s="229">
        <v>2.75E-2</v>
      </c>
      <c r="Y34" s="228">
        <v>-0.37</v>
      </c>
      <c r="Z34" s="228">
        <v>0.43</v>
      </c>
      <c r="AA34" s="228">
        <v>-0.8</v>
      </c>
      <c r="AB34" s="229">
        <v>-1.1000000000000001E-3</v>
      </c>
      <c r="AC34" s="228">
        <v>-0.37</v>
      </c>
      <c r="AD34" s="228">
        <v>0.43</v>
      </c>
      <c r="AE34" s="228">
        <v>-0.8</v>
      </c>
      <c r="AF34" s="229">
        <v>-1.1000000000000001E-3</v>
      </c>
      <c r="AG34" s="228">
        <v>1.48</v>
      </c>
      <c r="AH34" s="228">
        <v>1.93</v>
      </c>
      <c r="AI34" s="228">
        <v>-0.45</v>
      </c>
      <c r="AJ34" s="229">
        <v>4.4999999999999997E-3</v>
      </c>
      <c r="AK34" s="228">
        <v>3.33</v>
      </c>
      <c r="AL34" s="228">
        <v>3.36</v>
      </c>
      <c r="AM34" s="228">
        <v>-0.03</v>
      </c>
      <c r="AN34" s="229">
        <v>1.0200000000000001E-2</v>
      </c>
      <c r="AO34" s="228">
        <v>328.18</v>
      </c>
      <c r="AP34" s="228">
        <v>329.37</v>
      </c>
      <c r="AQ34" s="228">
        <v>0</v>
      </c>
      <c r="AR34" s="230">
        <v>59151750</v>
      </c>
      <c r="AS34" s="230">
        <v>37033500</v>
      </c>
      <c r="AT34" s="230">
        <v>22118250</v>
      </c>
      <c r="AU34" s="229">
        <v>0.59719999999999995</v>
      </c>
      <c r="AV34" s="230">
        <v>50121750</v>
      </c>
      <c r="AW34" s="230">
        <v>31381875</v>
      </c>
      <c r="AX34" s="230">
        <v>18739875</v>
      </c>
      <c r="AY34" s="229">
        <v>0.59719999999999995</v>
      </c>
      <c r="AZ34" s="230">
        <v>8342250</v>
      </c>
      <c r="BA34" s="230">
        <v>5129250</v>
      </c>
      <c r="BB34" s="230">
        <v>3213000</v>
      </c>
      <c r="BC34" s="229">
        <v>0.62639999999999996</v>
      </c>
      <c r="BD34" s="230">
        <v>687750</v>
      </c>
      <c r="BE34" s="230">
        <v>522375</v>
      </c>
      <c r="BF34" s="230">
        <v>165375</v>
      </c>
      <c r="BG34" s="229">
        <v>0.31659999999999999</v>
      </c>
      <c r="BH34" s="230">
        <v>240045750</v>
      </c>
      <c r="BI34" s="230">
        <v>148863750</v>
      </c>
      <c r="BJ34" s="230">
        <v>91182000</v>
      </c>
      <c r="BK34" s="229">
        <v>0.61250000000000004</v>
      </c>
      <c r="BL34" s="230">
        <v>125711250</v>
      </c>
      <c r="BM34" s="230">
        <v>88927125</v>
      </c>
      <c r="BN34" s="230">
        <v>36784125</v>
      </c>
      <c r="BO34" s="229">
        <v>0.41360000000000002</v>
      </c>
      <c r="BP34" s="230">
        <v>424908750</v>
      </c>
      <c r="BQ34" s="230">
        <v>274824375</v>
      </c>
      <c r="BR34" s="230">
        <v>150084375</v>
      </c>
      <c r="BS34" s="229">
        <v>0.54610000000000003</v>
      </c>
      <c r="BT34" s="230">
        <v>51865779</v>
      </c>
      <c r="BU34" s="230">
        <v>26045345</v>
      </c>
      <c r="BV34" s="230">
        <v>25820434</v>
      </c>
      <c r="BW34" s="229">
        <v>0.99139999999999995</v>
      </c>
      <c r="BX34" s="230">
        <v>105821625</v>
      </c>
      <c r="BY34" s="230">
        <v>99781500</v>
      </c>
      <c r="BZ34" s="230">
        <v>6040125</v>
      </c>
      <c r="CA34" s="229">
        <v>6.0499999999999998E-2</v>
      </c>
      <c r="CB34" s="230">
        <v>98579250</v>
      </c>
      <c r="CC34" s="230">
        <v>94752000</v>
      </c>
      <c r="CD34" s="230">
        <v>3827250</v>
      </c>
      <c r="CE34" s="229">
        <v>4.0399999999999998E-2</v>
      </c>
      <c r="CF34" s="230">
        <v>6565125</v>
      </c>
      <c r="CG34" s="230">
        <v>4515000</v>
      </c>
      <c r="CH34" s="230">
        <v>2050125</v>
      </c>
      <c r="CI34" s="229">
        <v>0.4541</v>
      </c>
      <c r="CJ34" s="230">
        <v>677250</v>
      </c>
      <c r="CK34" s="230">
        <v>514500</v>
      </c>
      <c r="CL34" s="230">
        <v>162750</v>
      </c>
      <c r="CM34" s="229">
        <v>0.31630000000000003</v>
      </c>
      <c r="CN34" s="230">
        <v>53124750</v>
      </c>
      <c r="CO34" s="230">
        <v>43795500</v>
      </c>
      <c r="CP34" s="230">
        <v>9329250</v>
      </c>
      <c r="CQ34" s="229">
        <v>0.21299999999999999</v>
      </c>
      <c r="CR34" s="230">
        <v>45861375</v>
      </c>
      <c r="CS34" s="230">
        <v>38739750</v>
      </c>
      <c r="CT34" s="230">
        <v>7121625</v>
      </c>
      <c r="CU34" s="229">
        <v>0.18379999999999999</v>
      </c>
      <c r="CV34" s="230">
        <v>204807750</v>
      </c>
      <c r="CW34" s="230">
        <v>182316750</v>
      </c>
      <c r="CX34" s="230">
        <v>22491000</v>
      </c>
      <c r="CY34" s="229">
        <v>0.1234</v>
      </c>
      <c r="CZ34" s="228">
        <v>44.3</v>
      </c>
      <c r="DA34" s="228">
        <v>40.03</v>
      </c>
      <c r="DB34" s="228">
        <v>4.2699999999999996</v>
      </c>
      <c r="DC34" s="228">
        <v>4.2699999999999996</v>
      </c>
      <c r="DD34" s="228">
        <v>47.37</v>
      </c>
      <c r="DE34" s="228">
        <v>47.37</v>
      </c>
      <c r="DF34" s="228">
        <v>-3.07</v>
      </c>
      <c r="DG34" s="228">
        <v>0</v>
      </c>
      <c r="DH34" s="228">
        <v>43.54</v>
      </c>
      <c r="DI34" s="228">
        <v>38.44</v>
      </c>
      <c r="DJ34" s="228">
        <v>5.0999999999999996</v>
      </c>
      <c r="DK34" s="228">
        <v>5.0999999999999996</v>
      </c>
      <c r="DL34" s="228">
        <v>45.74</v>
      </c>
      <c r="DM34" s="228">
        <v>42.69</v>
      </c>
      <c r="DN34" s="228">
        <v>3.05</v>
      </c>
      <c r="DO34" s="228">
        <v>3.05</v>
      </c>
      <c r="DP34" s="228">
        <v>0.86</v>
      </c>
      <c r="DQ34" s="228">
        <v>0.88</v>
      </c>
      <c r="DR34" s="228">
        <v>-0.02</v>
      </c>
      <c r="DS34" s="229">
        <v>-2.2700000000000001E-2</v>
      </c>
      <c r="DT34" s="228">
        <v>330</v>
      </c>
      <c r="DU34" s="228">
        <v>330</v>
      </c>
      <c r="DV34" s="228">
        <v>0.52</v>
      </c>
      <c r="DW34" s="228">
        <v>0.6</v>
      </c>
      <c r="DX34" s="228">
        <v>-0.08</v>
      </c>
      <c r="DY34" s="229">
        <v>-0.1333</v>
      </c>
      <c r="DZ34" s="229">
        <v>6.8400000000000002E-2</v>
      </c>
      <c r="EA34" s="230">
        <v>5029500</v>
      </c>
      <c r="EB34" s="229">
        <v>5.7000000000000002E-3</v>
      </c>
      <c r="EC34" s="229">
        <v>6.8400000000000002E-2</v>
      </c>
      <c r="ED34" s="228">
        <v>1.19</v>
      </c>
      <c r="EE34" s="229">
        <v>3.5999999999999999E-3</v>
      </c>
      <c r="EF34" s="230">
        <v>17748912</v>
      </c>
      <c r="EG34" s="230">
        <v>8067151</v>
      </c>
      <c r="EH34" s="229">
        <v>1.2000999999999999</v>
      </c>
      <c r="EI34" s="229">
        <v>0.3422</v>
      </c>
      <c r="EJ34" s="231">
        <v>819896.11</v>
      </c>
      <c r="EK34" s="231">
        <v>399123.05</v>
      </c>
      <c r="EL34" s="231">
        <v>194244.85</v>
      </c>
      <c r="EM34" s="231">
        <v>14661</v>
      </c>
      <c r="EN34" s="231">
        <v>1413264.01</v>
      </c>
      <c r="EO34" s="231">
        <v>868605.21</v>
      </c>
      <c r="EP34" s="231">
        <v>544658.80000000005</v>
      </c>
      <c r="EQ34" s="229">
        <v>0.627</v>
      </c>
      <c r="ER34" s="231">
        <v>164310</v>
      </c>
      <c r="ES34" s="231">
        <v>132581</v>
      </c>
      <c r="ET34" s="231">
        <v>344342</v>
      </c>
      <c r="EU34" s="231">
        <v>192361942</v>
      </c>
      <c r="EV34" s="231">
        <v>641233</v>
      </c>
      <c r="EW34" s="231">
        <v>554273</v>
      </c>
      <c r="EX34" s="231">
        <v>86960</v>
      </c>
      <c r="EY34" s="229">
        <v>0.15690000000000001</v>
      </c>
      <c r="EZ34" s="229">
        <v>1.0647</v>
      </c>
      <c r="FA34" s="227" t="s">
        <v>555</v>
      </c>
      <c r="FB34" s="161">
        <f t="shared" si="0"/>
        <v>7242375</v>
      </c>
    </row>
    <row r="35" spans="1:158" ht="17.25" thickBot="1" x14ac:dyDescent="0.3">
      <c r="A35" s="226">
        <v>46132</v>
      </c>
      <c r="B35" s="227" t="s">
        <v>170</v>
      </c>
      <c r="C35" s="227" t="s">
        <v>191</v>
      </c>
      <c r="D35" s="228">
        <v>2500</v>
      </c>
      <c r="E35" s="228">
        <v>358.7</v>
      </c>
      <c r="F35" s="228">
        <v>358.45</v>
      </c>
      <c r="G35" s="228">
        <v>0.25</v>
      </c>
      <c r="H35" s="229">
        <v>6.9999999999999999E-4</v>
      </c>
      <c r="I35" s="228">
        <v>359.05</v>
      </c>
      <c r="J35" s="228">
        <v>358.1</v>
      </c>
      <c r="K35" s="228">
        <v>0.95</v>
      </c>
      <c r="L35" s="229">
        <v>2.7000000000000001E-3</v>
      </c>
      <c r="M35" s="228">
        <v>358.7</v>
      </c>
      <c r="N35" s="228">
        <v>358.45</v>
      </c>
      <c r="O35" s="228">
        <v>0.25</v>
      </c>
      <c r="P35" s="229">
        <v>6.9999999999999999E-4</v>
      </c>
      <c r="Q35" s="228">
        <v>360.75</v>
      </c>
      <c r="R35" s="228">
        <v>360.55</v>
      </c>
      <c r="S35" s="228">
        <v>0.2</v>
      </c>
      <c r="T35" s="229">
        <v>5.9999999999999995E-4</v>
      </c>
      <c r="U35" s="228">
        <v>362.7</v>
      </c>
      <c r="V35" s="228">
        <v>362.75</v>
      </c>
      <c r="W35" s="228">
        <v>-0.05</v>
      </c>
      <c r="X35" s="229">
        <v>-1E-4</v>
      </c>
      <c r="Y35" s="228">
        <v>-0.35</v>
      </c>
      <c r="Z35" s="228">
        <v>0.35</v>
      </c>
      <c r="AA35" s="228">
        <v>-0.7</v>
      </c>
      <c r="AB35" s="229">
        <v>-1E-3</v>
      </c>
      <c r="AC35" s="228">
        <v>-0.35</v>
      </c>
      <c r="AD35" s="228">
        <v>0.35</v>
      </c>
      <c r="AE35" s="228">
        <v>-0.7</v>
      </c>
      <c r="AF35" s="229">
        <v>-1E-3</v>
      </c>
      <c r="AG35" s="228">
        <v>1.7</v>
      </c>
      <c r="AH35" s="228">
        <v>2.4500000000000002</v>
      </c>
      <c r="AI35" s="228">
        <v>-0.75</v>
      </c>
      <c r="AJ35" s="229">
        <v>4.7000000000000002E-3</v>
      </c>
      <c r="AK35" s="228">
        <v>3.65</v>
      </c>
      <c r="AL35" s="228">
        <v>4.6500000000000004</v>
      </c>
      <c r="AM35" s="228">
        <v>-1</v>
      </c>
      <c r="AN35" s="229">
        <v>1.0200000000000001E-2</v>
      </c>
      <c r="AO35" s="228">
        <v>359.98</v>
      </c>
      <c r="AP35" s="228">
        <v>361.63</v>
      </c>
      <c r="AQ35" s="228">
        <v>0</v>
      </c>
      <c r="AR35" s="230">
        <v>6707500</v>
      </c>
      <c r="AS35" s="230">
        <v>9135000</v>
      </c>
      <c r="AT35" s="230">
        <v>-2427500</v>
      </c>
      <c r="AU35" s="229">
        <v>-0.26569999999999999</v>
      </c>
      <c r="AV35" s="230">
        <v>5165000</v>
      </c>
      <c r="AW35" s="230">
        <v>7390000</v>
      </c>
      <c r="AX35" s="230">
        <v>-2225000</v>
      </c>
      <c r="AY35" s="229">
        <v>-0.30109999999999998</v>
      </c>
      <c r="AZ35" s="230">
        <v>1427500</v>
      </c>
      <c r="BA35" s="230">
        <v>1602500</v>
      </c>
      <c r="BB35" s="230">
        <v>-175000</v>
      </c>
      <c r="BC35" s="229">
        <v>-0.10920000000000001</v>
      </c>
      <c r="BD35" s="230">
        <v>115000</v>
      </c>
      <c r="BE35" s="230">
        <v>142500</v>
      </c>
      <c r="BF35" s="230">
        <v>-27500</v>
      </c>
      <c r="BG35" s="229">
        <v>-0.193</v>
      </c>
      <c r="BH35" s="230">
        <v>22280000</v>
      </c>
      <c r="BI35" s="230">
        <v>60077500</v>
      </c>
      <c r="BJ35" s="230">
        <v>-37797500</v>
      </c>
      <c r="BK35" s="229">
        <v>-0.62909999999999999</v>
      </c>
      <c r="BL35" s="230">
        <v>9272500</v>
      </c>
      <c r="BM35" s="230">
        <v>14220000</v>
      </c>
      <c r="BN35" s="230">
        <v>-4947500</v>
      </c>
      <c r="BO35" s="229">
        <v>-0.34789999999999999</v>
      </c>
      <c r="BP35" s="230">
        <v>38260000</v>
      </c>
      <c r="BQ35" s="230">
        <v>83432500</v>
      </c>
      <c r="BR35" s="230">
        <v>-45172500</v>
      </c>
      <c r="BS35" s="229">
        <v>-0.54139999999999999</v>
      </c>
      <c r="BT35" s="230">
        <v>1991327</v>
      </c>
      <c r="BU35" s="230">
        <v>2494709</v>
      </c>
      <c r="BV35" s="230">
        <v>-503382</v>
      </c>
      <c r="BW35" s="229">
        <v>-0.20180000000000001</v>
      </c>
      <c r="BX35" s="230">
        <v>36292500</v>
      </c>
      <c r="BY35" s="230">
        <v>36852500</v>
      </c>
      <c r="BZ35" s="230">
        <v>-560000</v>
      </c>
      <c r="CA35" s="229">
        <v>-1.52E-2</v>
      </c>
      <c r="CB35" s="230">
        <v>32680000</v>
      </c>
      <c r="CC35" s="230">
        <v>33737500</v>
      </c>
      <c r="CD35" s="230">
        <v>-1057500</v>
      </c>
      <c r="CE35" s="229">
        <v>-3.1300000000000001E-2</v>
      </c>
      <c r="CF35" s="230">
        <v>3345000</v>
      </c>
      <c r="CG35" s="230">
        <v>2892500</v>
      </c>
      <c r="CH35" s="230">
        <v>452500</v>
      </c>
      <c r="CI35" s="229">
        <v>0.15640000000000001</v>
      </c>
      <c r="CJ35" s="230">
        <v>267500</v>
      </c>
      <c r="CK35" s="230">
        <v>222500</v>
      </c>
      <c r="CL35" s="230">
        <v>45000</v>
      </c>
      <c r="CM35" s="229">
        <v>0.20219999999999999</v>
      </c>
      <c r="CN35" s="230">
        <v>23347500</v>
      </c>
      <c r="CO35" s="230">
        <v>24287500</v>
      </c>
      <c r="CP35" s="230">
        <v>-940000</v>
      </c>
      <c r="CQ35" s="229">
        <v>-3.8699999999999998E-2</v>
      </c>
      <c r="CR35" s="230">
        <v>15770000</v>
      </c>
      <c r="CS35" s="230">
        <v>15532500</v>
      </c>
      <c r="CT35" s="230">
        <v>237500</v>
      </c>
      <c r="CU35" s="229">
        <v>1.5299999999999999E-2</v>
      </c>
      <c r="CV35" s="230">
        <v>75410000</v>
      </c>
      <c r="CW35" s="230">
        <v>76672500</v>
      </c>
      <c r="CX35" s="230">
        <v>-1262500</v>
      </c>
      <c r="CY35" s="229">
        <v>-1.6500000000000001E-2</v>
      </c>
      <c r="CZ35" s="228">
        <v>34.04</v>
      </c>
      <c r="DA35" s="228">
        <v>31.91</v>
      </c>
      <c r="DB35" s="228">
        <v>2.13</v>
      </c>
      <c r="DC35" s="228">
        <v>2.13</v>
      </c>
      <c r="DD35" s="228">
        <v>36.25</v>
      </c>
      <c r="DE35" s="228">
        <v>36.340000000000003</v>
      </c>
      <c r="DF35" s="228">
        <v>-2.21</v>
      </c>
      <c r="DG35" s="228">
        <v>-0.09</v>
      </c>
      <c r="DH35" s="228">
        <v>33.03</v>
      </c>
      <c r="DI35" s="228">
        <v>31.36</v>
      </c>
      <c r="DJ35" s="228">
        <v>1.67</v>
      </c>
      <c r="DK35" s="228">
        <v>1.67</v>
      </c>
      <c r="DL35" s="228">
        <v>36.479999999999997</v>
      </c>
      <c r="DM35" s="228">
        <v>34.200000000000003</v>
      </c>
      <c r="DN35" s="228">
        <v>2.2799999999999998</v>
      </c>
      <c r="DO35" s="228">
        <v>2.2799999999999998</v>
      </c>
      <c r="DP35" s="228">
        <v>0.68</v>
      </c>
      <c r="DQ35" s="228">
        <v>0.64</v>
      </c>
      <c r="DR35" s="228">
        <v>0.04</v>
      </c>
      <c r="DS35" s="229">
        <v>6.25E-2</v>
      </c>
      <c r="DT35" s="228">
        <v>370</v>
      </c>
      <c r="DU35" s="228">
        <v>340</v>
      </c>
      <c r="DV35" s="228">
        <v>0.42</v>
      </c>
      <c r="DW35" s="228">
        <v>0.24</v>
      </c>
      <c r="DX35" s="228">
        <v>0.18</v>
      </c>
      <c r="DY35" s="229">
        <v>0.75</v>
      </c>
      <c r="DZ35" s="229">
        <v>9.9500000000000005E-2</v>
      </c>
      <c r="EA35" s="230">
        <v>3115000</v>
      </c>
      <c r="EB35" s="229">
        <v>5.7000000000000002E-3</v>
      </c>
      <c r="EC35" s="229">
        <v>9.9500000000000005E-2</v>
      </c>
      <c r="ED35" s="228">
        <v>1.65</v>
      </c>
      <c r="EE35" s="229">
        <v>4.5999999999999999E-3</v>
      </c>
      <c r="EF35" s="230">
        <v>916695</v>
      </c>
      <c r="EG35" s="230">
        <v>1185108</v>
      </c>
      <c r="EH35" s="229">
        <v>-0.22650000000000001</v>
      </c>
      <c r="EI35" s="229">
        <v>0.46029999999999999</v>
      </c>
      <c r="EJ35" s="231">
        <v>83713.91</v>
      </c>
      <c r="EK35" s="231">
        <v>32613.03</v>
      </c>
      <c r="EL35" s="231">
        <v>24173.41</v>
      </c>
      <c r="EM35" s="231">
        <v>2676</v>
      </c>
      <c r="EN35" s="231">
        <v>140500.35</v>
      </c>
      <c r="EO35" s="231">
        <v>304168.12</v>
      </c>
      <c r="EP35" s="231">
        <v>-163667.76999999999</v>
      </c>
      <c r="EQ35" s="229">
        <v>-0.53810000000000002</v>
      </c>
      <c r="ER35" s="231">
        <v>87672</v>
      </c>
      <c r="ES35" s="231">
        <v>55239</v>
      </c>
      <c r="ET35" s="231">
        <v>130260</v>
      </c>
      <c r="EU35" s="231">
        <v>108004143</v>
      </c>
      <c r="EV35" s="231">
        <v>273172</v>
      </c>
      <c r="EW35" s="231">
        <v>277340</v>
      </c>
      <c r="EX35" s="231">
        <v>-4168</v>
      </c>
      <c r="EY35" s="229">
        <v>-1.4999999999999999E-2</v>
      </c>
      <c r="EZ35" s="229">
        <v>0.69820000000000004</v>
      </c>
      <c r="FA35" s="227" t="s">
        <v>693</v>
      </c>
      <c r="FB35" s="161">
        <f t="shared" si="0"/>
        <v>3612500</v>
      </c>
    </row>
    <row r="36" spans="1:158" ht="17.25" thickBot="1" x14ac:dyDescent="0.3">
      <c r="A36" s="226">
        <v>46132</v>
      </c>
      <c r="B36" s="227" t="s">
        <v>184</v>
      </c>
      <c r="C36" s="227" t="s">
        <v>677</v>
      </c>
      <c r="D36" s="228">
        <v>325</v>
      </c>
      <c r="E36" s="231">
        <v>1864.6</v>
      </c>
      <c r="F36" s="231">
        <v>1856.5</v>
      </c>
      <c r="G36" s="228">
        <v>8.1</v>
      </c>
      <c r="H36" s="229">
        <v>4.4000000000000003E-3</v>
      </c>
      <c r="I36" s="231">
        <v>1889</v>
      </c>
      <c r="J36" s="231">
        <v>1866.1</v>
      </c>
      <c r="K36" s="228">
        <v>22.9</v>
      </c>
      <c r="L36" s="229">
        <v>1.23E-2</v>
      </c>
      <c r="M36" s="231">
        <v>1864.6</v>
      </c>
      <c r="N36" s="231">
        <v>1856.5</v>
      </c>
      <c r="O36" s="228">
        <v>8.1</v>
      </c>
      <c r="P36" s="229">
        <v>4.4000000000000003E-3</v>
      </c>
      <c r="Q36" s="231">
        <v>1844</v>
      </c>
      <c r="R36" s="231">
        <v>1837.2</v>
      </c>
      <c r="S36" s="228">
        <v>6.8</v>
      </c>
      <c r="T36" s="229">
        <v>3.7000000000000002E-3</v>
      </c>
      <c r="U36" s="231">
        <v>1844.5</v>
      </c>
      <c r="V36" s="231">
        <v>1805</v>
      </c>
      <c r="W36" s="228">
        <v>39.5</v>
      </c>
      <c r="X36" s="229">
        <v>2.1899999999999999E-2</v>
      </c>
      <c r="Y36" s="228">
        <v>-24.4</v>
      </c>
      <c r="Z36" s="228">
        <v>-9.6</v>
      </c>
      <c r="AA36" s="228">
        <v>-14.8</v>
      </c>
      <c r="AB36" s="229">
        <v>-1.29E-2</v>
      </c>
      <c r="AC36" s="228">
        <v>-24.4</v>
      </c>
      <c r="AD36" s="228">
        <v>-9.6</v>
      </c>
      <c r="AE36" s="228">
        <v>-14.8</v>
      </c>
      <c r="AF36" s="229">
        <v>-1.29E-2</v>
      </c>
      <c r="AG36" s="228">
        <v>-45</v>
      </c>
      <c r="AH36" s="228">
        <v>-28.9</v>
      </c>
      <c r="AI36" s="228">
        <v>-16.100000000000001</v>
      </c>
      <c r="AJ36" s="229">
        <v>-2.3800000000000002E-2</v>
      </c>
      <c r="AK36" s="228">
        <v>-44.5</v>
      </c>
      <c r="AL36" s="228">
        <v>-61.1</v>
      </c>
      <c r="AM36" s="228">
        <v>16.600000000000001</v>
      </c>
      <c r="AN36" s="229">
        <v>-2.3599999999999999E-2</v>
      </c>
      <c r="AO36" s="231">
        <v>1886.99</v>
      </c>
      <c r="AP36" s="231">
        <v>1867.16</v>
      </c>
      <c r="AQ36" s="228">
        <v>0</v>
      </c>
      <c r="AR36" s="230">
        <v>1206400</v>
      </c>
      <c r="AS36" s="230">
        <v>1398150</v>
      </c>
      <c r="AT36" s="230">
        <v>-191750</v>
      </c>
      <c r="AU36" s="229">
        <v>-0.1371</v>
      </c>
      <c r="AV36" s="230">
        <v>968500</v>
      </c>
      <c r="AW36" s="230">
        <v>1016600</v>
      </c>
      <c r="AX36" s="230">
        <v>-48100</v>
      </c>
      <c r="AY36" s="229">
        <v>-4.7300000000000002E-2</v>
      </c>
      <c r="AZ36" s="230">
        <v>233350</v>
      </c>
      <c r="BA36" s="230">
        <v>381550</v>
      </c>
      <c r="BB36" s="230">
        <v>-148200</v>
      </c>
      <c r="BC36" s="229">
        <v>-0.38840000000000002</v>
      </c>
      <c r="BD36" s="230">
        <v>4550</v>
      </c>
      <c r="BE36" s="228">
        <v>0</v>
      </c>
      <c r="BF36" s="230">
        <v>4550</v>
      </c>
      <c r="BG36" s="229">
        <v>0</v>
      </c>
      <c r="BH36" s="230">
        <v>4066725</v>
      </c>
      <c r="BI36" s="230">
        <v>1745250</v>
      </c>
      <c r="BJ36" s="230">
        <v>2321475</v>
      </c>
      <c r="BK36" s="229">
        <v>1.3302</v>
      </c>
      <c r="BL36" s="230">
        <v>1512875</v>
      </c>
      <c r="BM36" s="230">
        <v>899925</v>
      </c>
      <c r="BN36" s="230">
        <v>612950</v>
      </c>
      <c r="BO36" s="229">
        <v>0.68110000000000004</v>
      </c>
      <c r="BP36" s="230">
        <v>6786000</v>
      </c>
      <c r="BQ36" s="230">
        <v>4043325</v>
      </c>
      <c r="BR36" s="230">
        <v>2742675</v>
      </c>
      <c r="BS36" s="229">
        <v>0.67830000000000001</v>
      </c>
      <c r="BT36" s="230">
        <v>810555</v>
      </c>
      <c r="BU36" s="230">
        <v>455812</v>
      </c>
      <c r="BV36" s="230">
        <v>354743</v>
      </c>
      <c r="BW36" s="229">
        <v>0.77829999999999999</v>
      </c>
      <c r="BX36" s="230">
        <v>3799900</v>
      </c>
      <c r="BY36" s="230">
        <v>3556475</v>
      </c>
      <c r="BZ36" s="230">
        <v>243425</v>
      </c>
      <c r="CA36" s="229">
        <v>6.8400000000000002E-2</v>
      </c>
      <c r="CB36" s="230">
        <v>2743650</v>
      </c>
      <c r="CC36" s="230">
        <v>2578875</v>
      </c>
      <c r="CD36" s="230">
        <v>164775</v>
      </c>
      <c r="CE36" s="229">
        <v>6.3899999999999998E-2</v>
      </c>
      <c r="CF36" s="230">
        <v>1048775</v>
      </c>
      <c r="CG36" s="230">
        <v>970125</v>
      </c>
      <c r="CH36" s="230">
        <v>78650</v>
      </c>
      <c r="CI36" s="229">
        <v>8.1100000000000005E-2</v>
      </c>
      <c r="CJ36" s="230">
        <v>7475</v>
      </c>
      <c r="CK36" s="230">
        <v>7475</v>
      </c>
      <c r="CL36" s="228">
        <v>0</v>
      </c>
      <c r="CM36" s="229">
        <v>0</v>
      </c>
      <c r="CN36" s="230">
        <v>1734850</v>
      </c>
      <c r="CO36" s="230">
        <v>1554475</v>
      </c>
      <c r="CP36" s="230">
        <v>180375</v>
      </c>
      <c r="CQ36" s="229">
        <v>0.11600000000000001</v>
      </c>
      <c r="CR36" s="230">
        <v>1193725</v>
      </c>
      <c r="CS36" s="230">
        <v>976300</v>
      </c>
      <c r="CT36" s="230">
        <v>217425</v>
      </c>
      <c r="CU36" s="229">
        <v>0.22270000000000001</v>
      </c>
      <c r="CV36" s="230">
        <v>6728475</v>
      </c>
      <c r="CW36" s="230">
        <v>6087250</v>
      </c>
      <c r="CX36" s="230">
        <v>641225</v>
      </c>
      <c r="CY36" s="229">
        <v>0.1053</v>
      </c>
      <c r="CZ36" s="228">
        <v>42.33</v>
      </c>
      <c r="DA36" s="228">
        <v>40.380000000000003</v>
      </c>
      <c r="DB36" s="228">
        <v>1.95</v>
      </c>
      <c r="DC36" s="228">
        <v>1.95</v>
      </c>
      <c r="DD36" s="228">
        <v>42.55</v>
      </c>
      <c r="DE36" s="228">
        <v>42.65</v>
      </c>
      <c r="DF36" s="228">
        <v>-0.22</v>
      </c>
      <c r="DG36" s="228">
        <v>-0.1</v>
      </c>
      <c r="DH36" s="228">
        <v>42.66</v>
      </c>
      <c r="DI36" s="228">
        <v>38.1</v>
      </c>
      <c r="DJ36" s="228">
        <v>4.5599999999999996</v>
      </c>
      <c r="DK36" s="228">
        <v>4.5599999999999996</v>
      </c>
      <c r="DL36" s="228">
        <v>41.45</v>
      </c>
      <c r="DM36" s="228">
        <v>44.79</v>
      </c>
      <c r="DN36" s="228">
        <v>-3.34</v>
      </c>
      <c r="DO36" s="228">
        <v>-3.34</v>
      </c>
      <c r="DP36" s="228">
        <v>0.69</v>
      </c>
      <c r="DQ36" s="228">
        <v>0.63</v>
      </c>
      <c r="DR36" s="228">
        <v>0.06</v>
      </c>
      <c r="DS36" s="229">
        <v>9.5200000000000007E-2</v>
      </c>
      <c r="DT36" s="231">
        <v>1900</v>
      </c>
      <c r="DU36" s="231">
        <v>1800</v>
      </c>
      <c r="DV36" s="228">
        <v>0.37</v>
      </c>
      <c r="DW36" s="228">
        <v>0.52</v>
      </c>
      <c r="DX36" s="228">
        <v>-0.15</v>
      </c>
      <c r="DY36" s="229">
        <v>-0.28849999999999998</v>
      </c>
      <c r="DZ36" s="229">
        <v>0.27800000000000002</v>
      </c>
      <c r="EA36" s="230">
        <v>977600</v>
      </c>
      <c r="EB36" s="229">
        <v>-1.0999999999999999E-2</v>
      </c>
      <c r="EC36" s="229">
        <v>0.27800000000000002</v>
      </c>
      <c r="ED36" s="228">
        <v>-19.829999999999998</v>
      </c>
      <c r="EE36" s="229">
        <v>-1.0500000000000001E-2</v>
      </c>
      <c r="EF36" s="230">
        <v>333198</v>
      </c>
      <c r="EG36" s="230">
        <v>160540</v>
      </c>
      <c r="EH36" s="229">
        <v>1.0754999999999999</v>
      </c>
      <c r="EI36" s="229">
        <v>0.41110000000000002</v>
      </c>
      <c r="EJ36" s="231">
        <v>80593</v>
      </c>
      <c r="EK36" s="231">
        <v>27406.13</v>
      </c>
      <c r="EL36" s="231">
        <v>22717.35</v>
      </c>
      <c r="EM36" s="231">
        <v>4691</v>
      </c>
      <c r="EN36" s="231">
        <v>130716.48</v>
      </c>
      <c r="EO36" s="231">
        <v>75156.73</v>
      </c>
      <c r="EP36" s="231">
        <v>55559.75</v>
      </c>
      <c r="EQ36" s="229">
        <v>0.73929999999999996</v>
      </c>
      <c r="ER36" s="231">
        <v>31950</v>
      </c>
      <c r="ES36" s="231">
        <v>20147</v>
      </c>
      <c r="ET36" s="231">
        <v>70635</v>
      </c>
      <c r="EU36" s="231">
        <v>15745076</v>
      </c>
      <c r="EV36" s="231">
        <v>122733</v>
      </c>
      <c r="EW36" s="231">
        <v>110220</v>
      </c>
      <c r="EX36" s="231">
        <v>12513</v>
      </c>
      <c r="EY36" s="229">
        <v>0.1135</v>
      </c>
      <c r="EZ36" s="229">
        <v>0.42730000000000001</v>
      </c>
      <c r="FA36" s="227" t="s">
        <v>555</v>
      </c>
      <c r="FB36" s="161">
        <f t="shared" si="0"/>
        <v>1056250</v>
      </c>
    </row>
    <row r="37" spans="1:158" ht="17.25" thickBot="1" x14ac:dyDescent="0.3">
      <c r="A37" s="226">
        <v>46132</v>
      </c>
      <c r="B37" s="227" t="s">
        <v>162</v>
      </c>
      <c r="C37" s="227" t="s">
        <v>192</v>
      </c>
      <c r="D37" s="228">
        <v>25</v>
      </c>
      <c r="E37" s="231">
        <v>37770</v>
      </c>
      <c r="F37" s="231">
        <v>37580</v>
      </c>
      <c r="G37" s="228">
        <v>190</v>
      </c>
      <c r="H37" s="229">
        <v>5.1000000000000004E-3</v>
      </c>
      <c r="I37" s="231">
        <v>37790</v>
      </c>
      <c r="J37" s="231">
        <v>37505</v>
      </c>
      <c r="K37" s="228">
        <v>285</v>
      </c>
      <c r="L37" s="229">
        <v>7.6E-3</v>
      </c>
      <c r="M37" s="231">
        <v>37770</v>
      </c>
      <c r="N37" s="231">
        <v>37580</v>
      </c>
      <c r="O37" s="228">
        <v>190</v>
      </c>
      <c r="P37" s="229">
        <v>5.1000000000000004E-3</v>
      </c>
      <c r="Q37" s="231">
        <v>37980</v>
      </c>
      <c r="R37" s="231">
        <v>37730</v>
      </c>
      <c r="S37" s="228">
        <v>250</v>
      </c>
      <c r="T37" s="229">
        <v>6.6E-3</v>
      </c>
      <c r="U37" s="231">
        <v>38150</v>
      </c>
      <c r="V37" s="231">
        <v>38015</v>
      </c>
      <c r="W37" s="228">
        <v>135</v>
      </c>
      <c r="X37" s="229">
        <v>3.5999999999999999E-3</v>
      </c>
      <c r="Y37" s="228">
        <v>-20</v>
      </c>
      <c r="Z37" s="228">
        <v>75</v>
      </c>
      <c r="AA37" s="228">
        <v>-95</v>
      </c>
      <c r="AB37" s="229">
        <v>-5.0000000000000001E-4</v>
      </c>
      <c r="AC37" s="228">
        <v>-20</v>
      </c>
      <c r="AD37" s="228">
        <v>75</v>
      </c>
      <c r="AE37" s="228">
        <v>-95</v>
      </c>
      <c r="AF37" s="229">
        <v>-5.0000000000000001E-4</v>
      </c>
      <c r="AG37" s="228">
        <v>190</v>
      </c>
      <c r="AH37" s="228">
        <v>225</v>
      </c>
      <c r="AI37" s="228">
        <v>-35</v>
      </c>
      <c r="AJ37" s="229">
        <v>5.0000000000000001E-3</v>
      </c>
      <c r="AK37" s="228">
        <v>360</v>
      </c>
      <c r="AL37" s="228">
        <v>510</v>
      </c>
      <c r="AM37" s="228">
        <v>-150</v>
      </c>
      <c r="AN37" s="229">
        <v>9.4999999999999998E-3</v>
      </c>
      <c r="AO37" s="231">
        <v>37865.93</v>
      </c>
      <c r="AP37" s="231">
        <v>38041.410000000003</v>
      </c>
      <c r="AQ37" s="228">
        <v>0</v>
      </c>
      <c r="AR37" s="230">
        <v>43325</v>
      </c>
      <c r="AS37" s="230">
        <v>28300</v>
      </c>
      <c r="AT37" s="230">
        <v>15025</v>
      </c>
      <c r="AU37" s="229">
        <v>0.53090000000000004</v>
      </c>
      <c r="AV37" s="230">
        <v>35100</v>
      </c>
      <c r="AW37" s="230">
        <v>25250</v>
      </c>
      <c r="AX37" s="230">
        <v>9850</v>
      </c>
      <c r="AY37" s="229">
        <v>0.3901</v>
      </c>
      <c r="AZ37" s="230">
        <v>7775</v>
      </c>
      <c r="BA37" s="230">
        <v>2775</v>
      </c>
      <c r="BB37" s="230">
        <v>5000</v>
      </c>
      <c r="BC37" s="229">
        <v>1.8018000000000001</v>
      </c>
      <c r="BD37" s="228">
        <v>450</v>
      </c>
      <c r="BE37" s="228">
        <v>275</v>
      </c>
      <c r="BF37" s="228">
        <v>175</v>
      </c>
      <c r="BG37" s="229">
        <v>0.63639999999999997</v>
      </c>
      <c r="BH37" s="230">
        <v>257900</v>
      </c>
      <c r="BI37" s="230">
        <v>177175</v>
      </c>
      <c r="BJ37" s="230">
        <v>80725</v>
      </c>
      <c r="BK37" s="229">
        <v>0.4556</v>
      </c>
      <c r="BL37" s="230">
        <v>286150</v>
      </c>
      <c r="BM37" s="230">
        <v>666225</v>
      </c>
      <c r="BN37" s="230">
        <v>-380075</v>
      </c>
      <c r="BO37" s="229">
        <v>-0.57050000000000001</v>
      </c>
      <c r="BP37" s="230">
        <v>587375</v>
      </c>
      <c r="BQ37" s="230">
        <v>871700</v>
      </c>
      <c r="BR37" s="230">
        <v>-284325</v>
      </c>
      <c r="BS37" s="229">
        <v>-0.32619999999999999</v>
      </c>
      <c r="BT37" s="230">
        <v>39774</v>
      </c>
      <c r="BU37" s="230">
        <v>29588</v>
      </c>
      <c r="BV37" s="230">
        <v>10186</v>
      </c>
      <c r="BW37" s="229">
        <v>0.34429999999999999</v>
      </c>
      <c r="BX37" s="230">
        <v>270625</v>
      </c>
      <c r="BY37" s="230">
        <v>273350</v>
      </c>
      <c r="BZ37" s="230">
        <v>-2725</v>
      </c>
      <c r="CA37" s="229">
        <v>-0.01</v>
      </c>
      <c r="CB37" s="230">
        <v>259725</v>
      </c>
      <c r="CC37" s="230">
        <v>263450</v>
      </c>
      <c r="CD37" s="230">
        <v>-3725</v>
      </c>
      <c r="CE37" s="229">
        <v>-1.41E-2</v>
      </c>
      <c r="CF37" s="230">
        <v>10325</v>
      </c>
      <c r="CG37" s="230">
        <v>9175</v>
      </c>
      <c r="CH37" s="230">
        <v>1150</v>
      </c>
      <c r="CI37" s="229">
        <v>0.12529999999999999</v>
      </c>
      <c r="CJ37" s="228">
        <v>575</v>
      </c>
      <c r="CK37" s="228">
        <v>725</v>
      </c>
      <c r="CL37" s="228">
        <v>-150</v>
      </c>
      <c r="CM37" s="229">
        <v>-0.2069</v>
      </c>
      <c r="CN37" s="230">
        <v>258550</v>
      </c>
      <c r="CO37" s="230">
        <v>253925</v>
      </c>
      <c r="CP37" s="230">
        <v>4625</v>
      </c>
      <c r="CQ37" s="229">
        <v>1.8200000000000001E-2</v>
      </c>
      <c r="CR37" s="230">
        <v>222425</v>
      </c>
      <c r="CS37" s="230">
        <v>225650</v>
      </c>
      <c r="CT37" s="230">
        <v>-3225</v>
      </c>
      <c r="CU37" s="229">
        <v>-1.43E-2</v>
      </c>
      <c r="CV37" s="230">
        <v>751600</v>
      </c>
      <c r="CW37" s="230">
        <v>752925</v>
      </c>
      <c r="CX37" s="230">
        <v>-1325</v>
      </c>
      <c r="CY37" s="229">
        <v>-1.8E-3</v>
      </c>
      <c r="CZ37" s="228">
        <v>39</v>
      </c>
      <c r="DA37" s="228">
        <v>38.76</v>
      </c>
      <c r="DB37" s="228">
        <v>0.24</v>
      </c>
      <c r="DC37" s="228">
        <v>0.24</v>
      </c>
      <c r="DD37" s="228">
        <v>34.92</v>
      </c>
      <c r="DE37" s="228">
        <v>35</v>
      </c>
      <c r="DF37" s="228">
        <v>4.08</v>
      </c>
      <c r="DG37" s="228">
        <v>-0.08</v>
      </c>
      <c r="DH37" s="228">
        <v>36.65</v>
      </c>
      <c r="DI37" s="228">
        <v>35</v>
      </c>
      <c r="DJ37" s="228">
        <v>1.65</v>
      </c>
      <c r="DK37" s="228">
        <v>1.65</v>
      </c>
      <c r="DL37" s="228">
        <v>41.11</v>
      </c>
      <c r="DM37" s="228">
        <v>39.76</v>
      </c>
      <c r="DN37" s="228">
        <v>1.35</v>
      </c>
      <c r="DO37" s="228">
        <v>1.35</v>
      </c>
      <c r="DP37" s="228">
        <v>0.86</v>
      </c>
      <c r="DQ37" s="228">
        <v>0.89</v>
      </c>
      <c r="DR37" s="228">
        <v>-0.03</v>
      </c>
      <c r="DS37" s="229">
        <v>-3.3700000000000001E-2</v>
      </c>
      <c r="DT37" s="231">
        <v>40000</v>
      </c>
      <c r="DU37" s="231">
        <v>30000</v>
      </c>
      <c r="DV37" s="228">
        <v>1.1100000000000001</v>
      </c>
      <c r="DW37" s="228">
        <v>3.76</v>
      </c>
      <c r="DX37" s="228">
        <v>-2.65</v>
      </c>
      <c r="DY37" s="229">
        <v>-0.70479999999999998</v>
      </c>
      <c r="DZ37" s="229">
        <v>4.0300000000000002E-2</v>
      </c>
      <c r="EA37" s="230">
        <v>9900</v>
      </c>
      <c r="EB37" s="229">
        <v>5.5999999999999999E-3</v>
      </c>
      <c r="EC37" s="229">
        <v>4.0300000000000002E-2</v>
      </c>
      <c r="ED37" s="228">
        <v>175.48</v>
      </c>
      <c r="EE37" s="229">
        <v>4.5999999999999999E-3</v>
      </c>
      <c r="EF37" s="230">
        <v>13481</v>
      </c>
      <c r="EG37" s="230">
        <v>7703</v>
      </c>
      <c r="EH37" s="229">
        <v>0.75009999999999999</v>
      </c>
      <c r="EI37" s="229">
        <v>0.33889999999999998</v>
      </c>
      <c r="EJ37" s="231">
        <v>103006</v>
      </c>
      <c r="EK37" s="231">
        <v>98074.72</v>
      </c>
      <c r="EL37" s="231">
        <v>16419.72</v>
      </c>
      <c r="EM37" s="231">
        <v>2892</v>
      </c>
      <c r="EN37" s="231">
        <v>217500.44</v>
      </c>
      <c r="EO37" s="231">
        <v>284815.03999999998</v>
      </c>
      <c r="EP37" s="231">
        <v>-67314.600000000006</v>
      </c>
      <c r="EQ37" s="229">
        <v>-0.23630000000000001</v>
      </c>
      <c r="ER37" s="231">
        <v>96221</v>
      </c>
      <c r="ES37" s="231">
        <v>73251</v>
      </c>
      <c r="ET37" s="231">
        <v>102239</v>
      </c>
      <c r="EU37" s="231">
        <v>868841</v>
      </c>
      <c r="EV37" s="231">
        <v>271711</v>
      </c>
      <c r="EW37" s="231">
        <v>270789</v>
      </c>
      <c r="EX37" s="228">
        <v>922</v>
      </c>
      <c r="EY37" s="229">
        <v>3.3999999999999998E-3</v>
      </c>
      <c r="EZ37" s="229">
        <v>0.86509999999999998</v>
      </c>
      <c r="FA37" s="227" t="s">
        <v>693</v>
      </c>
      <c r="FB37" s="161">
        <f t="shared" si="0"/>
        <v>10900</v>
      </c>
    </row>
    <row r="38" spans="1:158" ht="17.25" thickBot="1" x14ac:dyDescent="0.3">
      <c r="A38" s="226">
        <v>46132</v>
      </c>
      <c r="B38" s="227" t="s">
        <v>193</v>
      </c>
      <c r="C38" s="227" t="s">
        <v>194</v>
      </c>
      <c r="D38" s="228">
        <v>1975</v>
      </c>
      <c r="E38" s="228">
        <v>315.75</v>
      </c>
      <c r="F38" s="228">
        <v>313.05</v>
      </c>
      <c r="G38" s="228">
        <v>2.7</v>
      </c>
      <c r="H38" s="229">
        <v>8.6E-3</v>
      </c>
      <c r="I38" s="228">
        <v>316.05</v>
      </c>
      <c r="J38" s="228">
        <v>312.10000000000002</v>
      </c>
      <c r="K38" s="228">
        <v>3.95</v>
      </c>
      <c r="L38" s="229">
        <v>1.2699999999999999E-2</v>
      </c>
      <c r="M38" s="228">
        <v>315.75</v>
      </c>
      <c r="N38" s="228">
        <v>313.05</v>
      </c>
      <c r="O38" s="228">
        <v>2.7</v>
      </c>
      <c r="P38" s="229">
        <v>8.6E-3</v>
      </c>
      <c r="Q38" s="228">
        <v>317.64999999999998</v>
      </c>
      <c r="R38" s="228">
        <v>314.55</v>
      </c>
      <c r="S38" s="228">
        <v>3.1</v>
      </c>
      <c r="T38" s="229">
        <v>9.9000000000000008E-3</v>
      </c>
      <c r="U38" s="228">
        <v>319.3</v>
      </c>
      <c r="V38" s="228">
        <v>316.64999999999998</v>
      </c>
      <c r="W38" s="228">
        <v>2.65</v>
      </c>
      <c r="X38" s="229">
        <v>8.3999999999999995E-3</v>
      </c>
      <c r="Y38" s="228">
        <v>-0.3</v>
      </c>
      <c r="Z38" s="228">
        <v>0.95</v>
      </c>
      <c r="AA38" s="228">
        <v>-1.25</v>
      </c>
      <c r="AB38" s="229">
        <v>-8.9999999999999998E-4</v>
      </c>
      <c r="AC38" s="228">
        <v>-0.3</v>
      </c>
      <c r="AD38" s="228">
        <v>0.95</v>
      </c>
      <c r="AE38" s="228">
        <v>-1.25</v>
      </c>
      <c r="AF38" s="229">
        <v>-8.9999999999999998E-4</v>
      </c>
      <c r="AG38" s="228">
        <v>1.6</v>
      </c>
      <c r="AH38" s="228">
        <v>2.4500000000000002</v>
      </c>
      <c r="AI38" s="228">
        <v>-0.85</v>
      </c>
      <c r="AJ38" s="229">
        <v>5.1000000000000004E-3</v>
      </c>
      <c r="AK38" s="228">
        <v>3.25</v>
      </c>
      <c r="AL38" s="228">
        <v>4.55</v>
      </c>
      <c r="AM38" s="228">
        <v>-1.3</v>
      </c>
      <c r="AN38" s="229">
        <v>1.03E-2</v>
      </c>
      <c r="AO38" s="228">
        <v>314.29000000000002</v>
      </c>
      <c r="AP38" s="228">
        <v>316.77999999999997</v>
      </c>
      <c r="AQ38" s="228">
        <v>0</v>
      </c>
      <c r="AR38" s="230">
        <v>11237750</v>
      </c>
      <c r="AS38" s="230">
        <v>7886175</v>
      </c>
      <c r="AT38" s="230">
        <v>3351575</v>
      </c>
      <c r="AU38" s="229">
        <v>0.42499999999999999</v>
      </c>
      <c r="AV38" s="230">
        <v>8216000</v>
      </c>
      <c r="AW38" s="230">
        <v>6829550</v>
      </c>
      <c r="AX38" s="230">
        <v>1386450</v>
      </c>
      <c r="AY38" s="229">
        <v>0.20300000000000001</v>
      </c>
      <c r="AZ38" s="230">
        <v>2810425</v>
      </c>
      <c r="BA38" s="230">
        <v>934175</v>
      </c>
      <c r="BB38" s="230">
        <v>1876250</v>
      </c>
      <c r="BC38" s="229">
        <v>2.0085000000000002</v>
      </c>
      <c r="BD38" s="230">
        <v>211325</v>
      </c>
      <c r="BE38" s="230">
        <v>122450</v>
      </c>
      <c r="BF38" s="230">
        <v>88875</v>
      </c>
      <c r="BG38" s="229">
        <v>0.7258</v>
      </c>
      <c r="BH38" s="230">
        <v>65836625</v>
      </c>
      <c r="BI38" s="230">
        <v>35060200</v>
      </c>
      <c r="BJ38" s="230">
        <v>30776425</v>
      </c>
      <c r="BK38" s="229">
        <v>0.87780000000000002</v>
      </c>
      <c r="BL38" s="230">
        <v>27019975</v>
      </c>
      <c r="BM38" s="230">
        <v>16832925</v>
      </c>
      <c r="BN38" s="230">
        <v>10187050</v>
      </c>
      <c r="BO38" s="229">
        <v>0.60519999999999996</v>
      </c>
      <c r="BP38" s="230">
        <v>104094350</v>
      </c>
      <c r="BQ38" s="230">
        <v>59779300</v>
      </c>
      <c r="BR38" s="230">
        <v>44315050</v>
      </c>
      <c r="BS38" s="229">
        <v>0.74129999999999996</v>
      </c>
      <c r="BT38" s="230">
        <v>14942709</v>
      </c>
      <c r="BU38" s="230">
        <v>11291151</v>
      </c>
      <c r="BV38" s="230">
        <v>3651558</v>
      </c>
      <c r="BW38" s="229">
        <v>0.32340000000000002</v>
      </c>
      <c r="BX38" s="230">
        <v>56151225</v>
      </c>
      <c r="BY38" s="230">
        <v>54719350</v>
      </c>
      <c r="BZ38" s="230">
        <v>1431875</v>
      </c>
      <c r="CA38" s="229">
        <v>2.6200000000000001E-2</v>
      </c>
      <c r="CB38" s="230">
        <v>52286150</v>
      </c>
      <c r="CC38" s="230">
        <v>52161725</v>
      </c>
      <c r="CD38" s="230">
        <v>124425</v>
      </c>
      <c r="CE38" s="229">
        <v>2.3999999999999998E-3</v>
      </c>
      <c r="CF38" s="230">
        <v>3659675</v>
      </c>
      <c r="CG38" s="230">
        <v>2371975</v>
      </c>
      <c r="CH38" s="230">
        <v>1287700</v>
      </c>
      <c r="CI38" s="229">
        <v>0.54290000000000005</v>
      </c>
      <c r="CJ38" s="230">
        <v>205400</v>
      </c>
      <c r="CK38" s="230">
        <v>185650</v>
      </c>
      <c r="CL38" s="230">
        <v>19750</v>
      </c>
      <c r="CM38" s="229">
        <v>0.10639999999999999</v>
      </c>
      <c r="CN38" s="230">
        <v>27051575</v>
      </c>
      <c r="CO38" s="230">
        <v>22821125</v>
      </c>
      <c r="CP38" s="230">
        <v>4230450</v>
      </c>
      <c r="CQ38" s="229">
        <v>0.18540000000000001</v>
      </c>
      <c r="CR38" s="230">
        <v>22325400</v>
      </c>
      <c r="CS38" s="230">
        <v>20014650</v>
      </c>
      <c r="CT38" s="230">
        <v>2310750</v>
      </c>
      <c r="CU38" s="229">
        <v>0.11550000000000001</v>
      </c>
      <c r="CV38" s="230">
        <v>105528200</v>
      </c>
      <c r="CW38" s="230">
        <v>97555125</v>
      </c>
      <c r="CX38" s="230">
        <v>7973075</v>
      </c>
      <c r="CY38" s="229">
        <v>8.1699999999999995E-2</v>
      </c>
      <c r="CZ38" s="228">
        <v>42.01</v>
      </c>
      <c r="DA38" s="228">
        <v>38.549999999999997</v>
      </c>
      <c r="DB38" s="228">
        <v>3.46</v>
      </c>
      <c r="DC38" s="228">
        <v>3.46</v>
      </c>
      <c r="DD38" s="228">
        <v>37.28</v>
      </c>
      <c r="DE38" s="228">
        <v>37.35</v>
      </c>
      <c r="DF38" s="228">
        <v>4.7300000000000004</v>
      </c>
      <c r="DG38" s="228">
        <v>-7.0000000000000007E-2</v>
      </c>
      <c r="DH38" s="228">
        <v>41.23</v>
      </c>
      <c r="DI38" s="228">
        <v>37.909999999999997</v>
      </c>
      <c r="DJ38" s="228">
        <v>3.32</v>
      </c>
      <c r="DK38" s="228">
        <v>3.32</v>
      </c>
      <c r="DL38" s="228">
        <v>43.92</v>
      </c>
      <c r="DM38" s="228">
        <v>39.89</v>
      </c>
      <c r="DN38" s="228">
        <v>4.03</v>
      </c>
      <c r="DO38" s="228">
        <v>4.03</v>
      </c>
      <c r="DP38" s="228">
        <v>0.83</v>
      </c>
      <c r="DQ38" s="228">
        <v>0.88</v>
      </c>
      <c r="DR38" s="228">
        <v>-0.05</v>
      </c>
      <c r="DS38" s="229">
        <v>-5.6800000000000003E-2</v>
      </c>
      <c r="DT38" s="228">
        <v>350</v>
      </c>
      <c r="DU38" s="228">
        <v>300</v>
      </c>
      <c r="DV38" s="228">
        <v>0.41</v>
      </c>
      <c r="DW38" s="228">
        <v>0.48</v>
      </c>
      <c r="DX38" s="228">
        <v>-7.0000000000000007E-2</v>
      </c>
      <c r="DY38" s="229">
        <v>-0.14580000000000001</v>
      </c>
      <c r="DZ38" s="229">
        <v>6.88E-2</v>
      </c>
      <c r="EA38" s="230">
        <v>2557625</v>
      </c>
      <c r="EB38" s="229">
        <v>6.0000000000000001E-3</v>
      </c>
      <c r="EC38" s="229">
        <v>6.88E-2</v>
      </c>
      <c r="ED38" s="228">
        <v>2.4900000000000002</v>
      </c>
      <c r="EE38" s="229">
        <v>7.9000000000000008E-3</v>
      </c>
      <c r="EF38" s="230">
        <v>7495577</v>
      </c>
      <c r="EG38" s="230">
        <v>6893701</v>
      </c>
      <c r="EH38" s="229">
        <v>8.7300000000000003E-2</v>
      </c>
      <c r="EI38" s="229">
        <v>0.50160000000000005</v>
      </c>
      <c r="EJ38" s="231">
        <v>220942.52</v>
      </c>
      <c r="EK38" s="231">
        <v>83618.009999999995</v>
      </c>
      <c r="EL38" s="231">
        <v>35395.730000000003</v>
      </c>
      <c r="EM38" s="231">
        <v>5315</v>
      </c>
      <c r="EN38" s="231">
        <v>339956.26</v>
      </c>
      <c r="EO38" s="231">
        <v>191705.58</v>
      </c>
      <c r="EP38" s="231">
        <v>148250.68</v>
      </c>
      <c r="EQ38" s="229">
        <v>0.77329999999999999</v>
      </c>
      <c r="ER38" s="231">
        <v>87278</v>
      </c>
      <c r="ES38" s="231">
        <v>65172</v>
      </c>
      <c r="ET38" s="231">
        <v>177374</v>
      </c>
      <c r="EU38" s="231">
        <v>306020745</v>
      </c>
      <c r="EV38" s="231">
        <v>329824</v>
      </c>
      <c r="EW38" s="231">
        <v>301418</v>
      </c>
      <c r="EX38" s="231">
        <v>28406</v>
      </c>
      <c r="EY38" s="229">
        <v>9.4200000000000006E-2</v>
      </c>
      <c r="EZ38" s="229">
        <v>0.3448</v>
      </c>
      <c r="FA38" s="227" t="s">
        <v>555</v>
      </c>
      <c r="FB38" s="161">
        <f t="shared" si="0"/>
        <v>3865075</v>
      </c>
    </row>
    <row r="39" spans="1:158" ht="17.25" thickBot="1" x14ac:dyDescent="0.3">
      <c r="A39" s="226">
        <v>46132</v>
      </c>
      <c r="B39" s="227" t="s">
        <v>168</v>
      </c>
      <c r="C39" s="227" t="s">
        <v>195</v>
      </c>
      <c r="D39" s="228">
        <v>125</v>
      </c>
      <c r="E39" s="231">
        <v>5697.5</v>
      </c>
      <c r="F39" s="231">
        <v>5737.5</v>
      </c>
      <c r="G39" s="228">
        <v>-40</v>
      </c>
      <c r="H39" s="229">
        <v>-7.0000000000000001E-3</v>
      </c>
      <c r="I39" s="231">
        <v>5700</v>
      </c>
      <c r="J39" s="231">
        <v>5735.5</v>
      </c>
      <c r="K39" s="228">
        <v>-35.5</v>
      </c>
      <c r="L39" s="229">
        <v>-6.1999999999999998E-3</v>
      </c>
      <c r="M39" s="231">
        <v>5697.5</v>
      </c>
      <c r="N39" s="231">
        <v>5737.5</v>
      </c>
      <c r="O39" s="228">
        <v>-40</v>
      </c>
      <c r="P39" s="229">
        <v>-7.0000000000000001E-3</v>
      </c>
      <c r="Q39" s="231">
        <v>5728</v>
      </c>
      <c r="R39" s="231">
        <v>5771.5</v>
      </c>
      <c r="S39" s="228">
        <v>-43.5</v>
      </c>
      <c r="T39" s="229">
        <v>-7.4999999999999997E-3</v>
      </c>
      <c r="U39" s="231">
        <v>5780</v>
      </c>
      <c r="V39" s="231">
        <v>5792</v>
      </c>
      <c r="W39" s="228">
        <v>-12</v>
      </c>
      <c r="X39" s="229">
        <v>-2.0999999999999999E-3</v>
      </c>
      <c r="Y39" s="228">
        <v>-2.5</v>
      </c>
      <c r="Z39" s="228">
        <v>2</v>
      </c>
      <c r="AA39" s="228">
        <v>-4.5</v>
      </c>
      <c r="AB39" s="229">
        <v>-4.0000000000000002E-4</v>
      </c>
      <c r="AC39" s="228">
        <v>-2.5</v>
      </c>
      <c r="AD39" s="228">
        <v>2</v>
      </c>
      <c r="AE39" s="228">
        <v>-4.5</v>
      </c>
      <c r="AF39" s="229">
        <v>-4.0000000000000002E-4</v>
      </c>
      <c r="AG39" s="228">
        <v>28</v>
      </c>
      <c r="AH39" s="228">
        <v>36</v>
      </c>
      <c r="AI39" s="228">
        <v>-8</v>
      </c>
      <c r="AJ39" s="229">
        <v>4.8999999999999998E-3</v>
      </c>
      <c r="AK39" s="228">
        <v>80</v>
      </c>
      <c r="AL39" s="228">
        <v>56.5</v>
      </c>
      <c r="AM39" s="228">
        <v>23.5</v>
      </c>
      <c r="AN39" s="229">
        <v>1.4E-2</v>
      </c>
      <c r="AO39" s="231">
        <v>5701.63</v>
      </c>
      <c r="AP39" s="231">
        <v>5736.16</v>
      </c>
      <c r="AQ39" s="228">
        <v>0</v>
      </c>
      <c r="AR39" s="230">
        <v>304000</v>
      </c>
      <c r="AS39" s="230">
        <v>437625</v>
      </c>
      <c r="AT39" s="230">
        <v>-133625</v>
      </c>
      <c r="AU39" s="229">
        <v>-0.30530000000000002</v>
      </c>
      <c r="AV39" s="230">
        <v>253875</v>
      </c>
      <c r="AW39" s="230">
        <v>409750</v>
      </c>
      <c r="AX39" s="230">
        <v>-155875</v>
      </c>
      <c r="AY39" s="229">
        <v>-0.38040000000000002</v>
      </c>
      <c r="AZ39" s="230">
        <v>49125</v>
      </c>
      <c r="BA39" s="230">
        <v>26375</v>
      </c>
      <c r="BB39" s="230">
        <v>22750</v>
      </c>
      <c r="BC39" s="229">
        <v>0.86260000000000003</v>
      </c>
      <c r="BD39" s="230">
        <v>1000</v>
      </c>
      <c r="BE39" s="230">
        <v>1500</v>
      </c>
      <c r="BF39" s="228">
        <v>-500</v>
      </c>
      <c r="BG39" s="229">
        <v>-0.33329999999999999</v>
      </c>
      <c r="BH39" s="230">
        <v>754250</v>
      </c>
      <c r="BI39" s="230">
        <v>2503000</v>
      </c>
      <c r="BJ39" s="230">
        <v>-1748750</v>
      </c>
      <c r="BK39" s="229">
        <v>-0.69869999999999999</v>
      </c>
      <c r="BL39" s="230">
        <v>350250</v>
      </c>
      <c r="BM39" s="230">
        <v>706375</v>
      </c>
      <c r="BN39" s="230">
        <v>-356125</v>
      </c>
      <c r="BO39" s="229">
        <v>-0.50419999999999998</v>
      </c>
      <c r="BP39" s="230">
        <v>1408500</v>
      </c>
      <c r="BQ39" s="230">
        <v>3647000</v>
      </c>
      <c r="BR39" s="230">
        <v>-2238500</v>
      </c>
      <c r="BS39" s="229">
        <v>-0.61380000000000001</v>
      </c>
      <c r="BT39" s="230">
        <v>618830</v>
      </c>
      <c r="BU39" s="230">
        <v>358878</v>
      </c>
      <c r="BV39" s="230">
        <v>259952</v>
      </c>
      <c r="BW39" s="229">
        <v>0.72430000000000005</v>
      </c>
      <c r="BX39" s="230">
        <v>2803000</v>
      </c>
      <c r="BY39" s="230">
        <v>2789750</v>
      </c>
      <c r="BZ39" s="230">
        <v>13250</v>
      </c>
      <c r="CA39" s="229">
        <v>4.7000000000000002E-3</v>
      </c>
      <c r="CB39" s="230">
        <v>2686250</v>
      </c>
      <c r="CC39" s="230">
        <v>2690625</v>
      </c>
      <c r="CD39" s="230">
        <v>-4375</v>
      </c>
      <c r="CE39" s="229">
        <v>-1.6000000000000001E-3</v>
      </c>
      <c r="CF39" s="230">
        <v>111375</v>
      </c>
      <c r="CG39" s="230">
        <v>94000</v>
      </c>
      <c r="CH39" s="230">
        <v>17375</v>
      </c>
      <c r="CI39" s="229">
        <v>0.18479999999999999</v>
      </c>
      <c r="CJ39" s="230">
        <v>5375</v>
      </c>
      <c r="CK39" s="230">
        <v>5125</v>
      </c>
      <c r="CL39" s="228">
        <v>250</v>
      </c>
      <c r="CM39" s="229">
        <v>4.8800000000000003E-2</v>
      </c>
      <c r="CN39" s="230">
        <v>530875</v>
      </c>
      <c r="CO39" s="230">
        <v>569875</v>
      </c>
      <c r="CP39" s="230">
        <v>-39000</v>
      </c>
      <c r="CQ39" s="229">
        <v>-6.8400000000000002E-2</v>
      </c>
      <c r="CR39" s="230">
        <v>562375</v>
      </c>
      <c r="CS39" s="230">
        <v>603625</v>
      </c>
      <c r="CT39" s="230">
        <v>-41250</v>
      </c>
      <c r="CU39" s="229">
        <v>-6.83E-2</v>
      </c>
      <c r="CV39" s="230">
        <v>3896250</v>
      </c>
      <c r="CW39" s="230">
        <v>3963250</v>
      </c>
      <c r="CX39" s="230">
        <v>-67000</v>
      </c>
      <c r="CY39" s="229">
        <v>-1.6899999999999998E-2</v>
      </c>
      <c r="CZ39" s="228">
        <v>27.19</v>
      </c>
      <c r="DA39" s="228">
        <v>25.06</v>
      </c>
      <c r="DB39" s="228">
        <v>2.13</v>
      </c>
      <c r="DC39" s="228">
        <v>2.13</v>
      </c>
      <c r="DD39" s="228">
        <v>24.74</v>
      </c>
      <c r="DE39" s="228">
        <v>24.79</v>
      </c>
      <c r="DF39" s="228">
        <v>2.4500000000000002</v>
      </c>
      <c r="DG39" s="228">
        <v>-0.05</v>
      </c>
      <c r="DH39" s="228">
        <v>26.59</v>
      </c>
      <c r="DI39" s="228">
        <v>24.5</v>
      </c>
      <c r="DJ39" s="228">
        <v>2.09</v>
      </c>
      <c r="DK39" s="228">
        <v>2.09</v>
      </c>
      <c r="DL39" s="228">
        <v>28.47</v>
      </c>
      <c r="DM39" s="228">
        <v>27.06</v>
      </c>
      <c r="DN39" s="228">
        <v>1.41</v>
      </c>
      <c r="DO39" s="228">
        <v>1.41</v>
      </c>
      <c r="DP39" s="228">
        <v>1.06</v>
      </c>
      <c r="DQ39" s="228">
        <v>1.06</v>
      </c>
      <c r="DR39" s="228">
        <v>0</v>
      </c>
      <c r="DS39" s="229">
        <v>0</v>
      </c>
      <c r="DT39" s="231">
        <v>6000</v>
      </c>
      <c r="DU39" s="231">
        <v>5000</v>
      </c>
      <c r="DV39" s="228">
        <v>0.46</v>
      </c>
      <c r="DW39" s="228">
        <v>0.28000000000000003</v>
      </c>
      <c r="DX39" s="228">
        <v>0.18</v>
      </c>
      <c r="DY39" s="229">
        <v>0.64290000000000003</v>
      </c>
      <c r="DZ39" s="229">
        <v>4.1700000000000001E-2</v>
      </c>
      <c r="EA39" s="230">
        <v>99125</v>
      </c>
      <c r="EB39" s="229">
        <v>5.4000000000000003E-3</v>
      </c>
      <c r="EC39" s="229">
        <v>4.1700000000000001E-2</v>
      </c>
      <c r="ED39" s="228">
        <v>34.53</v>
      </c>
      <c r="EE39" s="229">
        <v>6.1000000000000004E-3</v>
      </c>
      <c r="EF39" s="230">
        <v>403706</v>
      </c>
      <c r="EG39" s="230">
        <v>193427</v>
      </c>
      <c r="EH39" s="229">
        <v>1.0871</v>
      </c>
      <c r="EI39" s="229">
        <v>0.65239999999999998</v>
      </c>
      <c r="EJ39" s="231">
        <v>44472.94</v>
      </c>
      <c r="EK39" s="231">
        <v>19762.419999999998</v>
      </c>
      <c r="EL39" s="231">
        <v>17350.47</v>
      </c>
      <c r="EM39" s="231">
        <v>3204</v>
      </c>
      <c r="EN39" s="231">
        <v>81585.83</v>
      </c>
      <c r="EO39" s="231">
        <v>211407.8</v>
      </c>
      <c r="EP39" s="231">
        <v>-129821.97</v>
      </c>
      <c r="EQ39" s="229">
        <v>-0.61409999999999998</v>
      </c>
      <c r="ER39" s="231">
        <v>31097</v>
      </c>
      <c r="ES39" s="231">
        <v>29500</v>
      </c>
      <c r="ET39" s="231">
        <v>159739</v>
      </c>
      <c r="EU39" s="231">
        <v>14553559</v>
      </c>
      <c r="EV39" s="231">
        <v>220337</v>
      </c>
      <c r="EW39" s="231">
        <v>225291</v>
      </c>
      <c r="EX39" s="231">
        <v>-4954</v>
      </c>
      <c r="EY39" s="229">
        <v>-2.1999999999999999E-2</v>
      </c>
      <c r="EZ39" s="229">
        <v>0.26769999999999999</v>
      </c>
      <c r="FA39" s="227" t="s">
        <v>566</v>
      </c>
      <c r="FB39" s="161">
        <f t="shared" si="0"/>
        <v>116750</v>
      </c>
    </row>
    <row r="40" spans="1:158" ht="17.25" thickBot="1" x14ac:dyDescent="0.3">
      <c r="A40" s="226">
        <v>46132</v>
      </c>
      <c r="B40" s="227" t="s">
        <v>175</v>
      </c>
      <c r="C40" s="227" t="s">
        <v>583</v>
      </c>
      <c r="D40" s="228">
        <v>375</v>
      </c>
      <c r="E40" s="231">
        <v>3477.8</v>
      </c>
      <c r="F40" s="231">
        <v>3540.9</v>
      </c>
      <c r="G40" s="228">
        <v>-63.1</v>
      </c>
      <c r="H40" s="229">
        <v>-1.78E-2</v>
      </c>
      <c r="I40" s="231">
        <v>3470.7</v>
      </c>
      <c r="J40" s="231">
        <v>3531.5</v>
      </c>
      <c r="K40" s="228">
        <v>-60.8</v>
      </c>
      <c r="L40" s="229">
        <v>-1.72E-2</v>
      </c>
      <c r="M40" s="231">
        <v>3477.8</v>
      </c>
      <c r="N40" s="231">
        <v>3540.9</v>
      </c>
      <c r="O40" s="228">
        <v>-63.1</v>
      </c>
      <c r="P40" s="229">
        <v>-1.78E-2</v>
      </c>
      <c r="Q40" s="231">
        <v>3482.4</v>
      </c>
      <c r="R40" s="231">
        <v>3542.2</v>
      </c>
      <c r="S40" s="228">
        <v>-59.8</v>
      </c>
      <c r="T40" s="229">
        <v>-1.6899999999999998E-2</v>
      </c>
      <c r="U40" s="231">
        <v>3490.6</v>
      </c>
      <c r="V40" s="231">
        <v>3546.4</v>
      </c>
      <c r="W40" s="228">
        <v>-55.8</v>
      </c>
      <c r="X40" s="229">
        <v>-1.5699999999999999E-2</v>
      </c>
      <c r="Y40" s="228">
        <v>7.1</v>
      </c>
      <c r="Z40" s="228">
        <v>9.4</v>
      </c>
      <c r="AA40" s="228">
        <v>-2.2999999999999998</v>
      </c>
      <c r="AB40" s="229">
        <v>2E-3</v>
      </c>
      <c r="AC40" s="228">
        <v>7.1</v>
      </c>
      <c r="AD40" s="228">
        <v>9.4</v>
      </c>
      <c r="AE40" s="228">
        <v>-2.2999999999999998</v>
      </c>
      <c r="AF40" s="229">
        <v>2E-3</v>
      </c>
      <c r="AG40" s="228">
        <v>11.7</v>
      </c>
      <c r="AH40" s="228">
        <v>10.7</v>
      </c>
      <c r="AI40" s="228">
        <v>1</v>
      </c>
      <c r="AJ40" s="229">
        <v>3.3999999999999998E-3</v>
      </c>
      <c r="AK40" s="228">
        <v>19.899999999999999</v>
      </c>
      <c r="AL40" s="228">
        <v>14.9</v>
      </c>
      <c r="AM40" s="228">
        <v>5</v>
      </c>
      <c r="AN40" s="229">
        <v>5.7000000000000002E-3</v>
      </c>
      <c r="AO40" s="231">
        <v>3509.68</v>
      </c>
      <c r="AP40" s="231">
        <v>3510.6</v>
      </c>
      <c r="AQ40" s="228">
        <v>0</v>
      </c>
      <c r="AR40" s="230">
        <v>3245625</v>
      </c>
      <c r="AS40" s="230">
        <v>5644875</v>
      </c>
      <c r="AT40" s="230">
        <v>-2399250</v>
      </c>
      <c r="AU40" s="229">
        <v>-0.42499999999999999</v>
      </c>
      <c r="AV40" s="230">
        <v>2484000</v>
      </c>
      <c r="AW40" s="230">
        <v>4706250</v>
      </c>
      <c r="AX40" s="230">
        <v>-2222250</v>
      </c>
      <c r="AY40" s="229">
        <v>-0.47220000000000001</v>
      </c>
      <c r="AZ40" s="230">
        <v>696750</v>
      </c>
      <c r="BA40" s="230">
        <v>808125</v>
      </c>
      <c r="BB40" s="230">
        <v>-111375</v>
      </c>
      <c r="BC40" s="229">
        <v>-0.13780000000000001</v>
      </c>
      <c r="BD40" s="230">
        <v>64875</v>
      </c>
      <c r="BE40" s="230">
        <v>130500</v>
      </c>
      <c r="BF40" s="230">
        <v>-65625</v>
      </c>
      <c r="BG40" s="229">
        <v>-0.50290000000000001</v>
      </c>
      <c r="BH40" s="230">
        <v>11482500</v>
      </c>
      <c r="BI40" s="230">
        <v>33615750</v>
      </c>
      <c r="BJ40" s="230">
        <v>-22133250</v>
      </c>
      <c r="BK40" s="229">
        <v>-0.65839999999999999</v>
      </c>
      <c r="BL40" s="230">
        <v>14944875</v>
      </c>
      <c r="BM40" s="230">
        <v>25735875</v>
      </c>
      <c r="BN40" s="230">
        <v>-10791000</v>
      </c>
      <c r="BO40" s="229">
        <v>-0.41930000000000001</v>
      </c>
      <c r="BP40" s="230">
        <v>29673000</v>
      </c>
      <c r="BQ40" s="230">
        <v>64996500</v>
      </c>
      <c r="BR40" s="230">
        <v>-35323500</v>
      </c>
      <c r="BS40" s="229">
        <v>-0.54349999999999998</v>
      </c>
      <c r="BT40" s="230">
        <v>3517096</v>
      </c>
      <c r="BU40" s="230">
        <v>6083283</v>
      </c>
      <c r="BV40" s="230">
        <v>-2566187</v>
      </c>
      <c r="BW40" s="229">
        <v>-0.42180000000000001</v>
      </c>
      <c r="BX40" s="230">
        <v>8185125</v>
      </c>
      <c r="BY40" s="230">
        <v>8407500</v>
      </c>
      <c r="BZ40" s="230">
        <v>-222375</v>
      </c>
      <c r="CA40" s="229">
        <v>-2.64E-2</v>
      </c>
      <c r="CB40" s="230">
        <v>6739125</v>
      </c>
      <c r="CC40" s="230">
        <v>7321500</v>
      </c>
      <c r="CD40" s="230">
        <v>-582375</v>
      </c>
      <c r="CE40" s="229">
        <v>-7.9500000000000001E-2</v>
      </c>
      <c r="CF40" s="230">
        <v>1301250</v>
      </c>
      <c r="CG40" s="230">
        <v>949500</v>
      </c>
      <c r="CH40" s="230">
        <v>351750</v>
      </c>
      <c r="CI40" s="229">
        <v>0.3705</v>
      </c>
      <c r="CJ40" s="230">
        <v>144750</v>
      </c>
      <c r="CK40" s="230">
        <v>136500</v>
      </c>
      <c r="CL40" s="230">
        <v>8250</v>
      </c>
      <c r="CM40" s="229">
        <v>6.0400000000000002E-2</v>
      </c>
      <c r="CN40" s="230">
        <v>8366250</v>
      </c>
      <c r="CO40" s="230">
        <v>8000250</v>
      </c>
      <c r="CP40" s="230">
        <v>366000</v>
      </c>
      <c r="CQ40" s="229">
        <v>4.5699999999999998E-2</v>
      </c>
      <c r="CR40" s="230">
        <v>10164000</v>
      </c>
      <c r="CS40" s="230">
        <v>10598625</v>
      </c>
      <c r="CT40" s="230">
        <v>-434625</v>
      </c>
      <c r="CU40" s="229">
        <v>-4.1000000000000002E-2</v>
      </c>
      <c r="CV40" s="230">
        <v>26715375</v>
      </c>
      <c r="CW40" s="230">
        <v>27006375</v>
      </c>
      <c r="CX40" s="230">
        <v>-291000</v>
      </c>
      <c r="CY40" s="229">
        <v>-1.0800000000000001E-2</v>
      </c>
      <c r="CZ40" s="228">
        <v>45.62</v>
      </c>
      <c r="DA40" s="228">
        <v>41.49</v>
      </c>
      <c r="DB40" s="228">
        <v>4.13</v>
      </c>
      <c r="DC40" s="228">
        <v>4.13</v>
      </c>
      <c r="DD40" s="228">
        <v>59.12</v>
      </c>
      <c r="DE40" s="228">
        <v>59.22</v>
      </c>
      <c r="DF40" s="228">
        <v>-13.5</v>
      </c>
      <c r="DG40" s="228">
        <v>-0.1</v>
      </c>
      <c r="DH40" s="228">
        <v>42.94</v>
      </c>
      <c r="DI40" s="228">
        <v>38.4</v>
      </c>
      <c r="DJ40" s="228">
        <v>4.54</v>
      </c>
      <c r="DK40" s="228">
        <v>4.54</v>
      </c>
      <c r="DL40" s="228">
        <v>47.68</v>
      </c>
      <c r="DM40" s="228">
        <v>45.53</v>
      </c>
      <c r="DN40" s="228">
        <v>2.15</v>
      </c>
      <c r="DO40" s="228">
        <v>2.15</v>
      </c>
      <c r="DP40" s="228">
        <v>1.21</v>
      </c>
      <c r="DQ40" s="228">
        <v>1.32</v>
      </c>
      <c r="DR40" s="228">
        <v>-0.11</v>
      </c>
      <c r="DS40" s="229">
        <v>-8.3299999999999999E-2</v>
      </c>
      <c r="DT40" s="231">
        <v>3500</v>
      </c>
      <c r="DU40" s="231">
        <v>3200</v>
      </c>
      <c r="DV40" s="228">
        <v>1.3</v>
      </c>
      <c r="DW40" s="228">
        <v>0.77</v>
      </c>
      <c r="DX40" s="228">
        <v>0.53</v>
      </c>
      <c r="DY40" s="229">
        <v>0.68830000000000002</v>
      </c>
      <c r="DZ40" s="229">
        <v>0.1767</v>
      </c>
      <c r="EA40" s="230">
        <v>1086000</v>
      </c>
      <c r="EB40" s="229">
        <v>1.2999999999999999E-3</v>
      </c>
      <c r="EC40" s="229">
        <v>0.1767</v>
      </c>
      <c r="ED40" s="228">
        <v>0.92</v>
      </c>
      <c r="EE40" s="229">
        <v>2.9999999999999997E-4</v>
      </c>
      <c r="EF40" s="230">
        <v>1238929</v>
      </c>
      <c r="EG40" s="230">
        <v>1244324</v>
      </c>
      <c r="EH40" s="229">
        <v>-4.3E-3</v>
      </c>
      <c r="EI40" s="229">
        <v>0.3523</v>
      </c>
      <c r="EJ40" s="231">
        <v>420941.71</v>
      </c>
      <c r="EK40" s="231">
        <v>501100.34</v>
      </c>
      <c r="EL40" s="231">
        <v>113926.44</v>
      </c>
      <c r="EM40" s="231">
        <v>10306</v>
      </c>
      <c r="EN40" s="231">
        <v>1035968.49</v>
      </c>
      <c r="EO40" s="231">
        <v>2284354.33</v>
      </c>
      <c r="EP40" s="231">
        <v>-1248385.8400000001</v>
      </c>
      <c r="EQ40" s="229">
        <v>-0.54649999999999999</v>
      </c>
      <c r="ER40" s="231">
        <v>281566</v>
      </c>
      <c r="ES40" s="231">
        <v>311783</v>
      </c>
      <c r="ET40" s="231">
        <v>284741</v>
      </c>
      <c r="EU40" s="231">
        <v>61182611</v>
      </c>
      <c r="EV40" s="231">
        <v>878089</v>
      </c>
      <c r="EW40" s="231">
        <v>890755</v>
      </c>
      <c r="EX40" s="231">
        <v>-12666</v>
      </c>
      <c r="EY40" s="229">
        <v>-1.4200000000000001E-2</v>
      </c>
      <c r="EZ40" s="229">
        <v>0.43659999999999999</v>
      </c>
      <c r="FA40" s="227" t="s">
        <v>567</v>
      </c>
      <c r="FB40" s="161">
        <f t="shared" si="0"/>
        <v>1446000</v>
      </c>
    </row>
    <row r="41" spans="1:158" ht="17.25" thickBot="1" x14ac:dyDescent="0.3">
      <c r="A41" s="226">
        <v>46132</v>
      </c>
      <c r="B41" s="227" t="s">
        <v>175</v>
      </c>
      <c r="C41" s="227" t="s">
        <v>610</v>
      </c>
      <c r="D41" s="228">
        <v>750</v>
      </c>
      <c r="E41" s="228">
        <v>747.55</v>
      </c>
      <c r="F41" s="228">
        <v>752.35</v>
      </c>
      <c r="G41" s="228">
        <v>-4.8</v>
      </c>
      <c r="H41" s="229">
        <v>-6.4000000000000003E-3</v>
      </c>
      <c r="I41" s="228">
        <v>749.25</v>
      </c>
      <c r="J41" s="228">
        <v>750.15</v>
      </c>
      <c r="K41" s="228">
        <v>-0.9</v>
      </c>
      <c r="L41" s="229">
        <v>-1.1999999999999999E-3</v>
      </c>
      <c r="M41" s="228">
        <v>747.55</v>
      </c>
      <c r="N41" s="228">
        <v>752.35</v>
      </c>
      <c r="O41" s="228">
        <v>-4.8</v>
      </c>
      <c r="P41" s="229">
        <v>-6.4000000000000003E-3</v>
      </c>
      <c r="Q41" s="228">
        <v>740.85</v>
      </c>
      <c r="R41" s="228">
        <v>742.7</v>
      </c>
      <c r="S41" s="228">
        <v>-1.85</v>
      </c>
      <c r="T41" s="229">
        <v>-2.5000000000000001E-3</v>
      </c>
      <c r="U41" s="228">
        <v>738.25</v>
      </c>
      <c r="V41" s="228">
        <v>738.65</v>
      </c>
      <c r="W41" s="228">
        <v>-0.4</v>
      </c>
      <c r="X41" s="229">
        <v>-5.0000000000000001E-4</v>
      </c>
      <c r="Y41" s="228">
        <v>-1.7</v>
      </c>
      <c r="Z41" s="228">
        <v>2.2000000000000002</v>
      </c>
      <c r="AA41" s="228">
        <v>-3.9</v>
      </c>
      <c r="AB41" s="229">
        <v>-2.3E-3</v>
      </c>
      <c r="AC41" s="228">
        <v>-1.7</v>
      </c>
      <c r="AD41" s="228">
        <v>2.2000000000000002</v>
      </c>
      <c r="AE41" s="228">
        <v>-3.9</v>
      </c>
      <c r="AF41" s="229">
        <v>-2.3E-3</v>
      </c>
      <c r="AG41" s="228">
        <v>-8.4</v>
      </c>
      <c r="AH41" s="228">
        <v>-7.45</v>
      </c>
      <c r="AI41" s="228">
        <v>-0.95</v>
      </c>
      <c r="AJ41" s="229">
        <v>-1.12E-2</v>
      </c>
      <c r="AK41" s="228">
        <v>-11</v>
      </c>
      <c r="AL41" s="228">
        <v>-11.5</v>
      </c>
      <c r="AM41" s="228">
        <v>0.5</v>
      </c>
      <c r="AN41" s="229">
        <v>-1.47E-2</v>
      </c>
      <c r="AO41" s="228">
        <v>746.24</v>
      </c>
      <c r="AP41" s="228">
        <v>738.82</v>
      </c>
      <c r="AQ41" s="228">
        <v>0</v>
      </c>
      <c r="AR41" s="230">
        <v>1215750</v>
      </c>
      <c r="AS41" s="230">
        <v>2547000</v>
      </c>
      <c r="AT41" s="230">
        <v>-1331250</v>
      </c>
      <c r="AU41" s="229">
        <v>-0.52270000000000005</v>
      </c>
      <c r="AV41" s="230">
        <v>889500</v>
      </c>
      <c r="AW41" s="230">
        <v>1964250</v>
      </c>
      <c r="AX41" s="230">
        <v>-1074750</v>
      </c>
      <c r="AY41" s="229">
        <v>-0.54720000000000002</v>
      </c>
      <c r="AZ41" s="230">
        <v>307500</v>
      </c>
      <c r="BA41" s="230">
        <v>542250</v>
      </c>
      <c r="BB41" s="230">
        <v>-234750</v>
      </c>
      <c r="BC41" s="229">
        <v>-0.43290000000000001</v>
      </c>
      <c r="BD41" s="230">
        <v>18750</v>
      </c>
      <c r="BE41" s="230">
        <v>40500</v>
      </c>
      <c r="BF41" s="230">
        <v>-21750</v>
      </c>
      <c r="BG41" s="229">
        <v>-0.53700000000000003</v>
      </c>
      <c r="BH41" s="230">
        <v>2543250</v>
      </c>
      <c r="BI41" s="230">
        <v>6810750</v>
      </c>
      <c r="BJ41" s="230">
        <v>-4267500</v>
      </c>
      <c r="BK41" s="229">
        <v>-0.62660000000000005</v>
      </c>
      <c r="BL41" s="230">
        <v>2153250</v>
      </c>
      <c r="BM41" s="230">
        <v>3327000</v>
      </c>
      <c r="BN41" s="230">
        <v>-1173750</v>
      </c>
      <c r="BO41" s="229">
        <v>-0.3528</v>
      </c>
      <c r="BP41" s="230">
        <v>5912250</v>
      </c>
      <c r="BQ41" s="230">
        <v>12684750</v>
      </c>
      <c r="BR41" s="230">
        <v>-6772500</v>
      </c>
      <c r="BS41" s="229">
        <v>-0.53390000000000004</v>
      </c>
      <c r="BT41" s="230">
        <v>1102969</v>
      </c>
      <c r="BU41" s="230">
        <v>2371105</v>
      </c>
      <c r="BV41" s="230">
        <v>-1268136</v>
      </c>
      <c r="BW41" s="229">
        <v>-0.53480000000000005</v>
      </c>
      <c r="BX41" s="230">
        <v>7620750</v>
      </c>
      <c r="BY41" s="230">
        <v>7596000</v>
      </c>
      <c r="BZ41" s="230">
        <v>24750</v>
      </c>
      <c r="CA41" s="229">
        <v>3.3E-3</v>
      </c>
      <c r="CB41" s="230">
        <v>6304500</v>
      </c>
      <c r="CC41" s="230">
        <v>6367500</v>
      </c>
      <c r="CD41" s="230">
        <v>-63000</v>
      </c>
      <c r="CE41" s="229">
        <v>-9.9000000000000008E-3</v>
      </c>
      <c r="CF41" s="230">
        <v>1236750</v>
      </c>
      <c r="CG41" s="230">
        <v>1156500</v>
      </c>
      <c r="CH41" s="230">
        <v>80250</v>
      </c>
      <c r="CI41" s="229">
        <v>6.9400000000000003E-2</v>
      </c>
      <c r="CJ41" s="230">
        <v>79500</v>
      </c>
      <c r="CK41" s="230">
        <v>72000</v>
      </c>
      <c r="CL41" s="230">
        <v>7500</v>
      </c>
      <c r="CM41" s="229">
        <v>0.1042</v>
      </c>
      <c r="CN41" s="230">
        <v>3016500</v>
      </c>
      <c r="CO41" s="230">
        <v>2984250</v>
      </c>
      <c r="CP41" s="230">
        <v>32250</v>
      </c>
      <c r="CQ41" s="229">
        <v>1.0800000000000001E-2</v>
      </c>
      <c r="CR41" s="230">
        <v>2523750</v>
      </c>
      <c r="CS41" s="230">
        <v>2545500</v>
      </c>
      <c r="CT41" s="230">
        <v>-21750</v>
      </c>
      <c r="CU41" s="229">
        <v>-8.5000000000000006E-3</v>
      </c>
      <c r="CV41" s="230">
        <v>13161000</v>
      </c>
      <c r="CW41" s="230">
        <v>13125750</v>
      </c>
      <c r="CX41" s="230">
        <v>35250</v>
      </c>
      <c r="CY41" s="229">
        <v>2.7000000000000001E-3</v>
      </c>
      <c r="CZ41" s="228">
        <v>34.97</v>
      </c>
      <c r="DA41" s="228">
        <v>32.450000000000003</v>
      </c>
      <c r="DB41" s="228">
        <v>2.52</v>
      </c>
      <c r="DC41" s="228">
        <v>2.52</v>
      </c>
      <c r="DD41" s="228">
        <v>40.86</v>
      </c>
      <c r="DE41" s="228">
        <v>40.96</v>
      </c>
      <c r="DF41" s="228">
        <v>-5.89</v>
      </c>
      <c r="DG41" s="228">
        <v>-0.1</v>
      </c>
      <c r="DH41" s="228">
        <v>33.21</v>
      </c>
      <c r="DI41" s="228">
        <v>30.68</v>
      </c>
      <c r="DJ41" s="228">
        <v>2.5299999999999998</v>
      </c>
      <c r="DK41" s="228">
        <v>2.5299999999999998</v>
      </c>
      <c r="DL41" s="228">
        <v>37.049999999999997</v>
      </c>
      <c r="DM41" s="228">
        <v>36.06</v>
      </c>
      <c r="DN41" s="228">
        <v>0.99</v>
      </c>
      <c r="DO41" s="228">
        <v>0.99</v>
      </c>
      <c r="DP41" s="228">
        <v>0.84</v>
      </c>
      <c r="DQ41" s="228">
        <v>0.85</v>
      </c>
      <c r="DR41" s="228">
        <v>-0.01</v>
      </c>
      <c r="DS41" s="229">
        <v>-1.18E-2</v>
      </c>
      <c r="DT41" s="228">
        <v>800</v>
      </c>
      <c r="DU41" s="228">
        <v>700</v>
      </c>
      <c r="DV41" s="228">
        <v>0.85</v>
      </c>
      <c r="DW41" s="228">
        <v>0.49</v>
      </c>
      <c r="DX41" s="228">
        <v>0.36</v>
      </c>
      <c r="DY41" s="229">
        <v>0.73470000000000002</v>
      </c>
      <c r="DZ41" s="229">
        <v>0.17269999999999999</v>
      </c>
      <c r="EA41" s="230">
        <v>1228500</v>
      </c>
      <c r="EB41" s="229">
        <v>-8.9999999999999993E-3</v>
      </c>
      <c r="EC41" s="229">
        <v>0.17269999999999999</v>
      </c>
      <c r="ED41" s="228">
        <v>-7.42</v>
      </c>
      <c r="EE41" s="229">
        <v>-9.9000000000000008E-3</v>
      </c>
      <c r="EF41" s="230">
        <v>428997</v>
      </c>
      <c r="EG41" s="230">
        <v>1017656</v>
      </c>
      <c r="EH41" s="229">
        <v>-0.57840000000000003</v>
      </c>
      <c r="EI41" s="229">
        <v>0.38890000000000002</v>
      </c>
      <c r="EJ41" s="231">
        <v>19795.349999999999</v>
      </c>
      <c r="EK41" s="231">
        <v>15778.02</v>
      </c>
      <c r="EL41" s="231">
        <v>9047.9</v>
      </c>
      <c r="EM41" s="231">
        <v>2687</v>
      </c>
      <c r="EN41" s="231">
        <v>44621.27</v>
      </c>
      <c r="EO41" s="231">
        <v>95881.34</v>
      </c>
      <c r="EP41" s="231">
        <v>-51260.07</v>
      </c>
      <c r="EQ41" s="229">
        <v>-0.53459999999999996</v>
      </c>
      <c r="ER41" s="231">
        <v>22466</v>
      </c>
      <c r="ES41" s="231">
        <v>17292</v>
      </c>
      <c r="ET41" s="231">
        <v>56879</v>
      </c>
      <c r="EU41" s="231">
        <v>37147595</v>
      </c>
      <c r="EV41" s="231">
        <v>96637</v>
      </c>
      <c r="EW41" s="231">
        <v>96600</v>
      </c>
      <c r="EX41" s="228">
        <v>37</v>
      </c>
      <c r="EY41" s="229">
        <v>4.0000000000000002E-4</v>
      </c>
      <c r="EZ41" s="229">
        <v>0.3543</v>
      </c>
      <c r="FA41" s="227" t="s">
        <v>566</v>
      </c>
      <c r="FB41" s="161">
        <f t="shared" si="0"/>
        <v>1316250</v>
      </c>
    </row>
    <row r="42" spans="1:158" ht="17.25" thickBot="1" x14ac:dyDescent="0.3">
      <c r="A42" s="226">
        <v>46132</v>
      </c>
      <c r="B42" s="227" t="s">
        <v>172</v>
      </c>
      <c r="C42" s="227" t="s">
        <v>196</v>
      </c>
      <c r="D42" s="228">
        <v>6750</v>
      </c>
      <c r="E42" s="228">
        <v>143.07</v>
      </c>
      <c r="F42" s="228">
        <v>142.61000000000001</v>
      </c>
      <c r="G42" s="228">
        <v>0.46</v>
      </c>
      <c r="H42" s="229">
        <v>3.2000000000000002E-3</v>
      </c>
      <c r="I42" s="228">
        <v>142.74</v>
      </c>
      <c r="J42" s="228">
        <v>142.37</v>
      </c>
      <c r="K42" s="228">
        <v>0.37</v>
      </c>
      <c r="L42" s="229">
        <v>2.5999999999999999E-3</v>
      </c>
      <c r="M42" s="228">
        <v>143.07</v>
      </c>
      <c r="N42" s="228">
        <v>142.61000000000001</v>
      </c>
      <c r="O42" s="228">
        <v>0.46</v>
      </c>
      <c r="P42" s="229">
        <v>3.2000000000000002E-3</v>
      </c>
      <c r="Q42" s="228">
        <v>143.77000000000001</v>
      </c>
      <c r="R42" s="228">
        <v>143.41</v>
      </c>
      <c r="S42" s="228">
        <v>0.36</v>
      </c>
      <c r="T42" s="229">
        <v>2.5000000000000001E-3</v>
      </c>
      <c r="U42" s="228">
        <v>144.56</v>
      </c>
      <c r="V42" s="228">
        <v>144.37</v>
      </c>
      <c r="W42" s="228">
        <v>0.19</v>
      </c>
      <c r="X42" s="229">
        <v>1.2999999999999999E-3</v>
      </c>
      <c r="Y42" s="228">
        <v>0.33</v>
      </c>
      <c r="Z42" s="228">
        <v>0.24</v>
      </c>
      <c r="AA42" s="228">
        <v>0.09</v>
      </c>
      <c r="AB42" s="229">
        <v>2.3E-3</v>
      </c>
      <c r="AC42" s="228">
        <v>0.33</v>
      </c>
      <c r="AD42" s="228">
        <v>0.24</v>
      </c>
      <c r="AE42" s="228">
        <v>0.09</v>
      </c>
      <c r="AF42" s="229">
        <v>2.3E-3</v>
      </c>
      <c r="AG42" s="228">
        <v>1.03</v>
      </c>
      <c r="AH42" s="228">
        <v>1.04</v>
      </c>
      <c r="AI42" s="228">
        <v>-0.01</v>
      </c>
      <c r="AJ42" s="229">
        <v>7.1999999999999998E-3</v>
      </c>
      <c r="AK42" s="228">
        <v>1.82</v>
      </c>
      <c r="AL42" s="228">
        <v>2</v>
      </c>
      <c r="AM42" s="228">
        <v>-0.18</v>
      </c>
      <c r="AN42" s="229">
        <v>1.2800000000000001E-2</v>
      </c>
      <c r="AO42" s="228">
        <v>143.62</v>
      </c>
      <c r="AP42" s="228">
        <v>144.47</v>
      </c>
      <c r="AQ42" s="228">
        <v>0</v>
      </c>
      <c r="AR42" s="230">
        <v>50901750</v>
      </c>
      <c r="AS42" s="230">
        <v>51306750</v>
      </c>
      <c r="AT42" s="230">
        <v>-405000</v>
      </c>
      <c r="AU42" s="229">
        <v>-7.9000000000000008E-3</v>
      </c>
      <c r="AV42" s="230">
        <v>38414250</v>
      </c>
      <c r="AW42" s="230">
        <v>32609250</v>
      </c>
      <c r="AX42" s="230">
        <v>5805000</v>
      </c>
      <c r="AY42" s="229">
        <v>0.17799999999999999</v>
      </c>
      <c r="AZ42" s="230">
        <v>11691000</v>
      </c>
      <c r="BA42" s="230">
        <v>6061500</v>
      </c>
      <c r="BB42" s="230">
        <v>5629500</v>
      </c>
      <c r="BC42" s="229">
        <v>0.92869999999999997</v>
      </c>
      <c r="BD42" s="230">
        <v>796500</v>
      </c>
      <c r="BE42" s="230">
        <v>12636000</v>
      </c>
      <c r="BF42" s="230">
        <v>-11839500</v>
      </c>
      <c r="BG42" s="229">
        <v>-0.93700000000000006</v>
      </c>
      <c r="BH42" s="230">
        <v>102377250</v>
      </c>
      <c r="BI42" s="230">
        <v>65164500</v>
      </c>
      <c r="BJ42" s="230">
        <v>37212750</v>
      </c>
      <c r="BK42" s="229">
        <v>0.57110000000000005</v>
      </c>
      <c r="BL42" s="230">
        <v>71239500</v>
      </c>
      <c r="BM42" s="230">
        <v>37084500</v>
      </c>
      <c r="BN42" s="230">
        <v>34155000</v>
      </c>
      <c r="BO42" s="229">
        <v>0.92100000000000004</v>
      </c>
      <c r="BP42" s="230">
        <v>224518500</v>
      </c>
      <c r="BQ42" s="230">
        <v>153555750</v>
      </c>
      <c r="BR42" s="230">
        <v>70962750</v>
      </c>
      <c r="BS42" s="229">
        <v>0.46210000000000001</v>
      </c>
      <c r="BT42" s="230">
        <v>21950604</v>
      </c>
      <c r="BU42" s="230">
        <v>14964789</v>
      </c>
      <c r="BV42" s="230">
        <v>6985815</v>
      </c>
      <c r="BW42" s="229">
        <v>0.46679999999999999</v>
      </c>
      <c r="BX42" s="230">
        <v>201150000</v>
      </c>
      <c r="BY42" s="230">
        <v>198470250</v>
      </c>
      <c r="BZ42" s="230">
        <v>2679750</v>
      </c>
      <c r="CA42" s="229">
        <v>1.35E-2</v>
      </c>
      <c r="CB42" s="230">
        <v>164517750</v>
      </c>
      <c r="CC42" s="230">
        <v>167514750</v>
      </c>
      <c r="CD42" s="230">
        <v>-2997000</v>
      </c>
      <c r="CE42" s="229">
        <v>-1.7899999999999999E-2</v>
      </c>
      <c r="CF42" s="230">
        <v>22774500</v>
      </c>
      <c r="CG42" s="230">
        <v>17138250</v>
      </c>
      <c r="CH42" s="230">
        <v>5636250</v>
      </c>
      <c r="CI42" s="229">
        <v>0.32890000000000003</v>
      </c>
      <c r="CJ42" s="230">
        <v>13857750</v>
      </c>
      <c r="CK42" s="230">
        <v>13817250</v>
      </c>
      <c r="CL42" s="230">
        <v>40500</v>
      </c>
      <c r="CM42" s="229">
        <v>2.8999999999999998E-3</v>
      </c>
      <c r="CN42" s="230">
        <v>79562250</v>
      </c>
      <c r="CO42" s="230">
        <v>75303000</v>
      </c>
      <c r="CP42" s="230">
        <v>4259250</v>
      </c>
      <c r="CQ42" s="229">
        <v>5.6599999999999998E-2</v>
      </c>
      <c r="CR42" s="230">
        <v>73946250</v>
      </c>
      <c r="CS42" s="230">
        <v>69835500</v>
      </c>
      <c r="CT42" s="230">
        <v>4110750</v>
      </c>
      <c r="CU42" s="229">
        <v>5.8900000000000001E-2</v>
      </c>
      <c r="CV42" s="230">
        <v>354658500</v>
      </c>
      <c r="CW42" s="230">
        <v>343608750</v>
      </c>
      <c r="CX42" s="230">
        <v>11049750</v>
      </c>
      <c r="CY42" s="229">
        <v>3.2199999999999999E-2</v>
      </c>
      <c r="CZ42" s="228">
        <v>39.24</v>
      </c>
      <c r="DA42" s="228">
        <v>35.15</v>
      </c>
      <c r="DB42" s="228">
        <v>4.09</v>
      </c>
      <c r="DC42" s="228">
        <v>4.09</v>
      </c>
      <c r="DD42" s="228">
        <v>39.04</v>
      </c>
      <c r="DE42" s="228">
        <v>39.14</v>
      </c>
      <c r="DF42" s="228">
        <v>0.2</v>
      </c>
      <c r="DG42" s="228">
        <v>-0.1</v>
      </c>
      <c r="DH42" s="228">
        <v>37.39</v>
      </c>
      <c r="DI42" s="228">
        <v>33.97</v>
      </c>
      <c r="DJ42" s="228">
        <v>3.42</v>
      </c>
      <c r="DK42" s="228">
        <v>3.42</v>
      </c>
      <c r="DL42" s="228">
        <v>41.91</v>
      </c>
      <c r="DM42" s="228">
        <v>37.229999999999997</v>
      </c>
      <c r="DN42" s="228">
        <v>4.68</v>
      </c>
      <c r="DO42" s="228">
        <v>4.68</v>
      </c>
      <c r="DP42" s="228">
        <v>0.93</v>
      </c>
      <c r="DQ42" s="228">
        <v>0.93</v>
      </c>
      <c r="DR42" s="228">
        <v>0</v>
      </c>
      <c r="DS42" s="229">
        <v>0</v>
      </c>
      <c r="DT42" s="228">
        <v>150</v>
      </c>
      <c r="DU42" s="228">
        <v>140</v>
      </c>
      <c r="DV42" s="228">
        <v>0.7</v>
      </c>
      <c r="DW42" s="228">
        <v>0.56999999999999995</v>
      </c>
      <c r="DX42" s="228">
        <v>0.13</v>
      </c>
      <c r="DY42" s="229">
        <v>0.2281</v>
      </c>
      <c r="DZ42" s="229">
        <v>0.18210000000000001</v>
      </c>
      <c r="EA42" s="230">
        <v>30955500</v>
      </c>
      <c r="EB42" s="229">
        <v>4.8999999999999998E-3</v>
      </c>
      <c r="EC42" s="229">
        <v>0.18210000000000001</v>
      </c>
      <c r="ED42" s="228">
        <v>0.85</v>
      </c>
      <c r="EE42" s="229">
        <v>5.8999999999999999E-3</v>
      </c>
      <c r="EF42" s="230">
        <v>8207157</v>
      </c>
      <c r="EG42" s="230">
        <v>5133895</v>
      </c>
      <c r="EH42" s="229">
        <v>0.59860000000000002</v>
      </c>
      <c r="EI42" s="229">
        <v>0.37390000000000001</v>
      </c>
      <c r="EJ42" s="231">
        <v>152530.65</v>
      </c>
      <c r="EK42" s="231">
        <v>100904.96000000001</v>
      </c>
      <c r="EL42" s="231">
        <v>73216.179999999993</v>
      </c>
      <c r="EM42" s="231">
        <v>5593</v>
      </c>
      <c r="EN42" s="231">
        <v>326651.78999999998</v>
      </c>
      <c r="EO42" s="231">
        <v>221664.32</v>
      </c>
      <c r="EP42" s="231">
        <v>104987.47</v>
      </c>
      <c r="EQ42" s="229">
        <v>0.47360000000000002</v>
      </c>
      <c r="ER42" s="231">
        <v>114288</v>
      </c>
      <c r="ES42" s="231">
        <v>100628</v>
      </c>
      <c r="ET42" s="231">
        <v>288151</v>
      </c>
      <c r="EU42" s="231">
        <v>504315430</v>
      </c>
      <c r="EV42" s="231">
        <v>503067</v>
      </c>
      <c r="EW42" s="231">
        <v>485993</v>
      </c>
      <c r="EX42" s="231">
        <v>17074</v>
      </c>
      <c r="EY42" s="229">
        <v>3.5099999999999999E-2</v>
      </c>
      <c r="EZ42" s="229">
        <v>0.70320000000000005</v>
      </c>
      <c r="FA42" s="227" t="s">
        <v>555</v>
      </c>
      <c r="FB42" s="161">
        <f t="shared" si="0"/>
        <v>36632250</v>
      </c>
    </row>
    <row r="43" spans="1:158" ht="17.25" thickBot="1" x14ac:dyDescent="0.3">
      <c r="A43" s="226">
        <v>46132</v>
      </c>
      <c r="B43" s="227" t="s">
        <v>175</v>
      </c>
      <c r="C43" s="227" t="s">
        <v>596</v>
      </c>
      <c r="D43" s="228">
        <v>475</v>
      </c>
      <c r="E43" s="231">
        <v>1365.7</v>
      </c>
      <c r="F43" s="231">
        <v>1396.1</v>
      </c>
      <c r="G43" s="228">
        <v>-30.4</v>
      </c>
      <c r="H43" s="229">
        <v>-2.18E-2</v>
      </c>
      <c r="I43" s="231">
        <v>1370.3</v>
      </c>
      <c r="J43" s="231">
        <v>1393.2</v>
      </c>
      <c r="K43" s="228">
        <v>-22.9</v>
      </c>
      <c r="L43" s="229">
        <v>-1.6400000000000001E-2</v>
      </c>
      <c r="M43" s="231">
        <v>1365.7</v>
      </c>
      <c r="N43" s="231">
        <v>1396.1</v>
      </c>
      <c r="O43" s="228">
        <v>-30.4</v>
      </c>
      <c r="P43" s="229">
        <v>-2.18E-2</v>
      </c>
      <c r="Q43" s="231">
        <v>1357.4</v>
      </c>
      <c r="R43" s="231">
        <v>1386.2</v>
      </c>
      <c r="S43" s="228">
        <v>-28.8</v>
      </c>
      <c r="T43" s="229">
        <v>-2.0799999999999999E-2</v>
      </c>
      <c r="U43" s="231">
        <v>1354.6</v>
      </c>
      <c r="V43" s="231">
        <v>1380.7</v>
      </c>
      <c r="W43" s="228">
        <v>-26.1</v>
      </c>
      <c r="X43" s="229">
        <v>-1.89E-2</v>
      </c>
      <c r="Y43" s="228">
        <v>-4.5999999999999996</v>
      </c>
      <c r="Z43" s="228">
        <v>2.9</v>
      </c>
      <c r="AA43" s="228">
        <v>-7.5</v>
      </c>
      <c r="AB43" s="229">
        <v>-3.3999999999999998E-3</v>
      </c>
      <c r="AC43" s="228">
        <v>-4.5999999999999996</v>
      </c>
      <c r="AD43" s="228">
        <v>2.9</v>
      </c>
      <c r="AE43" s="228">
        <v>-7.5</v>
      </c>
      <c r="AF43" s="229">
        <v>-3.3999999999999998E-3</v>
      </c>
      <c r="AG43" s="228">
        <v>-12.9</v>
      </c>
      <c r="AH43" s="228">
        <v>-7</v>
      </c>
      <c r="AI43" s="228">
        <v>-5.9</v>
      </c>
      <c r="AJ43" s="229">
        <v>-9.4000000000000004E-3</v>
      </c>
      <c r="AK43" s="228">
        <v>-15.7</v>
      </c>
      <c r="AL43" s="228">
        <v>-12.5</v>
      </c>
      <c r="AM43" s="228">
        <v>-3.2</v>
      </c>
      <c r="AN43" s="229">
        <v>-1.15E-2</v>
      </c>
      <c r="AO43" s="231">
        <v>1375.05</v>
      </c>
      <c r="AP43" s="231">
        <v>1367.28</v>
      </c>
      <c r="AQ43" s="228">
        <v>0</v>
      </c>
      <c r="AR43" s="230">
        <v>3137375</v>
      </c>
      <c r="AS43" s="230">
        <v>2435325</v>
      </c>
      <c r="AT43" s="230">
        <v>702050</v>
      </c>
      <c r="AU43" s="229">
        <v>0.2883</v>
      </c>
      <c r="AV43" s="230">
        <v>2128000</v>
      </c>
      <c r="AW43" s="230">
        <v>1727575</v>
      </c>
      <c r="AX43" s="230">
        <v>400425</v>
      </c>
      <c r="AY43" s="229">
        <v>0.23180000000000001</v>
      </c>
      <c r="AZ43" s="230">
        <v>893950</v>
      </c>
      <c r="BA43" s="230">
        <v>593750</v>
      </c>
      <c r="BB43" s="230">
        <v>300200</v>
      </c>
      <c r="BC43" s="229">
        <v>0.50560000000000005</v>
      </c>
      <c r="BD43" s="230">
        <v>115425</v>
      </c>
      <c r="BE43" s="230">
        <v>114000</v>
      </c>
      <c r="BF43" s="230">
        <v>1425</v>
      </c>
      <c r="BG43" s="229">
        <v>1.2500000000000001E-2</v>
      </c>
      <c r="BH43" s="230">
        <v>7126425</v>
      </c>
      <c r="BI43" s="230">
        <v>11070350</v>
      </c>
      <c r="BJ43" s="230">
        <v>-3943925</v>
      </c>
      <c r="BK43" s="229">
        <v>-0.35630000000000001</v>
      </c>
      <c r="BL43" s="230">
        <v>4861150</v>
      </c>
      <c r="BM43" s="230">
        <v>6291850</v>
      </c>
      <c r="BN43" s="230">
        <v>-1430700</v>
      </c>
      <c r="BO43" s="229">
        <v>-0.22739999999999999</v>
      </c>
      <c r="BP43" s="230">
        <v>15124950</v>
      </c>
      <c r="BQ43" s="230">
        <v>19797525</v>
      </c>
      <c r="BR43" s="230">
        <v>-4672575</v>
      </c>
      <c r="BS43" s="229">
        <v>-0.23599999999999999</v>
      </c>
      <c r="BT43" s="230">
        <v>2430970</v>
      </c>
      <c r="BU43" s="230">
        <v>2418769</v>
      </c>
      <c r="BV43" s="230">
        <v>12201</v>
      </c>
      <c r="BW43" s="229">
        <v>5.0000000000000001E-3</v>
      </c>
      <c r="BX43" s="230">
        <v>11609000</v>
      </c>
      <c r="BY43" s="230">
        <v>10949225</v>
      </c>
      <c r="BZ43" s="230">
        <v>659775</v>
      </c>
      <c r="CA43" s="229">
        <v>6.0299999999999999E-2</v>
      </c>
      <c r="CB43" s="230">
        <v>7866475</v>
      </c>
      <c r="CC43" s="230">
        <v>7675525</v>
      </c>
      <c r="CD43" s="230">
        <v>190950</v>
      </c>
      <c r="CE43" s="229">
        <v>2.4899999999999999E-2</v>
      </c>
      <c r="CF43" s="230">
        <v>3331650</v>
      </c>
      <c r="CG43" s="230">
        <v>2931225</v>
      </c>
      <c r="CH43" s="230">
        <v>400425</v>
      </c>
      <c r="CI43" s="229">
        <v>0.1366</v>
      </c>
      <c r="CJ43" s="230">
        <v>410875</v>
      </c>
      <c r="CK43" s="230">
        <v>342475</v>
      </c>
      <c r="CL43" s="230">
        <v>68400</v>
      </c>
      <c r="CM43" s="229">
        <v>0.19969999999999999</v>
      </c>
      <c r="CN43" s="230">
        <v>5206000</v>
      </c>
      <c r="CO43" s="230">
        <v>4859725</v>
      </c>
      <c r="CP43" s="230">
        <v>346275</v>
      </c>
      <c r="CQ43" s="229">
        <v>7.1300000000000002E-2</v>
      </c>
      <c r="CR43" s="230">
        <v>4586125</v>
      </c>
      <c r="CS43" s="230">
        <v>4435550</v>
      </c>
      <c r="CT43" s="230">
        <v>150575</v>
      </c>
      <c r="CU43" s="229">
        <v>3.39E-2</v>
      </c>
      <c r="CV43" s="230">
        <v>21401125</v>
      </c>
      <c r="CW43" s="230">
        <v>20244500</v>
      </c>
      <c r="CX43" s="230">
        <v>1156625</v>
      </c>
      <c r="CY43" s="229">
        <v>5.7099999999999998E-2</v>
      </c>
      <c r="CZ43" s="228">
        <v>40.24</v>
      </c>
      <c r="DA43" s="228">
        <v>35.200000000000003</v>
      </c>
      <c r="DB43" s="228">
        <v>5.04</v>
      </c>
      <c r="DC43" s="228">
        <v>5.04</v>
      </c>
      <c r="DD43" s="228">
        <v>46.8</v>
      </c>
      <c r="DE43" s="228">
        <v>46.82</v>
      </c>
      <c r="DF43" s="228">
        <v>-6.56</v>
      </c>
      <c r="DG43" s="228">
        <v>-0.02</v>
      </c>
      <c r="DH43" s="228">
        <v>39.07</v>
      </c>
      <c r="DI43" s="228">
        <v>33.229999999999997</v>
      </c>
      <c r="DJ43" s="228">
        <v>5.84</v>
      </c>
      <c r="DK43" s="228">
        <v>5.84</v>
      </c>
      <c r="DL43" s="228">
        <v>41.95</v>
      </c>
      <c r="DM43" s="228">
        <v>38.68</v>
      </c>
      <c r="DN43" s="228">
        <v>3.27</v>
      </c>
      <c r="DO43" s="228">
        <v>3.27</v>
      </c>
      <c r="DP43" s="228">
        <v>0.88</v>
      </c>
      <c r="DQ43" s="228">
        <v>0.91</v>
      </c>
      <c r="DR43" s="228">
        <v>-0.03</v>
      </c>
      <c r="DS43" s="229">
        <v>-3.3000000000000002E-2</v>
      </c>
      <c r="DT43" s="231">
        <v>1400</v>
      </c>
      <c r="DU43" s="231">
        <v>1400</v>
      </c>
      <c r="DV43" s="228">
        <v>0.68</v>
      </c>
      <c r="DW43" s="228">
        <v>0.56999999999999995</v>
      </c>
      <c r="DX43" s="228">
        <v>0.11</v>
      </c>
      <c r="DY43" s="229">
        <v>0.193</v>
      </c>
      <c r="DZ43" s="229">
        <v>0.32240000000000002</v>
      </c>
      <c r="EA43" s="230">
        <v>3273700</v>
      </c>
      <c r="EB43" s="229">
        <v>-6.1000000000000004E-3</v>
      </c>
      <c r="EC43" s="229">
        <v>0.32240000000000002</v>
      </c>
      <c r="ED43" s="228">
        <v>-7.77</v>
      </c>
      <c r="EE43" s="229">
        <v>-5.7000000000000002E-3</v>
      </c>
      <c r="EF43" s="230">
        <v>919003</v>
      </c>
      <c r="EG43" s="230">
        <v>748115</v>
      </c>
      <c r="EH43" s="229">
        <v>0.22839999999999999</v>
      </c>
      <c r="EI43" s="229">
        <v>0.378</v>
      </c>
      <c r="EJ43" s="231">
        <v>102139.93</v>
      </c>
      <c r="EK43" s="231">
        <v>65637.55</v>
      </c>
      <c r="EL43" s="231">
        <v>43059.12</v>
      </c>
      <c r="EM43" s="231">
        <v>5908</v>
      </c>
      <c r="EN43" s="231">
        <v>210836.6</v>
      </c>
      <c r="EO43" s="231">
        <v>278096.74</v>
      </c>
      <c r="EP43" s="231">
        <v>-67260.14</v>
      </c>
      <c r="EQ43" s="229">
        <v>-0.2419</v>
      </c>
      <c r="ER43" s="231">
        <v>69894</v>
      </c>
      <c r="ES43" s="231">
        <v>58429</v>
      </c>
      <c r="ET43" s="231">
        <v>158222</v>
      </c>
      <c r="EU43" s="231">
        <v>26647500</v>
      </c>
      <c r="EV43" s="231">
        <v>286545</v>
      </c>
      <c r="EW43" s="231">
        <v>273689</v>
      </c>
      <c r="EX43" s="231">
        <v>12856</v>
      </c>
      <c r="EY43" s="229">
        <v>4.7E-2</v>
      </c>
      <c r="EZ43" s="229">
        <v>0.80310000000000004</v>
      </c>
      <c r="FA43" s="227" t="s">
        <v>566</v>
      </c>
      <c r="FB43" s="161">
        <f t="shared" si="0"/>
        <v>3742525</v>
      </c>
    </row>
    <row r="44" spans="1:158" ht="17.25" thickBot="1" x14ac:dyDescent="0.3">
      <c r="A44" s="226">
        <v>46132</v>
      </c>
      <c r="B44" s="227" t="s">
        <v>161</v>
      </c>
      <c r="C44" s="227" t="s">
        <v>611</v>
      </c>
      <c r="D44" s="228">
        <v>850</v>
      </c>
      <c r="E44" s="228">
        <v>795.55</v>
      </c>
      <c r="F44" s="228">
        <v>774.65</v>
      </c>
      <c r="G44" s="228">
        <v>20.9</v>
      </c>
      <c r="H44" s="229">
        <v>2.7E-2</v>
      </c>
      <c r="I44" s="228">
        <v>795.7</v>
      </c>
      <c r="J44" s="228">
        <v>774.8</v>
      </c>
      <c r="K44" s="228">
        <v>20.9</v>
      </c>
      <c r="L44" s="229">
        <v>2.7E-2</v>
      </c>
      <c r="M44" s="228">
        <v>795.55</v>
      </c>
      <c r="N44" s="228">
        <v>774.65</v>
      </c>
      <c r="O44" s="228">
        <v>20.9</v>
      </c>
      <c r="P44" s="229">
        <v>2.7E-2</v>
      </c>
      <c r="Q44" s="228">
        <v>799.55</v>
      </c>
      <c r="R44" s="228">
        <v>779.2</v>
      </c>
      <c r="S44" s="228">
        <v>20.350000000000001</v>
      </c>
      <c r="T44" s="229">
        <v>2.6100000000000002E-2</v>
      </c>
      <c r="U44" s="228">
        <v>803.25</v>
      </c>
      <c r="V44" s="228">
        <v>784.3</v>
      </c>
      <c r="W44" s="228">
        <v>18.95</v>
      </c>
      <c r="X44" s="229">
        <v>2.4199999999999999E-2</v>
      </c>
      <c r="Y44" s="228">
        <v>-0.15</v>
      </c>
      <c r="Z44" s="228">
        <v>-0.15</v>
      </c>
      <c r="AA44" s="228">
        <v>0</v>
      </c>
      <c r="AB44" s="229">
        <v>-2.0000000000000001E-4</v>
      </c>
      <c r="AC44" s="228">
        <v>-0.15</v>
      </c>
      <c r="AD44" s="228">
        <v>-0.15</v>
      </c>
      <c r="AE44" s="228">
        <v>0</v>
      </c>
      <c r="AF44" s="229">
        <v>-2.0000000000000001E-4</v>
      </c>
      <c r="AG44" s="228">
        <v>3.85</v>
      </c>
      <c r="AH44" s="228">
        <v>4.4000000000000004</v>
      </c>
      <c r="AI44" s="228">
        <v>-0.55000000000000004</v>
      </c>
      <c r="AJ44" s="229">
        <v>4.7999999999999996E-3</v>
      </c>
      <c r="AK44" s="228">
        <v>7.55</v>
      </c>
      <c r="AL44" s="228">
        <v>9.5</v>
      </c>
      <c r="AM44" s="228">
        <v>-1.95</v>
      </c>
      <c r="AN44" s="229">
        <v>9.4999999999999998E-3</v>
      </c>
      <c r="AO44" s="228">
        <v>792.57</v>
      </c>
      <c r="AP44" s="228">
        <v>796.5</v>
      </c>
      <c r="AQ44" s="228">
        <v>0</v>
      </c>
      <c r="AR44" s="230">
        <v>4835650</v>
      </c>
      <c r="AS44" s="230">
        <v>3585300</v>
      </c>
      <c r="AT44" s="230">
        <v>1250350</v>
      </c>
      <c r="AU44" s="229">
        <v>0.34870000000000001</v>
      </c>
      <c r="AV44" s="230">
        <v>3855600</v>
      </c>
      <c r="AW44" s="230">
        <v>3209600</v>
      </c>
      <c r="AX44" s="230">
        <v>646000</v>
      </c>
      <c r="AY44" s="229">
        <v>0.20130000000000001</v>
      </c>
      <c r="AZ44" s="230">
        <v>879750</v>
      </c>
      <c r="BA44" s="230">
        <v>327250</v>
      </c>
      <c r="BB44" s="230">
        <v>552500</v>
      </c>
      <c r="BC44" s="229">
        <v>1.6882999999999999</v>
      </c>
      <c r="BD44" s="230">
        <v>100300</v>
      </c>
      <c r="BE44" s="230">
        <v>48450</v>
      </c>
      <c r="BF44" s="230">
        <v>51850</v>
      </c>
      <c r="BG44" s="229">
        <v>1.0702</v>
      </c>
      <c r="BH44" s="230">
        <v>26975600</v>
      </c>
      <c r="BI44" s="230">
        <v>13750450</v>
      </c>
      <c r="BJ44" s="230">
        <v>13225150</v>
      </c>
      <c r="BK44" s="229">
        <v>0.96179999999999999</v>
      </c>
      <c r="BL44" s="230">
        <v>9633900</v>
      </c>
      <c r="BM44" s="230">
        <v>4390250</v>
      </c>
      <c r="BN44" s="230">
        <v>5243650</v>
      </c>
      <c r="BO44" s="229">
        <v>1.1943999999999999</v>
      </c>
      <c r="BP44" s="230">
        <v>41445150</v>
      </c>
      <c r="BQ44" s="230">
        <v>21726000</v>
      </c>
      <c r="BR44" s="230">
        <v>19719150</v>
      </c>
      <c r="BS44" s="229">
        <v>0.90759999999999996</v>
      </c>
      <c r="BT44" s="230">
        <v>6441732</v>
      </c>
      <c r="BU44" s="230">
        <v>4593602</v>
      </c>
      <c r="BV44" s="230">
        <v>1848130</v>
      </c>
      <c r="BW44" s="229">
        <v>0.40229999999999999</v>
      </c>
      <c r="BX44" s="230">
        <v>20104200</v>
      </c>
      <c r="BY44" s="230">
        <v>19886600</v>
      </c>
      <c r="BZ44" s="230">
        <v>217600</v>
      </c>
      <c r="CA44" s="229">
        <v>1.09E-2</v>
      </c>
      <c r="CB44" s="230">
        <v>18082900</v>
      </c>
      <c r="CC44" s="230">
        <v>18067600</v>
      </c>
      <c r="CD44" s="230">
        <v>15300</v>
      </c>
      <c r="CE44" s="229">
        <v>8.0000000000000004E-4</v>
      </c>
      <c r="CF44" s="230">
        <v>629850</v>
      </c>
      <c r="CG44" s="230">
        <v>417350</v>
      </c>
      <c r="CH44" s="230">
        <v>212500</v>
      </c>
      <c r="CI44" s="229">
        <v>0.50919999999999999</v>
      </c>
      <c r="CJ44" s="230">
        <v>1391450</v>
      </c>
      <c r="CK44" s="230">
        <v>1401650</v>
      </c>
      <c r="CL44" s="230">
        <v>-10200</v>
      </c>
      <c r="CM44" s="229">
        <v>-7.3000000000000001E-3</v>
      </c>
      <c r="CN44" s="230">
        <v>5315900</v>
      </c>
      <c r="CO44" s="230">
        <v>4134400</v>
      </c>
      <c r="CP44" s="230">
        <v>1181500</v>
      </c>
      <c r="CQ44" s="229">
        <v>0.2858</v>
      </c>
      <c r="CR44" s="230">
        <v>3694950</v>
      </c>
      <c r="CS44" s="230">
        <v>2656250</v>
      </c>
      <c r="CT44" s="230">
        <v>1038700</v>
      </c>
      <c r="CU44" s="229">
        <v>0.39100000000000001</v>
      </c>
      <c r="CV44" s="230">
        <v>29115050</v>
      </c>
      <c r="CW44" s="230">
        <v>26677250</v>
      </c>
      <c r="CX44" s="230">
        <v>2437800</v>
      </c>
      <c r="CY44" s="229">
        <v>9.1399999999999995E-2</v>
      </c>
      <c r="CZ44" s="228">
        <v>39.229999999999997</v>
      </c>
      <c r="DA44" s="228">
        <v>35.43</v>
      </c>
      <c r="DB44" s="228">
        <v>3.8</v>
      </c>
      <c r="DC44" s="228">
        <v>3.8</v>
      </c>
      <c r="DD44" s="228">
        <v>42.5</v>
      </c>
      <c r="DE44" s="228">
        <v>42.46</v>
      </c>
      <c r="DF44" s="228">
        <v>-3.27</v>
      </c>
      <c r="DG44" s="228">
        <v>0.04</v>
      </c>
      <c r="DH44" s="228">
        <v>38.4</v>
      </c>
      <c r="DI44" s="228">
        <v>34.58</v>
      </c>
      <c r="DJ44" s="228">
        <v>3.82</v>
      </c>
      <c r="DK44" s="228">
        <v>3.82</v>
      </c>
      <c r="DL44" s="228">
        <v>41.57</v>
      </c>
      <c r="DM44" s="228">
        <v>38.1</v>
      </c>
      <c r="DN44" s="228">
        <v>3.47</v>
      </c>
      <c r="DO44" s="228">
        <v>3.47</v>
      </c>
      <c r="DP44" s="228">
        <v>0.7</v>
      </c>
      <c r="DQ44" s="228">
        <v>0.64</v>
      </c>
      <c r="DR44" s="228">
        <v>0.06</v>
      </c>
      <c r="DS44" s="229">
        <v>9.3700000000000006E-2</v>
      </c>
      <c r="DT44" s="228">
        <v>800</v>
      </c>
      <c r="DU44" s="228">
        <v>770</v>
      </c>
      <c r="DV44" s="228">
        <v>0.36</v>
      </c>
      <c r="DW44" s="228">
        <v>0.32</v>
      </c>
      <c r="DX44" s="228">
        <v>0.04</v>
      </c>
      <c r="DY44" s="229">
        <v>0.125</v>
      </c>
      <c r="DZ44" s="229">
        <v>0.10050000000000001</v>
      </c>
      <c r="EA44" s="230">
        <v>1819000</v>
      </c>
      <c r="EB44" s="229">
        <v>5.0000000000000001E-3</v>
      </c>
      <c r="EC44" s="229">
        <v>0.10050000000000001</v>
      </c>
      <c r="ED44" s="228">
        <v>3.93</v>
      </c>
      <c r="EE44" s="229">
        <v>5.0000000000000001E-3</v>
      </c>
      <c r="EF44" s="230">
        <v>3058135</v>
      </c>
      <c r="EG44" s="230">
        <v>2512283</v>
      </c>
      <c r="EH44" s="229">
        <v>0.21729999999999999</v>
      </c>
      <c r="EI44" s="229">
        <v>0.47470000000000001</v>
      </c>
      <c r="EJ44" s="231">
        <v>222171.73</v>
      </c>
      <c r="EK44" s="231">
        <v>74203.839999999997</v>
      </c>
      <c r="EL44" s="231">
        <v>38366.94</v>
      </c>
      <c r="EM44" s="231">
        <v>4993</v>
      </c>
      <c r="EN44" s="231">
        <v>334742.51</v>
      </c>
      <c r="EO44" s="231">
        <v>170339.39</v>
      </c>
      <c r="EP44" s="231">
        <v>164403.12</v>
      </c>
      <c r="EQ44" s="229">
        <v>0.96519999999999995</v>
      </c>
      <c r="ER44" s="231">
        <v>41715</v>
      </c>
      <c r="ES44" s="231">
        <v>26968</v>
      </c>
      <c r="ET44" s="231">
        <v>160071</v>
      </c>
      <c r="EU44" s="231">
        <v>103080397</v>
      </c>
      <c r="EV44" s="231">
        <v>228755</v>
      </c>
      <c r="EW44" s="231">
        <v>204391</v>
      </c>
      <c r="EX44" s="231">
        <v>24364</v>
      </c>
      <c r="EY44" s="229">
        <v>0.1192</v>
      </c>
      <c r="EZ44" s="229">
        <v>0.28239999999999998</v>
      </c>
      <c r="FA44" s="227" t="s">
        <v>555</v>
      </c>
      <c r="FB44" s="161">
        <f t="shared" si="0"/>
        <v>2021300</v>
      </c>
    </row>
    <row r="45" spans="1:158" ht="17.25" thickBot="1" x14ac:dyDescent="0.3">
      <c r="A45" s="226">
        <v>46132</v>
      </c>
      <c r="B45" s="227" t="s">
        <v>175</v>
      </c>
      <c r="C45" s="227" t="s">
        <v>198</v>
      </c>
      <c r="D45" s="228">
        <v>625</v>
      </c>
      <c r="E45" s="231">
        <v>1568.8</v>
      </c>
      <c r="F45" s="231">
        <v>1578.4</v>
      </c>
      <c r="G45" s="228">
        <v>-9.6</v>
      </c>
      <c r="H45" s="229">
        <v>-6.1000000000000004E-3</v>
      </c>
      <c r="I45" s="231">
        <v>1569.3</v>
      </c>
      <c r="J45" s="231">
        <v>1579</v>
      </c>
      <c r="K45" s="228">
        <v>-9.6999999999999993</v>
      </c>
      <c r="L45" s="229">
        <v>-6.1000000000000004E-3</v>
      </c>
      <c r="M45" s="231">
        <v>1568.8</v>
      </c>
      <c r="N45" s="231">
        <v>1578.4</v>
      </c>
      <c r="O45" s="228">
        <v>-9.6</v>
      </c>
      <c r="P45" s="229">
        <v>-6.1000000000000004E-3</v>
      </c>
      <c r="Q45" s="231">
        <v>1576</v>
      </c>
      <c r="R45" s="231">
        <v>1585.2</v>
      </c>
      <c r="S45" s="228">
        <v>-9.1999999999999993</v>
      </c>
      <c r="T45" s="229">
        <v>-5.7999999999999996E-3</v>
      </c>
      <c r="U45" s="231">
        <v>1586</v>
      </c>
      <c r="V45" s="231">
        <v>1592.2</v>
      </c>
      <c r="W45" s="228">
        <v>-6.2</v>
      </c>
      <c r="X45" s="229">
        <v>-3.8999999999999998E-3</v>
      </c>
      <c r="Y45" s="228">
        <v>-0.5</v>
      </c>
      <c r="Z45" s="228">
        <v>-0.6</v>
      </c>
      <c r="AA45" s="228">
        <v>0.1</v>
      </c>
      <c r="AB45" s="229">
        <v>-2.9999999999999997E-4</v>
      </c>
      <c r="AC45" s="228">
        <v>-0.5</v>
      </c>
      <c r="AD45" s="228">
        <v>-0.6</v>
      </c>
      <c r="AE45" s="228">
        <v>0.1</v>
      </c>
      <c r="AF45" s="229">
        <v>-2.9999999999999997E-4</v>
      </c>
      <c r="AG45" s="228">
        <v>6.7</v>
      </c>
      <c r="AH45" s="228">
        <v>6.2</v>
      </c>
      <c r="AI45" s="228">
        <v>0.5</v>
      </c>
      <c r="AJ45" s="229">
        <v>4.3E-3</v>
      </c>
      <c r="AK45" s="228">
        <v>16.7</v>
      </c>
      <c r="AL45" s="228">
        <v>13.2</v>
      </c>
      <c r="AM45" s="228">
        <v>3.5</v>
      </c>
      <c r="AN45" s="229">
        <v>1.06E-2</v>
      </c>
      <c r="AO45" s="231">
        <v>1573.87</v>
      </c>
      <c r="AP45" s="231">
        <v>1581.35</v>
      </c>
      <c r="AQ45" s="228">
        <v>0</v>
      </c>
      <c r="AR45" s="230">
        <v>1560000</v>
      </c>
      <c r="AS45" s="230">
        <v>3384375</v>
      </c>
      <c r="AT45" s="230">
        <v>-1824375</v>
      </c>
      <c r="AU45" s="229">
        <v>-0.53910000000000002</v>
      </c>
      <c r="AV45" s="230">
        <v>1421875</v>
      </c>
      <c r="AW45" s="230">
        <v>2453750</v>
      </c>
      <c r="AX45" s="230">
        <v>-1031875</v>
      </c>
      <c r="AY45" s="229">
        <v>-0.42049999999999998</v>
      </c>
      <c r="AZ45" s="230">
        <v>130000</v>
      </c>
      <c r="BA45" s="230">
        <v>169375</v>
      </c>
      <c r="BB45" s="230">
        <v>-39375</v>
      </c>
      <c r="BC45" s="229">
        <v>-0.23250000000000001</v>
      </c>
      <c r="BD45" s="230">
        <v>8125</v>
      </c>
      <c r="BE45" s="230">
        <v>761250</v>
      </c>
      <c r="BF45" s="230">
        <v>-753125</v>
      </c>
      <c r="BG45" s="229">
        <v>-0.98929999999999996</v>
      </c>
      <c r="BH45" s="230">
        <v>3008750</v>
      </c>
      <c r="BI45" s="230">
        <v>4772500</v>
      </c>
      <c r="BJ45" s="230">
        <v>-1763750</v>
      </c>
      <c r="BK45" s="229">
        <v>-0.36959999999999998</v>
      </c>
      <c r="BL45" s="230">
        <v>2060000</v>
      </c>
      <c r="BM45" s="230">
        <v>3158750</v>
      </c>
      <c r="BN45" s="230">
        <v>-1098750</v>
      </c>
      <c r="BO45" s="229">
        <v>-0.3478</v>
      </c>
      <c r="BP45" s="230">
        <v>6628750</v>
      </c>
      <c r="BQ45" s="230">
        <v>11315625</v>
      </c>
      <c r="BR45" s="230">
        <v>-4686875</v>
      </c>
      <c r="BS45" s="229">
        <v>-0.41420000000000001</v>
      </c>
      <c r="BT45" s="230">
        <v>878178</v>
      </c>
      <c r="BU45" s="230">
        <v>1234834</v>
      </c>
      <c r="BV45" s="230">
        <v>-356656</v>
      </c>
      <c r="BW45" s="229">
        <v>-0.2888</v>
      </c>
      <c r="BX45" s="230">
        <v>19980000</v>
      </c>
      <c r="BY45" s="230">
        <v>19915000</v>
      </c>
      <c r="BZ45" s="230">
        <v>65000</v>
      </c>
      <c r="CA45" s="229">
        <v>3.3E-3</v>
      </c>
      <c r="CB45" s="230">
        <v>18525000</v>
      </c>
      <c r="CC45" s="230">
        <v>18500625</v>
      </c>
      <c r="CD45" s="230">
        <v>24375</v>
      </c>
      <c r="CE45" s="229">
        <v>1.2999999999999999E-3</v>
      </c>
      <c r="CF45" s="230">
        <v>683750</v>
      </c>
      <c r="CG45" s="230">
        <v>645000</v>
      </c>
      <c r="CH45" s="230">
        <v>38750</v>
      </c>
      <c r="CI45" s="229">
        <v>6.0100000000000001E-2</v>
      </c>
      <c r="CJ45" s="230">
        <v>771250</v>
      </c>
      <c r="CK45" s="230">
        <v>769375</v>
      </c>
      <c r="CL45" s="230">
        <v>1875</v>
      </c>
      <c r="CM45" s="229">
        <v>2.3999999999999998E-3</v>
      </c>
      <c r="CN45" s="230">
        <v>4863125</v>
      </c>
      <c r="CO45" s="230">
        <v>4740625</v>
      </c>
      <c r="CP45" s="230">
        <v>122500</v>
      </c>
      <c r="CQ45" s="229">
        <v>2.58E-2</v>
      </c>
      <c r="CR45" s="230">
        <v>4168125</v>
      </c>
      <c r="CS45" s="230">
        <v>4055625</v>
      </c>
      <c r="CT45" s="230">
        <v>112500</v>
      </c>
      <c r="CU45" s="229">
        <v>2.7699999999999999E-2</v>
      </c>
      <c r="CV45" s="230">
        <v>29011250</v>
      </c>
      <c r="CW45" s="230">
        <v>28711250</v>
      </c>
      <c r="CX45" s="230">
        <v>300000</v>
      </c>
      <c r="CY45" s="229">
        <v>1.04E-2</v>
      </c>
      <c r="CZ45" s="228">
        <v>39.89</v>
      </c>
      <c r="DA45" s="228">
        <v>34.92</v>
      </c>
      <c r="DB45" s="228">
        <v>4.97</v>
      </c>
      <c r="DC45" s="228">
        <v>4.97</v>
      </c>
      <c r="DD45" s="228">
        <v>40.92</v>
      </c>
      <c r="DE45" s="228">
        <v>41.01</v>
      </c>
      <c r="DF45" s="228">
        <v>-1.03</v>
      </c>
      <c r="DG45" s="228">
        <v>-0.09</v>
      </c>
      <c r="DH45" s="228">
        <v>38.090000000000003</v>
      </c>
      <c r="DI45" s="228">
        <v>33.53</v>
      </c>
      <c r="DJ45" s="228">
        <v>4.5599999999999996</v>
      </c>
      <c r="DK45" s="228">
        <v>4.5599999999999996</v>
      </c>
      <c r="DL45" s="228">
        <v>42.51</v>
      </c>
      <c r="DM45" s="228">
        <v>37.01</v>
      </c>
      <c r="DN45" s="228">
        <v>5.5</v>
      </c>
      <c r="DO45" s="228">
        <v>5.5</v>
      </c>
      <c r="DP45" s="228">
        <v>0.86</v>
      </c>
      <c r="DQ45" s="228">
        <v>0.86</v>
      </c>
      <c r="DR45" s="228">
        <v>0</v>
      </c>
      <c r="DS45" s="229">
        <v>0</v>
      </c>
      <c r="DT45" s="231">
        <v>1600</v>
      </c>
      <c r="DU45" s="231">
        <v>1500</v>
      </c>
      <c r="DV45" s="228">
        <v>0.68</v>
      </c>
      <c r="DW45" s="228">
        <v>0.66</v>
      </c>
      <c r="DX45" s="228">
        <v>0.02</v>
      </c>
      <c r="DY45" s="229">
        <v>3.0300000000000001E-2</v>
      </c>
      <c r="DZ45" s="229">
        <v>7.2800000000000004E-2</v>
      </c>
      <c r="EA45" s="230">
        <v>1414375</v>
      </c>
      <c r="EB45" s="229">
        <v>4.5999999999999999E-3</v>
      </c>
      <c r="EC45" s="229">
        <v>7.2800000000000004E-2</v>
      </c>
      <c r="ED45" s="228">
        <v>7.48</v>
      </c>
      <c r="EE45" s="229">
        <v>4.7999999999999996E-3</v>
      </c>
      <c r="EF45" s="230">
        <v>452758</v>
      </c>
      <c r="EG45" s="230">
        <v>670802</v>
      </c>
      <c r="EH45" s="229">
        <v>-0.32500000000000001</v>
      </c>
      <c r="EI45" s="229">
        <v>0.51559999999999995</v>
      </c>
      <c r="EJ45" s="231">
        <v>49396.9</v>
      </c>
      <c r="EK45" s="231">
        <v>31295.39</v>
      </c>
      <c r="EL45" s="231">
        <v>24563.45</v>
      </c>
      <c r="EM45" s="231">
        <v>5010</v>
      </c>
      <c r="EN45" s="231">
        <v>105255.74</v>
      </c>
      <c r="EO45" s="231">
        <v>180506.28</v>
      </c>
      <c r="EP45" s="231">
        <v>-75250.539999999994</v>
      </c>
      <c r="EQ45" s="229">
        <v>-0.41689999999999999</v>
      </c>
      <c r="ER45" s="231">
        <v>75981</v>
      </c>
      <c r="ES45" s="231">
        <v>61886</v>
      </c>
      <c r="ET45" s="231">
        <v>313628</v>
      </c>
      <c r="EU45" s="231">
        <v>63646863</v>
      </c>
      <c r="EV45" s="231">
        <v>451495</v>
      </c>
      <c r="EW45" s="231">
        <v>448558</v>
      </c>
      <c r="EX45" s="231">
        <v>2937</v>
      </c>
      <c r="EY45" s="229">
        <v>6.4999999999999997E-3</v>
      </c>
      <c r="EZ45" s="229">
        <v>0.45579999999999998</v>
      </c>
      <c r="FA45" s="227" t="s">
        <v>566</v>
      </c>
      <c r="FB45" s="161">
        <f t="shared" si="0"/>
        <v>1455000</v>
      </c>
    </row>
    <row r="46" spans="1:158" ht="17.25" thickBot="1" x14ac:dyDescent="0.3">
      <c r="A46" s="226">
        <v>46132</v>
      </c>
      <c r="B46" s="227" t="s">
        <v>170</v>
      </c>
      <c r="C46" s="227" t="s">
        <v>199</v>
      </c>
      <c r="D46" s="228">
        <v>375</v>
      </c>
      <c r="E46" s="231">
        <v>1230.0999999999999</v>
      </c>
      <c r="F46" s="231">
        <v>1245.0999999999999</v>
      </c>
      <c r="G46" s="228">
        <v>-15</v>
      </c>
      <c r="H46" s="229">
        <v>-1.2E-2</v>
      </c>
      <c r="I46" s="231">
        <v>1229.5</v>
      </c>
      <c r="J46" s="231">
        <v>1240.8</v>
      </c>
      <c r="K46" s="228">
        <v>-11.3</v>
      </c>
      <c r="L46" s="229">
        <v>-9.1000000000000004E-3</v>
      </c>
      <c r="M46" s="231">
        <v>1230.0999999999999</v>
      </c>
      <c r="N46" s="231">
        <v>1245.0999999999999</v>
      </c>
      <c r="O46" s="228">
        <v>-15</v>
      </c>
      <c r="P46" s="229">
        <v>-1.2E-2</v>
      </c>
      <c r="Q46" s="231">
        <v>1236.7</v>
      </c>
      <c r="R46" s="231">
        <v>1252</v>
      </c>
      <c r="S46" s="228">
        <v>-15.3</v>
      </c>
      <c r="T46" s="229">
        <v>-1.2200000000000001E-2</v>
      </c>
      <c r="U46" s="231">
        <v>1242</v>
      </c>
      <c r="V46" s="231">
        <v>1254.9000000000001</v>
      </c>
      <c r="W46" s="228">
        <v>-12.9</v>
      </c>
      <c r="X46" s="229">
        <v>-1.03E-2</v>
      </c>
      <c r="Y46" s="228">
        <v>0.6</v>
      </c>
      <c r="Z46" s="228">
        <v>4.3</v>
      </c>
      <c r="AA46" s="228">
        <v>-3.7</v>
      </c>
      <c r="AB46" s="229">
        <v>5.0000000000000001E-4</v>
      </c>
      <c r="AC46" s="228">
        <v>0.6</v>
      </c>
      <c r="AD46" s="228">
        <v>4.3</v>
      </c>
      <c r="AE46" s="228">
        <v>-3.7</v>
      </c>
      <c r="AF46" s="229">
        <v>5.0000000000000001E-4</v>
      </c>
      <c r="AG46" s="228">
        <v>7.2</v>
      </c>
      <c r="AH46" s="228">
        <v>11.2</v>
      </c>
      <c r="AI46" s="228">
        <v>-4</v>
      </c>
      <c r="AJ46" s="229">
        <v>5.8999999999999999E-3</v>
      </c>
      <c r="AK46" s="228">
        <v>12.5</v>
      </c>
      <c r="AL46" s="228">
        <v>14.1</v>
      </c>
      <c r="AM46" s="228">
        <v>-1.6</v>
      </c>
      <c r="AN46" s="229">
        <v>1.0200000000000001E-2</v>
      </c>
      <c r="AO46" s="231">
        <v>1235.8900000000001</v>
      </c>
      <c r="AP46" s="231">
        <v>1243.33</v>
      </c>
      <c r="AQ46" s="228">
        <v>0</v>
      </c>
      <c r="AR46" s="230">
        <v>3496125</v>
      </c>
      <c r="AS46" s="230">
        <v>1634625</v>
      </c>
      <c r="AT46" s="230">
        <v>1861500</v>
      </c>
      <c r="AU46" s="229">
        <v>1.1388</v>
      </c>
      <c r="AV46" s="230">
        <v>2084625</v>
      </c>
      <c r="AW46" s="230">
        <v>1329750</v>
      </c>
      <c r="AX46" s="230">
        <v>754875</v>
      </c>
      <c r="AY46" s="229">
        <v>0.56769999999999998</v>
      </c>
      <c r="AZ46" s="230">
        <v>1364625</v>
      </c>
      <c r="BA46" s="230">
        <v>259125</v>
      </c>
      <c r="BB46" s="230">
        <v>1105500</v>
      </c>
      <c r="BC46" s="229">
        <v>4.2663000000000002</v>
      </c>
      <c r="BD46" s="230">
        <v>46875</v>
      </c>
      <c r="BE46" s="230">
        <v>45750</v>
      </c>
      <c r="BF46" s="230">
        <v>1125</v>
      </c>
      <c r="BG46" s="229">
        <v>2.46E-2</v>
      </c>
      <c r="BH46" s="230">
        <v>5334000</v>
      </c>
      <c r="BI46" s="230">
        <v>5894625</v>
      </c>
      <c r="BJ46" s="230">
        <v>-560625</v>
      </c>
      <c r="BK46" s="229">
        <v>-9.5100000000000004E-2</v>
      </c>
      <c r="BL46" s="230">
        <v>1714125</v>
      </c>
      <c r="BM46" s="230">
        <v>2197125</v>
      </c>
      <c r="BN46" s="230">
        <v>-483000</v>
      </c>
      <c r="BO46" s="229">
        <v>-0.2198</v>
      </c>
      <c r="BP46" s="230">
        <v>10544250</v>
      </c>
      <c r="BQ46" s="230">
        <v>9726375</v>
      </c>
      <c r="BR46" s="230">
        <v>817875</v>
      </c>
      <c r="BS46" s="229">
        <v>8.4099999999999994E-2</v>
      </c>
      <c r="BT46" s="230">
        <v>1189964</v>
      </c>
      <c r="BU46" s="230">
        <v>2653013</v>
      </c>
      <c r="BV46" s="230">
        <v>-1463049</v>
      </c>
      <c r="BW46" s="229">
        <v>-0.55149999999999999</v>
      </c>
      <c r="BX46" s="230">
        <v>15757500</v>
      </c>
      <c r="BY46" s="230">
        <v>15688125</v>
      </c>
      <c r="BZ46" s="230">
        <v>69375</v>
      </c>
      <c r="CA46" s="229">
        <v>4.4000000000000003E-3</v>
      </c>
      <c r="CB46" s="230">
        <v>12848250</v>
      </c>
      <c r="CC46" s="230">
        <v>14026500</v>
      </c>
      <c r="CD46" s="230">
        <v>-1178250</v>
      </c>
      <c r="CE46" s="229">
        <v>-8.4000000000000005E-2</v>
      </c>
      <c r="CF46" s="230">
        <v>2796000</v>
      </c>
      <c r="CG46" s="230">
        <v>1574625</v>
      </c>
      <c r="CH46" s="230">
        <v>1221375</v>
      </c>
      <c r="CI46" s="229">
        <v>0.77569999999999995</v>
      </c>
      <c r="CJ46" s="230">
        <v>113250</v>
      </c>
      <c r="CK46" s="230">
        <v>87000</v>
      </c>
      <c r="CL46" s="230">
        <v>26250</v>
      </c>
      <c r="CM46" s="229">
        <v>0.30170000000000002</v>
      </c>
      <c r="CN46" s="230">
        <v>4806750</v>
      </c>
      <c r="CO46" s="230">
        <v>4284375</v>
      </c>
      <c r="CP46" s="230">
        <v>522375</v>
      </c>
      <c r="CQ46" s="229">
        <v>0.12189999999999999</v>
      </c>
      <c r="CR46" s="230">
        <v>3975000</v>
      </c>
      <c r="CS46" s="230">
        <v>3826875</v>
      </c>
      <c r="CT46" s="230">
        <v>148125</v>
      </c>
      <c r="CU46" s="229">
        <v>3.8699999999999998E-2</v>
      </c>
      <c r="CV46" s="230">
        <v>24539250</v>
      </c>
      <c r="CW46" s="230">
        <v>23799375</v>
      </c>
      <c r="CX46" s="230">
        <v>739875</v>
      </c>
      <c r="CY46" s="229">
        <v>3.1099999999999999E-2</v>
      </c>
      <c r="CZ46" s="228">
        <v>25.07</v>
      </c>
      <c r="DA46" s="228">
        <v>22.88</v>
      </c>
      <c r="DB46" s="228">
        <v>2.19</v>
      </c>
      <c r="DC46" s="228">
        <v>2.19</v>
      </c>
      <c r="DD46" s="228">
        <v>25.02</v>
      </c>
      <c r="DE46" s="228">
        <v>25.03</v>
      </c>
      <c r="DF46" s="228">
        <v>0.05</v>
      </c>
      <c r="DG46" s="228">
        <v>-0.01</v>
      </c>
      <c r="DH46" s="228">
        <v>25.03</v>
      </c>
      <c r="DI46" s="228">
        <v>22.24</v>
      </c>
      <c r="DJ46" s="228">
        <v>2.79</v>
      </c>
      <c r="DK46" s="228">
        <v>2.79</v>
      </c>
      <c r="DL46" s="228">
        <v>25.21</v>
      </c>
      <c r="DM46" s="228">
        <v>24.59</v>
      </c>
      <c r="DN46" s="228">
        <v>0.62</v>
      </c>
      <c r="DO46" s="228">
        <v>0.62</v>
      </c>
      <c r="DP46" s="228">
        <v>0.83</v>
      </c>
      <c r="DQ46" s="228">
        <v>0.89</v>
      </c>
      <c r="DR46" s="228">
        <v>-0.06</v>
      </c>
      <c r="DS46" s="229">
        <v>-6.7400000000000002E-2</v>
      </c>
      <c r="DT46" s="231">
        <v>1240</v>
      </c>
      <c r="DU46" s="231">
        <v>1160</v>
      </c>
      <c r="DV46" s="228">
        <v>0.32</v>
      </c>
      <c r="DW46" s="228">
        <v>0.37</v>
      </c>
      <c r="DX46" s="228">
        <v>-0.05</v>
      </c>
      <c r="DY46" s="229">
        <v>-0.1351</v>
      </c>
      <c r="DZ46" s="229">
        <v>0.18459999999999999</v>
      </c>
      <c r="EA46" s="230">
        <v>1661625</v>
      </c>
      <c r="EB46" s="229">
        <v>5.4000000000000003E-3</v>
      </c>
      <c r="EC46" s="229">
        <v>0.18459999999999999</v>
      </c>
      <c r="ED46" s="228">
        <v>7.44</v>
      </c>
      <c r="EE46" s="229">
        <v>6.0000000000000001E-3</v>
      </c>
      <c r="EF46" s="230">
        <v>564165</v>
      </c>
      <c r="EG46" s="230">
        <v>1988311</v>
      </c>
      <c r="EH46" s="229">
        <v>-0.71630000000000005</v>
      </c>
      <c r="EI46" s="229">
        <v>0.47410000000000002</v>
      </c>
      <c r="EJ46" s="231">
        <v>67915.48</v>
      </c>
      <c r="EK46" s="231">
        <v>21174.44</v>
      </c>
      <c r="EL46" s="231">
        <v>43314.879999999997</v>
      </c>
      <c r="EM46" s="231">
        <v>3921</v>
      </c>
      <c r="EN46" s="231">
        <v>132404.79999999999</v>
      </c>
      <c r="EO46" s="231">
        <v>122266.33</v>
      </c>
      <c r="EP46" s="231">
        <v>10138.469999999999</v>
      </c>
      <c r="EQ46" s="229">
        <v>8.2900000000000001E-2</v>
      </c>
      <c r="ER46" s="231">
        <v>61468</v>
      </c>
      <c r="ES46" s="231">
        <v>47138</v>
      </c>
      <c r="ET46" s="231">
        <v>194031</v>
      </c>
      <c r="EU46" s="231">
        <v>76385219</v>
      </c>
      <c r="EV46" s="231">
        <v>302637</v>
      </c>
      <c r="EW46" s="231">
        <v>295696</v>
      </c>
      <c r="EX46" s="231">
        <v>6941</v>
      </c>
      <c r="EY46" s="229">
        <v>2.35E-2</v>
      </c>
      <c r="EZ46" s="229">
        <v>0.32129999999999997</v>
      </c>
      <c r="FA46" s="227" t="s">
        <v>566</v>
      </c>
      <c r="FB46" s="161">
        <f t="shared" si="0"/>
        <v>2909250</v>
      </c>
    </row>
    <row r="47" spans="1:158" ht="17.25" thickBot="1" x14ac:dyDescent="0.3">
      <c r="A47" s="226">
        <v>46132</v>
      </c>
      <c r="B47" s="227" t="s">
        <v>227</v>
      </c>
      <c r="C47" s="227" t="s">
        <v>200</v>
      </c>
      <c r="D47" s="228">
        <v>1350</v>
      </c>
      <c r="E47" s="228">
        <v>442.35</v>
      </c>
      <c r="F47" s="228">
        <v>439.55</v>
      </c>
      <c r="G47" s="228">
        <v>2.8</v>
      </c>
      <c r="H47" s="229">
        <v>6.4000000000000003E-3</v>
      </c>
      <c r="I47" s="228">
        <v>441.75</v>
      </c>
      <c r="J47" s="228">
        <v>438.75</v>
      </c>
      <c r="K47" s="228">
        <v>3</v>
      </c>
      <c r="L47" s="229">
        <v>6.7999999999999996E-3</v>
      </c>
      <c r="M47" s="228">
        <v>442.35</v>
      </c>
      <c r="N47" s="228">
        <v>439.55</v>
      </c>
      <c r="O47" s="228">
        <v>2.8</v>
      </c>
      <c r="P47" s="229">
        <v>6.4000000000000003E-3</v>
      </c>
      <c r="Q47" s="228">
        <v>439.8</v>
      </c>
      <c r="R47" s="228">
        <v>436.5</v>
      </c>
      <c r="S47" s="228">
        <v>3.3</v>
      </c>
      <c r="T47" s="229">
        <v>7.6E-3</v>
      </c>
      <c r="U47" s="228">
        <v>438.8</v>
      </c>
      <c r="V47" s="228">
        <v>434.65</v>
      </c>
      <c r="W47" s="228">
        <v>4.1500000000000004</v>
      </c>
      <c r="X47" s="229">
        <v>9.4999999999999998E-3</v>
      </c>
      <c r="Y47" s="228">
        <v>0.6</v>
      </c>
      <c r="Z47" s="228">
        <v>0.8</v>
      </c>
      <c r="AA47" s="228">
        <v>-0.2</v>
      </c>
      <c r="AB47" s="229">
        <v>1.4E-3</v>
      </c>
      <c r="AC47" s="228">
        <v>0.6</v>
      </c>
      <c r="AD47" s="228">
        <v>0.8</v>
      </c>
      <c r="AE47" s="228">
        <v>-0.2</v>
      </c>
      <c r="AF47" s="229">
        <v>1.4E-3</v>
      </c>
      <c r="AG47" s="228">
        <v>-1.95</v>
      </c>
      <c r="AH47" s="228">
        <v>-2.25</v>
      </c>
      <c r="AI47" s="228">
        <v>0.3</v>
      </c>
      <c r="AJ47" s="229">
        <v>-4.4000000000000003E-3</v>
      </c>
      <c r="AK47" s="228">
        <v>-2.95</v>
      </c>
      <c r="AL47" s="228">
        <v>-4.0999999999999996</v>
      </c>
      <c r="AM47" s="228">
        <v>1.1499999999999999</v>
      </c>
      <c r="AN47" s="229">
        <v>-6.7000000000000002E-3</v>
      </c>
      <c r="AO47" s="228">
        <v>440.49</v>
      </c>
      <c r="AP47" s="228">
        <v>437.97</v>
      </c>
      <c r="AQ47" s="228">
        <v>0</v>
      </c>
      <c r="AR47" s="230">
        <v>9953550</v>
      </c>
      <c r="AS47" s="230">
        <v>13751100</v>
      </c>
      <c r="AT47" s="230">
        <v>-3797550</v>
      </c>
      <c r="AU47" s="229">
        <v>-0.2762</v>
      </c>
      <c r="AV47" s="230">
        <v>7315650</v>
      </c>
      <c r="AW47" s="230">
        <v>10897200</v>
      </c>
      <c r="AX47" s="230">
        <v>-3581550</v>
      </c>
      <c r="AY47" s="229">
        <v>-0.32869999999999999</v>
      </c>
      <c r="AZ47" s="230">
        <v>2401650</v>
      </c>
      <c r="BA47" s="230">
        <v>2543400</v>
      </c>
      <c r="BB47" s="230">
        <v>-141750</v>
      </c>
      <c r="BC47" s="229">
        <v>-5.57E-2</v>
      </c>
      <c r="BD47" s="230">
        <v>236250</v>
      </c>
      <c r="BE47" s="230">
        <v>310500</v>
      </c>
      <c r="BF47" s="230">
        <v>-74250</v>
      </c>
      <c r="BG47" s="229">
        <v>-0.23910000000000001</v>
      </c>
      <c r="BH47" s="230">
        <v>47548350</v>
      </c>
      <c r="BI47" s="230">
        <v>50942250</v>
      </c>
      <c r="BJ47" s="230">
        <v>-3393900</v>
      </c>
      <c r="BK47" s="229">
        <v>-6.6600000000000006E-2</v>
      </c>
      <c r="BL47" s="230">
        <v>25855200</v>
      </c>
      <c r="BM47" s="230">
        <v>30549150</v>
      </c>
      <c r="BN47" s="230">
        <v>-4693950</v>
      </c>
      <c r="BO47" s="229">
        <v>-0.1537</v>
      </c>
      <c r="BP47" s="230">
        <v>83357100</v>
      </c>
      <c r="BQ47" s="230">
        <v>95242500</v>
      </c>
      <c r="BR47" s="230">
        <v>-11885400</v>
      </c>
      <c r="BS47" s="229">
        <v>-0.12479999999999999</v>
      </c>
      <c r="BT47" s="230">
        <v>8461130</v>
      </c>
      <c r="BU47" s="230">
        <v>11372615</v>
      </c>
      <c r="BV47" s="230">
        <v>-2911485</v>
      </c>
      <c r="BW47" s="229">
        <v>-0.25600000000000001</v>
      </c>
      <c r="BX47" s="230">
        <v>70513200</v>
      </c>
      <c r="BY47" s="230">
        <v>70181100</v>
      </c>
      <c r="BZ47" s="230">
        <v>332100</v>
      </c>
      <c r="CA47" s="229">
        <v>4.7000000000000002E-3</v>
      </c>
      <c r="CB47" s="230">
        <v>61927200</v>
      </c>
      <c r="CC47" s="230">
        <v>62379450</v>
      </c>
      <c r="CD47" s="230">
        <v>-452250</v>
      </c>
      <c r="CE47" s="229">
        <v>-7.1999999999999998E-3</v>
      </c>
      <c r="CF47" s="230">
        <v>7757100</v>
      </c>
      <c r="CG47" s="230">
        <v>6952500</v>
      </c>
      <c r="CH47" s="230">
        <v>804600</v>
      </c>
      <c r="CI47" s="229">
        <v>0.1157</v>
      </c>
      <c r="CJ47" s="230">
        <v>828900</v>
      </c>
      <c r="CK47" s="230">
        <v>849150</v>
      </c>
      <c r="CL47" s="230">
        <v>-20250</v>
      </c>
      <c r="CM47" s="229">
        <v>-2.3800000000000002E-2</v>
      </c>
      <c r="CN47" s="230">
        <v>42565500</v>
      </c>
      <c r="CO47" s="230">
        <v>44246250</v>
      </c>
      <c r="CP47" s="230">
        <v>-1680750</v>
      </c>
      <c r="CQ47" s="229">
        <v>-3.7999999999999999E-2</v>
      </c>
      <c r="CR47" s="230">
        <v>26519400</v>
      </c>
      <c r="CS47" s="230">
        <v>28370250</v>
      </c>
      <c r="CT47" s="230">
        <v>-1850850</v>
      </c>
      <c r="CU47" s="229">
        <v>-6.5199999999999994E-2</v>
      </c>
      <c r="CV47" s="230">
        <v>139598100</v>
      </c>
      <c r="CW47" s="230">
        <v>142797600</v>
      </c>
      <c r="CX47" s="230">
        <v>-3199500</v>
      </c>
      <c r="CY47" s="229">
        <v>-2.24E-2</v>
      </c>
      <c r="CZ47" s="228">
        <v>31.21</v>
      </c>
      <c r="DA47" s="228">
        <v>28.23</v>
      </c>
      <c r="DB47" s="228">
        <v>2.98</v>
      </c>
      <c r="DC47" s="228">
        <v>2.98</v>
      </c>
      <c r="DD47" s="228">
        <v>30.97</v>
      </c>
      <c r="DE47" s="228">
        <v>31.03</v>
      </c>
      <c r="DF47" s="228">
        <v>0.24</v>
      </c>
      <c r="DG47" s="228">
        <v>-0.06</v>
      </c>
      <c r="DH47" s="228">
        <v>31.07</v>
      </c>
      <c r="DI47" s="228">
        <v>27.9</v>
      </c>
      <c r="DJ47" s="228">
        <v>3.17</v>
      </c>
      <c r="DK47" s="228">
        <v>3.17</v>
      </c>
      <c r="DL47" s="228">
        <v>31.46</v>
      </c>
      <c r="DM47" s="228">
        <v>28.78</v>
      </c>
      <c r="DN47" s="228">
        <v>2.68</v>
      </c>
      <c r="DO47" s="228">
        <v>2.68</v>
      </c>
      <c r="DP47" s="228">
        <v>0.62</v>
      </c>
      <c r="DQ47" s="228">
        <v>0.64</v>
      </c>
      <c r="DR47" s="228">
        <v>-0.02</v>
      </c>
      <c r="DS47" s="229">
        <v>-3.1300000000000001E-2</v>
      </c>
      <c r="DT47" s="228">
        <v>500</v>
      </c>
      <c r="DU47" s="228">
        <v>400</v>
      </c>
      <c r="DV47" s="228">
        <v>0.54</v>
      </c>
      <c r="DW47" s="228">
        <v>0.6</v>
      </c>
      <c r="DX47" s="228">
        <v>-0.06</v>
      </c>
      <c r="DY47" s="229">
        <v>-0.1</v>
      </c>
      <c r="DZ47" s="229">
        <v>0.12180000000000001</v>
      </c>
      <c r="EA47" s="230">
        <v>7801650</v>
      </c>
      <c r="EB47" s="229">
        <v>-5.7999999999999996E-3</v>
      </c>
      <c r="EC47" s="229">
        <v>0.12180000000000001</v>
      </c>
      <c r="ED47" s="228">
        <v>-2.52</v>
      </c>
      <c r="EE47" s="229">
        <v>-5.7000000000000002E-3</v>
      </c>
      <c r="EF47" s="230">
        <v>4513898</v>
      </c>
      <c r="EG47" s="230">
        <v>6874068</v>
      </c>
      <c r="EH47" s="229">
        <v>-0.34329999999999999</v>
      </c>
      <c r="EI47" s="229">
        <v>0.53349999999999997</v>
      </c>
      <c r="EJ47" s="231">
        <v>218013.31</v>
      </c>
      <c r="EK47" s="231">
        <v>112499.73</v>
      </c>
      <c r="EL47" s="231">
        <v>43778.06</v>
      </c>
      <c r="EM47" s="231">
        <v>8653</v>
      </c>
      <c r="EN47" s="231">
        <v>374291.1</v>
      </c>
      <c r="EO47" s="231">
        <v>423781.4</v>
      </c>
      <c r="EP47" s="231">
        <v>-49490.3</v>
      </c>
      <c r="EQ47" s="229">
        <v>-0.1168</v>
      </c>
      <c r="ER47" s="231">
        <v>199312</v>
      </c>
      <c r="ES47" s="231">
        <v>113080</v>
      </c>
      <c r="ET47" s="231">
        <v>311688</v>
      </c>
      <c r="EU47" s="231">
        <v>320531323</v>
      </c>
      <c r="EV47" s="231">
        <v>624080</v>
      </c>
      <c r="EW47" s="231">
        <v>635962</v>
      </c>
      <c r="EX47" s="231">
        <v>-11882</v>
      </c>
      <c r="EY47" s="229">
        <v>-1.8700000000000001E-2</v>
      </c>
      <c r="EZ47" s="229">
        <v>0.4355</v>
      </c>
      <c r="FA47" s="227" t="s">
        <v>555</v>
      </c>
      <c r="FB47" s="161">
        <f t="shared" si="0"/>
        <v>8586000</v>
      </c>
    </row>
    <row r="48" spans="1:158" ht="17.25" thickBot="1" x14ac:dyDescent="0.3">
      <c r="A48" s="226">
        <v>46132</v>
      </c>
      <c r="B48" s="227" t="s">
        <v>215</v>
      </c>
      <c r="C48" s="227" t="s">
        <v>696</v>
      </c>
      <c r="D48" s="228">
        <v>400</v>
      </c>
      <c r="E48" s="231">
        <v>1545.7</v>
      </c>
      <c r="F48" s="231">
        <v>1566.2</v>
      </c>
      <c r="G48" s="228">
        <v>-20.5</v>
      </c>
      <c r="H48" s="229">
        <v>-1.3100000000000001E-2</v>
      </c>
      <c r="I48" s="231">
        <v>1544.9</v>
      </c>
      <c r="J48" s="231">
        <v>1561.1</v>
      </c>
      <c r="K48" s="228">
        <v>-16.2</v>
      </c>
      <c r="L48" s="229">
        <v>-1.04E-2</v>
      </c>
      <c r="M48" s="231">
        <v>1545.7</v>
      </c>
      <c r="N48" s="231">
        <v>1566.2</v>
      </c>
      <c r="O48" s="228">
        <v>-20.5</v>
      </c>
      <c r="P48" s="229">
        <v>-1.3100000000000001E-2</v>
      </c>
      <c r="Q48" s="231">
        <v>1546.2</v>
      </c>
      <c r="R48" s="231">
        <v>1566.4</v>
      </c>
      <c r="S48" s="228">
        <v>-20.2</v>
      </c>
      <c r="T48" s="229">
        <v>-1.29E-2</v>
      </c>
      <c r="U48" s="231">
        <v>1551.1</v>
      </c>
      <c r="V48" s="231">
        <v>1571.2</v>
      </c>
      <c r="W48" s="228">
        <v>-20.100000000000001</v>
      </c>
      <c r="X48" s="229">
        <v>-1.2800000000000001E-2</v>
      </c>
      <c r="Y48" s="228">
        <v>0.8</v>
      </c>
      <c r="Z48" s="228">
        <v>5.0999999999999996</v>
      </c>
      <c r="AA48" s="228">
        <v>-4.3</v>
      </c>
      <c r="AB48" s="229">
        <v>5.0000000000000001E-4</v>
      </c>
      <c r="AC48" s="228">
        <v>0.8</v>
      </c>
      <c r="AD48" s="228">
        <v>5.0999999999999996</v>
      </c>
      <c r="AE48" s="228">
        <v>-4.3</v>
      </c>
      <c r="AF48" s="229">
        <v>5.0000000000000001E-4</v>
      </c>
      <c r="AG48" s="228">
        <v>1.3</v>
      </c>
      <c r="AH48" s="228">
        <v>5.3</v>
      </c>
      <c r="AI48" s="228">
        <v>-4</v>
      </c>
      <c r="AJ48" s="229">
        <v>8.0000000000000004E-4</v>
      </c>
      <c r="AK48" s="228">
        <v>6.2</v>
      </c>
      <c r="AL48" s="228">
        <v>10.1</v>
      </c>
      <c r="AM48" s="228">
        <v>-3.9</v>
      </c>
      <c r="AN48" s="229">
        <v>4.0000000000000001E-3</v>
      </c>
      <c r="AO48" s="231">
        <v>1558.19</v>
      </c>
      <c r="AP48" s="231">
        <v>1560.48</v>
      </c>
      <c r="AQ48" s="228">
        <v>0</v>
      </c>
      <c r="AR48" s="230">
        <v>1007200</v>
      </c>
      <c r="AS48" s="230">
        <v>1715200</v>
      </c>
      <c r="AT48" s="230">
        <v>-708000</v>
      </c>
      <c r="AU48" s="229">
        <v>-0.4128</v>
      </c>
      <c r="AV48" s="230">
        <v>773200</v>
      </c>
      <c r="AW48" s="230">
        <v>1454800</v>
      </c>
      <c r="AX48" s="230">
        <v>-681600</v>
      </c>
      <c r="AY48" s="229">
        <v>-0.46850000000000003</v>
      </c>
      <c r="AZ48" s="230">
        <v>222800</v>
      </c>
      <c r="BA48" s="230">
        <v>237200</v>
      </c>
      <c r="BB48" s="230">
        <v>-14400</v>
      </c>
      <c r="BC48" s="229">
        <v>-6.0699999999999997E-2</v>
      </c>
      <c r="BD48" s="230">
        <v>11200</v>
      </c>
      <c r="BE48" s="230">
        <v>23200</v>
      </c>
      <c r="BF48" s="230">
        <v>-12000</v>
      </c>
      <c r="BG48" s="229">
        <v>-0.51719999999999999</v>
      </c>
      <c r="BH48" s="230">
        <v>2549600</v>
      </c>
      <c r="BI48" s="230">
        <v>8815200</v>
      </c>
      <c r="BJ48" s="230">
        <v>-6265600</v>
      </c>
      <c r="BK48" s="229">
        <v>-0.71079999999999999</v>
      </c>
      <c r="BL48" s="230">
        <v>784400</v>
      </c>
      <c r="BM48" s="230">
        <v>1658400</v>
      </c>
      <c r="BN48" s="230">
        <v>-874000</v>
      </c>
      <c r="BO48" s="229">
        <v>-0.52700000000000002</v>
      </c>
      <c r="BP48" s="230">
        <v>4341200</v>
      </c>
      <c r="BQ48" s="230">
        <v>12188800</v>
      </c>
      <c r="BR48" s="230">
        <v>-7847600</v>
      </c>
      <c r="BS48" s="229">
        <v>-0.64380000000000004</v>
      </c>
      <c r="BT48" s="230">
        <v>1823958</v>
      </c>
      <c r="BU48" s="230">
        <v>3854822</v>
      </c>
      <c r="BV48" s="230">
        <v>-2030864</v>
      </c>
      <c r="BW48" s="229">
        <v>-0.52680000000000005</v>
      </c>
      <c r="BX48" s="230">
        <v>1938000</v>
      </c>
      <c r="BY48" s="230">
        <v>1795200</v>
      </c>
      <c r="BZ48" s="230">
        <v>142800</v>
      </c>
      <c r="CA48" s="229">
        <v>7.9500000000000001E-2</v>
      </c>
      <c r="CB48" s="230">
        <v>1462000</v>
      </c>
      <c r="CC48" s="230">
        <v>1401200</v>
      </c>
      <c r="CD48" s="230">
        <v>60800</v>
      </c>
      <c r="CE48" s="229">
        <v>4.3400000000000001E-2</v>
      </c>
      <c r="CF48" s="230">
        <v>446400</v>
      </c>
      <c r="CG48" s="230">
        <v>369200</v>
      </c>
      <c r="CH48" s="230">
        <v>77200</v>
      </c>
      <c r="CI48" s="229">
        <v>0.20910000000000001</v>
      </c>
      <c r="CJ48" s="230">
        <v>29600</v>
      </c>
      <c r="CK48" s="230">
        <v>24800</v>
      </c>
      <c r="CL48" s="230">
        <v>4800</v>
      </c>
      <c r="CM48" s="229">
        <v>0.19350000000000001</v>
      </c>
      <c r="CN48" s="230">
        <v>1333600</v>
      </c>
      <c r="CO48" s="230">
        <v>1083200</v>
      </c>
      <c r="CP48" s="230">
        <v>250400</v>
      </c>
      <c r="CQ48" s="229">
        <v>0.23119999999999999</v>
      </c>
      <c r="CR48" s="230">
        <v>782800</v>
      </c>
      <c r="CS48" s="230">
        <v>739200</v>
      </c>
      <c r="CT48" s="230">
        <v>43600</v>
      </c>
      <c r="CU48" s="229">
        <v>5.8999999999999997E-2</v>
      </c>
      <c r="CV48" s="230">
        <v>4054400</v>
      </c>
      <c r="CW48" s="230">
        <v>3617600</v>
      </c>
      <c r="CX48" s="230">
        <v>436800</v>
      </c>
      <c r="CY48" s="229">
        <v>0.1207</v>
      </c>
      <c r="CZ48" s="228">
        <v>60.41</v>
      </c>
      <c r="DA48" s="228">
        <v>52.74</v>
      </c>
      <c r="DB48" s="228">
        <v>7.67</v>
      </c>
      <c r="DC48" s="228">
        <v>7.67</v>
      </c>
      <c r="DD48" s="228">
        <v>54.79</v>
      </c>
      <c r="DE48" s="228">
        <v>54.91</v>
      </c>
      <c r="DF48" s="228">
        <v>5.62</v>
      </c>
      <c r="DG48" s="228">
        <v>-0.12</v>
      </c>
      <c r="DH48" s="228">
        <v>59.94</v>
      </c>
      <c r="DI48" s="228">
        <v>52.4</v>
      </c>
      <c r="DJ48" s="228">
        <v>7.54</v>
      </c>
      <c r="DK48" s="228">
        <v>7.54</v>
      </c>
      <c r="DL48" s="228">
        <v>61.94</v>
      </c>
      <c r="DM48" s="228">
        <v>54.57</v>
      </c>
      <c r="DN48" s="228">
        <v>7.37</v>
      </c>
      <c r="DO48" s="228">
        <v>7.37</v>
      </c>
      <c r="DP48" s="228">
        <v>0.59</v>
      </c>
      <c r="DQ48" s="228">
        <v>0.68</v>
      </c>
      <c r="DR48" s="228">
        <v>-0.09</v>
      </c>
      <c r="DS48" s="229">
        <v>-0.13239999999999999</v>
      </c>
      <c r="DT48" s="231">
        <v>1560</v>
      </c>
      <c r="DU48" s="231">
        <v>1420</v>
      </c>
      <c r="DV48" s="228">
        <v>0.31</v>
      </c>
      <c r="DW48" s="228">
        <v>0.19</v>
      </c>
      <c r="DX48" s="228">
        <v>0.12</v>
      </c>
      <c r="DY48" s="229">
        <v>0.63160000000000005</v>
      </c>
      <c r="DZ48" s="229">
        <v>0.24560000000000001</v>
      </c>
      <c r="EA48" s="230">
        <v>394000</v>
      </c>
      <c r="EB48" s="229">
        <v>2.9999999999999997E-4</v>
      </c>
      <c r="EC48" s="229">
        <v>0.24560000000000001</v>
      </c>
      <c r="ED48" s="228">
        <v>2.29</v>
      </c>
      <c r="EE48" s="229">
        <v>1.5E-3</v>
      </c>
      <c r="EF48" s="230">
        <v>526312</v>
      </c>
      <c r="EG48" s="230">
        <v>851607</v>
      </c>
      <c r="EH48" s="229">
        <v>-0.38200000000000001</v>
      </c>
      <c r="EI48" s="229">
        <v>0.28860000000000002</v>
      </c>
      <c r="EJ48" s="231">
        <v>41797.72</v>
      </c>
      <c r="EK48" s="231">
        <v>11582.22</v>
      </c>
      <c r="EL48" s="231">
        <v>15699.76</v>
      </c>
      <c r="EM48" s="231">
        <v>2559</v>
      </c>
      <c r="EN48" s="231">
        <v>69079.7</v>
      </c>
      <c r="EO48" s="231">
        <v>194989.82</v>
      </c>
      <c r="EP48" s="231">
        <v>-125910.12</v>
      </c>
      <c r="EQ48" s="229">
        <v>-0.64570000000000005</v>
      </c>
      <c r="ER48" s="231">
        <v>20727</v>
      </c>
      <c r="ES48" s="231">
        <v>10971</v>
      </c>
      <c r="ET48" s="231">
        <v>29959</v>
      </c>
      <c r="EU48" s="231">
        <v>12661431</v>
      </c>
      <c r="EV48" s="231">
        <v>61658</v>
      </c>
      <c r="EW48" s="231">
        <v>55045</v>
      </c>
      <c r="EX48" s="231">
        <v>6613</v>
      </c>
      <c r="EY48" s="229">
        <v>0.1201</v>
      </c>
      <c r="EZ48" s="229">
        <v>0.32019999999999998</v>
      </c>
      <c r="FA48" s="227" t="s">
        <v>566</v>
      </c>
      <c r="FB48" s="161">
        <f t="shared" si="0"/>
        <v>476000</v>
      </c>
    </row>
    <row r="49" spans="1:158" ht="17.25" thickBot="1" x14ac:dyDescent="0.3">
      <c r="A49" s="226">
        <v>46132</v>
      </c>
      <c r="B49" s="227" t="s">
        <v>221</v>
      </c>
      <c r="C49" s="227" t="s">
        <v>470</v>
      </c>
      <c r="D49" s="228">
        <v>375</v>
      </c>
      <c r="E49" s="231">
        <v>1284.7</v>
      </c>
      <c r="F49" s="231">
        <v>1316.8</v>
      </c>
      <c r="G49" s="228">
        <v>-32.1</v>
      </c>
      <c r="H49" s="229">
        <v>-2.4400000000000002E-2</v>
      </c>
      <c r="I49" s="231">
        <v>1288.0999999999999</v>
      </c>
      <c r="J49" s="231">
        <v>1316.8</v>
      </c>
      <c r="K49" s="228">
        <v>-28.7</v>
      </c>
      <c r="L49" s="229">
        <v>-2.18E-2</v>
      </c>
      <c r="M49" s="231">
        <v>1284.7</v>
      </c>
      <c r="N49" s="231">
        <v>1316.8</v>
      </c>
      <c r="O49" s="228">
        <v>-32.1</v>
      </c>
      <c r="P49" s="229">
        <v>-2.4400000000000002E-2</v>
      </c>
      <c r="Q49" s="231">
        <v>1288.4000000000001</v>
      </c>
      <c r="R49" s="231">
        <v>1321</v>
      </c>
      <c r="S49" s="228">
        <v>-32.6</v>
      </c>
      <c r="T49" s="229">
        <v>-2.47E-2</v>
      </c>
      <c r="U49" s="231">
        <v>1295.5999999999999</v>
      </c>
      <c r="V49" s="231">
        <v>1327.9</v>
      </c>
      <c r="W49" s="228">
        <v>-32.299999999999997</v>
      </c>
      <c r="X49" s="229">
        <v>-2.4299999999999999E-2</v>
      </c>
      <c r="Y49" s="228">
        <v>-3.4</v>
      </c>
      <c r="Z49" s="228">
        <v>0</v>
      </c>
      <c r="AA49" s="228">
        <v>-3.4</v>
      </c>
      <c r="AB49" s="229">
        <v>-2.5999999999999999E-3</v>
      </c>
      <c r="AC49" s="228">
        <v>-3.4</v>
      </c>
      <c r="AD49" s="228">
        <v>0</v>
      </c>
      <c r="AE49" s="228">
        <v>-3.4</v>
      </c>
      <c r="AF49" s="229">
        <v>-2.5999999999999999E-3</v>
      </c>
      <c r="AG49" s="228">
        <v>0.3</v>
      </c>
      <c r="AH49" s="228">
        <v>4.2</v>
      </c>
      <c r="AI49" s="228">
        <v>-3.9</v>
      </c>
      <c r="AJ49" s="229">
        <v>2.0000000000000001E-4</v>
      </c>
      <c r="AK49" s="228">
        <v>7.5</v>
      </c>
      <c r="AL49" s="228">
        <v>11.1</v>
      </c>
      <c r="AM49" s="228">
        <v>-3.6</v>
      </c>
      <c r="AN49" s="229">
        <v>5.7999999999999996E-3</v>
      </c>
      <c r="AO49" s="231">
        <v>1296.6300000000001</v>
      </c>
      <c r="AP49" s="231">
        <v>1300.51</v>
      </c>
      <c r="AQ49" s="228">
        <v>0</v>
      </c>
      <c r="AR49" s="230">
        <v>2655000</v>
      </c>
      <c r="AS49" s="230">
        <v>2322750</v>
      </c>
      <c r="AT49" s="230">
        <v>332250</v>
      </c>
      <c r="AU49" s="229">
        <v>0.14299999999999999</v>
      </c>
      <c r="AV49" s="230">
        <v>2117625</v>
      </c>
      <c r="AW49" s="230">
        <v>1967625</v>
      </c>
      <c r="AX49" s="230">
        <v>150000</v>
      </c>
      <c r="AY49" s="229">
        <v>7.6200000000000004E-2</v>
      </c>
      <c r="AZ49" s="230">
        <v>504750</v>
      </c>
      <c r="BA49" s="230">
        <v>330750</v>
      </c>
      <c r="BB49" s="230">
        <v>174000</v>
      </c>
      <c r="BC49" s="229">
        <v>0.52610000000000001</v>
      </c>
      <c r="BD49" s="230">
        <v>32625</v>
      </c>
      <c r="BE49" s="230">
        <v>24375</v>
      </c>
      <c r="BF49" s="230">
        <v>8250</v>
      </c>
      <c r="BG49" s="229">
        <v>0.33850000000000002</v>
      </c>
      <c r="BH49" s="230">
        <v>5152875</v>
      </c>
      <c r="BI49" s="230">
        <v>6516375</v>
      </c>
      <c r="BJ49" s="230">
        <v>-1363500</v>
      </c>
      <c r="BK49" s="229">
        <v>-0.2092</v>
      </c>
      <c r="BL49" s="230">
        <v>2989125</v>
      </c>
      <c r="BM49" s="230">
        <v>3611625</v>
      </c>
      <c r="BN49" s="230">
        <v>-622500</v>
      </c>
      <c r="BO49" s="229">
        <v>-0.1724</v>
      </c>
      <c r="BP49" s="230">
        <v>10797000</v>
      </c>
      <c r="BQ49" s="230">
        <v>12450750</v>
      </c>
      <c r="BR49" s="230">
        <v>-1653750</v>
      </c>
      <c r="BS49" s="229">
        <v>-0.1328</v>
      </c>
      <c r="BT49" s="230">
        <v>2083521</v>
      </c>
      <c r="BU49" s="230">
        <v>2914113</v>
      </c>
      <c r="BV49" s="230">
        <v>-830592</v>
      </c>
      <c r="BW49" s="229">
        <v>-0.28499999999999998</v>
      </c>
      <c r="BX49" s="230">
        <v>17997750</v>
      </c>
      <c r="BY49" s="230">
        <v>18288000</v>
      </c>
      <c r="BZ49" s="230">
        <v>-290250</v>
      </c>
      <c r="CA49" s="229">
        <v>-1.5900000000000001E-2</v>
      </c>
      <c r="CB49" s="230">
        <v>16662000</v>
      </c>
      <c r="CC49" s="230">
        <v>17191125</v>
      </c>
      <c r="CD49" s="230">
        <v>-529125</v>
      </c>
      <c r="CE49" s="229">
        <v>-3.0800000000000001E-2</v>
      </c>
      <c r="CF49" s="230">
        <v>1232250</v>
      </c>
      <c r="CG49" s="230">
        <v>1005750</v>
      </c>
      <c r="CH49" s="230">
        <v>226500</v>
      </c>
      <c r="CI49" s="229">
        <v>0.22520000000000001</v>
      </c>
      <c r="CJ49" s="230">
        <v>103500</v>
      </c>
      <c r="CK49" s="230">
        <v>91125</v>
      </c>
      <c r="CL49" s="230">
        <v>12375</v>
      </c>
      <c r="CM49" s="229">
        <v>0.1358</v>
      </c>
      <c r="CN49" s="230">
        <v>7961625</v>
      </c>
      <c r="CO49" s="230">
        <v>7639500</v>
      </c>
      <c r="CP49" s="230">
        <v>322125</v>
      </c>
      <c r="CQ49" s="229">
        <v>4.2200000000000001E-2</v>
      </c>
      <c r="CR49" s="230">
        <v>4906125</v>
      </c>
      <c r="CS49" s="230">
        <v>4945500</v>
      </c>
      <c r="CT49" s="230">
        <v>-39375</v>
      </c>
      <c r="CU49" s="229">
        <v>-8.0000000000000002E-3</v>
      </c>
      <c r="CV49" s="230">
        <v>30865500</v>
      </c>
      <c r="CW49" s="230">
        <v>30873000</v>
      </c>
      <c r="CX49" s="230">
        <v>-7500</v>
      </c>
      <c r="CY49" s="229">
        <v>-2.0000000000000001E-4</v>
      </c>
      <c r="CZ49" s="228">
        <v>46.1</v>
      </c>
      <c r="DA49" s="228">
        <v>39.99</v>
      </c>
      <c r="DB49" s="228">
        <v>6.11</v>
      </c>
      <c r="DC49" s="228">
        <v>6.11</v>
      </c>
      <c r="DD49" s="228">
        <v>43.2</v>
      </c>
      <c r="DE49" s="228">
        <v>43.2</v>
      </c>
      <c r="DF49" s="228">
        <v>2.9</v>
      </c>
      <c r="DG49" s="228">
        <v>0</v>
      </c>
      <c r="DH49" s="228">
        <v>45.3</v>
      </c>
      <c r="DI49" s="228">
        <v>38.700000000000003</v>
      </c>
      <c r="DJ49" s="228">
        <v>6.6</v>
      </c>
      <c r="DK49" s="228">
        <v>6.6</v>
      </c>
      <c r="DL49" s="228">
        <v>47.48</v>
      </c>
      <c r="DM49" s="228">
        <v>42.31</v>
      </c>
      <c r="DN49" s="228">
        <v>5.17</v>
      </c>
      <c r="DO49" s="228">
        <v>5.17</v>
      </c>
      <c r="DP49" s="228">
        <v>0.62</v>
      </c>
      <c r="DQ49" s="228">
        <v>0.65</v>
      </c>
      <c r="DR49" s="228">
        <v>-0.03</v>
      </c>
      <c r="DS49" s="229">
        <v>-4.6199999999999998E-2</v>
      </c>
      <c r="DT49" s="231">
        <v>1300</v>
      </c>
      <c r="DU49" s="231">
        <v>1220</v>
      </c>
      <c r="DV49" s="228">
        <v>0.57999999999999996</v>
      </c>
      <c r="DW49" s="228">
        <v>0.55000000000000004</v>
      </c>
      <c r="DX49" s="228">
        <v>0.03</v>
      </c>
      <c r="DY49" s="229">
        <v>5.45E-2</v>
      </c>
      <c r="DZ49" s="229">
        <v>7.4200000000000002E-2</v>
      </c>
      <c r="EA49" s="230">
        <v>1096875</v>
      </c>
      <c r="EB49" s="229">
        <v>2.8999999999999998E-3</v>
      </c>
      <c r="EC49" s="229">
        <v>7.4200000000000002E-2</v>
      </c>
      <c r="ED49" s="228">
        <v>3.88</v>
      </c>
      <c r="EE49" s="229">
        <v>3.0000000000000001E-3</v>
      </c>
      <c r="EF49" s="230">
        <v>977078</v>
      </c>
      <c r="EG49" s="230">
        <v>1377808</v>
      </c>
      <c r="EH49" s="229">
        <v>-0.2908</v>
      </c>
      <c r="EI49" s="229">
        <v>0.46899999999999997</v>
      </c>
      <c r="EJ49" s="231">
        <v>70348.78</v>
      </c>
      <c r="EK49" s="231">
        <v>38440.86</v>
      </c>
      <c r="EL49" s="231">
        <v>34448.660000000003</v>
      </c>
      <c r="EM49" s="231">
        <v>7655</v>
      </c>
      <c r="EN49" s="231">
        <v>143238.29999999999</v>
      </c>
      <c r="EO49" s="231">
        <v>166694.44</v>
      </c>
      <c r="EP49" s="231">
        <v>-23456.14</v>
      </c>
      <c r="EQ49" s="229">
        <v>-0.14069999999999999</v>
      </c>
      <c r="ER49" s="231">
        <v>101029</v>
      </c>
      <c r="ES49" s="231">
        <v>59195</v>
      </c>
      <c r="ET49" s="231">
        <v>231274</v>
      </c>
      <c r="EU49" s="231">
        <v>50256271</v>
      </c>
      <c r="EV49" s="231">
        <v>391498</v>
      </c>
      <c r="EW49" s="231">
        <v>397276</v>
      </c>
      <c r="EX49" s="231">
        <v>-5778</v>
      </c>
      <c r="EY49" s="229">
        <v>-1.4500000000000001E-2</v>
      </c>
      <c r="EZ49" s="229">
        <v>0.61419999999999997</v>
      </c>
      <c r="FA49" s="227" t="s">
        <v>567</v>
      </c>
      <c r="FB49" s="161">
        <f t="shared" si="0"/>
        <v>1335750</v>
      </c>
    </row>
    <row r="50" spans="1:158" ht="17.25" thickBot="1" x14ac:dyDescent="0.3">
      <c r="A50" s="226">
        <v>46132</v>
      </c>
      <c r="B50" s="227" t="s">
        <v>168</v>
      </c>
      <c r="C50" s="227" t="s">
        <v>201</v>
      </c>
      <c r="D50" s="228">
        <v>225</v>
      </c>
      <c r="E50" s="231">
        <v>2122.6</v>
      </c>
      <c r="F50" s="231">
        <v>2109.1999999999998</v>
      </c>
      <c r="G50" s="228">
        <v>13.4</v>
      </c>
      <c r="H50" s="229">
        <v>6.4000000000000003E-3</v>
      </c>
      <c r="I50" s="231">
        <v>2129</v>
      </c>
      <c r="J50" s="231">
        <v>2106</v>
      </c>
      <c r="K50" s="228">
        <v>23</v>
      </c>
      <c r="L50" s="229">
        <v>1.09E-2</v>
      </c>
      <c r="M50" s="231">
        <v>2122.6</v>
      </c>
      <c r="N50" s="231">
        <v>2109.1999999999998</v>
      </c>
      <c r="O50" s="228">
        <v>13.4</v>
      </c>
      <c r="P50" s="229">
        <v>6.4000000000000003E-3</v>
      </c>
      <c r="Q50" s="231">
        <v>2108.4</v>
      </c>
      <c r="R50" s="231">
        <v>2101.6</v>
      </c>
      <c r="S50" s="228">
        <v>6.8</v>
      </c>
      <c r="T50" s="229">
        <v>3.2000000000000002E-3</v>
      </c>
      <c r="U50" s="231">
        <v>2103.1</v>
      </c>
      <c r="V50" s="231">
        <v>2098.6</v>
      </c>
      <c r="W50" s="228">
        <v>4.5</v>
      </c>
      <c r="X50" s="229">
        <v>2.0999999999999999E-3</v>
      </c>
      <c r="Y50" s="228">
        <v>-6.4</v>
      </c>
      <c r="Z50" s="228">
        <v>3.2</v>
      </c>
      <c r="AA50" s="228">
        <v>-9.6</v>
      </c>
      <c r="AB50" s="229">
        <v>-3.0000000000000001E-3</v>
      </c>
      <c r="AC50" s="228">
        <v>-6.4</v>
      </c>
      <c r="AD50" s="228">
        <v>3.2</v>
      </c>
      <c r="AE50" s="228">
        <v>-9.6</v>
      </c>
      <c r="AF50" s="229">
        <v>-3.0000000000000001E-3</v>
      </c>
      <c r="AG50" s="228">
        <v>-20.6</v>
      </c>
      <c r="AH50" s="228">
        <v>-4.4000000000000004</v>
      </c>
      <c r="AI50" s="228">
        <v>-16.2</v>
      </c>
      <c r="AJ50" s="229">
        <v>-9.7000000000000003E-3</v>
      </c>
      <c r="AK50" s="228">
        <v>-25.9</v>
      </c>
      <c r="AL50" s="228">
        <v>-7.4</v>
      </c>
      <c r="AM50" s="228">
        <v>-18.5</v>
      </c>
      <c r="AN50" s="229">
        <v>-1.2200000000000001E-2</v>
      </c>
      <c r="AO50" s="231">
        <v>2121.8000000000002</v>
      </c>
      <c r="AP50" s="231">
        <v>2113.44</v>
      </c>
      <c r="AQ50" s="228">
        <v>0</v>
      </c>
      <c r="AR50" s="230">
        <v>949950</v>
      </c>
      <c r="AS50" s="230">
        <v>3161025</v>
      </c>
      <c r="AT50" s="230">
        <v>-2211075</v>
      </c>
      <c r="AU50" s="229">
        <v>-0.69950000000000001</v>
      </c>
      <c r="AV50" s="230">
        <v>814500</v>
      </c>
      <c r="AW50" s="230">
        <v>2837475</v>
      </c>
      <c r="AX50" s="230">
        <v>-2022975</v>
      </c>
      <c r="AY50" s="229">
        <v>-0.71289999999999998</v>
      </c>
      <c r="AZ50" s="230">
        <v>124650</v>
      </c>
      <c r="BA50" s="230">
        <v>291600</v>
      </c>
      <c r="BB50" s="230">
        <v>-166950</v>
      </c>
      <c r="BC50" s="229">
        <v>-0.57250000000000001</v>
      </c>
      <c r="BD50" s="230">
        <v>10800</v>
      </c>
      <c r="BE50" s="230">
        <v>31950</v>
      </c>
      <c r="BF50" s="230">
        <v>-21150</v>
      </c>
      <c r="BG50" s="229">
        <v>-0.66200000000000003</v>
      </c>
      <c r="BH50" s="230">
        <v>4848525</v>
      </c>
      <c r="BI50" s="230">
        <v>27826875</v>
      </c>
      <c r="BJ50" s="230">
        <v>-22978350</v>
      </c>
      <c r="BK50" s="229">
        <v>-0.82579999999999998</v>
      </c>
      <c r="BL50" s="230">
        <v>2051100</v>
      </c>
      <c r="BM50" s="230">
        <v>10462950</v>
      </c>
      <c r="BN50" s="230">
        <v>-8411850</v>
      </c>
      <c r="BO50" s="229">
        <v>-0.80400000000000005</v>
      </c>
      <c r="BP50" s="230">
        <v>7849575</v>
      </c>
      <c r="BQ50" s="230">
        <v>41450850</v>
      </c>
      <c r="BR50" s="230">
        <v>-33601275</v>
      </c>
      <c r="BS50" s="229">
        <v>-0.81059999999999999</v>
      </c>
      <c r="BT50" s="230">
        <v>612975</v>
      </c>
      <c r="BU50" s="230">
        <v>2217997</v>
      </c>
      <c r="BV50" s="230">
        <v>-1605022</v>
      </c>
      <c r="BW50" s="229">
        <v>-0.72360000000000002</v>
      </c>
      <c r="BX50" s="230">
        <v>5824350</v>
      </c>
      <c r="BY50" s="230">
        <v>5842575</v>
      </c>
      <c r="BZ50" s="230">
        <v>-18225</v>
      </c>
      <c r="CA50" s="229">
        <v>-3.0999999999999999E-3</v>
      </c>
      <c r="CB50" s="230">
        <v>5445675</v>
      </c>
      <c r="CC50" s="230">
        <v>5495625</v>
      </c>
      <c r="CD50" s="230">
        <v>-49950</v>
      </c>
      <c r="CE50" s="229">
        <v>-9.1000000000000004E-3</v>
      </c>
      <c r="CF50" s="230">
        <v>351000</v>
      </c>
      <c r="CG50" s="230">
        <v>319725</v>
      </c>
      <c r="CH50" s="230">
        <v>31275</v>
      </c>
      <c r="CI50" s="229">
        <v>9.7799999999999998E-2</v>
      </c>
      <c r="CJ50" s="230">
        <v>27675</v>
      </c>
      <c r="CK50" s="230">
        <v>27225</v>
      </c>
      <c r="CL50" s="228">
        <v>450</v>
      </c>
      <c r="CM50" s="229">
        <v>1.6500000000000001E-2</v>
      </c>
      <c r="CN50" s="230">
        <v>2301525</v>
      </c>
      <c r="CO50" s="230">
        <v>2685825</v>
      </c>
      <c r="CP50" s="230">
        <v>-384300</v>
      </c>
      <c r="CQ50" s="229">
        <v>-0.1431</v>
      </c>
      <c r="CR50" s="230">
        <v>1766925</v>
      </c>
      <c r="CS50" s="230">
        <v>1971675</v>
      </c>
      <c r="CT50" s="230">
        <v>-204750</v>
      </c>
      <c r="CU50" s="229">
        <v>-0.1038</v>
      </c>
      <c r="CV50" s="230">
        <v>9892800</v>
      </c>
      <c r="CW50" s="230">
        <v>10500075</v>
      </c>
      <c r="CX50" s="230">
        <v>-607275</v>
      </c>
      <c r="CY50" s="229">
        <v>-5.7799999999999997E-2</v>
      </c>
      <c r="CZ50" s="228">
        <v>33.619999999999997</v>
      </c>
      <c r="DA50" s="228">
        <v>31.34</v>
      </c>
      <c r="DB50" s="228">
        <v>2.2799999999999998</v>
      </c>
      <c r="DC50" s="228">
        <v>2.2799999999999998</v>
      </c>
      <c r="DD50" s="228">
        <v>30.68</v>
      </c>
      <c r="DE50" s="228">
        <v>30.74</v>
      </c>
      <c r="DF50" s="228">
        <v>2.94</v>
      </c>
      <c r="DG50" s="228">
        <v>-0.06</v>
      </c>
      <c r="DH50" s="228">
        <v>33.020000000000003</v>
      </c>
      <c r="DI50" s="228">
        <v>30.83</v>
      </c>
      <c r="DJ50" s="228">
        <v>2.19</v>
      </c>
      <c r="DK50" s="228">
        <v>2.19</v>
      </c>
      <c r="DL50" s="228">
        <v>35.049999999999997</v>
      </c>
      <c r="DM50" s="228">
        <v>32.68</v>
      </c>
      <c r="DN50" s="228">
        <v>2.37</v>
      </c>
      <c r="DO50" s="228">
        <v>2.37</v>
      </c>
      <c r="DP50" s="228">
        <v>0.77</v>
      </c>
      <c r="DQ50" s="228">
        <v>0.73</v>
      </c>
      <c r="DR50" s="228">
        <v>0.04</v>
      </c>
      <c r="DS50" s="229">
        <v>5.4800000000000001E-2</v>
      </c>
      <c r="DT50" s="231">
        <v>2200</v>
      </c>
      <c r="DU50" s="231">
        <v>2100</v>
      </c>
      <c r="DV50" s="228">
        <v>0.42</v>
      </c>
      <c r="DW50" s="228">
        <v>0.38</v>
      </c>
      <c r="DX50" s="228">
        <v>0.04</v>
      </c>
      <c r="DY50" s="229">
        <v>0.1053</v>
      </c>
      <c r="DZ50" s="229">
        <v>6.5000000000000002E-2</v>
      </c>
      <c r="EA50" s="230">
        <v>346950</v>
      </c>
      <c r="EB50" s="229">
        <v>-6.7000000000000002E-3</v>
      </c>
      <c r="EC50" s="229">
        <v>6.5000000000000002E-2</v>
      </c>
      <c r="ED50" s="228">
        <v>-8.36</v>
      </c>
      <c r="EE50" s="229">
        <v>-3.8999999999999998E-3</v>
      </c>
      <c r="EF50" s="230">
        <v>285115</v>
      </c>
      <c r="EG50" s="230">
        <v>708994</v>
      </c>
      <c r="EH50" s="229">
        <v>-0.59789999999999999</v>
      </c>
      <c r="EI50" s="229">
        <v>0.46510000000000001</v>
      </c>
      <c r="EJ50" s="231">
        <v>107239.07</v>
      </c>
      <c r="EK50" s="231">
        <v>42272.73</v>
      </c>
      <c r="EL50" s="231">
        <v>20144.3</v>
      </c>
      <c r="EM50" s="231">
        <v>6078</v>
      </c>
      <c r="EN50" s="231">
        <v>169656.1</v>
      </c>
      <c r="EO50" s="231">
        <v>884001.22</v>
      </c>
      <c r="EP50" s="231">
        <v>-714345.12</v>
      </c>
      <c r="EQ50" s="229">
        <v>-0.80810000000000004</v>
      </c>
      <c r="ER50" s="231">
        <v>48682</v>
      </c>
      <c r="ES50" s="231">
        <v>34839</v>
      </c>
      <c r="ET50" s="231">
        <v>123572</v>
      </c>
      <c r="EU50" s="231">
        <v>19054573</v>
      </c>
      <c r="EV50" s="231">
        <v>207094</v>
      </c>
      <c r="EW50" s="231">
        <v>219083</v>
      </c>
      <c r="EX50" s="231">
        <v>-11989</v>
      </c>
      <c r="EY50" s="229">
        <v>-5.4699999999999999E-2</v>
      </c>
      <c r="EZ50" s="229">
        <v>0.51919999999999999</v>
      </c>
      <c r="FA50" s="227" t="s">
        <v>693</v>
      </c>
      <c r="FB50" s="161">
        <f t="shared" si="0"/>
        <v>378675</v>
      </c>
    </row>
    <row r="51" spans="1:158" ht="17.25" thickBot="1" x14ac:dyDescent="0.3">
      <c r="A51" s="226">
        <v>46132</v>
      </c>
      <c r="B51" s="227" t="s">
        <v>215</v>
      </c>
      <c r="C51" s="227" t="s">
        <v>202</v>
      </c>
      <c r="D51" s="228">
        <v>1250</v>
      </c>
      <c r="E51" s="228">
        <v>501.95</v>
      </c>
      <c r="F51" s="228">
        <v>504.5</v>
      </c>
      <c r="G51" s="228">
        <v>-2.5499999999999998</v>
      </c>
      <c r="H51" s="229">
        <v>-5.1000000000000004E-3</v>
      </c>
      <c r="I51" s="228">
        <v>501.05</v>
      </c>
      <c r="J51" s="228">
        <v>503.1</v>
      </c>
      <c r="K51" s="228">
        <v>-2.0499999999999998</v>
      </c>
      <c r="L51" s="229">
        <v>-4.1000000000000003E-3</v>
      </c>
      <c r="M51" s="228">
        <v>501.95</v>
      </c>
      <c r="N51" s="228">
        <v>504.5</v>
      </c>
      <c r="O51" s="228">
        <v>-2.5499999999999998</v>
      </c>
      <c r="P51" s="229">
        <v>-5.1000000000000004E-3</v>
      </c>
      <c r="Q51" s="228">
        <v>504.5</v>
      </c>
      <c r="R51" s="228">
        <v>506.95</v>
      </c>
      <c r="S51" s="228">
        <v>-2.4500000000000002</v>
      </c>
      <c r="T51" s="229">
        <v>-4.7999999999999996E-3</v>
      </c>
      <c r="U51" s="228">
        <v>507.7</v>
      </c>
      <c r="V51" s="228">
        <v>509.2</v>
      </c>
      <c r="W51" s="228">
        <v>-1.5</v>
      </c>
      <c r="X51" s="229">
        <v>-2.8999999999999998E-3</v>
      </c>
      <c r="Y51" s="228">
        <v>0.9</v>
      </c>
      <c r="Z51" s="228">
        <v>1.4</v>
      </c>
      <c r="AA51" s="228">
        <v>-0.5</v>
      </c>
      <c r="AB51" s="229">
        <v>1.8E-3</v>
      </c>
      <c r="AC51" s="228">
        <v>0.9</v>
      </c>
      <c r="AD51" s="228">
        <v>1.4</v>
      </c>
      <c r="AE51" s="228">
        <v>-0.5</v>
      </c>
      <c r="AF51" s="229">
        <v>1.8E-3</v>
      </c>
      <c r="AG51" s="228">
        <v>3.45</v>
      </c>
      <c r="AH51" s="228">
        <v>3.85</v>
      </c>
      <c r="AI51" s="228">
        <v>-0.4</v>
      </c>
      <c r="AJ51" s="229">
        <v>6.8999999999999999E-3</v>
      </c>
      <c r="AK51" s="228">
        <v>6.65</v>
      </c>
      <c r="AL51" s="228">
        <v>6.1</v>
      </c>
      <c r="AM51" s="228">
        <v>0.55000000000000004</v>
      </c>
      <c r="AN51" s="229">
        <v>1.3299999999999999E-2</v>
      </c>
      <c r="AO51" s="228">
        <v>505.78</v>
      </c>
      <c r="AP51" s="228">
        <v>508.33</v>
      </c>
      <c r="AQ51" s="228">
        <v>0</v>
      </c>
      <c r="AR51" s="230">
        <v>3100000</v>
      </c>
      <c r="AS51" s="230">
        <v>4518750</v>
      </c>
      <c r="AT51" s="230">
        <v>-1418750</v>
      </c>
      <c r="AU51" s="229">
        <v>-0.314</v>
      </c>
      <c r="AV51" s="230">
        <v>2225000</v>
      </c>
      <c r="AW51" s="230">
        <v>3583750</v>
      </c>
      <c r="AX51" s="230">
        <v>-1358750</v>
      </c>
      <c r="AY51" s="229">
        <v>-0.37909999999999999</v>
      </c>
      <c r="AZ51" s="230">
        <v>787500</v>
      </c>
      <c r="BA51" s="230">
        <v>875000</v>
      </c>
      <c r="BB51" s="230">
        <v>-87500</v>
      </c>
      <c r="BC51" s="229">
        <v>-0.1</v>
      </c>
      <c r="BD51" s="230">
        <v>87500</v>
      </c>
      <c r="BE51" s="230">
        <v>60000</v>
      </c>
      <c r="BF51" s="230">
        <v>27500</v>
      </c>
      <c r="BG51" s="229">
        <v>0.45829999999999999</v>
      </c>
      <c r="BH51" s="230">
        <v>5146250</v>
      </c>
      <c r="BI51" s="230">
        <v>6961250</v>
      </c>
      <c r="BJ51" s="230">
        <v>-1815000</v>
      </c>
      <c r="BK51" s="229">
        <v>-0.26069999999999999</v>
      </c>
      <c r="BL51" s="230">
        <v>1998750</v>
      </c>
      <c r="BM51" s="230">
        <v>2876250</v>
      </c>
      <c r="BN51" s="230">
        <v>-877500</v>
      </c>
      <c r="BO51" s="229">
        <v>-0.30509999999999998</v>
      </c>
      <c r="BP51" s="230">
        <v>10245000</v>
      </c>
      <c r="BQ51" s="230">
        <v>14356250</v>
      </c>
      <c r="BR51" s="230">
        <v>-4111250</v>
      </c>
      <c r="BS51" s="229">
        <v>-0.28639999999999999</v>
      </c>
      <c r="BT51" s="230">
        <v>1351995</v>
      </c>
      <c r="BU51" s="230">
        <v>1774369</v>
      </c>
      <c r="BV51" s="230">
        <v>-422374</v>
      </c>
      <c r="BW51" s="229">
        <v>-0.23799999999999999</v>
      </c>
      <c r="BX51" s="230">
        <v>25767500</v>
      </c>
      <c r="BY51" s="230">
        <v>25852500</v>
      </c>
      <c r="BZ51" s="230">
        <v>-85000</v>
      </c>
      <c r="CA51" s="229">
        <v>-3.3E-3</v>
      </c>
      <c r="CB51" s="230">
        <v>23606250</v>
      </c>
      <c r="CC51" s="230">
        <v>24191250</v>
      </c>
      <c r="CD51" s="230">
        <v>-585000</v>
      </c>
      <c r="CE51" s="229">
        <v>-2.4199999999999999E-2</v>
      </c>
      <c r="CF51" s="230">
        <v>2017500</v>
      </c>
      <c r="CG51" s="230">
        <v>1556250</v>
      </c>
      <c r="CH51" s="230">
        <v>461250</v>
      </c>
      <c r="CI51" s="229">
        <v>0.2964</v>
      </c>
      <c r="CJ51" s="230">
        <v>143750</v>
      </c>
      <c r="CK51" s="230">
        <v>105000</v>
      </c>
      <c r="CL51" s="230">
        <v>38750</v>
      </c>
      <c r="CM51" s="229">
        <v>0.36899999999999999</v>
      </c>
      <c r="CN51" s="230">
        <v>6158750</v>
      </c>
      <c r="CO51" s="230">
        <v>6151250</v>
      </c>
      <c r="CP51" s="230">
        <v>7500</v>
      </c>
      <c r="CQ51" s="229">
        <v>1.1999999999999999E-3</v>
      </c>
      <c r="CR51" s="230">
        <v>4911250</v>
      </c>
      <c r="CS51" s="230">
        <v>5006250</v>
      </c>
      <c r="CT51" s="230">
        <v>-95000</v>
      </c>
      <c r="CU51" s="229">
        <v>-1.9E-2</v>
      </c>
      <c r="CV51" s="230">
        <v>36837500</v>
      </c>
      <c r="CW51" s="230">
        <v>37010000</v>
      </c>
      <c r="CX51" s="230">
        <v>-172500</v>
      </c>
      <c r="CY51" s="229">
        <v>-4.7000000000000002E-3</v>
      </c>
      <c r="CZ51" s="228">
        <v>33.9</v>
      </c>
      <c r="DA51" s="228">
        <v>30.29</v>
      </c>
      <c r="DB51" s="228">
        <v>3.61</v>
      </c>
      <c r="DC51" s="228">
        <v>3.61</v>
      </c>
      <c r="DD51" s="228">
        <v>34.94</v>
      </c>
      <c r="DE51" s="228">
        <v>35.020000000000003</v>
      </c>
      <c r="DF51" s="228">
        <v>-1.04</v>
      </c>
      <c r="DG51" s="228">
        <v>-0.08</v>
      </c>
      <c r="DH51" s="228">
        <v>33.200000000000003</v>
      </c>
      <c r="DI51" s="228">
        <v>29.48</v>
      </c>
      <c r="DJ51" s="228">
        <v>3.72</v>
      </c>
      <c r="DK51" s="228">
        <v>3.72</v>
      </c>
      <c r="DL51" s="228">
        <v>35.700000000000003</v>
      </c>
      <c r="DM51" s="228">
        <v>32.25</v>
      </c>
      <c r="DN51" s="228">
        <v>3.45</v>
      </c>
      <c r="DO51" s="228">
        <v>3.45</v>
      </c>
      <c r="DP51" s="228">
        <v>0.8</v>
      </c>
      <c r="DQ51" s="228">
        <v>0.81</v>
      </c>
      <c r="DR51" s="228">
        <v>-0.01</v>
      </c>
      <c r="DS51" s="229">
        <v>-1.23E-2</v>
      </c>
      <c r="DT51" s="228">
        <v>530</v>
      </c>
      <c r="DU51" s="228">
        <v>500</v>
      </c>
      <c r="DV51" s="228">
        <v>0.39</v>
      </c>
      <c r="DW51" s="228">
        <v>0.41</v>
      </c>
      <c r="DX51" s="228">
        <v>-0.02</v>
      </c>
      <c r="DY51" s="229">
        <v>-4.8800000000000003E-2</v>
      </c>
      <c r="DZ51" s="229">
        <v>8.3900000000000002E-2</v>
      </c>
      <c r="EA51" s="230">
        <v>1661250</v>
      </c>
      <c r="EB51" s="229">
        <v>5.1000000000000004E-3</v>
      </c>
      <c r="EC51" s="229">
        <v>8.3900000000000002E-2</v>
      </c>
      <c r="ED51" s="228">
        <v>2.5499999999999998</v>
      </c>
      <c r="EE51" s="229">
        <v>5.0000000000000001E-3</v>
      </c>
      <c r="EF51" s="230">
        <v>602465</v>
      </c>
      <c r="EG51" s="230">
        <v>794444</v>
      </c>
      <c r="EH51" s="229">
        <v>-0.2417</v>
      </c>
      <c r="EI51" s="229">
        <v>0.4456</v>
      </c>
      <c r="EJ51" s="231">
        <v>26982.58</v>
      </c>
      <c r="EK51" s="231">
        <v>10010.450000000001</v>
      </c>
      <c r="EL51" s="231">
        <v>15704.12</v>
      </c>
      <c r="EM51" s="231">
        <v>2361</v>
      </c>
      <c r="EN51" s="231">
        <v>52697.15</v>
      </c>
      <c r="EO51" s="231">
        <v>73728.42</v>
      </c>
      <c r="EP51" s="231">
        <v>-21031.27</v>
      </c>
      <c r="EQ51" s="229">
        <v>-0.2853</v>
      </c>
      <c r="ER51" s="231">
        <v>30739</v>
      </c>
      <c r="ES51" s="231">
        <v>23455</v>
      </c>
      <c r="ET51" s="231">
        <v>129400</v>
      </c>
      <c r="EU51" s="231">
        <v>51639257</v>
      </c>
      <c r="EV51" s="231">
        <v>183594</v>
      </c>
      <c r="EW51" s="231">
        <v>185008</v>
      </c>
      <c r="EX51" s="231">
        <v>-1414</v>
      </c>
      <c r="EY51" s="229">
        <v>-7.6E-3</v>
      </c>
      <c r="EZ51" s="229">
        <v>0.71340000000000003</v>
      </c>
      <c r="FA51" s="227" t="s">
        <v>567</v>
      </c>
      <c r="FB51" s="161">
        <f t="shared" si="0"/>
        <v>2161250</v>
      </c>
    </row>
    <row r="52" spans="1:158" ht="17.25" thickBot="1" x14ac:dyDescent="0.3">
      <c r="A52" s="226">
        <v>46132</v>
      </c>
      <c r="B52" s="227" t="s">
        <v>184</v>
      </c>
      <c r="C52" s="227" t="s">
        <v>523</v>
      </c>
      <c r="D52" s="228">
        <v>1800</v>
      </c>
      <c r="E52" s="228">
        <v>260.98</v>
      </c>
      <c r="F52" s="228">
        <v>261.39</v>
      </c>
      <c r="G52" s="228">
        <v>-0.41</v>
      </c>
      <c r="H52" s="229">
        <v>-1.6000000000000001E-3</v>
      </c>
      <c r="I52" s="228">
        <v>261.22000000000003</v>
      </c>
      <c r="J52" s="228">
        <v>261.45</v>
      </c>
      <c r="K52" s="228">
        <v>-0.23</v>
      </c>
      <c r="L52" s="229">
        <v>-8.9999999999999998E-4</v>
      </c>
      <c r="M52" s="228">
        <v>260.98</v>
      </c>
      <c r="N52" s="228">
        <v>261.39</v>
      </c>
      <c r="O52" s="228">
        <v>-0.41</v>
      </c>
      <c r="P52" s="229">
        <v>-1.6000000000000001E-3</v>
      </c>
      <c r="Q52" s="228">
        <v>262.07</v>
      </c>
      <c r="R52" s="228">
        <v>262.99</v>
      </c>
      <c r="S52" s="228">
        <v>-0.92</v>
      </c>
      <c r="T52" s="229">
        <v>-3.5000000000000001E-3</v>
      </c>
      <c r="U52" s="228">
        <v>263.48</v>
      </c>
      <c r="V52" s="228">
        <v>264.95</v>
      </c>
      <c r="W52" s="228">
        <v>-1.47</v>
      </c>
      <c r="X52" s="229">
        <v>-5.4999999999999997E-3</v>
      </c>
      <c r="Y52" s="228">
        <v>-0.24</v>
      </c>
      <c r="Z52" s="228">
        <v>-0.06</v>
      </c>
      <c r="AA52" s="228">
        <v>-0.18</v>
      </c>
      <c r="AB52" s="229">
        <v>-8.9999999999999998E-4</v>
      </c>
      <c r="AC52" s="228">
        <v>-0.24</v>
      </c>
      <c r="AD52" s="228">
        <v>-0.06</v>
      </c>
      <c r="AE52" s="228">
        <v>-0.18</v>
      </c>
      <c r="AF52" s="229">
        <v>-8.9999999999999998E-4</v>
      </c>
      <c r="AG52" s="228">
        <v>0.85</v>
      </c>
      <c r="AH52" s="228">
        <v>1.54</v>
      </c>
      <c r="AI52" s="228">
        <v>-0.69</v>
      </c>
      <c r="AJ52" s="229">
        <v>3.3E-3</v>
      </c>
      <c r="AK52" s="228">
        <v>2.2599999999999998</v>
      </c>
      <c r="AL52" s="228">
        <v>3.5</v>
      </c>
      <c r="AM52" s="228">
        <v>-1.24</v>
      </c>
      <c r="AN52" s="229">
        <v>8.6999999999999994E-3</v>
      </c>
      <c r="AO52" s="228">
        <v>262.5</v>
      </c>
      <c r="AP52" s="228">
        <v>264.29000000000002</v>
      </c>
      <c r="AQ52" s="228">
        <v>0</v>
      </c>
      <c r="AR52" s="230">
        <v>5378400</v>
      </c>
      <c r="AS52" s="230">
        <v>5313600</v>
      </c>
      <c r="AT52" s="230">
        <v>64800</v>
      </c>
      <c r="AU52" s="229">
        <v>1.2200000000000001E-2</v>
      </c>
      <c r="AV52" s="230">
        <v>4550400</v>
      </c>
      <c r="AW52" s="230">
        <v>4575600</v>
      </c>
      <c r="AX52" s="230">
        <v>-25200</v>
      </c>
      <c r="AY52" s="229">
        <v>-5.4999999999999997E-3</v>
      </c>
      <c r="AZ52" s="230">
        <v>757800</v>
      </c>
      <c r="BA52" s="230">
        <v>660600</v>
      </c>
      <c r="BB52" s="230">
        <v>97200</v>
      </c>
      <c r="BC52" s="229">
        <v>0.14710000000000001</v>
      </c>
      <c r="BD52" s="230">
        <v>70200</v>
      </c>
      <c r="BE52" s="230">
        <v>77400</v>
      </c>
      <c r="BF52" s="230">
        <v>-7200</v>
      </c>
      <c r="BG52" s="229">
        <v>-9.2999999999999999E-2</v>
      </c>
      <c r="BH52" s="230">
        <v>12618000</v>
      </c>
      <c r="BI52" s="230">
        <v>17375400</v>
      </c>
      <c r="BJ52" s="230">
        <v>-4757400</v>
      </c>
      <c r="BK52" s="229">
        <v>-0.27379999999999999</v>
      </c>
      <c r="BL52" s="230">
        <v>3630600</v>
      </c>
      <c r="BM52" s="230">
        <v>7678800</v>
      </c>
      <c r="BN52" s="230">
        <v>-4048200</v>
      </c>
      <c r="BO52" s="229">
        <v>-0.5272</v>
      </c>
      <c r="BP52" s="230">
        <v>21627000</v>
      </c>
      <c r="BQ52" s="230">
        <v>30367800</v>
      </c>
      <c r="BR52" s="230">
        <v>-8740800</v>
      </c>
      <c r="BS52" s="229">
        <v>-0.2878</v>
      </c>
      <c r="BT52" s="230">
        <v>5780471</v>
      </c>
      <c r="BU52" s="230">
        <v>4552540</v>
      </c>
      <c r="BV52" s="230">
        <v>1227931</v>
      </c>
      <c r="BW52" s="229">
        <v>0.2697</v>
      </c>
      <c r="BX52" s="230">
        <v>45271800</v>
      </c>
      <c r="BY52" s="230">
        <v>44935200</v>
      </c>
      <c r="BZ52" s="230">
        <v>336600</v>
      </c>
      <c r="CA52" s="229">
        <v>7.4999999999999997E-3</v>
      </c>
      <c r="CB52" s="230">
        <v>43687800</v>
      </c>
      <c r="CC52" s="230">
        <v>43630200</v>
      </c>
      <c r="CD52" s="230">
        <v>57600</v>
      </c>
      <c r="CE52" s="229">
        <v>1.2999999999999999E-3</v>
      </c>
      <c r="CF52" s="230">
        <v>1411200</v>
      </c>
      <c r="CG52" s="230">
        <v>1144800</v>
      </c>
      <c r="CH52" s="230">
        <v>266400</v>
      </c>
      <c r="CI52" s="229">
        <v>0.23269999999999999</v>
      </c>
      <c r="CJ52" s="230">
        <v>172800</v>
      </c>
      <c r="CK52" s="230">
        <v>160200</v>
      </c>
      <c r="CL52" s="230">
        <v>12600</v>
      </c>
      <c r="CM52" s="229">
        <v>7.8700000000000006E-2</v>
      </c>
      <c r="CN52" s="230">
        <v>12213000</v>
      </c>
      <c r="CO52" s="230">
        <v>12141000</v>
      </c>
      <c r="CP52" s="230">
        <v>72000</v>
      </c>
      <c r="CQ52" s="229">
        <v>5.8999999999999999E-3</v>
      </c>
      <c r="CR52" s="230">
        <v>8238600</v>
      </c>
      <c r="CS52" s="230">
        <v>8521200</v>
      </c>
      <c r="CT52" s="230">
        <v>-282600</v>
      </c>
      <c r="CU52" s="229">
        <v>-3.32E-2</v>
      </c>
      <c r="CV52" s="230">
        <v>65723400</v>
      </c>
      <c r="CW52" s="230">
        <v>65597400</v>
      </c>
      <c r="CX52" s="230">
        <v>126000</v>
      </c>
      <c r="CY52" s="229">
        <v>1.9E-3</v>
      </c>
      <c r="CZ52" s="228">
        <v>40.840000000000003</v>
      </c>
      <c r="DA52" s="228">
        <v>37.520000000000003</v>
      </c>
      <c r="DB52" s="228">
        <v>3.32</v>
      </c>
      <c r="DC52" s="228">
        <v>3.32</v>
      </c>
      <c r="DD52" s="228">
        <v>35.380000000000003</v>
      </c>
      <c r="DE52" s="228">
        <v>35.47</v>
      </c>
      <c r="DF52" s="228">
        <v>5.46</v>
      </c>
      <c r="DG52" s="228">
        <v>-0.09</v>
      </c>
      <c r="DH52" s="228">
        <v>40.11</v>
      </c>
      <c r="DI52" s="228">
        <v>36.58</v>
      </c>
      <c r="DJ52" s="228">
        <v>3.53</v>
      </c>
      <c r="DK52" s="228">
        <v>3.53</v>
      </c>
      <c r="DL52" s="228">
        <v>43.37</v>
      </c>
      <c r="DM52" s="228">
        <v>39.630000000000003</v>
      </c>
      <c r="DN52" s="228">
        <v>3.74</v>
      </c>
      <c r="DO52" s="228">
        <v>3.74</v>
      </c>
      <c r="DP52" s="228">
        <v>0.67</v>
      </c>
      <c r="DQ52" s="228">
        <v>0.7</v>
      </c>
      <c r="DR52" s="228">
        <v>-0.03</v>
      </c>
      <c r="DS52" s="229">
        <v>-4.2900000000000001E-2</v>
      </c>
      <c r="DT52" s="228">
        <v>275</v>
      </c>
      <c r="DU52" s="228">
        <v>220</v>
      </c>
      <c r="DV52" s="228">
        <v>0.28999999999999998</v>
      </c>
      <c r="DW52" s="228">
        <v>0.44</v>
      </c>
      <c r="DX52" s="228">
        <v>-0.15</v>
      </c>
      <c r="DY52" s="229">
        <v>-0.34089999999999998</v>
      </c>
      <c r="DZ52" s="229">
        <v>3.5000000000000003E-2</v>
      </c>
      <c r="EA52" s="230">
        <v>1305000</v>
      </c>
      <c r="EB52" s="229">
        <v>4.1999999999999997E-3</v>
      </c>
      <c r="EC52" s="229">
        <v>3.5000000000000003E-2</v>
      </c>
      <c r="ED52" s="228">
        <v>1.79</v>
      </c>
      <c r="EE52" s="229">
        <v>6.7999999999999996E-3</v>
      </c>
      <c r="EF52" s="230">
        <v>3023605</v>
      </c>
      <c r="EG52" s="230">
        <v>1822956</v>
      </c>
      <c r="EH52" s="229">
        <v>0.65859999999999996</v>
      </c>
      <c r="EI52" s="229">
        <v>0.52310000000000001</v>
      </c>
      <c r="EJ52" s="231">
        <v>34538.54</v>
      </c>
      <c r="EK52" s="231">
        <v>9412.51</v>
      </c>
      <c r="EL52" s="231">
        <v>14133.77</v>
      </c>
      <c r="EM52" s="231">
        <v>3576</v>
      </c>
      <c r="EN52" s="231">
        <v>58084.82</v>
      </c>
      <c r="EO52" s="231">
        <v>81003.12</v>
      </c>
      <c r="EP52" s="231">
        <v>-22918.3</v>
      </c>
      <c r="EQ52" s="229">
        <v>-0.28289999999999998</v>
      </c>
      <c r="ER52" s="231">
        <v>32083</v>
      </c>
      <c r="ES52" s="231">
        <v>20172</v>
      </c>
      <c r="ET52" s="231">
        <v>118170</v>
      </c>
      <c r="EU52" s="231">
        <v>96587231</v>
      </c>
      <c r="EV52" s="231">
        <v>170425</v>
      </c>
      <c r="EW52" s="231">
        <v>170181</v>
      </c>
      <c r="EX52" s="228">
        <v>244</v>
      </c>
      <c r="EY52" s="229">
        <v>1.4E-3</v>
      </c>
      <c r="EZ52" s="229">
        <v>0.68049999999999999</v>
      </c>
      <c r="FA52" s="227" t="s">
        <v>566</v>
      </c>
      <c r="FB52" s="161">
        <f t="shared" si="0"/>
        <v>1584000</v>
      </c>
    </row>
    <row r="53" spans="1:158" ht="17.25" thickBot="1" x14ac:dyDescent="0.3">
      <c r="A53" s="226">
        <v>46132</v>
      </c>
      <c r="B53" s="227" t="s">
        <v>184</v>
      </c>
      <c r="C53" s="227" t="s">
        <v>203</v>
      </c>
      <c r="D53" s="228">
        <v>200</v>
      </c>
      <c r="E53" s="231">
        <v>5196</v>
      </c>
      <c r="F53" s="231">
        <v>5151.7</v>
      </c>
      <c r="G53" s="228">
        <v>44.3</v>
      </c>
      <c r="H53" s="229">
        <v>8.6E-3</v>
      </c>
      <c r="I53" s="231">
        <v>5200.3</v>
      </c>
      <c r="J53" s="231">
        <v>5140.8999999999996</v>
      </c>
      <c r="K53" s="228">
        <v>59.4</v>
      </c>
      <c r="L53" s="229">
        <v>1.1599999999999999E-2</v>
      </c>
      <c r="M53" s="231">
        <v>5196</v>
      </c>
      <c r="N53" s="231">
        <v>5151.7</v>
      </c>
      <c r="O53" s="228">
        <v>44.3</v>
      </c>
      <c r="P53" s="229">
        <v>8.6E-3</v>
      </c>
      <c r="Q53" s="231">
        <v>5218.5</v>
      </c>
      <c r="R53" s="231">
        <v>5180.6000000000004</v>
      </c>
      <c r="S53" s="228">
        <v>37.9</v>
      </c>
      <c r="T53" s="229">
        <v>7.3000000000000001E-3</v>
      </c>
      <c r="U53" s="231">
        <v>5239.6000000000004</v>
      </c>
      <c r="V53" s="231">
        <v>5193.3999999999996</v>
      </c>
      <c r="W53" s="228">
        <v>46.2</v>
      </c>
      <c r="X53" s="229">
        <v>8.8999999999999999E-3</v>
      </c>
      <c r="Y53" s="228">
        <v>-4.3</v>
      </c>
      <c r="Z53" s="228">
        <v>10.8</v>
      </c>
      <c r="AA53" s="228">
        <v>-15.1</v>
      </c>
      <c r="AB53" s="229">
        <v>-8.0000000000000004E-4</v>
      </c>
      <c r="AC53" s="228">
        <v>-4.3</v>
      </c>
      <c r="AD53" s="228">
        <v>10.8</v>
      </c>
      <c r="AE53" s="228">
        <v>-15.1</v>
      </c>
      <c r="AF53" s="229">
        <v>-8.0000000000000004E-4</v>
      </c>
      <c r="AG53" s="228">
        <v>18.2</v>
      </c>
      <c r="AH53" s="228">
        <v>39.700000000000003</v>
      </c>
      <c r="AI53" s="228">
        <v>-21.5</v>
      </c>
      <c r="AJ53" s="229">
        <v>3.5000000000000001E-3</v>
      </c>
      <c r="AK53" s="228">
        <v>39.299999999999997</v>
      </c>
      <c r="AL53" s="228">
        <v>52.5</v>
      </c>
      <c r="AM53" s="228">
        <v>-13.2</v>
      </c>
      <c r="AN53" s="229">
        <v>7.6E-3</v>
      </c>
      <c r="AO53" s="231">
        <v>5173.97</v>
      </c>
      <c r="AP53" s="231">
        <v>5201.88</v>
      </c>
      <c r="AQ53" s="228">
        <v>0</v>
      </c>
      <c r="AR53" s="230">
        <v>706000</v>
      </c>
      <c r="AS53" s="230">
        <v>1439400</v>
      </c>
      <c r="AT53" s="230">
        <v>-733400</v>
      </c>
      <c r="AU53" s="229">
        <v>-0.50949999999999995</v>
      </c>
      <c r="AV53" s="230">
        <v>584600</v>
      </c>
      <c r="AW53" s="230">
        <v>1085200</v>
      </c>
      <c r="AX53" s="230">
        <v>-500600</v>
      </c>
      <c r="AY53" s="229">
        <v>-0.46129999999999999</v>
      </c>
      <c r="AZ53" s="230">
        <v>116000</v>
      </c>
      <c r="BA53" s="230">
        <v>103600</v>
      </c>
      <c r="BB53" s="230">
        <v>12400</v>
      </c>
      <c r="BC53" s="229">
        <v>0.1197</v>
      </c>
      <c r="BD53" s="230">
        <v>5400</v>
      </c>
      <c r="BE53" s="230">
        <v>250600</v>
      </c>
      <c r="BF53" s="230">
        <v>-245200</v>
      </c>
      <c r="BG53" s="229">
        <v>-0.97850000000000004</v>
      </c>
      <c r="BH53" s="230">
        <v>3831000</v>
      </c>
      <c r="BI53" s="230">
        <v>4791800</v>
      </c>
      <c r="BJ53" s="230">
        <v>-960800</v>
      </c>
      <c r="BK53" s="229">
        <v>-0.20050000000000001</v>
      </c>
      <c r="BL53" s="230">
        <v>1992800</v>
      </c>
      <c r="BM53" s="230">
        <v>1307200</v>
      </c>
      <c r="BN53" s="230">
        <v>685600</v>
      </c>
      <c r="BO53" s="229">
        <v>0.52449999999999997</v>
      </c>
      <c r="BP53" s="230">
        <v>6529800</v>
      </c>
      <c r="BQ53" s="230">
        <v>7538400</v>
      </c>
      <c r="BR53" s="230">
        <v>-1008600</v>
      </c>
      <c r="BS53" s="229">
        <v>-0.1338</v>
      </c>
      <c r="BT53" s="230">
        <v>634600</v>
      </c>
      <c r="BU53" s="230">
        <v>548497</v>
      </c>
      <c r="BV53" s="230">
        <v>86103</v>
      </c>
      <c r="BW53" s="229">
        <v>0.157</v>
      </c>
      <c r="BX53" s="230">
        <v>3994600</v>
      </c>
      <c r="BY53" s="230">
        <v>4060400</v>
      </c>
      <c r="BZ53" s="230">
        <v>-65800</v>
      </c>
      <c r="CA53" s="229">
        <v>-1.6199999999999999E-2</v>
      </c>
      <c r="CB53" s="230">
        <v>3597400</v>
      </c>
      <c r="CC53" s="230">
        <v>3684800</v>
      </c>
      <c r="CD53" s="230">
        <v>-87400</v>
      </c>
      <c r="CE53" s="229">
        <v>-2.3699999999999999E-2</v>
      </c>
      <c r="CF53" s="230">
        <v>146200</v>
      </c>
      <c r="CG53" s="230">
        <v>123400</v>
      </c>
      <c r="CH53" s="230">
        <v>22800</v>
      </c>
      <c r="CI53" s="229">
        <v>0.18479999999999999</v>
      </c>
      <c r="CJ53" s="230">
        <v>251000</v>
      </c>
      <c r="CK53" s="230">
        <v>252200</v>
      </c>
      <c r="CL53" s="230">
        <v>-1200</v>
      </c>
      <c r="CM53" s="229">
        <v>-4.7999999999999996E-3</v>
      </c>
      <c r="CN53" s="230">
        <v>1392200</v>
      </c>
      <c r="CO53" s="230">
        <v>1282000</v>
      </c>
      <c r="CP53" s="230">
        <v>110200</v>
      </c>
      <c r="CQ53" s="229">
        <v>8.5999999999999993E-2</v>
      </c>
      <c r="CR53" s="230">
        <v>937800</v>
      </c>
      <c r="CS53" s="230">
        <v>890200</v>
      </c>
      <c r="CT53" s="230">
        <v>47600</v>
      </c>
      <c r="CU53" s="229">
        <v>5.3499999999999999E-2</v>
      </c>
      <c r="CV53" s="230">
        <v>6324600</v>
      </c>
      <c r="CW53" s="230">
        <v>6232600</v>
      </c>
      <c r="CX53" s="230">
        <v>92000</v>
      </c>
      <c r="CY53" s="229">
        <v>1.4800000000000001E-2</v>
      </c>
      <c r="CZ53" s="228">
        <v>40.54</v>
      </c>
      <c r="DA53" s="228">
        <v>33.57</v>
      </c>
      <c r="DB53" s="228">
        <v>6.97</v>
      </c>
      <c r="DC53" s="228">
        <v>6.97</v>
      </c>
      <c r="DD53" s="228">
        <v>36.14</v>
      </c>
      <c r="DE53" s="228">
        <v>36.200000000000003</v>
      </c>
      <c r="DF53" s="228">
        <v>4.4000000000000004</v>
      </c>
      <c r="DG53" s="228">
        <v>-0.06</v>
      </c>
      <c r="DH53" s="228">
        <v>36.200000000000003</v>
      </c>
      <c r="DI53" s="228">
        <v>33.1</v>
      </c>
      <c r="DJ53" s="228">
        <v>3.1</v>
      </c>
      <c r="DK53" s="228">
        <v>3.1</v>
      </c>
      <c r="DL53" s="228">
        <v>48.89</v>
      </c>
      <c r="DM53" s="228">
        <v>35.270000000000003</v>
      </c>
      <c r="DN53" s="228">
        <v>13.62</v>
      </c>
      <c r="DO53" s="228">
        <v>13.62</v>
      </c>
      <c r="DP53" s="228">
        <v>0.67</v>
      </c>
      <c r="DQ53" s="228">
        <v>0.69</v>
      </c>
      <c r="DR53" s="228">
        <v>-0.02</v>
      </c>
      <c r="DS53" s="229">
        <v>-2.9000000000000001E-2</v>
      </c>
      <c r="DT53" s="231">
        <v>5200</v>
      </c>
      <c r="DU53" s="231">
        <v>4700</v>
      </c>
      <c r="DV53" s="228">
        <v>0.52</v>
      </c>
      <c r="DW53" s="228">
        <v>0.27</v>
      </c>
      <c r="DX53" s="228">
        <v>0.25</v>
      </c>
      <c r="DY53" s="229">
        <v>0.92589999999999995</v>
      </c>
      <c r="DZ53" s="229">
        <v>9.9400000000000002E-2</v>
      </c>
      <c r="EA53" s="230">
        <v>375600</v>
      </c>
      <c r="EB53" s="229">
        <v>4.3E-3</v>
      </c>
      <c r="EC53" s="229">
        <v>9.9400000000000002E-2</v>
      </c>
      <c r="ED53" s="228">
        <v>27.91</v>
      </c>
      <c r="EE53" s="229">
        <v>5.4000000000000003E-3</v>
      </c>
      <c r="EF53" s="230">
        <v>337052</v>
      </c>
      <c r="EG53" s="230">
        <v>230095</v>
      </c>
      <c r="EH53" s="229">
        <v>0.46479999999999999</v>
      </c>
      <c r="EI53" s="229">
        <v>0.53110000000000002</v>
      </c>
      <c r="EJ53" s="231">
        <v>204612.92</v>
      </c>
      <c r="EK53" s="231">
        <v>92307.89</v>
      </c>
      <c r="EL53" s="231">
        <v>36563.19</v>
      </c>
      <c r="EM53" s="231">
        <v>4695</v>
      </c>
      <c r="EN53" s="231">
        <v>333484</v>
      </c>
      <c r="EO53" s="231">
        <v>394334.6</v>
      </c>
      <c r="EP53" s="231">
        <v>-60850.6</v>
      </c>
      <c r="EQ53" s="229">
        <v>-0.15429999999999999</v>
      </c>
      <c r="ER53" s="231">
        <v>71339</v>
      </c>
      <c r="ES53" s="231">
        <v>44595</v>
      </c>
      <c r="ET53" s="231">
        <v>207702</v>
      </c>
      <c r="EU53" s="231">
        <v>20374200</v>
      </c>
      <c r="EV53" s="231">
        <v>323636</v>
      </c>
      <c r="EW53" s="231">
        <v>316709</v>
      </c>
      <c r="EX53" s="231">
        <v>6927</v>
      </c>
      <c r="EY53" s="229">
        <v>2.1899999999999999E-2</v>
      </c>
      <c r="EZ53" s="229">
        <v>0.31040000000000001</v>
      </c>
      <c r="FA53" s="227" t="s">
        <v>693</v>
      </c>
      <c r="FB53" s="161">
        <f t="shared" si="0"/>
        <v>397200</v>
      </c>
    </row>
    <row r="54" spans="1:158" ht="17.25" thickBot="1" x14ac:dyDescent="0.3">
      <c r="A54" s="226">
        <v>46132</v>
      </c>
      <c r="B54" s="227" t="s">
        <v>168</v>
      </c>
      <c r="C54" s="227" t="s">
        <v>204</v>
      </c>
      <c r="D54" s="228">
        <v>1250</v>
      </c>
      <c r="E54" s="228">
        <v>441.8</v>
      </c>
      <c r="F54" s="228">
        <v>442.75</v>
      </c>
      <c r="G54" s="228">
        <v>-0.95</v>
      </c>
      <c r="H54" s="229">
        <v>-2.0999999999999999E-3</v>
      </c>
      <c r="I54" s="228">
        <v>441.7</v>
      </c>
      <c r="J54" s="228">
        <v>442.85</v>
      </c>
      <c r="K54" s="228">
        <v>-1.1499999999999999</v>
      </c>
      <c r="L54" s="229">
        <v>-2.5999999999999999E-3</v>
      </c>
      <c r="M54" s="228">
        <v>441.8</v>
      </c>
      <c r="N54" s="228">
        <v>442.75</v>
      </c>
      <c r="O54" s="228">
        <v>-0.95</v>
      </c>
      <c r="P54" s="229">
        <v>-2.0999999999999999E-3</v>
      </c>
      <c r="Q54" s="228">
        <v>443.7</v>
      </c>
      <c r="R54" s="228">
        <v>445</v>
      </c>
      <c r="S54" s="228">
        <v>-1.3</v>
      </c>
      <c r="T54" s="229">
        <v>-2.8999999999999998E-3</v>
      </c>
      <c r="U54" s="228">
        <v>447.9</v>
      </c>
      <c r="V54" s="228">
        <v>448.1</v>
      </c>
      <c r="W54" s="228">
        <v>-0.2</v>
      </c>
      <c r="X54" s="229">
        <v>-4.0000000000000002E-4</v>
      </c>
      <c r="Y54" s="228">
        <v>0.1</v>
      </c>
      <c r="Z54" s="228">
        <v>-0.1</v>
      </c>
      <c r="AA54" s="228">
        <v>0.2</v>
      </c>
      <c r="AB54" s="229">
        <v>2.0000000000000001E-4</v>
      </c>
      <c r="AC54" s="228">
        <v>0.1</v>
      </c>
      <c r="AD54" s="228">
        <v>-0.1</v>
      </c>
      <c r="AE54" s="228">
        <v>0.2</v>
      </c>
      <c r="AF54" s="229">
        <v>2.0000000000000001E-4</v>
      </c>
      <c r="AG54" s="228">
        <v>2</v>
      </c>
      <c r="AH54" s="228">
        <v>2.15</v>
      </c>
      <c r="AI54" s="228">
        <v>-0.15</v>
      </c>
      <c r="AJ54" s="229">
        <v>4.4999999999999997E-3</v>
      </c>
      <c r="AK54" s="228">
        <v>6.2</v>
      </c>
      <c r="AL54" s="228">
        <v>5.25</v>
      </c>
      <c r="AM54" s="228">
        <v>0.95</v>
      </c>
      <c r="AN54" s="229">
        <v>1.4E-2</v>
      </c>
      <c r="AO54" s="228">
        <v>442.71</v>
      </c>
      <c r="AP54" s="228">
        <v>445</v>
      </c>
      <c r="AQ54" s="228">
        <v>0</v>
      </c>
      <c r="AR54" s="230">
        <v>3192500</v>
      </c>
      <c r="AS54" s="230">
        <v>8552500</v>
      </c>
      <c r="AT54" s="230">
        <v>-5360000</v>
      </c>
      <c r="AU54" s="229">
        <v>-0.62670000000000003</v>
      </c>
      <c r="AV54" s="230">
        <v>2577500</v>
      </c>
      <c r="AW54" s="230">
        <v>7536250</v>
      </c>
      <c r="AX54" s="230">
        <v>-4958750</v>
      </c>
      <c r="AY54" s="229">
        <v>-0.65800000000000003</v>
      </c>
      <c r="AZ54" s="230">
        <v>526250</v>
      </c>
      <c r="BA54" s="230">
        <v>913750</v>
      </c>
      <c r="BB54" s="230">
        <v>-387500</v>
      </c>
      <c r="BC54" s="229">
        <v>-0.42409999999999998</v>
      </c>
      <c r="BD54" s="230">
        <v>88750</v>
      </c>
      <c r="BE54" s="230">
        <v>102500</v>
      </c>
      <c r="BF54" s="230">
        <v>-13750</v>
      </c>
      <c r="BG54" s="229">
        <v>-0.1341</v>
      </c>
      <c r="BH54" s="230">
        <v>15905000</v>
      </c>
      <c r="BI54" s="230">
        <v>38317500</v>
      </c>
      <c r="BJ54" s="230">
        <v>-22412500</v>
      </c>
      <c r="BK54" s="229">
        <v>-0.58489999999999998</v>
      </c>
      <c r="BL54" s="230">
        <v>4987500</v>
      </c>
      <c r="BM54" s="230">
        <v>11585000</v>
      </c>
      <c r="BN54" s="230">
        <v>-6597500</v>
      </c>
      <c r="BO54" s="229">
        <v>-0.56950000000000001</v>
      </c>
      <c r="BP54" s="230">
        <v>24085000</v>
      </c>
      <c r="BQ54" s="230">
        <v>58455000</v>
      </c>
      <c r="BR54" s="230">
        <v>-34370000</v>
      </c>
      <c r="BS54" s="229">
        <v>-0.58799999999999997</v>
      </c>
      <c r="BT54" s="230">
        <v>1722940</v>
      </c>
      <c r="BU54" s="230">
        <v>5393012</v>
      </c>
      <c r="BV54" s="230">
        <v>-3670072</v>
      </c>
      <c r="BW54" s="229">
        <v>-0.68049999999999999</v>
      </c>
      <c r="BX54" s="230">
        <v>29300000</v>
      </c>
      <c r="BY54" s="230">
        <v>29197500</v>
      </c>
      <c r="BZ54" s="230">
        <v>102500</v>
      </c>
      <c r="CA54" s="229">
        <v>3.5000000000000001E-3</v>
      </c>
      <c r="CB54" s="230">
        <v>27750000</v>
      </c>
      <c r="CC54" s="230">
        <v>27768750</v>
      </c>
      <c r="CD54" s="230">
        <v>-18750</v>
      </c>
      <c r="CE54" s="229">
        <v>-6.9999999999999999E-4</v>
      </c>
      <c r="CF54" s="230">
        <v>1333750</v>
      </c>
      <c r="CG54" s="230">
        <v>1262500</v>
      </c>
      <c r="CH54" s="230">
        <v>71250</v>
      </c>
      <c r="CI54" s="229">
        <v>5.6399999999999999E-2</v>
      </c>
      <c r="CJ54" s="230">
        <v>216250</v>
      </c>
      <c r="CK54" s="230">
        <v>166250</v>
      </c>
      <c r="CL54" s="230">
        <v>50000</v>
      </c>
      <c r="CM54" s="229">
        <v>0.30080000000000001</v>
      </c>
      <c r="CN54" s="230">
        <v>12823750</v>
      </c>
      <c r="CO54" s="230">
        <v>13088750</v>
      </c>
      <c r="CP54" s="230">
        <v>-265000</v>
      </c>
      <c r="CQ54" s="229">
        <v>-2.0199999999999999E-2</v>
      </c>
      <c r="CR54" s="230">
        <v>7512500</v>
      </c>
      <c r="CS54" s="230">
        <v>8371250</v>
      </c>
      <c r="CT54" s="230">
        <v>-858750</v>
      </c>
      <c r="CU54" s="229">
        <v>-0.1026</v>
      </c>
      <c r="CV54" s="230">
        <v>49636250</v>
      </c>
      <c r="CW54" s="230">
        <v>50657500</v>
      </c>
      <c r="CX54" s="230">
        <v>-1021250</v>
      </c>
      <c r="CY54" s="229">
        <v>-2.0199999999999999E-2</v>
      </c>
      <c r="CZ54" s="228">
        <v>32.71</v>
      </c>
      <c r="DA54" s="228">
        <v>29.35</v>
      </c>
      <c r="DB54" s="228">
        <v>3.36</v>
      </c>
      <c r="DC54" s="228">
        <v>3.36</v>
      </c>
      <c r="DD54" s="228">
        <v>27.2</v>
      </c>
      <c r="DE54" s="228">
        <v>27.26</v>
      </c>
      <c r="DF54" s="228">
        <v>5.51</v>
      </c>
      <c r="DG54" s="228">
        <v>-0.06</v>
      </c>
      <c r="DH54" s="228">
        <v>32.75</v>
      </c>
      <c r="DI54" s="228">
        <v>29.4</v>
      </c>
      <c r="DJ54" s="228">
        <v>3.35</v>
      </c>
      <c r="DK54" s="228">
        <v>3.35</v>
      </c>
      <c r="DL54" s="228">
        <v>32.590000000000003</v>
      </c>
      <c r="DM54" s="228">
        <v>29.21</v>
      </c>
      <c r="DN54" s="228">
        <v>3.38</v>
      </c>
      <c r="DO54" s="228">
        <v>3.38</v>
      </c>
      <c r="DP54" s="228">
        <v>0.59</v>
      </c>
      <c r="DQ54" s="228">
        <v>0.64</v>
      </c>
      <c r="DR54" s="228">
        <v>-0.05</v>
      </c>
      <c r="DS54" s="229">
        <v>-7.8100000000000003E-2</v>
      </c>
      <c r="DT54" s="228">
        <v>480</v>
      </c>
      <c r="DU54" s="228">
        <v>400</v>
      </c>
      <c r="DV54" s="228">
        <v>0.31</v>
      </c>
      <c r="DW54" s="228">
        <v>0.3</v>
      </c>
      <c r="DX54" s="228">
        <v>0.01</v>
      </c>
      <c r="DY54" s="229">
        <v>3.3300000000000003E-2</v>
      </c>
      <c r="DZ54" s="229">
        <v>5.2900000000000003E-2</v>
      </c>
      <c r="EA54" s="230">
        <v>1428750</v>
      </c>
      <c r="EB54" s="229">
        <v>4.3E-3</v>
      </c>
      <c r="EC54" s="229">
        <v>5.2900000000000003E-2</v>
      </c>
      <c r="ED54" s="228">
        <v>2.29</v>
      </c>
      <c r="EE54" s="229">
        <v>5.1999999999999998E-3</v>
      </c>
      <c r="EF54" s="230">
        <v>763319</v>
      </c>
      <c r="EG54" s="230">
        <v>2920022</v>
      </c>
      <c r="EH54" s="229">
        <v>-0.73860000000000003</v>
      </c>
      <c r="EI54" s="229">
        <v>0.443</v>
      </c>
      <c r="EJ54" s="231">
        <v>74225.679999999993</v>
      </c>
      <c r="EK54" s="231">
        <v>21701.86</v>
      </c>
      <c r="EL54" s="231">
        <v>14150.57</v>
      </c>
      <c r="EM54" s="231">
        <v>5351</v>
      </c>
      <c r="EN54" s="231">
        <v>110078.11</v>
      </c>
      <c r="EO54" s="231">
        <v>265361.45</v>
      </c>
      <c r="EP54" s="231">
        <v>-155283.34</v>
      </c>
      <c r="EQ54" s="229">
        <v>-0.58520000000000005</v>
      </c>
      <c r="ER54" s="231">
        <v>59215</v>
      </c>
      <c r="ES54" s="231">
        <v>31197</v>
      </c>
      <c r="ET54" s="231">
        <v>129486</v>
      </c>
      <c r="EU54" s="231">
        <v>76827821</v>
      </c>
      <c r="EV54" s="231">
        <v>219899</v>
      </c>
      <c r="EW54" s="231">
        <v>224504</v>
      </c>
      <c r="EX54" s="231">
        <v>-4605</v>
      </c>
      <c r="EY54" s="229">
        <v>-2.0500000000000001E-2</v>
      </c>
      <c r="EZ54" s="229">
        <v>0.64610000000000001</v>
      </c>
      <c r="FA54" s="227" t="s">
        <v>566</v>
      </c>
      <c r="FB54" s="161">
        <f t="shared" si="0"/>
        <v>1550000</v>
      </c>
    </row>
    <row r="55" spans="1:158" ht="17.25" thickBot="1" x14ac:dyDescent="0.3">
      <c r="A55" s="226">
        <v>46132</v>
      </c>
      <c r="B55" s="227" t="s">
        <v>157</v>
      </c>
      <c r="C55" s="227" t="s">
        <v>524</v>
      </c>
      <c r="D55" s="228">
        <v>325</v>
      </c>
      <c r="E55" s="231">
        <v>1982.2</v>
      </c>
      <c r="F55" s="231">
        <v>1978.1</v>
      </c>
      <c r="G55" s="228">
        <v>4.0999999999999996</v>
      </c>
      <c r="H55" s="229">
        <v>2.0999999999999999E-3</v>
      </c>
      <c r="I55" s="231">
        <v>1981.8</v>
      </c>
      <c r="J55" s="231">
        <v>1971.7</v>
      </c>
      <c r="K55" s="228">
        <v>10.1</v>
      </c>
      <c r="L55" s="229">
        <v>5.1000000000000004E-3</v>
      </c>
      <c r="M55" s="231">
        <v>1982.2</v>
      </c>
      <c r="N55" s="231">
        <v>1978.1</v>
      </c>
      <c r="O55" s="228">
        <v>4.0999999999999996</v>
      </c>
      <c r="P55" s="229">
        <v>2.0999999999999999E-3</v>
      </c>
      <c r="Q55" s="231">
        <v>1991.2</v>
      </c>
      <c r="R55" s="231">
        <v>1986.5</v>
      </c>
      <c r="S55" s="228">
        <v>4.7</v>
      </c>
      <c r="T55" s="229">
        <v>2.3999999999999998E-3</v>
      </c>
      <c r="U55" s="231">
        <v>2002.7</v>
      </c>
      <c r="V55" s="231">
        <v>1996</v>
      </c>
      <c r="W55" s="228">
        <v>6.7</v>
      </c>
      <c r="X55" s="229">
        <v>3.3999999999999998E-3</v>
      </c>
      <c r="Y55" s="228">
        <v>0.4</v>
      </c>
      <c r="Z55" s="228">
        <v>6.4</v>
      </c>
      <c r="AA55" s="228">
        <v>-6</v>
      </c>
      <c r="AB55" s="229">
        <v>2.0000000000000001E-4</v>
      </c>
      <c r="AC55" s="228">
        <v>0.4</v>
      </c>
      <c r="AD55" s="228">
        <v>6.4</v>
      </c>
      <c r="AE55" s="228">
        <v>-6</v>
      </c>
      <c r="AF55" s="229">
        <v>2.0000000000000001E-4</v>
      </c>
      <c r="AG55" s="228">
        <v>9.4</v>
      </c>
      <c r="AH55" s="228">
        <v>14.8</v>
      </c>
      <c r="AI55" s="228">
        <v>-5.4</v>
      </c>
      <c r="AJ55" s="229">
        <v>4.7000000000000002E-3</v>
      </c>
      <c r="AK55" s="228">
        <v>20.9</v>
      </c>
      <c r="AL55" s="228">
        <v>24.3</v>
      </c>
      <c r="AM55" s="228">
        <v>-3.4</v>
      </c>
      <c r="AN55" s="229">
        <v>1.0500000000000001E-2</v>
      </c>
      <c r="AO55" s="231">
        <v>1984.02</v>
      </c>
      <c r="AP55" s="231">
        <v>1995.54</v>
      </c>
      <c r="AQ55" s="228">
        <v>0</v>
      </c>
      <c r="AR55" s="230">
        <v>495300</v>
      </c>
      <c r="AS55" s="230">
        <v>577850</v>
      </c>
      <c r="AT55" s="230">
        <v>-82550</v>
      </c>
      <c r="AU55" s="229">
        <v>-0.1429</v>
      </c>
      <c r="AV55" s="230">
        <v>413725</v>
      </c>
      <c r="AW55" s="230">
        <v>518700</v>
      </c>
      <c r="AX55" s="230">
        <v>-104975</v>
      </c>
      <c r="AY55" s="229">
        <v>-0.2024</v>
      </c>
      <c r="AZ55" s="230">
        <v>79300</v>
      </c>
      <c r="BA55" s="230">
        <v>56875</v>
      </c>
      <c r="BB55" s="230">
        <v>22425</v>
      </c>
      <c r="BC55" s="229">
        <v>0.39429999999999998</v>
      </c>
      <c r="BD55" s="230">
        <v>2275</v>
      </c>
      <c r="BE55" s="230">
        <v>2275</v>
      </c>
      <c r="BF55" s="228">
        <v>0</v>
      </c>
      <c r="BG55" s="229">
        <v>0</v>
      </c>
      <c r="BH55" s="230">
        <v>869375</v>
      </c>
      <c r="BI55" s="230">
        <v>955825</v>
      </c>
      <c r="BJ55" s="230">
        <v>-86450</v>
      </c>
      <c r="BK55" s="229">
        <v>-9.0399999999999994E-2</v>
      </c>
      <c r="BL55" s="230">
        <v>280800</v>
      </c>
      <c r="BM55" s="230">
        <v>420550</v>
      </c>
      <c r="BN55" s="230">
        <v>-139750</v>
      </c>
      <c r="BO55" s="229">
        <v>-0.33229999999999998</v>
      </c>
      <c r="BP55" s="230">
        <v>1645475</v>
      </c>
      <c r="BQ55" s="230">
        <v>1954225</v>
      </c>
      <c r="BR55" s="230">
        <v>-308750</v>
      </c>
      <c r="BS55" s="229">
        <v>-0.158</v>
      </c>
      <c r="BT55" s="230">
        <v>200810</v>
      </c>
      <c r="BU55" s="230">
        <v>204253</v>
      </c>
      <c r="BV55" s="230">
        <v>-3443</v>
      </c>
      <c r="BW55" s="229">
        <v>-1.6899999999999998E-2</v>
      </c>
      <c r="BX55" s="230">
        <v>2590250</v>
      </c>
      <c r="BY55" s="230">
        <v>2569775</v>
      </c>
      <c r="BZ55" s="230">
        <v>20475</v>
      </c>
      <c r="CA55" s="229">
        <v>8.0000000000000002E-3</v>
      </c>
      <c r="CB55" s="230">
        <v>2506725</v>
      </c>
      <c r="CC55" s="230">
        <v>2503150</v>
      </c>
      <c r="CD55" s="230">
        <v>3575</v>
      </c>
      <c r="CE55" s="229">
        <v>1.4E-3</v>
      </c>
      <c r="CF55" s="230">
        <v>80925</v>
      </c>
      <c r="CG55" s="230">
        <v>63700</v>
      </c>
      <c r="CH55" s="230">
        <v>17225</v>
      </c>
      <c r="CI55" s="229">
        <v>0.27039999999999997</v>
      </c>
      <c r="CJ55" s="230">
        <v>2600</v>
      </c>
      <c r="CK55" s="230">
        <v>2925</v>
      </c>
      <c r="CL55" s="228">
        <v>-325</v>
      </c>
      <c r="CM55" s="229">
        <v>-0.1111</v>
      </c>
      <c r="CN55" s="230">
        <v>1090375</v>
      </c>
      <c r="CO55" s="230">
        <v>1019525</v>
      </c>
      <c r="CP55" s="230">
        <v>70850</v>
      </c>
      <c r="CQ55" s="229">
        <v>6.9500000000000006E-2</v>
      </c>
      <c r="CR55" s="230">
        <v>988325</v>
      </c>
      <c r="CS55" s="230">
        <v>1006525</v>
      </c>
      <c r="CT55" s="230">
        <v>-18200</v>
      </c>
      <c r="CU55" s="229">
        <v>-1.8100000000000002E-2</v>
      </c>
      <c r="CV55" s="230">
        <v>4668950</v>
      </c>
      <c r="CW55" s="230">
        <v>4595825</v>
      </c>
      <c r="CX55" s="230">
        <v>73125</v>
      </c>
      <c r="CY55" s="229">
        <v>1.5900000000000001E-2</v>
      </c>
      <c r="CZ55" s="228">
        <v>40.43</v>
      </c>
      <c r="DA55" s="228">
        <v>37.47</v>
      </c>
      <c r="DB55" s="228">
        <v>2.96</v>
      </c>
      <c r="DC55" s="228">
        <v>2.96</v>
      </c>
      <c r="DD55" s="228">
        <v>34.06</v>
      </c>
      <c r="DE55" s="228">
        <v>34.15</v>
      </c>
      <c r="DF55" s="228">
        <v>6.37</v>
      </c>
      <c r="DG55" s="228">
        <v>-0.09</v>
      </c>
      <c r="DH55" s="228">
        <v>39.61</v>
      </c>
      <c r="DI55" s="228">
        <v>36.549999999999997</v>
      </c>
      <c r="DJ55" s="228">
        <v>3.06</v>
      </c>
      <c r="DK55" s="228">
        <v>3.06</v>
      </c>
      <c r="DL55" s="228">
        <v>42.98</v>
      </c>
      <c r="DM55" s="228">
        <v>39.549999999999997</v>
      </c>
      <c r="DN55" s="228">
        <v>3.43</v>
      </c>
      <c r="DO55" s="228">
        <v>3.43</v>
      </c>
      <c r="DP55" s="228">
        <v>0.91</v>
      </c>
      <c r="DQ55" s="228">
        <v>0.99</v>
      </c>
      <c r="DR55" s="228">
        <v>-0.08</v>
      </c>
      <c r="DS55" s="229">
        <v>-8.0799999999999997E-2</v>
      </c>
      <c r="DT55" s="231">
        <v>2060</v>
      </c>
      <c r="DU55" s="231">
        <v>1900</v>
      </c>
      <c r="DV55" s="228">
        <v>0.32</v>
      </c>
      <c r="DW55" s="228">
        <v>0.44</v>
      </c>
      <c r="DX55" s="228">
        <v>-0.12</v>
      </c>
      <c r="DY55" s="229">
        <v>-0.2727</v>
      </c>
      <c r="DZ55" s="229">
        <v>3.2199999999999999E-2</v>
      </c>
      <c r="EA55" s="230">
        <v>66625</v>
      </c>
      <c r="EB55" s="229">
        <v>4.4999999999999997E-3</v>
      </c>
      <c r="EC55" s="229">
        <v>3.2199999999999999E-2</v>
      </c>
      <c r="ED55" s="228">
        <v>11.52</v>
      </c>
      <c r="EE55" s="229">
        <v>5.7999999999999996E-3</v>
      </c>
      <c r="EF55" s="230">
        <v>93550</v>
      </c>
      <c r="EG55" s="230">
        <v>112522</v>
      </c>
      <c r="EH55" s="229">
        <v>-0.1686</v>
      </c>
      <c r="EI55" s="229">
        <v>0.46589999999999998</v>
      </c>
      <c r="EJ55" s="231">
        <v>18771.11</v>
      </c>
      <c r="EK55" s="231">
        <v>5332.45</v>
      </c>
      <c r="EL55" s="231">
        <v>9836.27</v>
      </c>
      <c r="EM55" s="231">
        <v>1835</v>
      </c>
      <c r="EN55" s="231">
        <v>33939.83</v>
      </c>
      <c r="EO55" s="231">
        <v>40152.97</v>
      </c>
      <c r="EP55" s="231">
        <v>-6213.14</v>
      </c>
      <c r="EQ55" s="229">
        <v>-0.1547</v>
      </c>
      <c r="ER55" s="231">
        <v>22358</v>
      </c>
      <c r="ES55" s="231">
        <v>18383</v>
      </c>
      <c r="ET55" s="231">
        <v>51352</v>
      </c>
      <c r="EU55" s="231">
        <v>12425160</v>
      </c>
      <c r="EV55" s="231">
        <v>92092</v>
      </c>
      <c r="EW55" s="231">
        <v>90361</v>
      </c>
      <c r="EX55" s="231">
        <v>1731</v>
      </c>
      <c r="EY55" s="229">
        <v>1.9199999999999998E-2</v>
      </c>
      <c r="EZ55" s="229">
        <v>0.37580000000000002</v>
      </c>
      <c r="FA55" s="227" t="s">
        <v>555</v>
      </c>
      <c r="FB55" s="161">
        <f t="shared" si="0"/>
        <v>83525</v>
      </c>
    </row>
    <row r="56" spans="1:158" ht="17.25" thickBot="1" x14ac:dyDescent="0.3">
      <c r="A56" s="226">
        <v>46132</v>
      </c>
      <c r="B56" s="227" t="s">
        <v>614</v>
      </c>
      <c r="C56" s="227" t="s">
        <v>599</v>
      </c>
      <c r="D56" s="228">
        <v>2075</v>
      </c>
      <c r="E56" s="228">
        <v>464.8</v>
      </c>
      <c r="F56" s="228">
        <v>464.5</v>
      </c>
      <c r="G56" s="228">
        <v>0.3</v>
      </c>
      <c r="H56" s="229">
        <v>5.9999999999999995E-4</v>
      </c>
      <c r="I56" s="228">
        <v>464.5</v>
      </c>
      <c r="J56" s="228">
        <v>463</v>
      </c>
      <c r="K56" s="228">
        <v>1.5</v>
      </c>
      <c r="L56" s="229">
        <v>3.2000000000000002E-3</v>
      </c>
      <c r="M56" s="228">
        <v>464.8</v>
      </c>
      <c r="N56" s="228">
        <v>464.5</v>
      </c>
      <c r="O56" s="228">
        <v>0.3</v>
      </c>
      <c r="P56" s="229">
        <v>5.9999999999999995E-4</v>
      </c>
      <c r="Q56" s="228">
        <v>467.4</v>
      </c>
      <c r="R56" s="228">
        <v>466.65</v>
      </c>
      <c r="S56" s="228">
        <v>0.75</v>
      </c>
      <c r="T56" s="229">
        <v>1.6000000000000001E-3</v>
      </c>
      <c r="U56" s="228">
        <v>469.65</v>
      </c>
      <c r="V56" s="228">
        <v>469.2</v>
      </c>
      <c r="W56" s="228">
        <v>0.45</v>
      </c>
      <c r="X56" s="229">
        <v>1E-3</v>
      </c>
      <c r="Y56" s="228">
        <v>0.3</v>
      </c>
      <c r="Z56" s="228">
        <v>1.5</v>
      </c>
      <c r="AA56" s="228">
        <v>-1.2</v>
      </c>
      <c r="AB56" s="229">
        <v>5.9999999999999995E-4</v>
      </c>
      <c r="AC56" s="228">
        <v>0.3</v>
      </c>
      <c r="AD56" s="228">
        <v>1.5</v>
      </c>
      <c r="AE56" s="228">
        <v>-1.2</v>
      </c>
      <c r="AF56" s="229">
        <v>5.9999999999999995E-4</v>
      </c>
      <c r="AG56" s="228">
        <v>2.9</v>
      </c>
      <c r="AH56" s="228">
        <v>3.65</v>
      </c>
      <c r="AI56" s="228">
        <v>-0.75</v>
      </c>
      <c r="AJ56" s="229">
        <v>6.1999999999999998E-3</v>
      </c>
      <c r="AK56" s="228">
        <v>5.15</v>
      </c>
      <c r="AL56" s="228">
        <v>6.2</v>
      </c>
      <c r="AM56" s="228">
        <v>-1.05</v>
      </c>
      <c r="AN56" s="229">
        <v>1.11E-2</v>
      </c>
      <c r="AO56" s="228">
        <v>469.55</v>
      </c>
      <c r="AP56" s="228">
        <v>473.35</v>
      </c>
      <c r="AQ56" s="228">
        <v>0</v>
      </c>
      <c r="AR56" s="230">
        <v>7579975</v>
      </c>
      <c r="AS56" s="230">
        <v>7324750</v>
      </c>
      <c r="AT56" s="230">
        <v>255225</v>
      </c>
      <c r="AU56" s="229">
        <v>3.4799999999999998E-2</v>
      </c>
      <c r="AV56" s="230">
        <v>6160675</v>
      </c>
      <c r="AW56" s="230">
        <v>6727150</v>
      </c>
      <c r="AX56" s="230">
        <v>-566475</v>
      </c>
      <c r="AY56" s="229">
        <v>-8.4199999999999997E-2</v>
      </c>
      <c r="AZ56" s="230">
        <v>1357050</v>
      </c>
      <c r="BA56" s="230">
        <v>572700</v>
      </c>
      <c r="BB56" s="230">
        <v>784350</v>
      </c>
      <c r="BC56" s="229">
        <v>1.3695999999999999</v>
      </c>
      <c r="BD56" s="230">
        <v>62250</v>
      </c>
      <c r="BE56" s="230">
        <v>24900</v>
      </c>
      <c r="BF56" s="230">
        <v>37350</v>
      </c>
      <c r="BG56" s="229">
        <v>1.5</v>
      </c>
      <c r="BH56" s="230">
        <v>33260175</v>
      </c>
      <c r="BI56" s="230">
        <v>31042000</v>
      </c>
      <c r="BJ56" s="230">
        <v>2218175</v>
      </c>
      <c r="BK56" s="229">
        <v>7.1499999999999994E-2</v>
      </c>
      <c r="BL56" s="230">
        <v>7061225</v>
      </c>
      <c r="BM56" s="230">
        <v>6727150</v>
      </c>
      <c r="BN56" s="230">
        <v>334075</v>
      </c>
      <c r="BO56" s="229">
        <v>4.9700000000000001E-2</v>
      </c>
      <c r="BP56" s="230">
        <v>47901375</v>
      </c>
      <c r="BQ56" s="230">
        <v>45093900</v>
      </c>
      <c r="BR56" s="230">
        <v>2807475</v>
      </c>
      <c r="BS56" s="229">
        <v>6.2300000000000001E-2</v>
      </c>
      <c r="BT56" s="230">
        <v>3821359</v>
      </c>
      <c r="BU56" s="230">
        <v>5683537</v>
      </c>
      <c r="BV56" s="230">
        <v>-1862178</v>
      </c>
      <c r="BW56" s="229">
        <v>-0.3276</v>
      </c>
      <c r="BX56" s="230">
        <v>31427950</v>
      </c>
      <c r="BY56" s="230">
        <v>31770325</v>
      </c>
      <c r="BZ56" s="230">
        <v>-342375</v>
      </c>
      <c r="CA56" s="229">
        <v>-1.0800000000000001E-2</v>
      </c>
      <c r="CB56" s="230">
        <v>30008650</v>
      </c>
      <c r="CC56" s="230">
        <v>30834500</v>
      </c>
      <c r="CD56" s="230">
        <v>-825850</v>
      </c>
      <c r="CE56" s="229">
        <v>-2.6800000000000001E-2</v>
      </c>
      <c r="CF56" s="230">
        <v>1303100</v>
      </c>
      <c r="CG56" s="230">
        <v>871500</v>
      </c>
      <c r="CH56" s="230">
        <v>431600</v>
      </c>
      <c r="CI56" s="229">
        <v>0.49519999999999997</v>
      </c>
      <c r="CJ56" s="230">
        <v>116200</v>
      </c>
      <c r="CK56" s="230">
        <v>64325</v>
      </c>
      <c r="CL56" s="230">
        <v>51875</v>
      </c>
      <c r="CM56" s="229">
        <v>0.80649999999999999</v>
      </c>
      <c r="CN56" s="230">
        <v>13267550</v>
      </c>
      <c r="CO56" s="230">
        <v>14435775</v>
      </c>
      <c r="CP56" s="230">
        <v>-1168225</v>
      </c>
      <c r="CQ56" s="229">
        <v>-8.09E-2</v>
      </c>
      <c r="CR56" s="230">
        <v>5324450</v>
      </c>
      <c r="CS56" s="230">
        <v>5569300</v>
      </c>
      <c r="CT56" s="230">
        <v>-244850</v>
      </c>
      <c r="CU56" s="229">
        <v>-4.3999999999999997E-2</v>
      </c>
      <c r="CV56" s="230">
        <v>50019950</v>
      </c>
      <c r="CW56" s="230">
        <v>51775400</v>
      </c>
      <c r="CX56" s="230">
        <v>-1755450</v>
      </c>
      <c r="CY56" s="229">
        <v>-3.39E-2</v>
      </c>
      <c r="CZ56" s="228">
        <v>38.979999999999997</v>
      </c>
      <c r="DA56" s="228">
        <v>38.07</v>
      </c>
      <c r="DB56" s="228">
        <v>0.91</v>
      </c>
      <c r="DC56" s="228">
        <v>0.91</v>
      </c>
      <c r="DD56" s="228">
        <v>39.36</v>
      </c>
      <c r="DE56" s="228">
        <v>39.450000000000003</v>
      </c>
      <c r="DF56" s="228">
        <v>-0.38</v>
      </c>
      <c r="DG56" s="228">
        <v>-0.09</v>
      </c>
      <c r="DH56" s="228">
        <v>38.950000000000003</v>
      </c>
      <c r="DI56" s="228">
        <v>38.35</v>
      </c>
      <c r="DJ56" s="228">
        <v>0.6</v>
      </c>
      <c r="DK56" s="228">
        <v>0.6</v>
      </c>
      <c r="DL56" s="228">
        <v>39.119999999999997</v>
      </c>
      <c r="DM56" s="228">
        <v>36.78</v>
      </c>
      <c r="DN56" s="228">
        <v>2.34</v>
      </c>
      <c r="DO56" s="228">
        <v>2.34</v>
      </c>
      <c r="DP56" s="228">
        <v>0.4</v>
      </c>
      <c r="DQ56" s="228">
        <v>0.39</v>
      </c>
      <c r="DR56" s="228">
        <v>0.01</v>
      </c>
      <c r="DS56" s="229">
        <v>2.5600000000000001E-2</v>
      </c>
      <c r="DT56" s="228">
        <v>480</v>
      </c>
      <c r="DU56" s="228">
        <v>440</v>
      </c>
      <c r="DV56" s="228">
        <v>0.21</v>
      </c>
      <c r="DW56" s="228">
        <v>0.22</v>
      </c>
      <c r="DX56" s="228">
        <v>-0.01</v>
      </c>
      <c r="DY56" s="229">
        <v>-4.5499999999999999E-2</v>
      </c>
      <c r="DZ56" s="229">
        <v>4.5199999999999997E-2</v>
      </c>
      <c r="EA56" s="230">
        <v>935825</v>
      </c>
      <c r="EB56" s="229">
        <v>5.5999999999999999E-3</v>
      </c>
      <c r="EC56" s="229">
        <v>4.5199999999999997E-2</v>
      </c>
      <c r="ED56" s="228">
        <v>3.8</v>
      </c>
      <c r="EE56" s="229">
        <v>8.0999999999999996E-3</v>
      </c>
      <c r="EF56" s="230">
        <v>1518660</v>
      </c>
      <c r="EG56" s="230">
        <v>3547918</v>
      </c>
      <c r="EH56" s="229">
        <v>-0.57199999999999995</v>
      </c>
      <c r="EI56" s="229">
        <v>0.39739999999999998</v>
      </c>
      <c r="EJ56" s="231">
        <v>162878.67000000001</v>
      </c>
      <c r="EK56" s="231">
        <v>32707.51</v>
      </c>
      <c r="EL56" s="231">
        <v>35646.58</v>
      </c>
      <c r="EM56" s="231">
        <v>2615</v>
      </c>
      <c r="EN56" s="231">
        <v>231232.76</v>
      </c>
      <c r="EO56" s="231">
        <v>216386.92</v>
      </c>
      <c r="EP56" s="231">
        <v>14845.84</v>
      </c>
      <c r="EQ56" s="229">
        <v>6.8599999999999994E-2</v>
      </c>
      <c r="ER56" s="231">
        <v>63418</v>
      </c>
      <c r="ES56" s="231">
        <v>23336</v>
      </c>
      <c r="ET56" s="231">
        <v>146117</v>
      </c>
      <c r="EU56" s="231">
        <v>83072620</v>
      </c>
      <c r="EV56" s="231">
        <v>232871</v>
      </c>
      <c r="EW56" s="231">
        <v>240851</v>
      </c>
      <c r="EX56" s="231">
        <v>-7980</v>
      </c>
      <c r="EY56" s="229">
        <v>-3.3099999999999997E-2</v>
      </c>
      <c r="EZ56" s="229">
        <v>0.60209999999999997</v>
      </c>
      <c r="FA56" s="227" t="s">
        <v>693</v>
      </c>
      <c r="FB56" s="161">
        <f t="shared" si="0"/>
        <v>1419300</v>
      </c>
    </row>
    <row r="57" spans="1:158" ht="17.25" thickBot="1" x14ac:dyDescent="0.3">
      <c r="A57" s="226">
        <v>46132</v>
      </c>
      <c r="B57" s="227" t="s">
        <v>170</v>
      </c>
      <c r="C57" s="227" t="s">
        <v>205</v>
      </c>
      <c r="D57" s="228">
        <v>100</v>
      </c>
      <c r="E57" s="231">
        <v>6274.5</v>
      </c>
      <c r="F57" s="231">
        <v>6238</v>
      </c>
      <c r="G57" s="228">
        <v>36.5</v>
      </c>
      <c r="H57" s="229">
        <v>5.8999999999999999E-3</v>
      </c>
      <c r="I57" s="231">
        <v>6280</v>
      </c>
      <c r="J57" s="231">
        <v>6229</v>
      </c>
      <c r="K57" s="228">
        <v>51</v>
      </c>
      <c r="L57" s="229">
        <v>8.2000000000000007E-3</v>
      </c>
      <c r="M57" s="231">
        <v>6274.5</v>
      </c>
      <c r="N57" s="231">
        <v>6238</v>
      </c>
      <c r="O57" s="228">
        <v>36.5</v>
      </c>
      <c r="P57" s="229">
        <v>5.8999999999999999E-3</v>
      </c>
      <c r="Q57" s="231">
        <v>6310.5</v>
      </c>
      <c r="R57" s="231">
        <v>6276.5</v>
      </c>
      <c r="S57" s="228">
        <v>34</v>
      </c>
      <c r="T57" s="229">
        <v>5.4000000000000003E-3</v>
      </c>
      <c r="U57" s="231">
        <v>6350</v>
      </c>
      <c r="V57" s="231">
        <v>6299.5</v>
      </c>
      <c r="W57" s="228">
        <v>50.5</v>
      </c>
      <c r="X57" s="229">
        <v>8.0000000000000002E-3</v>
      </c>
      <c r="Y57" s="228">
        <v>-5.5</v>
      </c>
      <c r="Z57" s="228">
        <v>9</v>
      </c>
      <c r="AA57" s="228">
        <v>-14.5</v>
      </c>
      <c r="AB57" s="229">
        <v>-8.9999999999999998E-4</v>
      </c>
      <c r="AC57" s="228">
        <v>-5.5</v>
      </c>
      <c r="AD57" s="228">
        <v>9</v>
      </c>
      <c r="AE57" s="228">
        <v>-14.5</v>
      </c>
      <c r="AF57" s="229">
        <v>-8.9999999999999998E-4</v>
      </c>
      <c r="AG57" s="228">
        <v>30.5</v>
      </c>
      <c r="AH57" s="228">
        <v>47.5</v>
      </c>
      <c r="AI57" s="228">
        <v>-17</v>
      </c>
      <c r="AJ57" s="229">
        <v>4.8999999999999998E-3</v>
      </c>
      <c r="AK57" s="228">
        <v>70</v>
      </c>
      <c r="AL57" s="228">
        <v>70.5</v>
      </c>
      <c r="AM57" s="228">
        <v>-0.5</v>
      </c>
      <c r="AN57" s="229">
        <v>1.11E-2</v>
      </c>
      <c r="AO57" s="231">
        <v>6271.37</v>
      </c>
      <c r="AP57" s="231">
        <v>6307.9</v>
      </c>
      <c r="AQ57" s="228">
        <v>0</v>
      </c>
      <c r="AR57" s="230">
        <v>203400</v>
      </c>
      <c r="AS57" s="230">
        <v>196700</v>
      </c>
      <c r="AT57" s="230">
        <v>6700</v>
      </c>
      <c r="AU57" s="229">
        <v>3.4099999999999998E-2</v>
      </c>
      <c r="AV57" s="230">
        <v>155100</v>
      </c>
      <c r="AW57" s="230">
        <v>165200</v>
      </c>
      <c r="AX57" s="230">
        <v>-10100</v>
      </c>
      <c r="AY57" s="229">
        <v>-6.1100000000000002E-2</v>
      </c>
      <c r="AZ57" s="230">
        <v>48200</v>
      </c>
      <c r="BA57" s="230">
        <v>31300</v>
      </c>
      <c r="BB57" s="230">
        <v>16900</v>
      </c>
      <c r="BC57" s="229">
        <v>0.53990000000000005</v>
      </c>
      <c r="BD57" s="228">
        <v>100</v>
      </c>
      <c r="BE57" s="228">
        <v>200</v>
      </c>
      <c r="BF57" s="228">
        <v>-100</v>
      </c>
      <c r="BG57" s="229">
        <v>-0.5</v>
      </c>
      <c r="BH57" s="230">
        <v>1234500</v>
      </c>
      <c r="BI57" s="230">
        <v>1035900</v>
      </c>
      <c r="BJ57" s="230">
        <v>198600</v>
      </c>
      <c r="BK57" s="229">
        <v>0.19170000000000001</v>
      </c>
      <c r="BL57" s="230">
        <v>439000</v>
      </c>
      <c r="BM57" s="230">
        <v>588700</v>
      </c>
      <c r="BN57" s="230">
        <v>-149700</v>
      </c>
      <c r="BO57" s="229">
        <v>-0.25430000000000003</v>
      </c>
      <c r="BP57" s="230">
        <v>1876900</v>
      </c>
      <c r="BQ57" s="230">
        <v>1821300</v>
      </c>
      <c r="BR57" s="230">
        <v>55600</v>
      </c>
      <c r="BS57" s="229">
        <v>3.0499999999999999E-2</v>
      </c>
      <c r="BT57" s="230">
        <v>213499</v>
      </c>
      <c r="BU57" s="230">
        <v>178285</v>
      </c>
      <c r="BV57" s="230">
        <v>35214</v>
      </c>
      <c r="BW57" s="229">
        <v>0.19750000000000001</v>
      </c>
      <c r="BX57" s="230">
        <v>2774900</v>
      </c>
      <c r="BY57" s="230">
        <v>2755500</v>
      </c>
      <c r="BZ57" s="230">
        <v>19400</v>
      </c>
      <c r="CA57" s="229">
        <v>7.0000000000000001E-3</v>
      </c>
      <c r="CB57" s="230">
        <v>2658100</v>
      </c>
      <c r="CC57" s="230">
        <v>2665900</v>
      </c>
      <c r="CD57" s="230">
        <v>-7800</v>
      </c>
      <c r="CE57" s="229">
        <v>-2.8999999999999998E-3</v>
      </c>
      <c r="CF57" s="230">
        <v>113900</v>
      </c>
      <c r="CG57" s="230">
        <v>86800</v>
      </c>
      <c r="CH57" s="230">
        <v>27100</v>
      </c>
      <c r="CI57" s="229">
        <v>0.31219999999999998</v>
      </c>
      <c r="CJ57" s="230">
        <v>2900</v>
      </c>
      <c r="CK57" s="230">
        <v>2800</v>
      </c>
      <c r="CL57" s="228">
        <v>100</v>
      </c>
      <c r="CM57" s="229">
        <v>3.5700000000000003E-2</v>
      </c>
      <c r="CN57" s="230">
        <v>752000</v>
      </c>
      <c r="CO57" s="230">
        <v>704900</v>
      </c>
      <c r="CP57" s="230">
        <v>47100</v>
      </c>
      <c r="CQ57" s="229">
        <v>6.6799999999999998E-2</v>
      </c>
      <c r="CR57" s="230">
        <v>757600</v>
      </c>
      <c r="CS57" s="230">
        <v>739400</v>
      </c>
      <c r="CT57" s="230">
        <v>18200</v>
      </c>
      <c r="CU57" s="229">
        <v>2.46E-2</v>
      </c>
      <c r="CV57" s="230">
        <v>4284500</v>
      </c>
      <c r="CW57" s="230">
        <v>4199800</v>
      </c>
      <c r="CX57" s="230">
        <v>84700</v>
      </c>
      <c r="CY57" s="229">
        <v>2.0199999999999999E-2</v>
      </c>
      <c r="CZ57" s="228">
        <v>26.55</v>
      </c>
      <c r="DA57" s="228">
        <v>24.25</v>
      </c>
      <c r="DB57" s="228">
        <v>2.2999999999999998</v>
      </c>
      <c r="DC57" s="228">
        <v>2.2999999999999998</v>
      </c>
      <c r="DD57" s="228">
        <v>29.69</v>
      </c>
      <c r="DE57" s="228">
        <v>29.75</v>
      </c>
      <c r="DF57" s="228">
        <v>-3.14</v>
      </c>
      <c r="DG57" s="228">
        <v>-0.06</v>
      </c>
      <c r="DH57" s="228">
        <v>25.93</v>
      </c>
      <c r="DI57" s="228">
        <v>23.79</v>
      </c>
      <c r="DJ57" s="228">
        <v>2.14</v>
      </c>
      <c r="DK57" s="228">
        <v>2.14</v>
      </c>
      <c r="DL57" s="228">
        <v>28.32</v>
      </c>
      <c r="DM57" s="228">
        <v>25.06</v>
      </c>
      <c r="DN57" s="228">
        <v>3.26</v>
      </c>
      <c r="DO57" s="228">
        <v>3.26</v>
      </c>
      <c r="DP57" s="228">
        <v>1.01</v>
      </c>
      <c r="DQ57" s="228">
        <v>1.05</v>
      </c>
      <c r="DR57" s="228">
        <v>-0.04</v>
      </c>
      <c r="DS57" s="229">
        <v>-3.8100000000000002E-2</v>
      </c>
      <c r="DT57" s="231">
        <v>6300</v>
      </c>
      <c r="DU57" s="231">
        <v>5200</v>
      </c>
      <c r="DV57" s="228">
        <v>0.36</v>
      </c>
      <c r="DW57" s="228">
        <v>0.56999999999999995</v>
      </c>
      <c r="DX57" s="228">
        <v>-0.21</v>
      </c>
      <c r="DY57" s="229">
        <v>-0.36840000000000001</v>
      </c>
      <c r="DZ57" s="229">
        <v>4.2099999999999999E-2</v>
      </c>
      <c r="EA57" s="230">
        <v>89600</v>
      </c>
      <c r="EB57" s="229">
        <v>5.7000000000000002E-3</v>
      </c>
      <c r="EC57" s="229">
        <v>4.2099999999999999E-2</v>
      </c>
      <c r="ED57" s="228">
        <v>36.53</v>
      </c>
      <c r="EE57" s="229">
        <v>5.7999999999999996E-3</v>
      </c>
      <c r="EF57" s="230">
        <v>128564</v>
      </c>
      <c r="EG57" s="230">
        <v>76362</v>
      </c>
      <c r="EH57" s="229">
        <v>0.68359999999999999</v>
      </c>
      <c r="EI57" s="229">
        <v>0.60219999999999996</v>
      </c>
      <c r="EJ57" s="231">
        <v>79602.789999999994</v>
      </c>
      <c r="EK57" s="231">
        <v>26751.5</v>
      </c>
      <c r="EL57" s="231">
        <v>12773.65</v>
      </c>
      <c r="EM57" s="231">
        <v>2556</v>
      </c>
      <c r="EN57" s="231">
        <v>119127.94</v>
      </c>
      <c r="EO57" s="231">
        <v>115716.74</v>
      </c>
      <c r="EP57" s="231">
        <v>3411.2</v>
      </c>
      <c r="EQ57" s="229">
        <v>2.9499999999999998E-2</v>
      </c>
      <c r="ER57" s="231">
        <v>47523</v>
      </c>
      <c r="ES57" s="231">
        <v>43682</v>
      </c>
      <c r="ET57" s="231">
        <v>174154</v>
      </c>
      <c r="EU57" s="231">
        <v>15815194</v>
      </c>
      <c r="EV57" s="231">
        <v>265359</v>
      </c>
      <c r="EW57" s="231">
        <v>258810</v>
      </c>
      <c r="EX57" s="231">
        <v>6549</v>
      </c>
      <c r="EY57" s="229">
        <v>2.53E-2</v>
      </c>
      <c r="EZ57" s="229">
        <v>0.27089999999999997</v>
      </c>
      <c r="FA57" s="227" t="s">
        <v>555</v>
      </c>
      <c r="FB57" s="161">
        <f t="shared" si="0"/>
        <v>116800</v>
      </c>
    </row>
    <row r="58" spans="1:158" ht="17.25" thickBot="1" x14ac:dyDescent="0.3">
      <c r="A58" s="226">
        <v>46132</v>
      </c>
      <c r="B58" s="227" t="s">
        <v>184</v>
      </c>
      <c r="C58" s="227" t="s">
        <v>512</v>
      </c>
      <c r="D58" s="228">
        <v>50</v>
      </c>
      <c r="E58" s="231">
        <v>11195.5</v>
      </c>
      <c r="F58" s="231">
        <v>11377.5</v>
      </c>
      <c r="G58" s="228">
        <v>-182</v>
      </c>
      <c r="H58" s="229">
        <v>-1.6E-2</v>
      </c>
      <c r="I58" s="231">
        <v>11211</v>
      </c>
      <c r="J58" s="231">
        <v>11371.5</v>
      </c>
      <c r="K58" s="228">
        <v>-160.5</v>
      </c>
      <c r="L58" s="229">
        <v>-1.41E-2</v>
      </c>
      <c r="M58" s="231">
        <v>11195.5</v>
      </c>
      <c r="N58" s="231">
        <v>11377.5</v>
      </c>
      <c r="O58" s="228">
        <v>-182</v>
      </c>
      <c r="P58" s="229">
        <v>-1.6E-2</v>
      </c>
      <c r="Q58" s="231">
        <v>11099</v>
      </c>
      <c r="R58" s="231">
        <v>11280</v>
      </c>
      <c r="S58" s="228">
        <v>-181</v>
      </c>
      <c r="T58" s="229">
        <v>-1.6E-2</v>
      </c>
      <c r="U58" s="231">
        <v>11071.5</v>
      </c>
      <c r="V58" s="231">
        <v>11207.5</v>
      </c>
      <c r="W58" s="228">
        <v>-136</v>
      </c>
      <c r="X58" s="229">
        <v>-1.21E-2</v>
      </c>
      <c r="Y58" s="228">
        <v>-15.5</v>
      </c>
      <c r="Z58" s="228">
        <v>6</v>
      </c>
      <c r="AA58" s="228">
        <v>-21.5</v>
      </c>
      <c r="AB58" s="229">
        <v>-1.4E-3</v>
      </c>
      <c r="AC58" s="228">
        <v>-15.5</v>
      </c>
      <c r="AD58" s="228">
        <v>6</v>
      </c>
      <c r="AE58" s="228">
        <v>-21.5</v>
      </c>
      <c r="AF58" s="229">
        <v>-1.4E-3</v>
      </c>
      <c r="AG58" s="228">
        <v>-112</v>
      </c>
      <c r="AH58" s="228">
        <v>-91.5</v>
      </c>
      <c r="AI58" s="228">
        <v>-20.5</v>
      </c>
      <c r="AJ58" s="229">
        <v>-0.01</v>
      </c>
      <c r="AK58" s="228">
        <v>-139.5</v>
      </c>
      <c r="AL58" s="228">
        <v>-164</v>
      </c>
      <c r="AM58" s="228">
        <v>24.5</v>
      </c>
      <c r="AN58" s="229">
        <v>-1.24E-2</v>
      </c>
      <c r="AO58" s="231">
        <v>11257.33</v>
      </c>
      <c r="AP58" s="231">
        <v>11173.57</v>
      </c>
      <c r="AQ58" s="228">
        <v>0</v>
      </c>
      <c r="AR58" s="230">
        <v>762200</v>
      </c>
      <c r="AS58" s="230">
        <v>931050</v>
      </c>
      <c r="AT58" s="230">
        <v>-168850</v>
      </c>
      <c r="AU58" s="229">
        <v>-0.18140000000000001</v>
      </c>
      <c r="AV58" s="230">
        <v>559150</v>
      </c>
      <c r="AW58" s="230">
        <v>731450</v>
      </c>
      <c r="AX58" s="230">
        <v>-172300</v>
      </c>
      <c r="AY58" s="229">
        <v>-0.2356</v>
      </c>
      <c r="AZ58" s="230">
        <v>177450</v>
      </c>
      <c r="BA58" s="230">
        <v>169900</v>
      </c>
      <c r="BB58" s="230">
        <v>7550</v>
      </c>
      <c r="BC58" s="229">
        <v>4.4400000000000002E-2</v>
      </c>
      <c r="BD58" s="230">
        <v>25600</v>
      </c>
      <c r="BE58" s="230">
        <v>29700</v>
      </c>
      <c r="BF58" s="230">
        <v>-4100</v>
      </c>
      <c r="BG58" s="229">
        <v>-0.13800000000000001</v>
      </c>
      <c r="BH58" s="230">
        <v>2752000</v>
      </c>
      <c r="BI58" s="230">
        <v>3475950</v>
      </c>
      <c r="BJ58" s="230">
        <v>-723950</v>
      </c>
      <c r="BK58" s="229">
        <v>-0.20830000000000001</v>
      </c>
      <c r="BL58" s="230">
        <v>1853100</v>
      </c>
      <c r="BM58" s="230">
        <v>1935150</v>
      </c>
      <c r="BN58" s="230">
        <v>-82050</v>
      </c>
      <c r="BO58" s="229">
        <v>-4.24E-2</v>
      </c>
      <c r="BP58" s="230">
        <v>5367300</v>
      </c>
      <c r="BQ58" s="230">
        <v>6342150</v>
      </c>
      <c r="BR58" s="230">
        <v>-974850</v>
      </c>
      <c r="BS58" s="229">
        <v>-0.1537</v>
      </c>
      <c r="BT58" s="230">
        <v>690067</v>
      </c>
      <c r="BU58" s="230">
        <v>776120</v>
      </c>
      <c r="BV58" s="230">
        <v>-86053</v>
      </c>
      <c r="BW58" s="229">
        <v>-0.1109</v>
      </c>
      <c r="BX58" s="230">
        <v>3110550</v>
      </c>
      <c r="BY58" s="230">
        <v>3106250</v>
      </c>
      <c r="BZ58" s="230">
        <v>4300</v>
      </c>
      <c r="CA58" s="229">
        <v>1.4E-3</v>
      </c>
      <c r="CB58" s="230">
        <v>2571750</v>
      </c>
      <c r="CC58" s="230">
        <v>2637700</v>
      </c>
      <c r="CD58" s="230">
        <v>-65950</v>
      </c>
      <c r="CE58" s="229">
        <v>-2.5000000000000001E-2</v>
      </c>
      <c r="CF58" s="230">
        <v>480650</v>
      </c>
      <c r="CG58" s="230">
        <v>419400</v>
      </c>
      <c r="CH58" s="230">
        <v>61250</v>
      </c>
      <c r="CI58" s="229">
        <v>0.14599999999999999</v>
      </c>
      <c r="CJ58" s="230">
        <v>58150</v>
      </c>
      <c r="CK58" s="230">
        <v>49150</v>
      </c>
      <c r="CL58" s="230">
        <v>9000</v>
      </c>
      <c r="CM58" s="229">
        <v>0.18310000000000001</v>
      </c>
      <c r="CN58" s="230">
        <v>2126650</v>
      </c>
      <c r="CO58" s="230">
        <v>2089600</v>
      </c>
      <c r="CP58" s="230">
        <v>37050</v>
      </c>
      <c r="CQ58" s="229">
        <v>1.77E-2</v>
      </c>
      <c r="CR58" s="230">
        <v>1500400</v>
      </c>
      <c r="CS58" s="230">
        <v>1553600</v>
      </c>
      <c r="CT58" s="230">
        <v>-53200</v>
      </c>
      <c r="CU58" s="229">
        <v>-3.4200000000000001E-2</v>
      </c>
      <c r="CV58" s="230">
        <v>6737600</v>
      </c>
      <c r="CW58" s="230">
        <v>6749450</v>
      </c>
      <c r="CX58" s="230">
        <v>-11850</v>
      </c>
      <c r="CY58" s="229">
        <v>-1.8E-3</v>
      </c>
      <c r="CZ58" s="228">
        <v>50.17</v>
      </c>
      <c r="DA58" s="228">
        <v>45.96</v>
      </c>
      <c r="DB58" s="228">
        <v>4.21</v>
      </c>
      <c r="DC58" s="228">
        <v>4.21</v>
      </c>
      <c r="DD58" s="228">
        <v>49.27</v>
      </c>
      <c r="DE58" s="228">
        <v>49.35</v>
      </c>
      <c r="DF58" s="228">
        <v>0.9</v>
      </c>
      <c r="DG58" s="228">
        <v>-0.08</v>
      </c>
      <c r="DH58" s="228">
        <v>48.9</v>
      </c>
      <c r="DI58" s="228">
        <v>44.01</v>
      </c>
      <c r="DJ58" s="228">
        <v>4.8899999999999997</v>
      </c>
      <c r="DK58" s="228">
        <v>4.8899999999999997</v>
      </c>
      <c r="DL58" s="228">
        <v>52.06</v>
      </c>
      <c r="DM58" s="228">
        <v>49.46</v>
      </c>
      <c r="DN58" s="228">
        <v>2.6</v>
      </c>
      <c r="DO58" s="228">
        <v>2.6</v>
      </c>
      <c r="DP58" s="228">
        <v>0.71</v>
      </c>
      <c r="DQ58" s="228">
        <v>0.74</v>
      </c>
      <c r="DR58" s="228">
        <v>-0.03</v>
      </c>
      <c r="DS58" s="229">
        <v>-4.0500000000000001E-2</v>
      </c>
      <c r="DT58" s="231">
        <v>12000</v>
      </c>
      <c r="DU58" s="231">
        <v>10000</v>
      </c>
      <c r="DV58" s="228">
        <v>0.67</v>
      </c>
      <c r="DW58" s="228">
        <v>0.56000000000000005</v>
      </c>
      <c r="DX58" s="228">
        <v>0.11</v>
      </c>
      <c r="DY58" s="229">
        <v>0.19639999999999999</v>
      </c>
      <c r="DZ58" s="229">
        <v>0.17319999999999999</v>
      </c>
      <c r="EA58" s="230">
        <v>468550</v>
      </c>
      <c r="EB58" s="229">
        <v>-8.6E-3</v>
      </c>
      <c r="EC58" s="229">
        <v>0.17319999999999999</v>
      </c>
      <c r="ED58" s="228">
        <v>-83.76</v>
      </c>
      <c r="EE58" s="229">
        <v>-7.4000000000000003E-3</v>
      </c>
      <c r="EF58" s="230">
        <v>165477</v>
      </c>
      <c r="EG58" s="230">
        <v>185972</v>
      </c>
      <c r="EH58" s="229">
        <v>-0.11020000000000001</v>
      </c>
      <c r="EI58" s="229">
        <v>0.23980000000000001</v>
      </c>
      <c r="EJ58" s="231">
        <v>327709.8</v>
      </c>
      <c r="EK58" s="231">
        <v>204252.92</v>
      </c>
      <c r="EL58" s="231">
        <v>85620.46</v>
      </c>
      <c r="EM58" s="231">
        <v>19805</v>
      </c>
      <c r="EN58" s="231">
        <v>617583.18000000005</v>
      </c>
      <c r="EO58" s="231">
        <v>729936.59</v>
      </c>
      <c r="EP58" s="231">
        <v>-112353.41</v>
      </c>
      <c r="EQ58" s="229">
        <v>-0.15390000000000001</v>
      </c>
      <c r="ER58" s="231">
        <v>241767</v>
      </c>
      <c r="ES58" s="231">
        <v>154284</v>
      </c>
      <c r="ET58" s="231">
        <v>347706</v>
      </c>
      <c r="EU58" s="231">
        <v>6478285</v>
      </c>
      <c r="EV58" s="231">
        <v>743757</v>
      </c>
      <c r="EW58" s="231">
        <v>749207</v>
      </c>
      <c r="EX58" s="231">
        <v>-5450</v>
      </c>
      <c r="EY58" s="229">
        <v>-7.3000000000000001E-3</v>
      </c>
      <c r="EZ58" s="229">
        <v>1.04</v>
      </c>
      <c r="FA58" s="227" t="s">
        <v>566</v>
      </c>
      <c r="FB58" s="161">
        <f t="shared" si="0"/>
        <v>538800</v>
      </c>
    </row>
    <row r="59" spans="1:158" ht="17.25" thickBot="1" x14ac:dyDescent="0.3">
      <c r="A59" s="226">
        <v>46132</v>
      </c>
      <c r="B59" s="227" t="s">
        <v>206</v>
      </c>
      <c r="C59" s="227" t="s">
        <v>207</v>
      </c>
      <c r="D59" s="228">
        <v>825</v>
      </c>
      <c r="E59" s="228">
        <v>595.54999999999995</v>
      </c>
      <c r="F59" s="228">
        <v>601.54999999999995</v>
      </c>
      <c r="G59" s="228">
        <v>-6</v>
      </c>
      <c r="H59" s="229">
        <v>-0.01</v>
      </c>
      <c r="I59" s="228">
        <v>596.4</v>
      </c>
      <c r="J59" s="228">
        <v>601.75</v>
      </c>
      <c r="K59" s="228">
        <v>-5.35</v>
      </c>
      <c r="L59" s="229">
        <v>-8.8999999999999999E-3</v>
      </c>
      <c r="M59" s="228">
        <v>595.54999999999995</v>
      </c>
      <c r="N59" s="228">
        <v>601.54999999999995</v>
      </c>
      <c r="O59" s="228">
        <v>-6</v>
      </c>
      <c r="P59" s="229">
        <v>-0.01</v>
      </c>
      <c r="Q59" s="228">
        <v>599.35</v>
      </c>
      <c r="R59" s="228">
        <v>605.04999999999995</v>
      </c>
      <c r="S59" s="228">
        <v>-5.7</v>
      </c>
      <c r="T59" s="229">
        <v>-9.4000000000000004E-3</v>
      </c>
      <c r="U59" s="228">
        <v>601.5</v>
      </c>
      <c r="V59" s="228">
        <v>608.6</v>
      </c>
      <c r="W59" s="228">
        <v>-7.1</v>
      </c>
      <c r="X59" s="229">
        <v>-1.17E-2</v>
      </c>
      <c r="Y59" s="228">
        <v>-0.85</v>
      </c>
      <c r="Z59" s="228">
        <v>-0.2</v>
      </c>
      <c r="AA59" s="228">
        <v>-0.65</v>
      </c>
      <c r="AB59" s="229">
        <v>-1.4E-3</v>
      </c>
      <c r="AC59" s="228">
        <v>-0.85</v>
      </c>
      <c r="AD59" s="228">
        <v>-0.2</v>
      </c>
      <c r="AE59" s="228">
        <v>-0.65</v>
      </c>
      <c r="AF59" s="229">
        <v>-1.4E-3</v>
      </c>
      <c r="AG59" s="228">
        <v>2.95</v>
      </c>
      <c r="AH59" s="228">
        <v>3.3</v>
      </c>
      <c r="AI59" s="228">
        <v>-0.35</v>
      </c>
      <c r="AJ59" s="229">
        <v>4.8999999999999998E-3</v>
      </c>
      <c r="AK59" s="228">
        <v>5.0999999999999996</v>
      </c>
      <c r="AL59" s="228">
        <v>6.85</v>
      </c>
      <c r="AM59" s="228">
        <v>-1.75</v>
      </c>
      <c r="AN59" s="229">
        <v>8.6E-3</v>
      </c>
      <c r="AO59" s="228">
        <v>596.55999999999995</v>
      </c>
      <c r="AP59" s="228">
        <v>600.33000000000004</v>
      </c>
      <c r="AQ59" s="228">
        <v>0</v>
      </c>
      <c r="AR59" s="230">
        <v>5118300</v>
      </c>
      <c r="AS59" s="230">
        <v>9759750</v>
      </c>
      <c r="AT59" s="230">
        <v>-4641450</v>
      </c>
      <c r="AU59" s="229">
        <v>-0.47560000000000002</v>
      </c>
      <c r="AV59" s="230">
        <v>4223175</v>
      </c>
      <c r="AW59" s="230">
        <v>7689000</v>
      </c>
      <c r="AX59" s="230">
        <v>-3465825</v>
      </c>
      <c r="AY59" s="229">
        <v>-0.45079999999999998</v>
      </c>
      <c r="AZ59" s="230">
        <v>852225</v>
      </c>
      <c r="BA59" s="230">
        <v>602250</v>
      </c>
      <c r="BB59" s="230">
        <v>249975</v>
      </c>
      <c r="BC59" s="229">
        <v>0.41510000000000002</v>
      </c>
      <c r="BD59" s="230">
        <v>42900</v>
      </c>
      <c r="BE59" s="230">
        <v>1468500</v>
      </c>
      <c r="BF59" s="230">
        <v>-1425600</v>
      </c>
      <c r="BG59" s="229">
        <v>-0.9708</v>
      </c>
      <c r="BH59" s="230">
        <v>9466050</v>
      </c>
      <c r="BI59" s="230">
        <v>17081625</v>
      </c>
      <c r="BJ59" s="230">
        <v>-7615575</v>
      </c>
      <c r="BK59" s="229">
        <v>-0.44579999999999997</v>
      </c>
      <c r="BL59" s="230">
        <v>6297225</v>
      </c>
      <c r="BM59" s="230">
        <v>14378925</v>
      </c>
      <c r="BN59" s="230">
        <v>-8081700</v>
      </c>
      <c r="BO59" s="229">
        <v>-0.56210000000000004</v>
      </c>
      <c r="BP59" s="230">
        <v>20881575</v>
      </c>
      <c r="BQ59" s="230">
        <v>41220300</v>
      </c>
      <c r="BR59" s="230">
        <v>-20338725</v>
      </c>
      <c r="BS59" s="229">
        <v>-0.49340000000000001</v>
      </c>
      <c r="BT59" s="230">
        <v>3376215</v>
      </c>
      <c r="BU59" s="230">
        <v>5020638</v>
      </c>
      <c r="BV59" s="230">
        <v>-1644423</v>
      </c>
      <c r="BW59" s="229">
        <v>-0.32750000000000001</v>
      </c>
      <c r="BX59" s="230">
        <v>50735025</v>
      </c>
      <c r="BY59" s="230">
        <v>51309225</v>
      </c>
      <c r="BZ59" s="230">
        <v>-574200</v>
      </c>
      <c r="CA59" s="229">
        <v>-1.12E-2</v>
      </c>
      <c r="CB59" s="230">
        <v>44990550</v>
      </c>
      <c r="CC59" s="230">
        <v>46059750</v>
      </c>
      <c r="CD59" s="230">
        <v>-1069200</v>
      </c>
      <c r="CE59" s="229">
        <v>-2.3199999999999998E-2</v>
      </c>
      <c r="CF59" s="230">
        <v>4199250</v>
      </c>
      <c r="CG59" s="230">
        <v>3724050</v>
      </c>
      <c r="CH59" s="230">
        <v>475200</v>
      </c>
      <c r="CI59" s="229">
        <v>0.12759999999999999</v>
      </c>
      <c r="CJ59" s="230">
        <v>1545225</v>
      </c>
      <c r="CK59" s="230">
        <v>1525425</v>
      </c>
      <c r="CL59" s="230">
        <v>19800</v>
      </c>
      <c r="CM59" s="229">
        <v>1.2999999999999999E-2</v>
      </c>
      <c r="CN59" s="230">
        <v>10729950</v>
      </c>
      <c r="CO59" s="230">
        <v>10480800</v>
      </c>
      <c r="CP59" s="230">
        <v>249150</v>
      </c>
      <c r="CQ59" s="229">
        <v>2.3800000000000002E-2</v>
      </c>
      <c r="CR59" s="230">
        <v>11402325</v>
      </c>
      <c r="CS59" s="230">
        <v>11284350</v>
      </c>
      <c r="CT59" s="230">
        <v>117975</v>
      </c>
      <c r="CU59" s="229">
        <v>1.0500000000000001E-2</v>
      </c>
      <c r="CV59" s="230">
        <v>72867300</v>
      </c>
      <c r="CW59" s="230">
        <v>73074375</v>
      </c>
      <c r="CX59" s="230">
        <v>-207075</v>
      </c>
      <c r="CY59" s="229">
        <v>-2.8E-3</v>
      </c>
      <c r="CZ59" s="228">
        <v>37.520000000000003</v>
      </c>
      <c r="DA59" s="228">
        <v>34.47</v>
      </c>
      <c r="DB59" s="228">
        <v>3.05</v>
      </c>
      <c r="DC59" s="228">
        <v>3.05</v>
      </c>
      <c r="DD59" s="228">
        <v>37.979999999999997</v>
      </c>
      <c r="DE59" s="228">
        <v>38.049999999999997</v>
      </c>
      <c r="DF59" s="228">
        <v>-0.46</v>
      </c>
      <c r="DG59" s="228">
        <v>-7.0000000000000007E-2</v>
      </c>
      <c r="DH59" s="228">
        <v>36.659999999999997</v>
      </c>
      <c r="DI59" s="228">
        <v>32.950000000000003</v>
      </c>
      <c r="DJ59" s="228">
        <v>3.71</v>
      </c>
      <c r="DK59" s="228">
        <v>3.71</v>
      </c>
      <c r="DL59" s="228">
        <v>38.799999999999997</v>
      </c>
      <c r="DM59" s="228">
        <v>36.28</v>
      </c>
      <c r="DN59" s="228">
        <v>2.52</v>
      </c>
      <c r="DO59" s="228">
        <v>2.52</v>
      </c>
      <c r="DP59" s="228">
        <v>1.06</v>
      </c>
      <c r="DQ59" s="228">
        <v>1.08</v>
      </c>
      <c r="DR59" s="228">
        <v>-0.02</v>
      </c>
      <c r="DS59" s="229">
        <v>-1.8499999999999999E-2</v>
      </c>
      <c r="DT59" s="228">
        <v>600</v>
      </c>
      <c r="DU59" s="228">
        <v>540</v>
      </c>
      <c r="DV59" s="228">
        <v>0.67</v>
      </c>
      <c r="DW59" s="228">
        <v>0.84</v>
      </c>
      <c r="DX59" s="228">
        <v>-0.17</v>
      </c>
      <c r="DY59" s="229">
        <v>-0.2024</v>
      </c>
      <c r="DZ59" s="229">
        <v>0.1132</v>
      </c>
      <c r="EA59" s="230">
        <v>5249475</v>
      </c>
      <c r="EB59" s="229">
        <v>6.4000000000000003E-3</v>
      </c>
      <c r="EC59" s="229">
        <v>0.1132</v>
      </c>
      <c r="ED59" s="228">
        <v>3.77</v>
      </c>
      <c r="EE59" s="229">
        <v>6.3E-3</v>
      </c>
      <c r="EF59" s="230">
        <v>1616153</v>
      </c>
      <c r="EG59" s="230">
        <v>2565754</v>
      </c>
      <c r="EH59" s="229">
        <v>-0.37009999999999998</v>
      </c>
      <c r="EI59" s="229">
        <v>0.47870000000000001</v>
      </c>
      <c r="EJ59" s="231">
        <v>58550.98</v>
      </c>
      <c r="EK59" s="231">
        <v>37030.559999999998</v>
      </c>
      <c r="EL59" s="231">
        <v>30568.29</v>
      </c>
      <c r="EM59" s="231">
        <v>8240</v>
      </c>
      <c r="EN59" s="231">
        <v>126149.83</v>
      </c>
      <c r="EO59" s="231">
        <v>247754.01</v>
      </c>
      <c r="EP59" s="231">
        <v>-121604.18</v>
      </c>
      <c r="EQ59" s="229">
        <v>-0.49080000000000001</v>
      </c>
      <c r="ER59" s="231">
        <v>62979</v>
      </c>
      <c r="ES59" s="231">
        <v>63090</v>
      </c>
      <c r="ET59" s="231">
        <v>302404</v>
      </c>
      <c r="EU59" s="231">
        <v>96251298</v>
      </c>
      <c r="EV59" s="231">
        <v>428474</v>
      </c>
      <c r="EW59" s="231">
        <v>432468</v>
      </c>
      <c r="EX59" s="231">
        <v>-3994</v>
      </c>
      <c r="EY59" s="229">
        <v>-9.1999999999999998E-3</v>
      </c>
      <c r="EZ59" s="229">
        <v>0.7571</v>
      </c>
      <c r="FA59" s="227" t="s">
        <v>567</v>
      </c>
      <c r="FB59" s="161">
        <f t="shared" si="0"/>
        <v>5744475</v>
      </c>
    </row>
    <row r="60" spans="1:158" ht="17.25" thickBot="1" x14ac:dyDescent="0.3">
      <c r="A60" s="226">
        <v>46132</v>
      </c>
      <c r="B60" s="227" t="s">
        <v>614</v>
      </c>
      <c r="C60" s="227" t="s">
        <v>582</v>
      </c>
      <c r="D60" s="228">
        <v>150</v>
      </c>
      <c r="E60" s="231">
        <v>4607.8</v>
      </c>
      <c r="F60" s="231">
        <v>4644.8999999999996</v>
      </c>
      <c r="G60" s="228">
        <v>-37.1</v>
      </c>
      <c r="H60" s="229">
        <v>-8.0000000000000002E-3</v>
      </c>
      <c r="I60" s="231">
        <v>4605.2</v>
      </c>
      <c r="J60" s="231">
        <v>4628.5</v>
      </c>
      <c r="K60" s="228">
        <v>-23.3</v>
      </c>
      <c r="L60" s="229">
        <v>-5.0000000000000001E-3</v>
      </c>
      <c r="M60" s="231">
        <v>4607.8</v>
      </c>
      <c r="N60" s="231">
        <v>4644.8999999999996</v>
      </c>
      <c r="O60" s="228">
        <v>-37.1</v>
      </c>
      <c r="P60" s="229">
        <v>-8.0000000000000002E-3</v>
      </c>
      <c r="Q60" s="231">
        <v>4604</v>
      </c>
      <c r="R60" s="231">
        <v>4634.1000000000004</v>
      </c>
      <c r="S60" s="228">
        <v>-30.1</v>
      </c>
      <c r="T60" s="229">
        <v>-6.4999999999999997E-3</v>
      </c>
      <c r="U60" s="231">
        <v>4603.3</v>
      </c>
      <c r="V60" s="231">
        <v>4622.6000000000004</v>
      </c>
      <c r="W60" s="228">
        <v>-19.3</v>
      </c>
      <c r="X60" s="229">
        <v>-4.1999999999999997E-3</v>
      </c>
      <c r="Y60" s="228">
        <v>2.6</v>
      </c>
      <c r="Z60" s="228">
        <v>16.399999999999999</v>
      </c>
      <c r="AA60" s="228">
        <v>-13.8</v>
      </c>
      <c r="AB60" s="229">
        <v>5.9999999999999995E-4</v>
      </c>
      <c r="AC60" s="228">
        <v>2.6</v>
      </c>
      <c r="AD60" s="228">
        <v>16.399999999999999</v>
      </c>
      <c r="AE60" s="228">
        <v>-13.8</v>
      </c>
      <c r="AF60" s="229">
        <v>5.9999999999999995E-4</v>
      </c>
      <c r="AG60" s="228">
        <v>-1.2</v>
      </c>
      <c r="AH60" s="228">
        <v>5.6</v>
      </c>
      <c r="AI60" s="228">
        <v>-6.8</v>
      </c>
      <c r="AJ60" s="229">
        <v>-2.9999999999999997E-4</v>
      </c>
      <c r="AK60" s="228">
        <v>-1.9</v>
      </c>
      <c r="AL60" s="228">
        <v>-5.9</v>
      </c>
      <c r="AM60" s="228">
        <v>4</v>
      </c>
      <c r="AN60" s="229">
        <v>-4.0000000000000002E-4</v>
      </c>
      <c r="AO60" s="231">
        <v>4601.05</v>
      </c>
      <c r="AP60" s="231">
        <v>4596.55</v>
      </c>
      <c r="AQ60" s="228">
        <v>0</v>
      </c>
      <c r="AR60" s="230">
        <v>537900</v>
      </c>
      <c r="AS60" s="230">
        <v>1454700</v>
      </c>
      <c r="AT60" s="230">
        <v>-916800</v>
      </c>
      <c r="AU60" s="229">
        <v>-0.63019999999999998</v>
      </c>
      <c r="AV60" s="230">
        <v>427200</v>
      </c>
      <c r="AW60" s="230">
        <v>1297650</v>
      </c>
      <c r="AX60" s="230">
        <v>-870450</v>
      </c>
      <c r="AY60" s="229">
        <v>-0.67079999999999995</v>
      </c>
      <c r="AZ60" s="230">
        <v>102450</v>
      </c>
      <c r="BA60" s="230">
        <v>135600</v>
      </c>
      <c r="BB60" s="230">
        <v>-33150</v>
      </c>
      <c r="BC60" s="229">
        <v>-0.2445</v>
      </c>
      <c r="BD60" s="230">
        <v>8250</v>
      </c>
      <c r="BE60" s="230">
        <v>21450</v>
      </c>
      <c r="BF60" s="230">
        <v>-13200</v>
      </c>
      <c r="BG60" s="229">
        <v>-0.61539999999999995</v>
      </c>
      <c r="BH60" s="230">
        <v>2491950</v>
      </c>
      <c r="BI60" s="230">
        <v>9702750</v>
      </c>
      <c r="BJ60" s="230">
        <v>-7210800</v>
      </c>
      <c r="BK60" s="229">
        <v>-0.74319999999999997</v>
      </c>
      <c r="BL60" s="230">
        <v>2020500</v>
      </c>
      <c r="BM60" s="230">
        <v>4359000</v>
      </c>
      <c r="BN60" s="230">
        <v>-2338500</v>
      </c>
      <c r="BO60" s="229">
        <v>-0.53649999999999998</v>
      </c>
      <c r="BP60" s="230">
        <v>5050350</v>
      </c>
      <c r="BQ60" s="230">
        <v>15516450</v>
      </c>
      <c r="BR60" s="230">
        <v>-10466100</v>
      </c>
      <c r="BS60" s="229">
        <v>-0.67449999999999999</v>
      </c>
      <c r="BT60" s="230">
        <v>550567</v>
      </c>
      <c r="BU60" s="230">
        <v>1407059</v>
      </c>
      <c r="BV60" s="230">
        <v>-856492</v>
      </c>
      <c r="BW60" s="229">
        <v>-0.60870000000000002</v>
      </c>
      <c r="BX60" s="230">
        <v>4020450</v>
      </c>
      <c r="BY60" s="230">
        <v>4034100</v>
      </c>
      <c r="BZ60" s="230">
        <v>-13650</v>
      </c>
      <c r="CA60" s="229">
        <v>-3.3999999999999998E-3</v>
      </c>
      <c r="CB60" s="230">
        <v>3637950</v>
      </c>
      <c r="CC60" s="230">
        <v>3679650</v>
      </c>
      <c r="CD60" s="230">
        <v>-41700</v>
      </c>
      <c r="CE60" s="229">
        <v>-1.1299999999999999E-2</v>
      </c>
      <c r="CF60" s="230">
        <v>360300</v>
      </c>
      <c r="CG60" s="230">
        <v>334950</v>
      </c>
      <c r="CH60" s="230">
        <v>25350</v>
      </c>
      <c r="CI60" s="229">
        <v>7.5700000000000003E-2</v>
      </c>
      <c r="CJ60" s="230">
        <v>22200</v>
      </c>
      <c r="CK60" s="230">
        <v>19500</v>
      </c>
      <c r="CL60" s="230">
        <v>2700</v>
      </c>
      <c r="CM60" s="229">
        <v>0.13850000000000001</v>
      </c>
      <c r="CN60" s="230">
        <v>1919100</v>
      </c>
      <c r="CO60" s="230">
        <v>1949100</v>
      </c>
      <c r="CP60" s="230">
        <v>-30000</v>
      </c>
      <c r="CQ60" s="229">
        <v>-1.54E-2</v>
      </c>
      <c r="CR60" s="230">
        <v>1810950</v>
      </c>
      <c r="CS60" s="230">
        <v>1879350</v>
      </c>
      <c r="CT60" s="230">
        <v>-68400</v>
      </c>
      <c r="CU60" s="229">
        <v>-3.6400000000000002E-2</v>
      </c>
      <c r="CV60" s="230">
        <v>7750500</v>
      </c>
      <c r="CW60" s="230">
        <v>7862550</v>
      </c>
      <c r="CX60" s="230">
        <v>-112050</v>
      </c>
      <c r="CY60" s="229">
        <v>-1.43E-2</v>
      </c>
      <c r="CZ60" s="228">
        <v>35.200000000000003</v>
      </c>
      <c r="DA60" s="228">
        <v>32.5</v>
      </c>
      <c r="DB60" s="228">
        <v>2.7</v>
      </c>
      <c r="DC60" s="228">
        <v>2.7</v>
      </c>
      <c r="DD60" s="228">
        <v>33.17</v>
      </c>
      <c r="DE60" s="228">
        <v>33.24</v>
      </c>
      <c r="DF60" s="228">
        <v>2.0299999999999998</v>
      </c>
      <c r="DG60" s="228">
        <v>-7.0000000000000007E-2</v>
      </c>
      <c r="DH60" s="228">
        <v>33.520000000000003</v>
      </c>
      <c r="DI60" s="228">
        <v>31.27</v>
      </c>
      <c r="DJ60" s="228">
        <v>2.25</v>
      </c>
      <c r="DK60" s="228">
        <v>2.25</v>
      </c>
      <c r="DL60" s="228">
        <v>37.28</v>
      </c>
      <c r="DM60" s="228">
        <v>35.25</v>
      </c>
      <c r="DN60" s="228">
        <v>2.0299999999999998</v>
      </c>
      <c r="DO60" s="228">
        <v>2.0299999999999998</v>
      </c>
      <c r="DP60" s="228">
        <v>0.94</v>
      </c>
      <c r="DQ60" s="228">
        <v>0.96</v>
      </c>
      <c r="DR60" s="228">
        <v>-0.02</v>
      </c>
      <c r="DS60" s="229">
        <v>-2.0799999999999999E-2</v>
      </c>
      <c r="DT60" s="231">
        <v>4600</v>
      </c>
      <c r="DU60" s="231">
        <v>3700</v>
      </c>
      <c r="DV60" s="228">
        <v>0.81</v>
      </c>
      <c r="DW60" s="228">
        <v>0.45</v>
      </c>
      <c r="DX60" s="228">
        <v>0.36</v>
      </c>
      <c r="DY60" s="229">
        <v>0.8</v>
      </c>
      <c r="DZ60" s="229">
        <v>9.5100000000000004E-2</v>
      </c>
      <c r="EA60" s="230">
        <v>354450</v>
      </c>
      <c r="EB60" s="229">
        <v>-8.0000000000000004E-4</v>
      </c>
      <c r="EC60" s="229">
        <v>9.5100000000000004E-2</v>
      </c>
      <c r="ED60" s="228">
        <v>-4.5</v>
      </c>
      <c r="EE60" s="229">
        <v>-1E-3</v>
      </c>
      <c r="EF60" s="230">
        <v>284812</v>
      </c>
      <c r="EG60" s="230">
        <v>732037</v>
      </c>
      <c r="EH60" s="229">
        <v>-0.6109</v>
      </c>
      <c r="EI60" s="229">
        <v>0.51729999999999998</v>
      </c>
      <c r="EJ60" s="231">
        <v>119923.26</v>
      </c>
      <c r="EK60" s="231">
        <v>89791.99</v>
      </c>
      <c r="EL60" s="231">
        <v>24744.21</v>
      </c>
      <c r="EM60" s="231">
        <v>6685</v>
      </c>
      <c r="EN60" s="231">
        <v>234459.46</v>
      </c>
      <c r="EO60" s="231">
        <v>724652.59</v>
      </c>
      <c r="EP60" s="231">
        <v>-490193.13</v>
      </c>
      <c r="EQ60" s="229">
        <v>-0.67649999999999999</v>
      </c>
      <c r="ER60" s="231">
        <v>86827</v>
      </c>
      <c r="ES60" s="231">
        <v>75295</v>
      </c>
      <c r="ET60" s="231">
        <v>185240</v>
      </c>
      <c r="EU60" s="231">
        <v>16494391</v>
      </c>
      <c r="EV60" s="231">
        <v>347361</v>
      </c>
      <c r="EW60" s="231">
        <v>353930</v>
      </c>
      <c r="EX60" s="231">
        <v>-6569</v>
      </c>
      <c r="EY60" s="229">
        <v>-1.8599999999999998E-2</v>
      </c>
      <c r="EZ60" s="229">
        <v>0.46989999999999998</v>
      </c>
      <c r="FA60" s="227" t="s">
        <v>567</v>
      </c>
      <c r="FB60" s="161">
        <f t="shared" si="0"/>
        <v>382500</v>
      </c>
    </row>
    <row r="61" spans="1:158" ht="17.25" thickBot="1" x14ac:dyDescent="0.3">
      <c r="A61" s="226">
        <v>46132</v>
      </c>
      <c r="B61" s="227" t="s">
        <v>170</v>
      </c>
      <c r="C61" s="227" t="s">
        <v>208</v>
      </c>
      <c r="D61" s="228">
        <v>625</v>
      </c>
      <c r="E61" s="231">
        <v>1224.0999999999999</v>
      </c>
      <c r="F61" s="231">
        <v>1231.8</v>
      </c>
      <c r="G61" s="228">
        <v>-7.7</v>
      </c>
      <c r="H61" s="229">
        <v>-6.3E-3</v>
      </c>
      <c r="I61" s="231">
        <v>1232.5999999999999</v>
      </c>
      <c r="J61" s="231">
        <v>1235.7</v>
      </c>
      <c r="K61" s="228">
        <v>-3.1</v>
      </c>
      <c r="L61" s="229">
        <v>-2.5000000000000001E-3</v>
      </c>
      <c r="M61" s="231">
        <v>1224.0999999999999</v>
      </c>
      <c r="N61" s="231">
        <v>1231.8</v>
      </c>
      <c r="O61" s="228">
        <v>-7.7</v>
      </c>
      <c r="P61" s="229">
        <v>-6.3E-3</v>
      </c>
      <c r="Q61" s="231">
        <v>1224.4000000000001</v>
      </c>
      <c r="R61" s="231">
        <v>1232.2</v>
      </c>
      <c r="S61" s="228">
        <v>-7.8</v>
      </c>
      <c r="T61" s="229">
        <v>-6.3E-3</v>
      </c>
      <c r="U61" s="231">
        <v>1228.2</v>
      </c>
      <c r="V61" s="231">
        <v>1236.0999999999999</v>
      </c>
      <c r="W61" s="228">
        <v>-7.9</v>
      </c>
      <c r="X61" s="229">
        <v>-6.4000000000000003E-3</v>
      </c>
      <c r="Y61" s="228">
        <v>-8.5</v>
      </c>
      <c r="Z61" s="228">
        <v>-3.9</v>
      </c>
      <c r="AA61" s="228">
        <v>-4.5999999999999996</v>
      </c>
      <c r="AB61" s="229">
        <v>-6.8999999999999999E-3</v>
      </c>
      <c r="AC61" s="228">
        <v>-8.5</v>
      </c>
      <c r="AD61" s="228">
        <v>-3.9</v>
      </c>
      <c r="AE61" s="228">
        <v>-4.5999999999999996</v>
      </c>
      <c r="AF61" s="229">
        <v>-6.8999999999999999E-3</v>
      </c>
      <c r="AG61" s="228">
        <v>-8.1999999999999993</v>
      </c>
      <c r="AH61" s="228">
        <v>-3.5</v>
      </c>
      <c r="AI61" s="228">
        <v>-4.7</v>
      </c>
      <c r="AJ61" s="229">
        <v>-6.7000000000000002E-3</v>
      </c>
      <c r="AK61" s="228">
        <v>-4.4000000000000004</v>
      </c>
      <c r="AL61" s="228">
        <v>0.4</v>
      </c>
      <c r="AM61" s="228">
        <v>-4.8</v>
      </c>
      <c r="AN61" s="229">
        <v>-3.5999999999999999E-3</v>
      </c>
      <c r="AO61" s="231">
        <v>1228.43</v>
      </c>
      <c r="AP61" s="231">
        <v>1228.3699999999999</v>
      </c>
      <c r="AQ61" s="228">
        <v>0</v>
      </c>
      <c r="AR61" s="230">
        <v>1938750</v>
      </c>
      <c r="AS61" s="230">
        <v>2291875</v>
      </c>
      <c r="AT61" s="230">
        <v>-353125</v>
      </c>
      <c r="AU61" s="229">
        <v>-0.15409999999999999</v>
      </c>
      <c r="AV61" s="230">
        <v>1493750</v>
      </c>
      <c r="AW61" s="230">
        <v>1768750</v>
      </c>
      <c r="AX61" s="230">
        <v>-275000</v>
      </c>
      <c r="AY61" s="229">
        <v>-0.1555</v>
      </c>
      <c r="AZ61" s="230">
        <v>407500</v>
      </c>
      <c r="BA61" s="230">
        <v>486250</v>
      </c>
      <c r="BB61" s="230">
        <v>-78750</v>
      </c>
      <c r="BC61" s="229">
        <v>-0.16200000000000001</v>
      </c>
      <c r="BD61" s="230">
        <v>37500</v>
      </c>
      <c r="BE61" s="230">
        <v>36875</v>
      </c>
      <c r="BF61" s="228">
        <v>625</v>
      </c>
      <c r="BG61" s="229">
        <v>1.6899999999999998E-2</v>
      </c>
      <c r="BH61" s="230">
        <v>6755625</v>
      </c>
      <c r="BI61" s="230">
        <v>9595000</v>
      </c>
      <c r="BJ61" s="230">
        <v>-2839375</v>
      </c>
      <c r="BK61" s="229">
        <v>-0.2959</v>
      </c>
      <c r="BL61" s="230">
        <v>3130000</v>
      </c>
      <c r="BM61" s="230">
        <v>4037500</v>
      </c>
      <c r="BN61" s="230">
        <v>-907500</v>
      </c>
      <c r="BO61" s="229">
        <v>-0.2248</v>
      </c>
      <c r="BP61" s="230">
        <v>11824375</v>
      </c>
      <c r="BQ61" s="230">
        <v>15924375</v>
      </c>
      <c r="BR61" s="230">
        <v>-4100000</v>
      </c>
      <c r="BS61" s="229">
        <v>-0.25750000000000001</v>
      </c>
      <c r="BT61" s="230">
        <v>1743994</v>
      </c>
      <c r="BU61" s="230">
        <v>2640179</v>
      </c>
      <c r="BV61" s="230">
        <v>-896185</v>
      </c>
      <c r="BW61" s="229">
        <v>-0.33939999999999998</v>
      </c>
      <c r="BX61" s="230">
        <v>14146875</v>
      </c>
      <c r="BY61" s="230">
        <v>13813750</v>
      </c>
      <c r="BZ61" s="230">
        <v>333125</v>
      </c>
      <c r="CA61" s="229">
        <v>2.41E-2</v>
      </c>
      <c r="CB61" s="230">
        <v>13010625</v>
      </c>
      <c r="CC61" s="230">
        <v>12841250</v>
      </c>
      <c r="CD61" s="230">
        <v>169375</v>
      </c>
      <c r="CE61" s="229">
        <v>1.32E-2</v>
      </c>
      <c r="CF61" s="230">
        <v>1001250</v>
      </c>
      <c r="CG61" s="230">
        <v>848750</v>
      </c>
      <c r="CH61" s="230">
        <v>152500</v>
      </c>
      <c r="CI61" s="229">
        <v>0.1797</v>
      </c>
      <c r="CJ61" s="230">
        <v>135000</v>
      </c>
      <c r="CK61" s="230">
        <v>123750</v>
      </c>
      <c r="CL61" s="230">
        <v>11250</v>
      </c>
      <c r="CM61" s="229">
        <v>9.0899999999999995E-2</v>
      </c>
      <c r="CN61" s="230">
        <v>7160000</v>
      </c>
      <c r="CO61" s="230">
        <v>7251250</v>
      </c>
      <c r="CP61" s="230">
        <v>-91250</v>
      </c>
      <c r="CQ61" s="229">
        <v>-1.26E-2</v>
      </c>
      <c r="CR61" s="230">
        <v>5045625</v>
      </c>
      <c r="CS61" s="230">
        <v>5168125</v>
      </c>
      <c r="CT61" s="230">
        <v>-122500</v>
      </c>
      <c r="CU61" s="229">
        <v>-2.3699999999999999E-2</v>
      </c>
      <c r="CV61" s="230">
        <v>26352500</v>
      </c>
      <c r="CW61" s="230">
        <v>26233125</v>
      </c>
      <c r="CX61" s="230">
        <v>119375</v>
      </c>
      <c r="CY61" s="229">
        <v>4.5999999999999999E-3</v>
      </c>
      <c r="CZ61" s="228">
        <v>27.32</v>
      </c>
      <c r="DA61" s="228">
        <v>25.1</v>
      </c>
      <c r="DB61" s="228">
        <v>2.2200000000000002</v>
      </c>
      <c r="DC61" s="228">
        <v>2.2200000000000002</v>
      </c>
      <c r="DD61" s="228">
        <v>25.98</v>
      </c>
      <c r="DE61" s="228">
        <v>26.04</v>
      </c>
      <c r="DF61" s="228">
        <v>1.34</v>
      </c>
      <c r="DG61" s="228">
        <v>-0.06</v>
      </c>
      <c r="DH61" s="228">
        <v>27.14</v>
      </c>
      <c r="DI61" s="228">
        <v>24.76</v>
      </c>
      <c r="DJ61" s="228">
        <v>2.38</v>
      </c>
      <c r="DK61" s="228">
        <v>2.38</v>
      </c>
      <c r="DL61" s="228">
        <v>27.7</v>
      </c>
      <c r="DM61" s="228">
        <v>25.92</v>
      </c>
      <c r="DN61" s="228">
        <v>1.78</v>
      </c>
      <c r="DO61" s="228">
        <v>1.78</v>
      </c>
      <c r="DP61" s="228">
        <v>0.7</v>
      </c>
      <c r="DQ61" s="228">
        <v>0.71</v>
      </c>
      <c r="DR61" s="228">
        <v>-0.01</v>
      </c>
      <c r="DS61" s="229">
        <v>-1.41E-2</v>
      </c>
      <c r="DT61" s="231">
        <v>1240</v>
      </c>
      <c r="DU61" s="231">
        <v>1200</v>
      </c>
      <c r="DV61" s="228">
        <v>0.46</v>
      </c>
      <c r="DW61" s="228">
        <v>0.42</v>
      </c>
      <c r="DX61" s="228">
        <v>0.04</v>
      </c>
      <c r="DY61" s="229">
        <v>9.5200000000000007E-2</v>
      </c>
      <c r="DZ61" s="229">
        <v>8.0299999999999996E-2</v>
      </c>
      <c r="EA61" s="230">
        <v>972500</v>
      </c>
      <c r="EB61" s="229">
        <v>2.0000000000000001E-4</v>
      </c>
      <c r="EC61" s="229">
        <v>8.0299999999999996E-2</v>
      </c>
      <c r="ED61" s="228">
        <v>-0.06</v>
      </c>
      <c r="EE61" s="229">
        <v>0</v>
      </c>
      <c r="EF61" s="230">
        <v>1155026</v>
      </c>
      <c r="EG61" s="230">
        <v>1809643</v>
      </c>
      <c r="EH61" s="229">
        <v>-0.36170000000000002</v>
      </c>
      <c r="EI61" s="229">
        <v>0.6623</v>
      </c>
      <c r="EJ61" s="231">
        <v>85443.47</v>
      </c>
      <c r="EK61" s="231">
        <v>38148.58</v>
      </c>
      <c r="EL61" s="231">
        <v>23817.29</v>
      </c>
      <c r="EM61" s="231">
        <v>4655</v>
      </c>
      <c r="EN61" s="231">
        <v>147409.34</v>
      </c>
      <c r="EO61" s="231">
        <v>198355.71</v>
      </c>
      <c r="EP61" s="231">
        <v>-50946.37</v>
      </c>
      <c r="EQ61" s="229">
        <v>-0.25679999999999997</v>
      </c>
      <c r="ER61" s="231">
        <v>90428</v>
      </c>
      <c r="ES61" s="231">
        <v>59585</v>
      </c>
      <c r="ET61" s="231">
        <v>173180</v>
      </c>
      <c r="EU61" s="231">
        <v>61026255</v>
      </c>
      <c r="EV61" s="231">
        <v>323193</v>
      </c>
      <c r="EW61" s="231">
        <v>322648</v>
      </c>
      <c r="EX61" s="228">
        <v>545</v>
      </c>
      <c r="EY61" s="229">
        <v>1.6999999999999999E-3</v>
      </c>
      <c r="EZ61" s="229">
        <v>0.43180000000000002</v>
      </c>
      <c r="FA61" s="227" t="s">
        <v>566</v>
      </c>
      <c r="FB61" s="161">
        <f t="shared" si="0"/>
        <v>1136250</v>
      </c>
    </row>
    <row r="62" spans="1:158" ht="17.25" thickBot="1" x14ac:dyDescent="0.3">
      <c r="A62" s="226">
        <v>46132</v>
      </c>
      <c r="B62" s="227" t="s">
        <v>162</v>
      </c>
      <c r="C62" s="227" t="s">
        <v>209</v>
      </c>
      <c r="D62" s="228">
        <v>100</v>
      </c>
      <c r="E62" s="231">
        <v>7233</v>
      </c>
      <c r="F62" s="231">
        <v>7189.5</v>
      </c>
      <c r="G62" s="228">
        <v>43.5</v>
      </c>
      <c r="H62" s="229">
        <v>6.1000000000000004E-3</v>
      </c>
      <c r="I62" s="231">
        <v>7243</v>
      </c>
      <c r="J62" s="231">
        <v>7189.5</v>
      </c>
      <c r="K62" s="228">
        <v>53.5</v>
      </c>
      <c r="L62" s="229">
        <v>7.4000000000000003E-3</v>
      </c>
      <c r="M62" s="231">
        <v>7233</v>
      </c>
      <c r="N62" s="231">
        <v>7189.5</v>
      </c>
      <c r="O62" s="228">
        <v>43.5</v>
      </c>
      <c r="P62" s="229">
        <v>6.1000000000000004E-3</v>
      </c>
      <c r="Q62" s="231">
        <v>7270</v>
      </c>
      <c r="R62" s="231">
        <v>7228.5</v>
      </c>
      <c r="S62" s="228">
        <v>41.5</v>
      </c>
      <c r="T62" s="229">
        <v>5.7000000000000002E-3</v>
      </c>
      <c r="U62" s="231">
        <v>7319</v>
      </c>
      <c r="V62" s="231">
        <v>7279</v>
      </c>
      <c r="W62" s="228">
        <v>40</v>
      </c>
      <c r="X62" s="229">
        <v>5.4999999999999997E-3</v>
      </c>
      <c r="Y62" s="228">
        <v>-10</v>
      </c>
      <c r="Z62" s="228">
        <v>0</v>
      </c>
      <c r="AA62" s="228">
        <v>-10</v>
      </c>
      <c r="AB62" s="229">
        <v>-1.4E-3</v>
      </c>
      <c r="AC62" s="228">
        <v>-10</v>
      </c>
      <c r="AD62" s="228">
        <v>0</v>
      </c>
      <c r="AE62" s="228">
        <v>-10</v>
      </c>
      <c r="AF62" s="229">
        <v>-1.4E-3</v>
      </c>
      <c r="AG62" s="228">
        <v>27</v>
      </c>
      <c r="AH62" s="228">
        <v>39</v>
      </c>
      <c r="AI62" s="228">
        <v>-12</v>
      </c>
      <c r="AJ62" s="229">
        <v>3.7000000000000002E-3</v>
      </c>
      <c r="AK62" s="228">
        <v>76</v>
      </c>
      <c r="AL62" s="228">
        <v>89.5</v>
      </c>
      <c r="AM62" s="228">
        <v>-13.5</v>
      </c>
      <c r="AN62" s="229">
        <v>1.0500000000000001E-2</v>
      </c>
      <c r="AO62" s="231">
        <v>7218.43</v>
      </c>
      <c r="AP62" s="231">
        <v>7247.44</v>
      </c>
      <c r="AQ62" s="228">
        <v>0</v>
      </c>
      <c r="AR62" s="230">
        <v>473800</v>
      </c>
      <c r="AS62" s="230">
        <v>480300</v>
      </c>
      <c r="AT62" s="230">
        <v>-6500</v>
      </c>
      <c r="AU62" s="229">
        <v>-1.35E-2</v>
      </c>
      <c r="AV62" s="230">
        <v>390300</v>
      </c>
      <c r="AW62" s="230">
        <v>396200</v>
      </c>
      <c r="AX62" s="230">
        <v>-5900</v>
      </c>
      <c r="AY62" s="229">
        <v>-1.49E-2</v>
      </c>
      <c r="AZ62" s="230">
        <v>77400</v>
      </c>
      <c r="BA62" s="230">
        <v>79100</v>
      </c>
      <c r="BB62" s="230">
        <v>-1700</v>
      </c>
      <c r="BC62" s="229">
        <v>-2.1499999999999998E-2</v>
      </c>
      <c r="BD62" s="230">
        <v>6100</v>
      </c>
      <c r="BE62" s="230">
        <v>5000</v>
      </c>
      <c r="BF62" s="230">
        <v>1100</v>
      </c>
      <c r="BG62" s="229">
        <v>0.22</v>
      </c>
      <c r="BH62" s="230">
        <v>3530600</v>
      </c>
      <c r="BI62" s="230">
        <v>3285900</v>
      </c>
      <c r="BJ62" s="230">
        <v>244700</v>
      </c>
      <c r="BK62" s="229">
        <v>7.4499999999999997E-2</v>
      </c>
      <c r="BL62" s="230">
        <v>1185900</v>
      </c>
      <c r="BM62" s="230">
        <v>1101300</v>
      </c>
      <c r="BN62" s="230">
        <v>84600</v>
      </c>
      <c r="BO62" s="229">
        <v>7.6799999999999993E-2</v>
      </c>
      <c r="BP62" s="230">
        <v>5190300</v>
      </c>
      <c r="BQ62" s="230">
        <v>4867500</v>
      </c>
      <c r="BR62" s="230">
        <v>322800</v>
      </c>
      <c r="BS62" s="229">
        <v>6.6299999999999998E-2</v>
      </c>
      <c r="BT62" s="230">
        <v>720976</v>
      </c>
      <c r="BU62" s="230">
        <v>645766</v>
      </c>
      <c r="BV62" s="230">
        <v>75210</v>
      </c>
      <c r="BW62" s="229">
        <v>0.11650000000000001</v>
      </c>
      <c r="BX62" s="230">
        <v>4204900</v>
      </c>
      <c r="BY62" s="230">
        <v>4294200</v>
      </c>
      <c r="BZ62" s="230">
        <v>-89300</v>
      </c>
      <c r="CA62" s="229">
        <v>-2.0799999999999999E-2</v>
      </c>
      <c r="CB62" s="230">
        <v>3525600</v>
      </c>
      <c r="CC62" s="230">
        <v>3626900</v>
      </c>
      <c r="CD62" s="230">
        <v>-101300</v>
      </c>
      <c r="CE62" s="229">
        <v>-2.7900000000000001E-2</v>
      </c>
      <c r="CF62" s="230">
        <v>343300</v>
      </c>
      <c r="CG62" s="230">
        <v>331600</v>
      </c>
      <c r="CH62" s="230">
        <v>11700</v>
      </c>
      <c r="CI62" s="229">
        <v>3.5299999999999998E-2</v>
      </c>
      <c r="CJ62" s="230">
        <v>336000</v>
      </c>
      <c r="CK62" s="230">
        <v>335700</v>
      </c>
      <c r="CL62" s="228">
        <v>300</v>
      </c>
      <c r="CM62" s="229">
        <v>8.9999999999999998E-4</v>
      </c>
      <c r="CN62" s="230">
        <v>2150700</v>
      </c>
      <c r="CO62" s="230">
        <v>2321600</v>
      </c>
      <c r="CP62" s="230">
        <v>-170900</v>
      </c>
      <c r="CQ62" s="229">
        <v>-7.3599999999999999E-2</v>
      </c>
      <c r="CR62" s="230">
        <v>1659000</v>
      </c>
      <c r="CS62" s="230">
        <v>1579400</v>
      </c>
      <c r="CT62" s="230">
        <v>79600</v>
      </c>
      <c r="CU62" s="229">
        <v>5.04E-2</v>
      </c>
      <c r="CV62" s="230">
        <v>8014600</v>
      </c>
      <c r="CW62" s="230">
        <v>8195200</v>
      </c>
      <c r="CX62" s="230">
        <v>-180600</v>
      </c>
      <c r="CY62" s="229">
        <v>-2.1999999999999999E-2</v>
      </c>
      <c r="CZ62" s="228">
        <v>33.1</v>
      </c>
      <c r="DA62" s="228">
        <v>30.63</v>
      </c>
      <c r="DB62" s="228">
        <v>2.4700000000000002</v>
      </c>
      <c r="DC62" s="228">
        <v>2.4700000000000002</v>
      </c>
      <c r="DD62" s="228">
        <v>33.79</v>
      </c>
      <c r="DE62" s="228">
        <v>33.86</v>
      </c>
      <c r="DF62" s="228">
        <v>-0.69</v>
      </c>
      <c r="DG62" s="228">
        <v>-7.0000000000000007E-2</v>
      </c>
      <c r="DH62" s="228">
        <v>32.49</v>
      </c>
      <c r="DI62" s="228">
        <v>30.13</v>
      </c>
      <c r="DJ62" s="228">
        <v>2.36</v>
      </c>
      <c r="DK62" s="228">
        <v>2.36</v>
      </c>
      <c r="DL62" s="228">
        <v>34.909999999999997</v>
      </c>
      <c r="DM62" s="228">
        <v>32.15</v>
      </c>
      <c r="DN62" s="228">
        <v>2.76</v>
      </c>
      <c r="DO62" s="228">
        <v>2.76</v>
      </c>
      <c r="DP62" s="228">
        <v>0.77</v>
      </c>
      <c r="DQ62" s="228">
        <v>0.68</v>
      </c>
      <c r="DR62" s="228">
        <v>0.09</v>
      </c>
      <c r="DS62" s="229">
        <v>0.13239999999999999</v>
      </c>
      <c r="DT62" s="231">
        <v>8000</v>
      </c>
      <c r="DU62" s="231">
        <v>6500</v>
      </c>
      <c r="DV62" s="228">
        <v>0.34</v>
      </c>
      <c r="DW62" s="228">
        <v>0.34</v>
      </c>
      <c r="DX62" s="228">
        <v>0</v>
      </c>
      <c r="DY62" s="229">
        <v>0</v>
      </c>
      <c r="DZ62" s="229">
        <v>0.1615</v>
      </c>
      <c r="EA62" s="230">
        <v>667300</v>
      </c>
      <c r="EB62" s="229">
        <v>5.1000000000000004E-3</v>
      </c>
      <c r="EC62" s="229">
        <v>0.1615</v>
      </c>
      <c r="ED62" s="228">
        <v>29.01</v>
      </c>
      <c r="EE62" s="229">
        <v>4.0000000000000001E-3</v>
      </c>
      <c r="EF62" s="230">
        <v>400544</v>
      </c>
      <c r="EG62" s="230">
        <v>392238</v>
      </c>
      <c r="EH62" s="229">
        <v>2.12E-2</v>
      </c>
      <c r="EI62" s="229">
        <v>0.55559999999999998</v>
      </c>
      <c r="EJ62" s="231">
        <v>265754.52</v>
      </c>
      <c r="EK62" s="231">
        <v>83185.429999999993</v>
      </c>
      <c r="EL62" s="231">
        <v>34228.199999999997</v>
      </c>
      <c r="EM62" s="231">
        <v>8286</v>
      </c>
      <c r="EN62" s="231">
        <v>383168.15</v>
      </c>
      <c r="EO62" s="231">
        <v>357447.52</v>
      </c>
      <c r="EP62" s="231">
        <v>25720.63</v>
      </c>
      <c r="EQ62" s="229">
        <v>7.1999999999999995E-2</v>
      </c>
      <c r="ER62" s="231">
        <v>159522</v>
      </c>
      <c r="ES62" s="231">
        <v>115392</v>
      </c>
      <c r="ET62" s="231">
        <v>304556</v>
      </c>
      <c r="EU62" s="231">
        <v>20960143</v>
      </c>
      <c r="EV62" s="231">
        <v>579470</v>
      </c>
      <c r="EW62" s="231">
        <v>591409</v>
      </c>
      <c r="EX62" s="231">
        <v>-11939</v>
      </c>
      <c r="EY62" s="229">
        <v>-2.0199999999999999E-2</v>
      </c>
      <c r="EZ62" s="229">
        <v>0.38240000000000002</v>
      </c>
      <c r="FA62" s="227" t="s">
        <v>693</v>
      </c>
      <c r="FB62" s="161">
        <f t="shared" si="0"/>
        <v>679300</v>
      </c>
    </row>
    <row r="63" spans="1:158" ht="17.25" thickBot="1" x14ac:dyDescent="0.3">
      <c r="A63" s="226">
        <v>46132</v>
      </c>
      <c r="B63" s="227" t="s">
        <v>614</v>
      </c>
      <c r="C63" s="227" t="s">
        <v>665</v>
      </c>
      <c r="D63" s="228">
        <v>2425</v>
      </c>
      <c r="E63" s="228">
        <v>254.72</v>
      </c>
      <c r="F63" s="228">
        <v>252.59</v>
      </c>
      <c r="G63" s="228">
        <v>2.13</v>
      </c>
      <c r="H63" s="229">
        <v>8.3999999999999995E-3</v>
      </c>
      <c r="I63" s="228">
        <v>254.88</v>
      </c>
      <c r="J63" s="228">
        <v>252.61</v>
      </c>
      <c r="K63" s="228">
        <v>2.27</v>
      </c>
      <c r="L63" s="229">
        <v>8.9999999999999993E-3</v>
      </c>
      <c r="M63" s="228">
        <v>254.72</v>
      </c>
      <c r="N63" s="228">
        <v>252.59</v>
      </c>
      <c r="O63" s="228">
        <v>2.13</v>
      </c>
      <c r="P63" s="229">
        <v>8.3999999999999995E-3</v>
      </c>
      <c r="Q63" s="228">
        <v>255.77</v>
      </c>
      <c r="R63" s="228">
        <v>253.93</v>
      </c>
      <c r="S63" s="228">
        <v>1.84</v>
      </c>
      <c r="T63" s="229">
        <v>7.1999999999999998E-3</v>
      </c>
      <c r="U63" s="228">
        <v>257.77999999999997</v>
      </c>
      <c r="V63" s="228">
        <v>255.4</v>
      </c>
      <c r="W63" s="228">
        <v>2.38</v>
      </c>
      <c r="X63" s="229">
        <v>9.2999999999999992E-3</v>
      </c>
      <c r="Y63" s="228">
        <v>-0.16</v>
      </c>
      <c r="Z63" s="228">
        <v>-0.02</v>
      </c>
      <c r="AA63" s="228">
        <v>-0.14000000000000001</v>
      </c>
      <c r="AB63" s="229">
        <v>-5.9999999999999995E-4</v>
      </c>
      <c r="AC63" s="228">
        <v>-0.16</v>
      </c>
      <c r="AD63" s="228">
        <v>-0.02</v>
      </c>
      <c r="AE63" s="228">
        <v>-0.14000000000000001</v>
      </c>
      <c r="AF63" s="229">
        <v>-5.9999999999999995E-4</v>
      </c>
      <c r="AG63" s="228">
        <v>0.89</v>
      </c>
      <c r="AH63" s="228">
        <v>1.32</v>
      </c>
      <c r="AI63" s="228">
        <v>-0.43</v>
      </c>
      <c r="AJ63" s="229">
        <v>3.5000000000000001E-3</v>
      </c>
      <c r="AK63" s="228">
        <v>2.9</v>
      </c>
      <c r="AL63" s="228">
        <v>2.79</v>
      </c>
      <c r="AM63" s="228">
        <v>0.11</v>
      </c>
      <c r="AN63" s="229">
        <v>1.14E-2</v>
      </c>
      <c r="AO63" s="228">
        <v>254.7</v>
      </c>
      <c r="AP63" s="228">
        <v>255.49</v>
      </c>
      <c r="AQ63" s="228">
        <v>0</v>
      </c>
      <c r="AR63" s="230">
        <v>35337100</v>
      </c>
      <c r="AS63" s="230">
        <v>35817250</v>
      </c>
      <c r="AT63" s="230">
        <v>-480150</v>
      </c>
      <c r="AU63" s="229">
        <v>-1.34E-2</v>
      </c>
      <c r="AV63" s="230">
        <v>28733825</v>
      </c>
      <c r="AW63" s="230">
        <v>31745675</v>
      </c>
      <c r="AX63" s="230">
        <v>-3011850</v>
      </c>
      <c r="AY63" s="229">
        <v>-9.4899999999999998E-2</v>
      </c>
      <c r="AZ63" s="230">
        <v>5398050</v>
      </c>
      <c r="BA63" s="230">
        <v>3557475</v>
      </c>
      <c r="BB63" s="230">
        <v>1840575</v>
      </c>
      <c r="BC63" s="229">
        <v>0.51739999999999997</v>
      </c>
      <c r="BD63" s="230">
        <v>1205225</v>
      </c>
      <c r="BE63" s="230">
        <v>514100</v>
      </c>
      <c r="BF63" s="230">
        <v>691125</v>
      </c>
      <c r="BG63" s="229">
        <v>1.3443000000000001</v>
      </c>
      <c r="BH63" s="230">
        <v>79569100</v>
      </c>
      <c r="BI63" s="230">
        <v>86082650</v>
      </c>
      <c r="BJ63" s="230">
        <v>-6513550</v>
      </c>
      <c r="BK63" s="229">
        <v>-7.5700000000000003E-2</v>
      </c>
      <c r="BL63" s="230">
        <v>48606700</v>
      </c>
      <c r="BM63" s="230">
        <v>42107700</v>
      </c>
      <c r="BN63" s="230">
        <v>6499000</v>
      </c>
      <c r="BO63" s="229">
        <v>0.15429999999999999</v>
      </c>
      <c r="BP63" s="230">
        <v>163512900</v>
      </c>
      <c r="BQ63" s="230">
        <v>164007600</v>
      </c>
      <c r="BR63" s="230">
        <v>-494700</v>
      </c>
      <c r="BS63" s="229">
        <v>-3.0000000000000001E-3</v>
      </c>
      <c r="BT63" s="230">
        <v>41505385</v>
      </c>
      <c r="BU63" s="230">
        <v>38278410</v>
      </c>
      <c r="BV63" s="230">
        <v>3226975</v>
      </c>
      <c r="BW63" s="229">
        <v>8.43E-2</v>
      </c>
      <c r="BX63" s="230">
        <v>193578050</v>
      </c>
      <c r="BY63" s="230">
        <v>195071850</v>
      </c>
      <c r="BZ63" s="230">
        <v>-1493800</v>
      </c>
      <c r="CA63" s="229">
        <v>-7.7000000000000002E-3</v>
      </c>
      <c r="CB63" s="230">
        <v>173249275</v>
      </c>
      <c r="CC63" s="230">
        <v>176940125</v>
      </c>
      <c r="CD63" s="230">
        <v>-3690850</v>
      </c>
      <c r="CE63" s="229">
        <v>-2.0899999999999998E-2</v>
      </c>
      <c r="CF63" s="230">
        <v>16776150</v>
      </c>
      <c r="CG63" s="230">
        <v>15267800</v>
      </c>
      <c r="CH63" s="230">
        <v>1508350</v>
      </c>
      <c r="CI63" s="229">
        <v>9.8799999999999999E-2</v>
      </c>
      <c r="CJ63" s="230">
        <v>3552625</v>
      </c>
      <c r="CK63" s="230">
        <v>2863925</v>
      </c>
      <c r="CL63" s="230">
        <v>688700</v>
      </c>
      <c r="CM63" s="229">
        <v>0.24049999999999999</v>
      </c>
      <c r="CN63" s="230">
        <v>62945725</v>
      </c>
      <c r="CO63" s="230">
        <v>64820250</v>
      </c>
      <c r="CP63" s="230">
        <v>-1874525</v>
      </c>
      <c r="CQ63" s="229">
        <v>-2.8899999999999999E-2</v>
      </c>
      <c r="CR63" s="230">
        <v>50275100</v>
      </c>
      <c r="CS63" s="230">
        <v>50653400</v>
      </c>
      <c r="CT63" s="230">
        <v>-378300</v>
      </c>
      <c r="CU63" s="229">
        <v>-7.4999999999999997E-3</v>
      </c>
      <c r="CV63" s="230">
        <v>306798875</v>
      </c>
      <c r="CW63" s="230">
        <v>310545500</v>
      </c>
      <c r="CX63" s="230">
        <v>-3746625</v>
      </c>
      <c r="CY63" s="229">
        <v>-1.21E-2</v>
      </c>
      <c r="CZ63" s="228">
        <v>46.54</v>
      </c>
      <c r="DA63" s="228">
        <v>44.57</v>
      </c>
      <c r="DB63" s="228">
        <v>1.97</v>
      </c>
      <c r="DC63" s="228">
        <v>1.97</v>
      </c>
      <c r="DD63" s="228">
        <v>46.15</v>
      </c>
      <c r="DE63" s="228">
        <v>46.24</v>
      </c>
      <c r="DF63" s="228">
        <v>0.39</v>
      </c>
      <c r="DG63" s="228">
        <v>-0.09</v>
      </c>
      <c r="DH63" s="228">
        <v>44.06</v>
      </c>
      <c r="DI63" s="228">
        <v>43.2</v>
      </c>
      <c r="DJ63" s="228">
        <v>0.86</v>
      </c>
      <c r="DK63" s="228">
        <v>0.86</v>
      </c>
      <c r="DL63" s="228">
        <v>50.59</v>
      </c>
      <c r="DM63" s="228">
        <v>47.37</v>
      </c>
      <c r="DN63" s="228">
        <v>3.22</v>
      </c>
      <c r="DO63" s="228">
        <v>3.22</v>
      </c>
      <c r="DP63" s="228">
        <v>0.8</v>
      </c>
      <c r="DQ63" s="228">
        <v>0.78</v>
      </c>
      <c r="DR63" s="228">
        <v>0.02</v>
      </c>
      <c r="DS63" s="229">
        <v>2.5600000000000001E-2</v>
      </c>
      <c r="DT63" s="228">
        <v>250</v>
      </c>
      <c r="DU63" s="228">
        <v>230</v>
      </c>
      <c r="DV63" s="228">
        <v>0.61</v>
      </c>
      <c r="DW63" s="228">
        <v>0.49</v>
      </c>
      <c r="DX63" s="228">
        <v>0.12</v>
      </c>
      <c r="DY63" s="229">
        <v>0.24490000000000001</v>
      </c>
      <c r="DZ63" s="229">
        <v>0.105</v>
      </c>
      <c r="EA63" s="230">
        <v>18131725</v>
      </c>
      <c r="EB63" s="229">
        <v>4.1000000000000003E-3</v>
      </c>
      <c r="EC63" s="229">
        <v>0.105</v>
      </c>
      <c r="ED63" s="228">
        <v>0.79</v>
      </c>
      <c r="EE63" s="229">
        <v>3.0999999999999999E-3</v>
      </c>
      <c r="EF63" s="230">
        <v>21708921</v>
      </c>
      <c r="EG63" s="230">
        <v>18585012</v>
      </c>
      <c r="EH63" s="229">
        <v>0.1681</v>
      </c>
      <c r="EI63" s="229">
        <v>0.52300000000000002</v>
      </c>
      <c r="EJ63" s="231">
        <v>211904.4</v>
      </c>
      <c r="EK63" s="231">
        <v>119183.88</v>
      </c>
      <c r="EL63" s="231">
        <v>90083.64</v>
      </c>
      <c r="EM63" s="231">
        <v>14211</v>
      </c>
      <c r="EN63" s="231">
        <v>421171.92</v>
      </c>
      <c r="EO63" s="231">
        <v>423005.93</v>
      </c>
      <c r="EP63" s="231">
        <v>-1834.01</v>
      </c>
      <c r="EQ63" s="229">
        <v>-4.3E-3</v>
      </c>
      <c r="ER63" s="231">
        <v>160943</v>
      </c>
      <c r="ES63" s="231">
        <v>120614</v>
      </c>
      <c r="ET63" s="231">
        <v>493367</v>
      </c>
      <c r="EU63" s="231">
        <v>1366821859</v>
      </c>
      <c r="EV63" s="231">
        <v>774924</v>
      </c>
      <c r="EW63" s="231">
        <v>779111</v>
      </c>
      <c r="EX63" s="231">
        <v>-4187</v>
      </c>
      <c r="EY63" s="229">
        <v>-5.4000000000000003E-3</v>
      </c>
      <c r="EZ63" s="229">
        <v>0.22450000000000001</v>
      </c>
      <c r="FA63" s="227" t="s">
        <v>693</v>
      </c>
      <c r="FB63" s="161">
        <f t="shared" si="0"/>
        <v>20328775</v>
      </c>
    </row>
    <row r="64" spans="1:158" ht="17.25" thickBot="1" x14ac:dyDescent="0.3">
      <c r="A64" s="226">
        <v>46132</v>
      </c>
      <c r="B64" s="227" t="s">
        <v>162</v>
      </c>
      <c r="C64" s="227" t="s">
        <v>211</v>
      </c>
      <c r="D64" s="228">
        <v>1800</v>
      </c>
      <c r="E64" s="228">
        <v>329.75</v>
      </c>
      <c r="F64" s="228">
        <v>330.25</v>
      </c>
      <c r="G64" s="228">
        <v>-0.5</v>
      </c>
      <c r="H64" s="229">
        <v>-1.5E-3</v>
      </c>
      <c r="I64" s="228">
        <v>329.7</v>
      </c>
      <c r="J64" s="228">
        <v>330</v>
      </c>
      <c r="K64" s="228">
        <v>-0.3</v>
      </c>
      <c r="L64" s="229">
        <v>-8.9999999999999998E-4</v>
      </c>
      <c r="M64" s="228">
        <v>329.75</v>
      </c>
      <c r="N64" s="228">
        <v>330.25</v>
      </c>
      <c r="O64" s="228">
        <v>-0.5</v>
      </c>
      <c r="P64" s="229">
        <v>-1.5E-3</v>
      </c>
      <c r="Q64" s="228">
        <v>331.75</v>
      </c>
      <c r="R64" s="228">
        <v>332.2</v>
      </c>
      <c r="S64" s="228">
        <v>-0.45</v>
      </c>
      <c r="T64" s="229">
        <v>-1.4E-3</v>
      </c>
      <c r="U64" s="228">
        <v>333.7</v>
      </c>
      <c r="V64" s="228">
        <v>335</v>
      </c>
      <c r="W64" s="228">
        <v>-1.3</v>
      </c>
      <c r="X64" s="229">
        <v>-3.8999999999999998E-3</v>
      </c>
      <c r="Y64" s="228">
        <v>0.05</v>
      </c>
      <c r="Z64" s="228">
        <v>0.25</v>
      </c>
      <c r="AA64" s="228">
        <v>-0.2</v>
      </c>
      <c r="AB64" s="229">
        <v>2.0000000000000001E-4</v>
      </c>
      <c r="AC64" s="228">
        <v>0.05</v>
      </c>
      <c r="AD64" s="228">
        <v>0.25</v>
      </c>
      <c r="AE64" s="228">
        <v>-0.2</v>
      </c>
      <c r="AF64" s="229">
        <v>2.0000000000000001E-4</v>
      </c>
      <c r="AG64" s="228">
        <v>2.0499999999999998</v>
      </c>
      <c r="AH64" s="228">
        <v>2.2000000000000002</v>
      </c>
      <c r="AI64" s="228">
        <v>-0.15</v>
      </c>
      <c r="AJ64" s="229">
        <v>6.1999999999999998E-3</v>
      </c>
      <c r="AK64" s="228">
        <v>4</v>
      </c>
      <c r="AL64" s="228">
        <v>5</v>
      </c>
      <c r="AM64" s="228">
        <v>-1</v>
      </c>
      <c r="AN64" s="229">
        <v>1.21E-2</v>
      </c>
      <c r="AO64" s="228">
        <v>331.25</v>
      </c>
      <c r="AP64" s="228">
        <v>332.79</v>
      </c>
      <c r="AQ64" s="228">
        <v>0</v>
      </c>
      <c r="AR64" s="230">
        <v>4309200</v>
      </c>
      <c r="AS64" s="230">
        <v>4354200</v>
      </c>
      <c r="AT64" s="230">
        <v>-45000</v>
      </c>
      <c r="AU64" s="229">
        <v>-1.03E-2</v>
      </c>
      <c r="AV64" s="230">
        <v>3249000</v>
      </c>
      <c r="AW64" s="230">
        <v>3468600</v>
      </c>
      <c r="AX64" s="230">
        <v>-219600</v>
      </c>
      <c r="AY64" s="229">
        <v>-6.3299999999999995E-2</v>
      </c>
      <c r="AZ64" s="230">
        <v>991800</v>
      </c>
      <c r="BA64" s="230">
        <v>747000</v>
      </c>
      <c r="BB64" s="230">
        <v>244800</v>
      </c>
      <c r="BC64" s="229">
        <v>0.32769999999999999</v>
      </c>
      <c r="BD64" s="230">
        <v>68400</v>
      </c>
      <c r="BE64" s="230">
        <v>138600</v>
      </c>
      <c r="BF64" s="230">
        <v>-70200</v>
      </c>
      <c r="BG64" s="229">
        <v>-0.50649999999999995</v>
      </c>
      <c r="BH64" s="230">
        <v>8289000</v>
      </c>
      <c r="BI64" s="230">
        <v>5094000</v>
      </c>
      <c r="BJ64" s="230">
        <v>3195000</v>
      </c>
      <c r="BK64" s="229">
        <v>0.62719999999999998</v>
      </c>
      <c r="BL64" s="230">
        <v>3983400</v>
      </c>
      <c r="BM64" s="230">
        <v>2656800</v>
      </c>
      <c r="BN64" s="230">
        <v>1326600</v>
      </c>
      <c r="BO64" s="229">
        <v>0.49930000000000002</v>
      </c>
      <c r="BP64" s="230">
        <v>16581600</v>
      </c>
      <c r="BQ64" s="230">
        <v>12105000</v>
      </c>
      <c r="BR64" s="230">
        <v>4476600</v>
      </c>
      <c r="BS64" s="229">
        <v>0.36980000000000002</v>
      </c>
      <c r="BT64" s="230">
        <v>1894447</v>
      </c>
      <c r="BU64" s="230">
        <v>1571688</v>
      </c>
      <c r="BV64" s="230">
        <v>322759</v>
      </c>
      <c r="BW64" s="229">
        <v>0.2054</v>
      </c>
      <c r="BX64" s="230">
        <v>28873800</v>
      </c>
      <c r="BY64" s="230">
        <v>28744200</v>
      </c>
      <c r="BZ64" s="230">
        <v>129600</v>
      </c>
      <c r="CA64" s="229">
        <v>4.4999999999999997E-3</v>
      </c>
      <c r="CB64" s="230">
        <v>26107200</v>
      </c>
      <c r="CC64" s="230">
        <v>26305200</v>
      </c>
      <c r="CD64" s="230">
        <v>-198000</v>
      </c>
      <c r="CE64" s="229">
        <v>-7.4999999999999997E-3</v>
      </c>
      <c r="CF64" s="230">
        <v>2410200</v>
      </c>
      <c r="CG64" s="230">
        <v>2097000</v>
      </c>
      <c r="CH64" s="230">
        <v>313200</v>
      </c>
      <c r="CI64" s="229">
        <v>0.14940000000000001</v>
      </c>
      <c r="CJ64" s="230">
        <v>356400</v>
      </c>
      <c r="CK64" s="230">
        <v>342000</v>
      </c>
      <c r="CL64" s="230">
        <v>14400</v>
      </c>
      <c r="CM64" s="229">
        <v>4.2099999999999999E-2</v>
      </c>
      <c r="CN64" s="230">
        <v>12893400</v>
      </c>
      <c r="CO64" s="230">
        <v>12963600</v>
      </c>
      <c r="CP64" s="230">
        <v>-70200</v>
      </c>
      <c r="CQ64" s="229">
        <v>-5.4000000000000003E-3</v>
      </c>
      <c r="CR64" s="230">
        <v>12441600</v>
      </c>
      <c r="CS64" s="230">
        <v>12621600</v>
      </c>
      <c r="CT64" s="230">
        <v>-180000</v>
      </c>
      <c r="CU64" s="229">
        <v>-1.43E-2</v>
      </c>
      <c r="CV64" s="230">
        <v>54208800</v>
      </c>
      <c r="CW64" s="230">
        <v>54329400</v>
      </c>
      <c r="CX64" s="230">
        <v>-120600</v>
      </c>
      <c r="CY64" s="229">
        <v>-2.2000000000000001E-3</v>
      </c>
      <c r="CZ64" s="228">
        <v>37.28</v>
      </c>
      <c r="DA64" s="228">
        <v>34.79</v>
      </c>
      <c r="DB64" s="228">
        <v>2.4900000000000002</v>
      </c>
      <c r="DC64" s="228">
        <v>2.4900000000000002</v>
      </c>
      <c r="DD64" s="228">
        <v>35.369999999999997</v>
      </c>
      <c r="DE64" s="228">
        <v>35.46</v>
      </c>
      <c r="DF64" s="228">
        <v>1.91</v>
      </c>
      <c r="DG64" s="228">
        <v>-0.09</v>
      </c>
      <c r="DH64" s="228">
        <v>36.340000000000003</v>
      </c>
      <c r="DI64" s="228">
        <v>33.479999999999997</v>
      </c>
      <c r="DJ64" s="228">
        <v>2.86</v>
      </c>
      <c r="DK64" s="228">
        <v>2.86</v>
      </c>
      <c r="DL64" s="228">
        <v>39.229999999999997</v>
      </c>
      <c r="DM64" s="228">
        <v>37.299999999999997</v>
      </c>
      <c r="DN64" s="228">
        <v>1.93</v>
      </c>
      <c r="DO64" s="228">
        <v>1.93</v>
      </c>
      <c r="DP64" s="228">
        <v>0.96</v>
      </c>
      <c r="DQ64" s="228">
        <v>0.97</v>
      </c>
      <c r="DR64" s="228">
        <v>-0.01</v>
      </c>
      <c r="DS64" s="229">
        <v>-1.03E-2</v>
      </c>
      <c r="DT64" s="228">
        <v>300</v>
      </c>
      <c r="DU64" s="228">
        <v>310</v>
      </c>
      <c r="DV64" s="228">
        <v>0.48</v>
      </c>
      <c r="DW64" s="228">
        <v>0.52</v>
      </c>
      <c r="DX64" s="228">
        <v>-0.04</v>
      </c>
      <c r="DY64" s="229">
        <v>-7.6899999999999996E-2</v>
      </c>
      <c r="DZ64" s="229">
        <v>9.5799999999999996E-2</v>
      </c>
      <c r="EA64" s="230">
        <v>2439000</v>
      </c>
      <c r="EB64" s="229">
        <v>6.1000000000000004E-3</v>
      </c>
      <c r="EC64" s="229">
        <v>9.5799999999999996E-2</v>
      </c>
      <c r="ED64" s="228">
        <v>1.54</v>
      </c>
      <c r="EE64" s="229">
        <v>4.5999999999999999E-3</v>
      </c>
      <c r="EF64" s="230">
        <v>681571</v>
      </c>
      <c r="EG64" s="230">
        <v>633737</v>
      </c>
      <c r="EH64" s="229">
        <v>7.5499999999999998E-2</v>
      </c>
      <c r="EI64" s="229">
        <v>0.35980000000000001</v>
      </c>
      <c r="EJ64" s="231">
        <v>28613.1</v>
      </c>
      <c r="EK64" s="231">
        <v>12870.1</v>
      </c>
      <c r="EL64" s="231">
        <v>14292.26</v>
      </c>
      <c r="EM64" s="231">
        <v>2386</v>
      </c>
      <c r="EN64" s="231">
        <v>55775.46</v>
      </c>
      <c r="EO64" s="231">
        <v>40602.25</v>
      </c>
      <c r="EP64" s="231">
        <v>15173.21</v>
      </c>
      <c r="EQ64" s="229">
        <v>0.37369999999999998</v>
      </c>
      <c r="ER64" s="231">
        <v>42452</v>
      </c>
      <c r="ES64" s="231">
        <v>38788</v>
      </c>
      <c r="ET64" s="231">
        <v>95274</v>
      </c>
      <c r="EU64" s="231">
        <v>50211048</v>
      </c>
      <c r="EV64" s="231">
        <v>176514</v>
      </c>
      <c r="EW64" s="231">
        <v>176960</v>
      </c>
      <c r="EX64" s="228">
        <v>-446</v>
      </c>
      <c r="EY64" s="229">
        <v>-2.5000000000000001E-3</v>
      </c>
      <c r="EZ64" s="229">
        <v>1.0795999999999999</v>
      </c>
      <c r="FA64" s="227" t="s">
        <v>566</v>
      </c>
      <c r="FB64" s="161">
        <f t="shared" si="0"/>
        <v>2766600</v>
      </c>
    </row>
    <row r="65" spans="1:158" ht="17.25" thickBot="1" x14ac:dyDescent="0.3">
      <c r="A65" s="226">
        <v>46132</v>
      </c>
      <c r="B65" s="227" t="s">
        <v>172</v>
      </c>
      <c r="C65" s="227" t="s">
        <v>212</v>
      </c>
      <c r="D65" s="228">
        <v>5000</v>
      </c>
      <c r="E65" s="228">
        <v>294.75</v>
      </c>
      <c r="F65" s="228">
        <v>293.60000000000002</v>
      </c>
      <c r="G65" s="228">
        <v>1.1499999999999999</v>
      </c>
      <c r="H65" s="229">
        <v>3.8999999999999998E-3</v>
      </c>
      <c r="I65" s="228">
        <v>294.35000000000002</v>
      </c>
      <c r="J65" s="228">
        <v>293.75</v>
      </c>
      <c r="K65" s="228">
        <v>0.6</v>
      </c>
      <c r="L65" s="229">
        <v>2E-3</v>
      </c>
      <c r="M65" s="228">
        <v>294.75</v>
      </c>
      <c r="N65" s="228">
        <v>293.60000000000002</v>
      </c>
      <c r="O65" s="228">
        <v>1.1499999999999999</v>
      </c>
      <c r="P65" s="229">
        <v>3.8999999999999998E-3</v>
      </c>
      <c r="Q65" s="228">
        <v>296.35000000000002</v>
      </c>
      <c r="R65" s="228">
        <v>295.10000000000002</v>
      </c>
      <c r="S65" s="228">
        <v>1.25</v>
      </c>
      <c r="T65" s="229">
        <v>4.1999999999999997E-3</v>
      </c>
      <c r="U65" s="228">
        <v>298.05</v>
      </c>
      <c r="V65" s="228">
        <v>296.35000000000002</v>
      </c>
      <c r="W65" s="228">
        <v>1.7</v>
      </c>
      <c r="X65" s="229">
        <v>5.7000000000000002E-3</v>
      </c>
      <c r="Y65" s="228">
        <v>0.4</v>
      </c>
      <c r="Z65" s="228">
        <v>-0.15</v>
      </c>
      <c r="AA65" s="228">
        <v>0.55000000000000004</v>
      </c>
      <c r="AB65" s="229">
        <v>1.4E-3</v>
      </c>
      <c r="AC65" s="228">
        <v>0.4</v>
      </c>
      <c r="AD65" s="228">
        <v>-0.15</v>
      </c>
      <c r="AE65" s="228">
        <v>0.55000000000000004</v>
      </c>
      <c r="AF65" s="229">
        <v>1.4E-3</v>
      </c>
      <c r="AG65" s="228">
        <v>2</v>
      </c>
      <c r="AH65" s="228">
        <v>1.35</v>
      </c>
      <c r="AI65" s="228">
        <v>0.65</v>
      </c>
      <c r="AJ65" s="229">
        <v>6.7999999999999996E-3</v>
      </c>
      <c r="AK65" s="228">
        <v>3.7</v>
      </c>
      <c r="AL65" s="228">
        <v>2.6</v>
      </c>
      <c r="AM65" s="228">
        <v>1.1000000000000001</v>
      </c>
      <c r="AN65" s="229">
        <v>1.26E-2</v>
      </c>
      <c r="AO65" s="228">
        <v>295.58</v>
      </c>
      <c r="AP65" s="228">
        <v>297.19</v>
      </c>
      <c r="AQ65" s="228">
        <v>0</v>
      </c>
      <c r="AR65" s="230">
        <v>21095000</v>
      </c>
      <c r="AS65" s="230">
        <v>19315000</v>
      </c>
      <c r="AT65" s="230">
        <v>1780000</v>
      </c>
      <c r="AU65" s="229">
        <v>9.2200000000000004E-2</v>
      </c>
      <c r="AV65" s="230">
        <v>17640000</v>
      </c>
      <c r="AW65" s="230">
        <v>16280000</v>
      </c>
      <c r="AX65" s="230">
        <v>1360000</v>
      </c>
      <c r="AY65" s="229">
        <v>8.3500000000000005E-2</v>
      </c>
      <c r="AZ65" s="230">
        <v>3170000</v>
      </c>
      <c r="BA65" s="230">
        <v>2730000</v>
      </c>
      <c r="BB65" s="230">
        <v>440000</v>
      </c>
      <c r="BC65" s="229">
        <v>0.16120000000000001</v>
      </c>
      <c r="BD65" s="230">
        <v>285000</v>
      </c>
      <c r="BE65" s="230">
        <v>305000</v>
      </c>
      <c r="BF65" s="230">
        <v>-20000</v>
      </c>
      <c r="BG65" s="229">
        <v>-6.5600000000000006E-2</v>
      </c>
      <c r="BH65" s="230">
        <v>62120000</v>
      </c>
      <c r="BI65" s="230">
        <v>67255000</v>
      </c>
      <c r="BJ65" s="230">
        <v>-5135000</v>
      </c>
      <c r="BK65" s="229">
        <v>-7.6399999999999996E-2</v>
      </c>
      <c r="BL65" s="230">
        <v>26525000</v>
      </c>
      <c r="BM65" s="230">
        <v>37180000</v>
      </c>
      <c r="BN65" s="230">
        <v>-10655000</v>
      </c>
      <c r="BO65" s="229">
        <v>-0.28660000000000002</v>
      </c>
      <c r="BP65" s="230">
        <v>109740000</v>
      </c>
      <c r="BQ65" s="230">
        <v>123750000</v>
      </c>
      <c r="BR65" s="230">
        <v>-14010000</v>
      </c>
      <c r="BS65" s="229">
        <v>-0.1132</v>
      </c>
      <c r="BT65" s="230">
        <v>11670910</v>
      </c>
      <c r="BU65" s="230">
        <v>9698418</v>
      </c>
      <c r="BV65" s="230">
        <v>1972492</v>
      </c>
      <c r="BW65" s="229">
        <v>0.2034</v>
      </c>
      <c r="BX65" s="230">
        <v>78135000</v>
      </c>
      <c r="BY65" s="230">
        <v>80455000</v>
      </c>
      <c r="BZ65" s="230">
        <v>-2320000</v>
      </c>
      <c r="CA65" s="229">
        <v>-2.8799999999999999E-2</v>
      </c>
      <c r="CB65" s="230">
        <v>70365000</v>
      </c>
      <c r="CC65" s="230">
        <v>73865000</v>
      </c>
      <c r="CD65" s="230">
        <v>-3500000</v>
      </c>
      <c r="CE65" s="229">
        <v>-4.7399999999999998E-2</v>
      </c>
      <c r="CF65" s="230">
        <v>7155000</v>
      </c>
      <c r="CG65" s="230">
        <v>6040000</v>
      </c>
      <c r="CH65" s="230">
        <v>1115000</v>
      </c>
      <c r="CI65" s="229">
        <v>0.18459999999999999</v>
      </c>
      <c r="CJ65" s="230">
        <v>615000</v>
      </c>
      <c r="CK65" s="230">
        <v>550000</v>
      </c>
      <c r="CL65" s="230">
        <v>65000</v>
      </c>
      <c r="CM65" s="229">
        <v>0.1182</v>
      </c>
      <c r="CN65" s="230">
        <v>36765000</v>
      </c>
      <c r="CO65" s="230">
        <v>36580000</v>
      </c>
      <c r="CP65" s="230">
        <v>185000</v>
      </c>
      <c r="CQ65" s="229">
        <v>5.1000000000000004E-3</v>
      </c>
      <c r="CR65" s="230">
        <v>32070000</v>
      </c>
      <c r="CS65" s="230">
        <v>30710000</v>
      </c>
      <c r="CT65" s="230">
        <v>1360000</v>
      </c>
      <c r="CU65" s="229">
        <v>4.4299999999999999E-2</v>
      </c>
      <c r="CV65" s="230">
        <v>146970000</v>
      </c>
      <c r="CW65" s="230">
        <v>147745000</v>
      </c>
      <c r="CX65" s="230">
        <v>-775000</v>
      </c>
      <c r="CY65" s="229">
        <v>-5.1999999999999998E-3</v>
      </c>
      <c r="CZ65" s="228">
        <v>31.18</v>
      </c>
      <c r="DA65" s="228">
        <v>30.25</v>
      </c>
      <c r="DB65" s="228">
        <v>0.93</v>
      </c>
      <c r="DC65" s="228">
        <v>0.93</v>
      </c>
      <c r="DD65" s="228">
        <v>32.33</v>
      </c>
      <c r="DE65" s="228">
        <v>32.409999999999997</v>
      </c>
      <c r="DF65" s="228">
        <v>-1.1499999999999999</v>
      </c>
      <c r="DG65" s="228">
        <v>-0.08</v>
      </c>
      <c r="DH65" s="228">
        <v>30.08</v>
      </c>
      <c r="DI65" s="228">
        <v>28.39</v>
      </c>
      <c r="DJ65" s="228">
        <v>1.69</v>
      </c>
      <c r="DK65" s="228">
        <v>1.69</v>
      </c>
      <c r="DL65" s="228">
        <v>33.75</v>
      </c>
      <c r="DM65" s="228">
        <v>33.6</v>
      </c>
      <c r="DN65" s="228">
        <v>0.15</v>
      </c>
      <c r="DO65" s="228">
        <v>0.15</v>
      </c>
      <c r="DP65" s="228">
        <v>0.87</v>
      </c>
      <c r="DQ65" s="228">
        <v>0.84</v>
      </c>
      <c r="DR65" s="228">
        <v>0.03</v>
      </c>
      <c r="DS65" s="229">
        <v>3.5700000000000003E-2</v>
      </c>
      <c r="DT65" s="228">
        <v>300</v>
      </c>
      <c r="DU65" s="228">
        <v>290</v>
      </c>
      <c r="DV65" s="228">
        <v>0.43</v>
      </c>
      <c r="DW65" s="228">
        <v>0.55000000000000004</v>
      </c>
      <c r="DX65" s="228">
        <v>-0.12</v>
      </c>
      <c r="DY65" s="229">
        <v>-0.21820000000000001</v>
      </c>
      <c r="DZ65" s="229">
        <v>9.9400000000000002E-2</v>
      </c>
      <c r="EA65" s="230">
        <v>6590000</v>
      </c>
      <c r="EB65" s="229">
        <v>5.4000000000000003E-3</v>
      </c>
      <c r="EC65" s="229">
        <v>9.9400000000000002E-2</v>
      </c>
      <c r="ED65" s="228">
        <v>1.61</v>
      </c>
      <c r="EE65" s="229">
        <v>5.4000000000000003E-3</v>
      </c>
      <c r="EF65" s="230">
        <v>6219948</v>
      </c>
      <c r="EG65" s="230">
        <v>5726696</v>
      </c>
      <c r="EH65" s="229">
        <v>8.6099999999999996E-2</v>
      </c>
      <c r="EI65" s="229">
        <v>0.53290000000000004</v>
      </c>
      <c r="EJ65" s="231">
        <v>189572.73</v>
      </c>
      <c r="EK65" s="231">
        <v>76361.7</v>
      </c>
      <c r="EL65" s="231">
        <v>62413.17</v>
      </c>
      <c r="EM65" s="231">
        <v>3417</v>
      </c>
      <c r="EN65" s="231">
        <v>328347.59999999998</v>
      </c>
      <c r="EO65" s="231">
        <v>364080.95</v>
      </c>
      <c r="EP65" s="231">
        <v>-35733.35</v>
      </c>
      <c r="EQ65" s="229">
        <v>-9.8100000000000007E-2</v>
      </c>
      <c r="ER65" s="231">
        <v>108351</v>
      </c>
      <c r="ES65" s="231">
        <v>87258</v>
      </c>
      <c r="ET65" s="231">
        <v>230438</v>
      </c>
      <c r="EU65" s="231">
        <v>359450597</v>
      </c>
      <c r="EV65" s="231">
        <v>426047</v>
      </c>
      <c r="EW65" s="231">
        <v>427102</v>
      </c>
      <c r="EX65" s="231">
        <v>-1055</v>
      </c>
      <c r="EY65" s="229">
        <v>-2.5000000000000001E-3</v>
      </c>
      <c r="EZ65" s="229">
        <v>0.40889999999999999</v>
      </c>
      <c r="FA65" s="227" t="s">
        <v>693</v>
      </c>
      <c r="FB65" s="161">
        <f t="shared" si="0"/>
        <v>7770000</v>
      </c>
    </row>
    <row r="66" spans="1:158" ht="17.25" thickBot="1" x14ac:dyDescent="0.3">
      <c r="A66" s="226">
        <v>46132</v>
      </c>
      <c r="B66" s="227" t="s">
        <v>181</v>
      </c>
      <c r="C66" s="227" t="s">
        <v>480</v>
      </c>
      <c r="D66" s="228">
        <v>60</v>
      </c>
      <c r="E66" s="231">
        <v>26511.9</v>
      </c>
      <c r="F66" s="231">
        <v>26566.3</v>
      </c>
      <c r="G66" s="228">
        <v>-54.4</v>
      </c>
      <c r="H66" s="229">
        <v>-2E-3</v>
      </c>
      <c r="I66" s="231">
        <v>26537.1</v>
      </c>
      <c r="J66" s="231">
        <v>26521.25</v>
      </c>
      <c r="K66" s="228">
        <v>15.85</v>
      </c>
      <c r="L66" s="229">
        <v>5.9999999999999995E-4</v>
      </c>
      <c r="M66" s="231">
        <v>26511.9</v>
      </c>
      <c r="N66" s="231">
        <v>26566.3</v>
      </c>
      <c r="O66" s="228">
        <v>-54.4</v>
      </c>
      <c r="P66" s="229">
        <v>-2E-3</v>
      </c>
      <c r="Q66" s="231">
        <v>26699.9</v>
      </c>
      <c r="R66" s="231">
        <v>26707.1</v>
      </c>
      <c r="S66" s="228">
        <v>-7.2</v>
      </c>
      <c r="T66" s="229">
        <v>-2.9999999999999997E-4</v>
      </c>
      <c r="U66" s="228">
        <v>0</v>
      </c>
      <c r="V66" s="228">
        <v>0</v>
      </c>
      <c r="W66" s="228">
        <v>0</v>
      </c>
      <c r="X66" s="229">
        <v>0</v>
      </c>
      <c r="Y66" s="228">
        <v>-25.2</v>
      </c>
      <c r="Z66" s="228">
        <v>45.05</v>
      </c>
      <c r="AA66" s="228">
        <v>-70.25</v>
      </c>
      <c r="AB66" s="229">
        <v>-8.9999999999999998E-4</v>
      </c>
      <c r="AC66" s="228">
        <v>-25.2</v>
      </c>
      <c r="AD66" s="228">
        <v>45.05</v>
      </c>
      <c r="AE66" s="228">
        <v>-70.25</v>
      </c>
      <c r="AF66" s="229">
        <v>-8.9999999999999998E-4</v>
      </c>
      <c r="AG66" s="228">
        <v>162.80000000000001</v>
      </c>
      <c r="AH66" s="228">
        <v>185.85</v>
      </c>
      <c r="AI66" s="228">
        <v>-23.05</v>
      </c>
      <c r="AJ66" s="229">
        <v>6.1000000000000004E-3</v>
      </c>
      <c r="AK66" s="228">
        <v>0</v>
      </c>
      <c r="AL66" s="228">
        <v>0</v>
      </c>
      <c r="AM66" s="228">
        <v>0</v>
      </c>
      <c r="AN66" s="229">
        <v>0</v>
      </c>
      <c r="AO66" s="231">
        <v>26581.73</v>
      </c>
      <c r="AP66" s="231">
        <v>26794.7</v>
      </c>
      <c r="AQ66" s="228">
        <v>0</v>
      </c>
      <c r="AR66" s="230">
        <v>11280</v>
      </c>
      <c r="AS66" s="230">
        <v>13200</v>
      </c>
      <c r="AT66" s="230">
        <v>-1920</v>
      </c>
      <c r="AU66" s="229">
        <v>-0.14549999999999999</v>
      </c>
      <c r="AV66" s="230">
        <v>9960</v>
      </c>
      <c r="AW66" s="230">
        <v>11340</v>
      </c>
      <c r="AX66" s="230">
        <v>-1380</v>
      </c>
      <c r="AY66" s="229">
        <v>-0.1217</v>
      </c>
      <c r="AZ66" s="230">
        <v>1320</v>
      </c>
      <c r="BA66" s="230">
        <v>1860</v>
      </c>
      <c r="BB66" s="228">
        <v>-540</v>
      </c>
      <c r="BC66" s="229">
        <v>-0.2903</v>
      </c>
      <c r="BD66" s="228">
        <v>0</v>
      </c>
      <c r="BE66" s="228">
        <v>0</v>
      </c>
      <c r="BF66" s="228">
        <v>0</v>
      </c>
      <c r="BG66" s="229">
        <v>0</v>
      </c>
      <c r="BH66" s="230">
        <v>568920</v>
      </c>
      <c r="BI66" s="230">
        <v>612900</v>
      </c>
      <c r="BJ66" s="230">
        <v>-43980</v>
      </c>
      <c r="BK66" s="229">
        <v>-7.1800000000000003E-2</v>
      </c>
      <c r="BL66" s="230">
        <v>486540</v>
      </c>
      <c r="BM66" s="230">
        <v>305400</v>
      </c>
      <c r="BN66" s="230">
        <v>181140</v>
      </c>
      <c r="BO66" s="229">
        <v>0.59309999999999996</v>
      </c>
      <c r="BP66" s="230">
        <v>1066740</v>
      </c>
      <c r="BQ66" s="230">
        <v>931500</v>
      </c>
      <c r="BR66" s="230">
        <v>135240</v>
      </c>
      <c r="BS66" s="229">
        <v>0.1452</v>
      </c>
      <c r="BT66" s="228">
        <v>0</v>
      </c>
      <c r="BU66" s="228">
        <v>0</v>
      </c>
      <c r="BV66" s="228">
        <v>0</v>
      </c>
      <c r="BW66" s="229">
        <v>0</v>
      </c>
      <c r="BX66" s="230">
        <v>26160</v>
      </c>
      <c r="BY66" s="230">
        <v>28920</v>
      </c>
      <c r="BZ66" s="230">
        <v>-2760</v>
      </c>
      <c r="CA66" s="229">
        <v>-9.5399999999999999E-2</v>
      </c>
      <c r="CB66" s="230">
        <v>23460</v>
      </c>
      <c r="CC66" s="230">
        <v>26460</v>
      </c>
      <c r="CD66" s="230">
        <v>-3000</v>
      </c>
      <c r="CE66" s="229">
        <v>-0.1134</v>
      </c>
      <c r="CF66" s="230">
        <v>2700</v>
      </c>
      <c r="CG66" s="230">
        <v>2460</v>
      </c>
      <c r="CH66" s="228">
        <v>240</v>
      </c>
      <c r="CI66" s="229">
        <v>9.7600000000000006E-2</v>
      </c>
      <c r="CJ66" s="228">
        <v>0</v>
      </c>
      <c r="CK66" s="228">
        <v>0</v>
      </c>
      <c r="CL66" s="228">
        <v>0</v>
      </c>
      <c r="CM66" s="229">
        <v>0</v>
      </c>
      <c r="CN66" s="230">
        <v>359040</v>
      </c>
      <c r="CO66" s="230">
        <v>395100</v>
      </c>
      <c r="CP66" s="230">
        <v>-36060</v>
      </c>
      <c r="CQ66" s="229">
        <v>-9.1300000000000006E-2</v>
      </c>
      <c r="CR66" s="230">
        <v>270000</v>
      </c>
      <c r="CS66" s="230">
        <v>268020</v>
      </c>
      <c r="CT66" s="230">
        <v>1980</v>
      </c>
      <c r="CU66" s="229">
        <v>7.4000000000000003E-3</v>
      </c>
      <c r="CV66" s="230">
        <v>655200</v>
      </c>
      <c r="CW66" s="230">
        <v>692040</v>
      </c>
      <c r="CX66" s="230">
        <v>-36840</v>
      </c>
      <c r="CY66" s="229">
        <v>-5.3199999999999997E-2</v>
      </c>
      <c r="CZ66" s="228">
        <v>25.45</v>
      </c>
      <c r="DA66" s="228">
        <v>21.34</v>
      </c>
      <c r="DB66" s="228">
        <v>4.1100000000000003</v>
      </c>
      <c r="DC66" s="228">
        <v>4.1100000000000003</v>
      </c>
      <c r="DD66" s="228">
        <v>21.71</v>
      </c>
      <c r="DE66" s="228">
        <v>21.76</v>
      </c>
      <c r="DF66" s="228">
        <v>3.74</v>
      </c>
      <c r="DG66" s="228">
        <v>-0.05</v>
      </c>
      <c r="DH66" s="228">
        <v>24.46</v>
      </c>
      <c r="DI66" s="228">
        <v>19.96</v>
      </c>
      <c r="DJ66" s="228">
        <v>4.5</v>
      </c>
      <c r="DK66" s="228">
        <v>4.5</v>
      </c>
      <c r="DL66" s="228">
        <v>26.61</v>
      </c>
      <c r="DM66" s="228">
        <v>24.12</v>
      </c>
      <c r="DN66" s="228">
        <v>2.4900000000000002</v>
      </c>
      <c r="DO66" s="228">
        <v>2.4900000000000002</v>
      </c>
      <c r="DP66" s="228">
        <v>0.75</v>
      </c>
      <c r="DQ66" s="228">
        <v>0.68</v>
      </c>
      <c r="DR66" s="228">
        <v>7.0000000000000007E-2</v>
      </c>
      <c r="DS66" s="229">
        <v>0.10290000000000001</v>
      </c>
      <c r="DT66" s="231">
        <v>28500</v>
      </c>
      <c r="DU66" s="231">
        <v>24000</v>
      </c>
      <c r="DV66" s="228">
        <v>0.86</v>
      </c>
      <c r="DW66" s="228">
        <v>0.5</v>
      </c>
      <c r="DX66" s="228">
        <v>0.36</v>
      </c>
      <c r="DY66" s="229">
        <v>0.72</v>
      </c>
      <c r="DZ66" s="229">
        <v>0.1032</v>
      </c>
      <c r="EA66" s="230">
        <v>2460</v>
      </c>
      <c r="EB66" s="229">
        <v>7.1000000000000004E-3</v>
      </c>
      <c r="EC66" s="229">
        <v>0.1032</v>
      </c>
      <c r="ED66" s="228">
        <v>212.97</v>
      </c>
      <c r="EE66" s="229">
        <v>8.0000000000000002E-3</v>
      </c>
      <c r="EF66" s="228">
        <v>0</v>
      </c>
      <c r="EG66" s="228">
        <v>0</v>
      </c>
      <c r="EH66" s="229">
        <v>0</v>
      </c>
      <c r="EI66" s="229">
        <v>0</v>
      </c>
      <c r="EJ66" s="231">
        <v>156406.41</v>
      </c>
      <c r="EK66" s="231">
        <v>125224.04</v>
      </c>
      <c r="EL66" s="231">
        <v>3001.23</v>
      </c>
      <c r="EM66" s="228">
        <v>0</v>
      </c>
      <c r="EN66" s="231">
        <v>284631.67999999999</v>
      </c>
      <c r="EO66" s="231">
        <v>249096.48</v>
      </c>
      <c r="EP66" s="231">
        <v>35535.199999999997</v>
      </c>
      <c r="EQ66" s="229">
        <v>0.14269999999999999</v>
      </c>
      <c r="ER66" s="231">
        <v>98526</v>
      </c>
      <c r="ES66" s="231">
        <v>66304</v>
      </c>
      <c r="ET66" s="231">
        <v>6941</v>
      </c>
      <c r="EU66" s="228">
        <v>0</v>
      </c>
      <c r="EV66" s="231">
        <v>171770</v>
      </c>
      <c r="EW66" s="231">
        <v>181398</v>
      </c>
      <c r="EX66" s="231">
        <v>-9628</v>
      </c>
      <c r="EY66" s="229">
        <v>-5.3100000000000001E-2</v>
      </c>
      <c r="EZ66" s="229">
        <v>0</v>
      </c>
      <c r="FA66" s="227" t="s">
        <v>567</v>
      </c>
      <c r="FB66" s="161">
        <f t="shared" si="0"/>
        <v>2700</v>
      </c>
    </row>
    <row r="67" spans="1:158" ht="17.25" thickBot="1" x14ac:dyDescent="0.3">
      <c r="A67" s="226">
        <v>46132</v>
      </c>
      <c r="B67" s="227" t="s">
        <v>162</v>
      </c>
      <c r="C67" s="227" t="s">
        <v>700</v>
      </c>
      <c r="D67" s="228">
        <v>25</v>
      </c>
      <c r="E67" s="231">
        <v>21860</v>
      </c>
      <c r="F67" s="231">
        <v>22371</v>
      </c>
      <c r="G67" s="228">
        <v>-511</v>
      </c>
      <c r="H67" s="229">
        <v>-2.2800000000000001E-2</v>
      </c>
      <c r="I67" s="231">
        <v>21925</v>
      </c>
      <c r="J67" s="231">
        <v>22378</v>
      </c>
      <c r="K67" s="228">
        <v>-453</v>
      </c>
      <c r="L67" s="229">
        <v>-2.0199999999999999E-2</v>
      </c>
      <c r="M67" s="231">
        <v>21860</v>
      </c>
      <c r="N67" s="231">
        <v>22371</v>
      </c>
      <c r="O67" s="228">
        <v>-511</v>
      </c>
      <c r="P67" s="229">
        <v>-2.2800000000000001E-2</v>
      </c>
      <c r="Q67" s="231">
        <v>21776</v>
      </c>
      <c r="R67" s="231">
        <v>22257</v>
      </c>
      <c r="S67" s="228">
        <v>-481</v>
      </c>
      <c r="T67" s="229">
        <v>-2.1600000000000001E-2</v>
      </c>
      <c r="U67" s="231">
        <v>21749</v>
      </c>
      <c r="V67" s="231">
        <v>22250</v>
      </c>
      <c r="W67" s="228">
        <v>-501</v>
      </c>
      <c r="X67" s="229">
        <v>-2.2499999999999999E-2</v>
      </c>
      <c r="Y67" s="228">
        <v>-65</v>
      </c>
      <c r="Z67" s="228">
        <v>-7</v>
      </c>
      <c r="AA67" s="228">
        <v>-58</v>
      </c>
      <c r="AB67" s="229">
        <v>-3.0000000000000001E-3</v>
      </c>
      <c r="AC67" s="228">
        <v>-65</v>
      </c>
      <c r="AD67" s="228">
        <v>-7</v>
      </c>
      <c r="AE67" s="228">
        <v>-58</v>
      </c>
      <c r="AF67" s="229">
        <v>-3.0000000000000001E-3</v>
      </c>
      <c r="AG67" s="228">
        <v>-149</v>
      </c>
      <c r="AH67" s="228">
        <v>-121</v>
      </c>
      <c r="AI67" s="228">
        <v>-28</v>
      </c>
      <c r="AJ67" s="229">
        <v>-6.7999999999999996E-3</v>
      </c>
      <c r="AK67" s="228">
        <v>-176</v>
      </c>
      <c r="AL67" s="228">
        <v>-128</v>
      </c>
      <c r="AM67" s="228">
        <v>-48</v>
      </c>
      <c r="AN67" s="229">
        <v>-8.0000000000000002E-3</v>
      </c>
      <c r="AO67" s="231">
        <v>21993.56</v>
      </c>
      <c r="AP67" s="231">
        <v>21914.67</v>
      </c>
      <c r="AQ67" s="228">
        <v>0</v>
      </c>
      <c r="AR67" s="230">
        <v>27050</v>
      </c>
      <c r="AS67" s="230">
        <v>33900</v>
      </c>
      <c r="AT67" s="230">
        <v>-6850</v>
      </c>
      <c r="AU67" s="229">
        <v>-0.2021</v>
      </c>
      <c r="AV67" s="230">
        <v>20800</v>
      </c>
      <c r="AW67" s="230">
        <v>24425</v>
      </c>
      <c r="AX67" s="230">
        <v>-3625</v>
      </c>
      <c r="AY67" s="229">
        <v>-0.1484</v>
      </c>
      <c r="AZ67" s="230">
        <v>6000</v>
      </c>
      <c r="BA67" s="230">
        <v>9425</v>
      </c>
      <c r="BB67" s="230">
        <v>-3425</v>
      </c>
      <c r="BC67" s="229">
        <v>-0.3634</v>
      </c>
      <c r="BD67" s="228">
        <v>250</v>
      </c>
      <c r="BE67" s="228">
        <v>50</v>
      </c>
      <c r="BF67" s="228">
        <v>200</v>
      </c>
      <c r="BG67" s="229">
        <v>4</v>
      </c>
      <c r="BH67" s="230">
        <v>89675</v>
      </c>
      <c r="BI67" s="230">
        <v>53275</v>
      </c>
      <c r="BJ67" s="230">
        <v>36400</v>
      </c>
      <c r="BK67" s="229">
        <v>0.68320000000000003</v>
      </c>
      <c r="BL67" s="230">
        <v>23650</v>
      </c>
      <c r="BM67" s="230">
        <v>12550</v>
      </c>
      <c r="BN67" s="230">
        <v>11100</v>
      </c>
      <c r="BO67" s="229">
        <v>0.88449999999999995</v>
      </c>
      <c r="BP67" s="230">
        <v>140375</v>
      </c>
      <c r="BQ67" s="230">
        <v>99725</v>
      </c>
      <c r="BR67" s="230">
        <v>40650</v>
      </c>
      <c r="BS67" s="229">
        <v>0.40760000000000002</v>
      </c>
      <c r="BT67" s="230">
        <v>92739</v>
      </c>
      <c r="BU67" s="230">
        <v>101433</v>
      </c>
      <c r="BV67" s="230">
        <v>-8694</v>
      </c>
      <c r="BW67" s="229">
        <v>-8.5699999999999998E-2</v>
      </c>
      <c r="BX67" s="230">
        <v>140775</v>
      </c>
      <c r="BY67" s="230">
        <v>131550</v>
      </c>
      <c r="BZ67" s="230">
        <v>9225</v>
      </c>
      <c r="CA67" s="229">
        <v>7.0099999999999996E-2</v>
      </c>
      <c r="CB67" s="230">
        <v>104600</v>
      </c>
      <c r="CC67" s="230">
        <v>98425</v>
      </c>
      <c r="CD67" s="230">
        <v>6175</v>
      </c>
      <c r="CE67" s="229">
        <v>6.2700000000000006E-2</v>
      </c>
      <c r="CF67" s="230">
        <v>34700</v>
      </c>
      <c r="CG67" s="230">
        <v>31750</v>
      </c>
      <c r="CH67" s="230">
        <v>2950</v>
      </c>
      <c r="CI67" s="229">
        <v>9.2899999999999996E-2</v>
      </c>
      <c r="CJ67" s="230">
        <v>1475</v>
      </c>
      <c r="CK67" s="230">
        <v>1375</v>
      </c>
      <c r="CL67" s="228">
        <v>100</v>
      </c>
      <c r="CM67" s="229">
        <v>7.2700000000000001E-2</v>
      </c>
      <c r="CN67" s="230">
        <v>86475</v>
      </c>
      <c r="CO67" s="230">
        <v>78550</v>
      </c>
      <c r="CP67" s="230">
        <v>7925</v>
      </c>
      <c r="CQ67" s="229">
        <v>0.1009</v>
      </c>
      <c r="CR67" s="230">
        <v>29250</v>
      </c>
      <c r="CS67" s="230">
        <v>26400</v>
      </c>
      <c r="CT67" s="230">
        <v>2850</v>
      </c>
      <c r="CU67" s="229">
        <v>0.108</v>
      </c>
      <c r="CV67" s="230">
        <v>256500</v>
      </c>
      <c r="CW67" s="230">
        <v>236500</v>
      </c>
      <c r="CX67" s="230">
        <v>20000</v>
      </c>
      <c r="CY67" s="229">
        <v>8.4599999999999995E-2</v>
      </c>
      <c r="CZ67" s="228">
        <v>65</v>
      </c>
      <c r="DA67" s="228">
        <v>60.87</v>
      </c>
      <c r="DB67" s="228">
        <v>4.13</v>
      </c>
      <c r="DC67" s="228">
        <v>4.13</v>
      </c>
      <c r="DD67" s="228">
        <v>65.67</v>
      </c>
      <c r="DE67" s="228">
        <v>65.760000000000005</v>
      </c>
      <c r="DF67" s="228">
        <v>-0.67</v>
      </c>
      <c r="DG67" s="228">
        <v>-0.09</v>
      </c>
      <c r="DH67" s="228">
        <v>65.099999999999994</v>
      </c>
      <c r="DI67" s="228">
        <v>60.25</v>
      </c>
      <c r="DJ67" s="228">
        <v>4.8499999999999996</v>
      </c>
      <c r="DK67" s="228">
        <v>4.8499999999999996</v>
      </c>
      <c r="DL67" s="228">
        <v>64.64</v>
      </c>
      <c r="DM67" s="228">
        <v>63.53</v>
      </c>
      <c r="DN67" s="228">
        <v>1.1100000000000001</v>
      </c>
      <c r="DO67" s="228">
        <v>1.1100000000000001</v>
      </c>
      <c r="DP67" s="228">
        <v>0.34</v>
      </c>
      <c r="DQ67" s="228">
        <v>0.34</v>
      </c>
      <c r="DR67" s="228">
        <v>0</v>
      </c>
      <c r="DS67" s="229">
        <v>0</v>
      </c>
      <c r="DT67" s="231">
        <v>25000</v>
      </c>
      <c r="DU67" s="231">
        <v>20000</v>
      </c>
      <c r="DV67" s="228">
        <v>0.26</v>
      </c>
      <c r="DW67" s="228">
        <v>0.24</v>
      </c>
      <c r="DX67" s="228">
        <v>0.02</v>
      </c>
      <c r="DY67" s="229">
        <v>8.3299999999999999E-2</v>
      </c>
      <c r="DZ67" s="229">
        <v>0.25700000000000001</v>
      </c>
      <c r="EA67" s="230">
        <v>33125</v>
      </c>
      <c r="EB67" s="229">
        <v>-3.8E-3</v>
      </c>
      <c r="EC67" s="229">
        <v>0.25700000000000001</v>
      </c>
      <c r="ED67" s="228">
        <v>-78.89</v>
      </c>
      <c r="EE67" s="229">
        <v>-3.5999999999999999E-3</v>
      </c>
      <c r="EF67" s="230">
        <v>27568</v>
      </c>
      <c r="EG67" s="230">
        <v>30354</v>
      </c>
      <c r="EH67" s="229">
        <v>-9.1800000000000007E-2</v>
      </c>
      <c r="EI67" s="229">
        <v>0.29730000000000001</v>
      </c>
      <c r="EJ67" s="231">
        <v>21771.27</v>
      </c>
      <c r="EK67" s="231">
        <v>5004.18</v>
      </c>
      <c r="EL67" s="231">
        <v>5944.17</v>
      </c>
      <c r="EM67" s="231">
        <v>1988</v>
      </c>
      <c r="EN67" s="231">
        <v>32719.62</v>
      </c>
      <c r="EO67" s="231">
        <v>23280.95</v>
      </c>
      <c r="EP67" s="231">
        <v>9438.67</v>
      </c>
      <c r="EQ67" s="229">
        <v>0.40539999999999998</v>
      </c>
      <c r="ER67" s="231">
        <v>20432</v>
      </c>
      <c r="ES67" s="231">
        <v>5975</v>
      </c>
      <c r="ET67" s="231">
        <v>30743</v>
      </c>
      <c r="EU67" s="231">
        <v>736885</v>
      </c>
      <c r="EV67" s="231">
        <v>57149</v>
      </c>
      <c r="EW67" s="231">
        <v>53367</v>
      </c>
      <c r="EX67" s="231">
        <v>3782</v>
      </c>
      <c r="EY67" s="229">
        <v>7.0900000000000005E-2</v>
      </c>
      <c r="EZ67" s="229">
        <v>0.34810000000000002</v>
      </c>
      <c r="FA67" s="227" t="s">
        <v>566</v>
      </c>
      <c r="FB67" s="161">
        <f t="shared" ref="FB67:FB130" si="1">BX67-CB67</f>
        <v>36175</v>
      </c>
    </row>
    <row r="68" spans="1:158" ht="17.25" thickBot="1" x14ac:dyDescent="0.3">
      <c r="A68" s="226">
        <v>46132</v>
      </c>
      <c r="B68" s="227" t="s">
        <v>170</v>
      </c>
      <c r="C68" s="227" t="s">
        <v>675</v>
      </c>
      <c r="D68" s="228">
        <v>775</v>
      </c>
      <c r="E68" s="228">
        <v>890.1</v>
      </c>
      <c r="F68" s="228">
        <v>890.9</v>
      </c>
      <c r="G68" s="228">
        <v>-0.8</v>
      </c>
      <c r="H68" s="229">
        <v>-8.9999999999999998E-4</v>
      </c>
      <c r="I68" s="228">
        <v>890.9</v>
      </c>
      <c r="J68" s="228">
        <v>890.2</v>
      </c>
      <c r="K68" s="228">
        <v>0.7</v>
      </c>
      <c r="L68" s="229">
        <v>8.0000000000000004E-4</v>
      </c>
      <c r="M68" s="228">
        <v>890.1</v>
      </c>
      <c r="N68" s="228">
        <v>890.9</v>
      </c>
      <c r="O68" s="228">
        <v>-0.8</v>
      </c>
      <c r="P68" s="229">
        <v>-8.9999999999999998E-4</v>
      </c>
      <c r="Q68" s="228">
        <v>894.85</v>
      </c>
      <c r="R68" s="228">
        <v>896.1</v>
      </c>
      <c r="S68" s="228">
        <v>-1.25</v>
      </c>
      <c r="T68" s="229">
        <v>-1.4E-3</v>
      </c>
      <c r="U68" s="228">
        <v>900.65</v>
      </c>
      <c r="V68" s="228">
        <v>901.15</v>
      </c>
      <c r="W68" s="228">
        <v>-0.5</v>
      </c>
      <c r="X68" s="229">
        <v>-5.9999999999999995E-4</v>
      </c>
      <c r="Y68" s="228">
        <v>-0.8</v>
      </c>
      <c r="Z68" s="228">
        <v>0.7</v>
      </c>
      <c r="AA68" s="228">
        <v>-1.5</v>
      </c>
      <c r="AB68" s="229">
        <v>-8.9999999999999998E-4</v>
      </c>
      <c r="AC68" s="228">
        <v>-0.8</v>
      </c>
      <c r="AD68" s="228">
        <v>0.7</v>
      </c>
      <c r="AE68" s="228">
        <v>-1.5</v>
      </c>
      <c r="AF68" s="229">
        <v>-8.9999999999999998E-4</v>
      </c>
      <c r="AG68" s="228">
        <v>3.95</v>
      </c>
      <c r="AH68" s="228">
        <v>5.9</v>
      </c>
      <c r="AI68" s="228">
        <v>-1.95</v>
      </c>
      <c r="AJ68" s="229">
        <v>4.4000000000000003E-3</v>
      </c>
      <c r="AK68" s="228">
        <v>9.75</v>
      </c>
      <c r="AL68" s="228">
        <v>10.95</v>
      </c>
      <c r="AM68" s="228">
        <v>-1.2</v>
      </c>
      <c r="AN68" s="229">
        <v>1.09E-2</v>
      </c>
      <c r="AO68" s="228">
        <v>891.45</v>
      </c>
      <c r="AP68" s="228">
        <v>896.47</v>
      </c>
      <c r="AQ68" s="228">
        <v>0</v>
      </c>
      <c r="AR68" s="230">
        <v>1264025</v>
      </c>
      <c r="AS68" s="230">
        <v>1884025</v>
      </c>
      <c r="AT68" s="230">
        <v>-620000</v>
      </c>
      <c r="AU68" s="229">
        <v>-0.3291</v>
      </c>
      <c r="AV68" s="230">
        <v>1128400</v>
      </c>
      <c r="AW68" s="230">
        <v>1617425</v>
      </c>
      <c r="AX68" s="230">
        <v>-489025</v>
      </c>
      <c r="AY68" s="229">
        <v>-0.30230000000000001</v>
      </c>
      <c r="AZ68" s="230">
        <v>126325</v>
      </c>
      <c r="BA68" s="230">
        <v>223200</v>
      </c>
      <c r="BB68" s="230">
        <v>-96875</v>
      </c>
      <c r="BC68" s="229">
        <v>-0.434</v>
      </c>
      <c r="BD68" s="230">
        <v>9300</v>
      </c>
      <c r="BE68" s="230">
        <v>43400</v>
      </c>
      <c r="BF68" s="230">
        <v>-34100</v>
      </c>
      <c r="BG68" s="229">
        <v>-0.78569999999999995</v>
      </c>
      <c r="BH68" s="230">
        <v>2085525</v>
      </c>
      <c r="BI68" s="230">
        <v>4605050</v>
      </c>
      <c r="BJ68" s="230">
        <v>-2519525</v>
      </c>
      <c r="BK68" s="229">
        <v>-0.54710000000000003</v>
      </c>
      <c r="BL68" s="230">
        <v>1195050</v>
      </c>
      <c r="BM68" s="230">
        <v>2103350</v>
      </c>
      <c r="BN68" s="230">
        <v>-908300</v>
      </c>
      <c r="BO68" s="229">
        <v>-0.43180000000000002</v>
      </c>
      <c r="BP68" s="230">
        <v>4544600</v>
      </c>
      <c r="BQ68" s="230">
        <v>8592425</v>
      </c>
      <c r="BR68" s="230">
        <v>-4047825</v>
      </c>
      <c r="BS68" s="229">
        <v>-0.47110000000000002</v>
      </c>
      <c r="BT68" s="230">
        <v>1405049</v>
      </c>
      <c r="BU68" s="230">
        <v>928662</v>
      </c>
      <c r="BV68" s="230">
        <v>476387</v>
      </c>
      <c r="BW68" s="229">
        <v>0.51300000000000001</v>
      </c>
      <c r="BX68" s="230">
        <v>10997250</v>
      </c>
      <c r="BY68" s="230">
        <v>11120475</v>
      </c>
      <c r="BZ68" s="230">
        <v>-123225</v>
      </c>
      <c r="CA68" s="229">
        <v>-1.11E-2</v>
      </c>
      <c r="CB68" s="230">
        <v>9881250</v>
      </c>
      <c r="CC68" s="230">
        <v>10041675</v>
      </c>
      <c r="CD68" s="230">
        <v>-160425</v>
      </c>
      <c r="CE68" s="229">
        <v>-1.6E-2</v>
      </c>
      <c r="CF68" s="230">
        <v>310775</v>
      </c>
      <c r="CG68" s="230">
        <v>274350</v>
      </c>
      <c r="CH68" s="230">
        <v>36425</v>
      </c>
      <c r="CI68" s="229">
        <v>0.1328</v>
      </c>
      <c r="CJ68" s="230">
        <v>805225</v>
      </c>
      <c r="CK68" s="230">
        <v>804450</v>
      </c>
      <c r="CL68" s="228">
        <v>775</v>
      </c>
      <c r="CM68" s="229">
        <v>1E-3</v>
      </c>
      <c r="CN68" s="230">
        <v>2729550</v>
      </c>
      <c r="CO68" s="230">
        <v>2492400</v>
      </c>
      <c r="CP68" s="230">
        <v>237150</v>
      </c>
      <c r="CQ68" s="229">
        <v>9.5100000000000004E-2</v>
      </c>
      <c r="CR68" s="230">
        <v>1539150</v>
      </c>
      <c r="CS68" s="230">
        <v>1582550</v>
      </c>
      <c r="CT68" s="230">
        <v>-43400</v>
      </c>
      <c r="CU68" s="229">
        <v>-2.7400000000000001E-2</v>
      </c>
      <c r="CV68" s="230">
        <v>15265950</v>
      </c>
      <c r="CW68" s="230">
        <v>15195425</v>
      </c>
      <c r="CX68" s="230">
        <v>70525</v>
      </c>
      <c r="CY68" s="229">
        <v>4.5999999999999999E-3</v>
      </c>
      <c r="CZ68" s="228">
        <v>32.93</v>
      </c>
      <c r="DA68" s="228">
        <v>28.96</v>
      </c>
      <c r="DB68" s="228">
        <v>3.97</v>
      </c>
      <c r="DC68" s="228">
        <v>3.97</v>
      </c>
      <c r="DD68" s="228">
        <v>35.31</v>
      </c>
      <c r="DE68" s="228">
        <v>35.4</v>
      </c>
      <c r="DF68" s="228">
        <v>-2.38</v>
      </c>
      <c r="DG68" s="228">
        <v>-0.09</v>
      </c>
      <c r="DH68" s="228">
        <v>31.8</v>
      </c>
      <c r="DI68" s="228">
        <v>27.64</v>
      </c>
      <c r="DJ68" s="228">
        <v>4.16</v>
      </c>
      <c r="DK68" s="228">
        <v>4.16</v>
      </c>
      <c r="DL68" s="228">
        <v>34.89</v>
      </c>
      <c r="DM68" s="228">
        <v>31.85</v>
      </c>
      <c r="DN68" s="228">
        <v>3.04</v>
      </c>
      <c r="DO68" s="228">
        <v>3.04</v>
      </c>
      <c r="DP68" s="228">
        <v>0.56000000000000005</v>
      </c>
      <c r="DQ68" s="228">
        <v>0.63</v>
      </c>
      <c r="DR68" s="228">
        <v>-7.0000000000000007E-2</v>
      </c>
      <c r="DS68" s="229">
        <v>-0.1111</v>
      </c>
      <c r="DT68" s="228">
        <v>940</v>
      </c>
      <c r="DU68" s="228">
        <v>850</v>
      </c>
      <c r="DV68" s="228">
        <v>0.56999999999999995</v>
      </c>
      <c r="DW68" s="228">
        <v>0.46</v>
      </c>
      <c r="DX68" s="228">
        <v>0.11</v>
      </c>
      <c r="DY68" s="229">
        <v>0.23910000000000001</v>
      </c>
      <c r="DZ68" s="229">
        <v>0.10150000000000001</v>
      </c>
      <c r="EA68" s="230">
        <v>1078800</v>
      </c>
      <c r="EB68" s="229">
        <v>5.3E-3</v>
      </c>
      <c r="EC68" s="229">
        <v>0.10150000000000001</v>
      </c>
      <c r="ED68" s="228">
        <v>5.0199999999999996</v>
      </c>
      <c r="EE68" s="229">
        <v>5.5999999999999999E-3</v>
      </c>
      <c r="EF68" s="230">
        <v>886819</v>
      </c>
      <c r="EG68" s="230">
        <v>410282</v>
      </c>
      <c r="EH68" s="229">
        <v>1.1615</v>
      </c>
      <c r="EI68" s="229">
        <v>0.63119999999999998</v>
      </c>
      <c r="EJ68" s="231">
        <v>19235.990000000002</v>
      </c>
      <c r="EK68" s="231">
        <v>10544.2</v>
      </c>
      <c r="EL68" s="231">
        <v>11275.54</v>
      </c>
      <c r="EM68" s="231">
        <v>2757</v>
      </c>
      <c r="EN68" s="231">
        <v>41055.730000000003</v>
      </c>
      <c r="EO68" s="231">
        <v>77188.179999999993</v>
      </c>
      <c r="EP68" s="231">
        <v>-36132.449999999997</v>
      </c>
      <c r="EQ68" s="229">
        <v>-0.46810000000000002</v>
      </c>
      <c r="ER68" s="231">
        <v>24301</v>
      </c>
      <c r="ES68" s="231">
        <v>12840</v>
      </c>
      <c r="ET68" s="231">
        <v>97986</v>
      </c>
      <c r="EU68" s="231">
        <v>70894446</v>
      </c>
      <c r="EV68" s="231">
        <v>135127</v>
      </c>
      <c r="EW68" s="231">
        <v>134506</v>
      </c>
      <c r="EX68" s="228">
        <v>621</v>
      </c>
      <c r="EY68" s="229">
        <v>4.5999999999999999E-3</v>
      </c>
      <c r="EZ68" s="229">
        <v>0.21529999999999999</v>
      </c>
      <c r="FA68" s="227" t="s">
        <v>567</v>
      </c>
      <c r="FB68" s="161">
        <f t="shared" si="1"/>
        <v>1116000</v>
      </c>
    </row>
    <row r="69" spans="1:158" ht="17.25" thickBot="1" x14ac:dyDescent="0.3">
      <c r="A69" s="226">
        <v>46132</v>
      </c>
      <c r="B69" s="227" t="s">
        <v>193</v>
      </c>
      <c r="C69" s="227" t="s">
        <v>213</v>
      </c>
      <c r="D69" s="228">
        <v>3150</v>
      </c>
      <c r="E69" s="228">
        <v>157.66</v>
      </c>
      <c r="F69" s="228">
        <v>158.33000000000001</v>
      </c>
      <c r="G69" s="228">
        <v>-0.67</v>
      </c>
      <c r="H69" s="229">
        <v>-4.1999999999999997E-3</v>
      </c>
      <c r="I69" s="228">
        <v>157.69999999999999</v>
      </c>
      <c r="J69" s="228">
        <v>157.82</v>
      </c>
      <c r="K69" s="228">
        <v>-0.12</v>
      </c>
      <c r="L69" s="229">
        <v>-8.0000000000000004E-4</v>
      </c>
      <c r="M69" s="228">
        <v>157.66</v>
      </c>
      <c r="N69" s="228">
        <v>158.33000000000001</v>
      </c>
      <c r="O69" s="228">
        <v>-0.67</v>
      </c>
      <c r="P69" s="229">
        <v>-4.1999999999999997E-3</v>
      </c>
      <c r="Q69" s="228">
        <v>158.62</v>
      </c>
      <c r="R69" s="228">
        <v>159.13999999999999</v>
      </c>
      <c r="S69" s="228">
        <v>-0.52</v>
      </c>
      <c r="T69" s="229">
        <v>-3.3E-3</v>
      </c>
      <c r="U69" s="228">
        <v>159.26</v>
      </c>
      <c r="V69" s="228">
        <v>160.26</v>
      </c>
      <c r="W69" s="228">
        <v>-1</v>
      </c>
      <c r="X69" s="229">
        <v>-6.1999999999999998E-3</v>
      </c>
      <c r="Y69" s="228">
        <v>-0.04</v>
      </c>
      <c r="Z69" s="228">
        <v>0.51</v>
      </c>
      <c r="AA69" s="228">
        <v>-0.55000000000000004</v>
      </c>
      <c r="AB69" s="229">
        <v>-2.9999999999999997E-4</v>
      </c>
      <c r="AC69" s="228">
        <v>-0.04</v>
      </c>
      <c r="AD69" s="228">
        <v>0.51</v>
      </c>
      <c r="AE69" s="228">
        <v>-0.55000000000000004</v>
      </c>
      <c r="AF69" s="229">
        <v>-2.9999999999999997E-4</v>
      </c>
      <c r="AG69" s="228">
        <v>0.92</v>
      </c>
      <c r="AH69" s="228">
        <v>1.32</v>
      </c>
      <c r="AI69" s="228">
        <v>-0.4</v>
      </c>
      <c r="AJ69" s="229">
        <v>5.7999999999999996E-3</v>
      </c>
      <c r="AK69" s="228">
        <v>1.56</v>
      </c>
      <c r="AL69" s="228">
        <v>2.44</v>
      </c>
      <c r="AM69" s="228">
        <v>-0.88</v>
      </c>
      <c r="AN69" s="229">
        <v>9.9000000000000008E-3</v>
      </c>
      <c r="AO69" s="228">
        <v>157.76</v>
      </c>
      <c r="AP69" s="228">
        <v>158.74</v>
      </c>
      <c r="AQ69" s="228">
        <v>0</v>
      </c>
      <c r="AR69" s="230">
        <v>6533100</v>
      </c>
      <c r="AS69" s="230">
        <v>11188800</v>
      </c>
      <c r="AT69" s="230">
        <v>-4655700</v>
      </c>
      <c r="AU69" s="229">
        <v>-0.41610000000000003</v>
      </c>
      <c r="AV69" s="230">
        <v>4961250</v>
      </c>
      <c r="AW69" s="230">
        <v>9163350</v>
      </c>
      <c r="AX69" s="230">
        <v>-4202100</v>
      </c>
      <c r="AY69" s="229">
        <v>-0.45860000000000001</v>
      </c>
      <c r="AZ69" s="230">
        <v>1439550</v>
      </c>
      <c r="BA69" s="230">
        <v>1867950</v>
      </c>
      <c r="BB69" s="230">
        <v>-428400</v>
      </c>
      <c r="BC69" s="229">
        <v>-0.2293</v>
      </c>
      <c r="BD69" s="230">
        <v>132300</v>
      </c>
      <c r="BE69" s="230">
        <v>157500</v>
      </c>
      <c r="BF69" s="230">
        <v>-25200</v>
      </c>
      <c r="BG69" s="229">
        <v>-0.16</v>
      </c>
      <c r="BH69" s="230">
        <v>11078550</v>
      </c>
      <c r="BI69" s="230">
        <v>13160700</v>
      </c>
      <c r="BJ69" s="230">
        <v>-2082150</v>
      </c>
      <c r="BK69" s="229">
        <v>-0.15820000000000001</v>
      </c>
      <c r="BL69" s="230">
        <v>12140100</v>
      </c>
      <c r="BM69" s="230">
        <v>10905300</v>
      </c>
      <c r="BN69" s="230">
        <v>1234800</v>
      </c>
      <c r="BO69" s="229">
        <v>0.1132</v>
      </c>
      <c r="BP69" s="230">
        <v>29751750</v>
      </c>
      <c r="BQ69" s="230">
        <v>35254800</v>
      </c>
      <c r="BR69" s="230">
        <v>-5503050</v>
      </c>
      <c r="BS69" s="229">
        <v>-0.15609999999999999</v>
      </c>
      <c r="BT69" s="230">
        <v>6164748</v>
      </c>
      <c r="BU69" s="230">
        <v>13504644</v>
      </c>
      <c r="BV69" s="230">
        <v>-7339896</v>
      </c>
      <c r="BW69" s="229">
        <v>-0.54349999999999998</v>
      </c>
      <c r="BX69" s="230">
        <v>78683850</v>
      </c>
      <c r="BY69" s="230">
        <v>78772050</v>
      </c>
      <c r="BZ69" s="230">
        <v>-88200</v>
      </c>
      <c r="CA69" s="229">
        <v>-1.1000000000000001E-3</v>
      </c>
      <c r="CB69" s="230">
        <v>69996150</v>
      </c>
      <c r="CC69" s="230">
        <v>70830900</v>
      </c>
      <c r="CD69" s="230">
        <v>-834750</v>
      </c>
      <c r="CE69" s="229">
        <v>-1.18E-2</v>
      </c>
      <c r="CF69" s="230">
        <v>5118750</v>
      </c>
      <c r="CG69" s="230">
        <v>4384800</v>
      </c>
      <c r="CH69" s="230">
        <v>733950</v>
      </c>
      <c r="CI69" s="229">
        <v>0.16739999999999999</v>
      </c>
      <c r="CJ69" s="230">
        <v>3568950</v>
      </c>
      <c r="CK69" s="230">
        <v>3556350</v>
      </c>
      <c r="CL69" s="230">
        <v>12600</v>
      </c>
      <c r="CM69" s="229">
        <v>3.5000000000000001E-3</v>
      </c>
      <c r="CN69" s="230">
        <v>27931050</v>
      </c>
      <c r="CO69" s="230">
        <v>27653850</v>
      </c>
      <c r="CP69" s="230">
        <v>277200</v>
      </c>
      <c r="CQ69" s="229">
        <v>0.01</v>
      </c>
      <c r="CR69" s="230">
        <v>33034050</v>
      </c>
      <c r="CS69" s="230">
        <v>32514300</v>
      </c>
      <c r="CT69" s="230">
        <v>519750</v>
      </c>
      <c r="CU69" s="229">
        <v>1.6E-2</v>
      </c>
      <c r="CV69" s="230">
        <v>139648950</v>
      </c>
      <c r="CW69" s="230">
        <v>138940200</v>
      </c>
      <c r="CX69" s="230">
        <v>708750</v>
      </c>
      <c r="CY69" s="229">
        <v>5.1000000000000004E-3</v>
      </c>
      <c r="CZ69" s="228">
        <v>33.04</v>
      </c>
      <c r="DA69" s="228">
        <v>30.16</v>
      </c>
      <c r="DB69" s="228">
        <v>2.88</v>
      </c>
      <c r="DC69" s="228">
        <v>2.88</v>
      </c>
      <c r="DD69" s="228">
        <v>35.5</v>
      </c>
      <c r="DE69" s="228">
        <v>35.58</v>
      </c>
      <c r="DF69" s="228">
        <v>-2.46</v>
      </c>
      <c r="DG69" s="228">
        <v>-0.08</v>
      </c>
      <c r="DH69" s="228">
        <v>31.12</v>
      </c>
      <c r="DI69" s="228">
        <v>28.14</v>
      </c>
      <c r="DJ69" s="228">
        <v>2.98</v>
      </c>
      <c r="DK69" s="228">
        <v>2.98</v>
      </c>
      <c r="DL69" s="228">
        <v>34.78</v>
      </c>
      <c r="DM69" s="228">
        <v>32.61</v>
      </c>
      <c r="DN69" s="228">
        <v>2.17</v>
      </c>
      <c r="DO69" s="228">
        <v>2.17</v>
      </c>
      <c r="DP69" s="228">
        <v>1.18</v>
      </c>
      <c r="DQ69" s="228">
        <v>1.18</v>
      </c>
      <c r="DR69" s="228">
        <v>0</v>
      </c>
      <c r="DS69" s="229">
        <v>0</v>
      </c>
      <c r="DT69" s="228">
        <v>144</v>
      </c>
      <c r="DU69" s="228">
        <v>130</v>
      </c>
      <c r="DV69" s="228">
        <v>1.1000000000000001</v>
      </c>
      <c r="DW69" s="228">
        <v>0.83</v>
      </c>
      <c r="DX69" s="228">
        <v>0.27</v>
      </c>
      <c r="DY69" s="229">
        <v>0.32529999999999998</v>
      </c>
      <c r="DZ69" s="229">
        <v>0.1104</v>
      </c>
      <c r="EA69" s="230">
        <v>7941150</v>
      </c>
      <c r="EB69" s="229">
        <v>6.1000000000000004E-3</v>
      </c>
      <c r="EC69" s="229">
        <v>0.1104</v>
      </c>
      <c r="ED69" s="228">
        <v>0.98</v>
      </c>
      <c r="EE69" s="229">
        <v>6.1999999999999998E-3</v>
      </c>
      <c r="EF69" s="230">
        <v>3141988</v>
      </c>
      <c r="EG69" s="230">
        <v>8258780</v>
      </c>
      <c r="EH69" s="229">
        <v>-0.61960000000000004</v>
      </c>
      <c r="EI69" s="229">
        <v>0.50970000000000004</v>
      </c>
      <c r="EJ69" s="231">
        <v>18289.349999999999</v>
      </c>
      <c r="EK69" s="231">
        <v>18555.310000000001</v>
      </c>
      <c r="EL69" s="231">
        <v>10323.15</v>
      </c>
      <c r="EM69" s="231">
        <v>3907</v>
      </c>
      <c r="EN69" s="231">
        <v>47167.81</v>
      </c>
      <c r="EO69" s="231">
        <v>56080.14</v>
      </c>
      <c r="EP69" s="231">
        <v>-8912.33</v>
      </c>
      <c r="EQ69" s="229">
        <v>-0.15890000000000001</v>
      </c>
      <c r="ER69" s="231">
        <v>43028</v>
      </c>
      <c r="ES69" s="231">
        <v>49418</v>
      </c>
      <c r="ET69" s="231">
        <v>124159</v>
      </c>
      <c r="EU69" s="231">
        <v>471255857</v>
      </c>
      <c r="EV69" s="231">
        <v>216605</v>
      </c>
      <c r="EW69" s="231">
        <v>215948</v>
      </c>
      <c r="EX69" s="228">
        <v>657</v>
      </c>
      <c r="EY69" s="229">
        <v>3.0000000000000001E-3</v>
      </c>
      <c r="EZ69" s="229">
        <v>0.29630000000000001</v>
      </c>
      <c r="FA69" s="227" t="s">
        <v>567</v>
      </c>
      <c r="FB69" s="161">
        <f t="shared" si="1"/>
        <v>8687700</v>
      </c>
    </row>
    <row r="70" spans="1:158" ht="17.25" thickBot="1" x14ac:dyDescent="0.3">
      <c r="A70" s="226">
        <v>46132</v>
      </c>
      <c r="B70" s="227" t="s">
        <v>170</v>
      </c>
      <c r="C70" s="227" t="s">
        <v>214</v>
      </c>
      <c r="D70" s="228">
        <v>375</v>
      </c>
      <c r="E70" s="231">
        <v>2229.1</v>
      </c>
      <c r="F70" s="231">
        <v>2253.8000000000002</v>
      </c>
      <c r="G70" s="228">
        <v>-24.7</v>
      </c>
      <c r="H70" s="229">
        <v>-1.0999999999999999E-2</v>
      </c>
      <c r="I70" s="231">
        <v>2230.6999999999998</v>
      </c>
      <c r="J70" s="231">
        <v>2249.5</v>
      </c>
      <c r="K70" s="228">
        <v>-18.8</v>
      </c>
      <c r="L70" s="229">
        <v>-8.3999999999999995E-3</v>
      </c>
      <c r="M70" s="231">
        <v>2229.1</v>
      </c>
      <c r="N70" s="231">
        <v>2253.8000000000002</v>
      </c>
      <c r="O70" s="228">
        <v>-24.7</v>
      </c>
      <c r="P70" s="229">
        <v>-1.0999999999999999E-2</v>
      </c>
      <c r="Q70" s="231">
        <v>2239.5</v>
      </c>
      <c r="R70" s="231">
        <v>2264.6999999999998</v>
      </c>
      <c r="S70" s="228">
        <v>-25.2</v>
      </c>
      <c r="T70" s="229">
        <v>-1.11E-2</v>
      </c>
      <c r="U70" s="231">
        <v>2251</v>
      </c>
      <c r="V70" s="231">
        <v>2278.9</v>
      </c>
      <c r="W70" s="228">
        <v>-27.9</v>
      </c>
      <c r="X70" s="229">
        <v>-1.2200000000000001E-2</v>
      </c>
      <c r="Y70" s="228">
        <v>-1.6</v>
      </c>
      <c r="Z70" s="228">
        <v>4.3</v>
      </c>
      <c r="AA70" s="228">
        <v>-5.9</v>
      </c>
      <c r="AB70" s="229">
        <v>-6.9999999999999999E-4</v>
      </c>
      <c r="AC70" s="228">
        <v>-1.6</v>
      </c>
      <c r="AD70" s="228">
        <v>4.3</v>
      </c>
      <c r="AE70" s="228">
        <v>-5.9</v>
      </c>
      <c r="AF70" s="229">
        <v>-6.9999999999999999E-4</v>
      </c>
      <c r="AG70" s="228">
        <v>8.8000000000000007</v>
      </c>
      <c r="AH70" s="228">
        <v>15.2</v>
      </c>
      <c r="AI70" s="228">
        <v>-6.4</v>
      </c>
      <c r="AJ70" s="229">
        <v>3.8999999999999998E-3</v>
      </c>
      <c r="AK70" s="228">
        <v>20.3</v>
      </c>
      <c r="AL70" s="228">
        <v>29.4</v>
      </c>
      <c r="AM70" s="228">
        <v>-9.1</v>
      </c>
      <c r="AN70" s="229">
        <v>9.1000000000000004E-3</v>
      </c>
      <c r="AO70" s="231">
        <v>2232.63</v>
      </c>
      <c r="AP70" s="231">
        <v>2246.13</v>
      </c>
      <c r="AQ70" s="228">
        <v>0</v>
      </c>
      <c r="AR70" s="230">
        <v>670125</v>
      </c>
      <c r="AS70" s="230">
        <v>774750</v>
      </c>
      <c r="AT70" s="230">
        <v>-104625</v>
      </c>
      <c r="AU70" s="229">
        <v>-0.13500000000000001</v>
      </c>
      <c r="AV70" s="230">
        <v>591375</v>
      </c>
      <c r="AW70" s="230">
        <v>711750</v>
      </c>
      <c r="AX70" s="230">
        <v>-120375</v>
      </c>
      <c r="AY70" s="229">
        <v>-0.1691</v>
      </c>
      <c r="AZ70" s="230">
        <v>76875</v>
      </c>
      <c r="BA70" s="230">
        <v>60375</v>
      </c>
      <c r="BB70" s="230">
        <v>16500</v>
      </c>
      <c r="BC70" s="229">
        <v>0.27329999999999999</v>
      </c>
      <c r="BD70" s="230">
        <v>1875</v>
      </c>
      <c r="BE70" s="230">
        <v>2625</v>
      </c>
      <c r="BF70" s="228">
        <v>-750</v>
      </c>
      <c r="BG70" s="229">
        <v>-0.28570000000000001</v>
      </c>
      <c r="BH70" s="230">
        <v>2899500</v>
      </c>
      <c r="BI70" s="230">
        <v>4390500</v>
      </c>
      <c r="BJ70" s="230">
        <v>-1491000</v>
      </c>
      <c r="BK70" s="229">
        <v>-0.33960000000000001</v>
      </c>
      <c r="BL70" s="230">
        <v>2242500</v>
      </c>
      <c r="BM70" s="230">
        <v>1407375</v>
      </c>
      <c r="BN70" s="230">
        <v>835125</v>
      </c>
      <c r="BO70" s="229">
        <v>0.59340000000000004</v>
      </c>
      <c r="BP70" s="230">
        <v>5812125</v>
      </c>
      <c r="BQ70" s="230">
        <v>6572625</v>
      </c>
      <c r="BR70" s="230">
        <v>-760500</v>
      </c>
      <c r="BS70" s="229">
        <v>-0.1157</v>
      </c>
      <c r="BT70" s="230">
        <v>422289</v>
      </c>
      <c r="BU70" s="230">
        <v>383534</v>
      </c>
      <c r="BV70" s="230">
        <v>38755</v>
      </c>
      <c r="BW70" s="229">
        <v>0.10100000000000001</v>
      </c>
      <c r="BX70" s="230">
        <v>10115625</v>
      </c>
      <c r="BY70" s="230">
        <v>10236000</v>
      </c>
      <c r="BZ70" s="230">
        <v>-120375</v>
      </c>
      <c r="CA70" s="229">
        <v>-1.18E-2</v>
      </c>
      <c r="CB70" s="230">
        <v>9973125</v>
      </c>
      <c r="CC70" s="230">
        <v>10109250</v>
      </c>
      <c r="CD70" s="230">
        <v>-136125</v>
      </c>
      <c r="CE70" s="229">
        <v>-1.35E-2</v>
      </c>
      <c r="CF70" s="230">
        <v>131250</v>
      </c>
      <c r="CG70" s="230">
        <v>116250</v>
      </c>
      <c r="CH70" s="230">
        <v>15000</v>
      </c>
      <c r="CI70" s="229">
        <v>0.129</v>
      </c>
      <c r="CJ70" s="230">
        <v>11250</v>
      </c>
      <c r="CK70" s="230">
        <v>10500</v>
      </c>
      <c r="CL70" s="228">
        <v>750</v>
      </c>
      <c r="CM70" s="229">
        <v>7.1400000000000005E-2</v>
      </c>
      <c r="CN70" s="230">
        <v>2337375</v>
      </c>
      <c r="CO70" s="230">
        <v>2390625</v>
      </c>
      <c r="CP70" s="230">
        <v>-53250</v>
      </c>
      <c r="CQ70" s="229">
        <v>-2.23E-2</v>
      </c>
      <c r="CR70" s="230">
        <v>1208625</v>
      </c>
      <c r="CS70" s="230">
        <v>1211625</v>
      </c>
      <c r="CT70" s="230">
        <v>-3000</v>
      </c>
      <c r="CU70" s="229">
        <v>-2.5000000000000001E-3</v>
      </c>
      <c r="CV70" s="230">
        <v>13661625</v>
      </c>
      <c r="CW70" s="230">
        <v>13838250</v>
      </c>
      <c r="CX70" s="230">
        <v>-176625</v>
      </c>
      <c r="CY70" s="229">
        <v>-1.2800000000000001E-2</v>
      </c>
      <c r="CZ70" s="228">
        <v>40.69</v>
      </c>
      <c r="DA70" s="228">
        <v>34.18</v>
      </c>
      <c r="DB70" s="228">
        <v>6.51</v>
      </c>
      <c r="DC70" s="228">
        <v>6.51</v>
      </c>
      <c r="DD70" s="228">
        <v>35.979999999999997</v>
      </c>
      <c r="DE70" s="228">
        <v>36.049999999999997</v>
      </c>
      <c r="DF70" s="228">
        <v>4.71</v>
      </c>
      <c r="DG70" s="228">
        <v>-7.0000000000000007E-2</v>
      </c>
      <c r="DH70" s="228">
        <v>37.79</v>
      </c>
      <c r="DI70" s="228">
        <v>33.979999999999997</v>
      </c>
      <c r="DJ70" s="228">
        <v>3.81</v>
      </c>
      <c r="DK70" s="228">
        <v>3.81</v>
      </c>
      <c r="DL70" s="228">
        <v>44.45</v>
      </c>
      <c r="DM70" s="228">
        <v>34.79</v>
      </c>
      <c r="DN70" s="228">
        <v>9.66</v>
      </c>
      <c r="DO70" s="228">
        <v>9.66</v>
      </c>
      <c r="DP70" s="228">
        <v>0.52</v>
      </c>
      <c r="DQ70" s="228">
        <v>0.51</v>
      </c>
      <c r="DR70" s="228">
        <v>0.01</v>
      </c>
      <c r="DS70" s="229">
        <v>1.9599999999999999E-2</v>
      </c>
      <c r="DT70" s="231">
        <v>2400</v>
      </c>
      <c r="DU70" s="231">
        <v>2100</v>
      </c>
      <c r="DV70" s="228">
        <v>0.77</v>
      </c>
      <c r="DW70" s="228">
        <v>0.32</v>
      </c>
      <c r="DX70" s="228">
        <v>0.45</v>
      </c>
      <c r="DY70" s="229">
        <v>1.4063000000000001</v>
      </c>
      <c r="DZ70" s="229">
        <v>1.41E-2</v>
      </c>
      <c r="EA70" s="230">
        <v>126750</v>
      </c>
      <c r="EB70" s="229">
        <v>4.7000000000000002E-3</v>
      </c>
      <c r="EC70" s="229">
        <v>1.41E-2</v>
      </c>
      <c r="ED70" s="228">
        <v>13.5</v>
      </c>
      <c r="EE70" s="229">
        <v>6.0000000000000001E-3</v>
      </c>
      <c r="EF70" s="230">
        <v>243677</v>
      </c>
      <c r="EG70" s="230">
        <v>191009</v>
      </c>
      <c r="EH70" s="229">
        <v>0.2757</v>
      </c>
      <c r="EI70" s="229">
        <v>0.57699999999999996</v>
      </c>
      <c r="EJ70" s="231">
        <v>68335.61</v>
      </c>
      <c r="EK70" s="231">
        <v>45558.43</v>
      </c>
      <c r="EL70" s="231">
        <v>14972.22</v>
      </c>
      <c r="EM70" s="231">
        <v>2560</v>
      </c>
      <c r="EN70" s="231">
        <v>128866.26</v>
      </c>
      <c r="EO70" s="231">
        <v>152534.04999999999</v>
      </c>
      <c r="EP70" s="231">
        <v>-23667.79</v>
      </c>
      <c r="EQ70" s="229">
        <v>-0.1552</v>
      </c>
      <c r="ER70" s="231">
        <v>53507</v>
      </c>
      <c r="ES70" s="231">
        <v>25266</v>
      </c>
      <c r="ET70" s="231">
        <v>225504</v>
      </c>
      <c r="EU70" s="231">
        <v>15844372</v>
      </c>
      <c r="EV70" s="231">
        <v>304276</v>
      </c>
      <c r="EW70" s="231">
        <v>310811</v>
      </c>
      <c r="EX70" s="231">
        <v>-6535</v>
      </c>
      <c r="EY70" s="229">
        <v>-2.1000000000000001E-2</v>
      </c>
      <c r="EZ70" s="229">
        <v>0.86219999999999997</v>
      </c>
      <c r="FA70" s="227" t="s">
        <v>567</v>
      </c>
      <c r="FB70" s="161">
        <f t="shared" si="1"/>
        <v>142500</v>
      </c>
    </row>
    <row r="71" spans="1:158" ht="17.25" thickBot="1" x14ac:dyDescent="0.3">
      <c r="A71" s="226">
        <v>46132</v>
      </c>
      <c r="B71" s="227" t="s">
        <v>215</v>
      </c>
      <c r="C71" s="227" t="s">
        <v>630</v>
      </c>
      <c r="D71" s="228">
        <v>6975</v>
      </c>
      <c r="E71" s="228">
        <v>97.39</v>
      </c>
      <c r="F71" s="228">
        <v>97.16</v>
      </c>
      <c r="G71" s="228">
        <v>0.23</v>
      </c>
      <c r="H71" s="229">
        <v>2.3999999999999998E-3</v>
      </c>
      <c r="I71" s="228">
        <v>97.45</v>
      </c>
      <c r="J71" s="228">
        <v>96.85</v>
      </c>
      <c r="K71" s="228">
        <v>0.6</v>
      </c>
      <c r="L71" s="229">
        <v>6.1999999999999998E-3</v>
      </c>
      <c r="M71" s="228">
        <v>97.39</v>
      </c>
      <c r="N71" s="228">
        <v>97.16</v>
      </c>
      <c r="O71" s="228">
        <v>0.23</v>
      </c>
      <c r="P71" s="229">
        <v>2.3999999999999998E-3</v>
      </c>
      <c r="Q71" s="228">
        <v>97.99</v>
      </c>
      <c r="R71" s="228">
        <v>97.64</v>
      </c>
      <c r="S71" s="228">
        <v>0.35</v>
      </c>
      <c r="T71" s="229">
        <v>3.5999999999999999E-3</v>
      </c>
      <c r="U71" s="228">
        <v>98.48</v>
      </c>
      <c r="V71" s="228">
        <v>98.29</v>
      </c>
      <c r="W71" s="228">
        <v>0.19</v>
      </c>
      <c r="X71" s="229">
        <v>1.9E-3</v>
      </c>
      <c r="Y71" s="228">
        <v>-0.06</v>
      </c>
      <c r="Z71" s="228">
        <v>0.31</v>
      </c>
      <c r="AA71" s="228">
        <v>-0.37</v>
      </c>
      <c r="AB71" s="229">
        <v>-5.9999999999999995E-4</v>
      </c>
      <c r="AC71" s="228">
        <v>-0.06</v>
      </c>
      <c r="AD71" s="228">
        <v>0.31</v>
      </c>
      <c r="AE71" s="228">
        <v>-0.37</v>
      </c>
      <c r="AF71" s="229">
        <v>-5.9999999999999995E-4</v>
      </c>
      <c r="AG71" s="228">
        <v>0.54</v>
      </c>
      <c r="AH71" s="228">
        <v>0.79</v>
      </c>
      <c r="AI71" s="228">
        <v>-0.25</v>
      </c>
      <c r="AJ71" s="229">
        <v>5.4999999999999997E-3</v>
      </c>
      <c r="AK71" s="228">
        <v>1.03</v>
      </c>
      <c r="AL71" s="228">
        <v>1.44</v>
      </c>
      <c r="AM71" s="228">
        <v>-0.41</v>
      </c>
      <c r="AN71" s="229">
        <v>1.06E-2</v>
      </c>
      <c r="AO71" s="228">
        <v>97.58</v>
      </c>
      <c r="AP71" s="228">
        <v>98.2</v>
      </c>
      <c r="AQ71" s="228">
        <v>0</v>
      </c>
      <c r="AR71" s="230">
        <v>18295425</v>
      </c>
      <c r="AS71" s="230">
        <v>22724550</v>
      </c>
      <c r="AT71" s="230">
        <v>-4429125</v>
      </c>
      <c r="AU71" s="229">
        <v>-0.19489999999999999</v>
      </c>
      <c r="AV71" s="230">
        <v>14194125</v>
      </c>
      <c r="AW71" s="230">
        <v>15400800</v>
      </c>
      <c r="AX71" s="230">
        <v>-1206675</v>
      </c>
      <c r="AY71" s="229">
        <v>-7.8399999999999997E-2</v>
      </c>
      <c r="AZ71" s="230">
        <v>3613050</v>
      </c>
      <c r="BA71" s="230">
        <v>2873700</v>
      </c>
      <c r="BB71" s="230">
        <v>739350</v>
      </c>
      <c r="BC71" s="229">
        <v>0.25729999999999997</v>
      </c>
      <c r="BD71" s="230">
        <v>488250</v>
      </c>
      <c r="BE71" s="230">
        <v>4450050</v>
      </c>
      <c r="BF71" s="230">
        <v>-3961800</v>
      </c>
      <c r="BG71" s="229">
        <v>-0.89029999999999998</v>
      </c>
      <c r="BH71" s="230">
        <v>59329350</v>
      </c>
      <c r="BI71" s="230">
        <v>25856325</v>
      </c>
      <c r="BJ71" s="230">
        <v>33473025</v>
      </c>
      <c r="BK71" s="229">
        <v>1.2946</v>
      </c>
      <c r="BL71" s="230">
        <v>21448125</v>
      </c>
      <c r="BM71" s="230">
        <v>13001400</v>
      </c>
      <c r="BN71" s="230">
        <v>8446725</v>
      </c>
      <c r="BO71" s="229">
        <v>0.64970000000000006</v>
      </c>
      <c r="BP71" s="230">
        <v>99072900</v>
      </c>
      <c r="BQ71" s="230">
        <v>61582275</v>
      </c>
      <c r="BR71" s="230">
        <v>37490625</v>
      </c>
      <c r="BS71" s="229">
        <v>0.60880000000000001</v>
      </c>
      <c r="BT71" s="230">
        <v>10712271</v>
      </c>
      <c r="BU71" s="230">
        <v>11386763</v>
      </c>
      <c r="BV71" s="230">
        <v>-674492</v>
      </c>
      <c r="BW71" s="229">
        <v>-5.9200000000000003E-2</v>
      </c>
      <c r="BX71" s="230">
        <v>134917425</v>
      </c>
      <c r="BY71" s="230">
        <v>134526825</v>
      </c>
      <c r="BZ71" s="230">
        <v>390600</v>
      </c>
      <c r="CA71" s="229">
        <v>2.8999999999999998E-3</v>
      </c>
      <c r="CB71" s="230">
        <v>121992750</v>
      </c>
      <c r="CC71" s="230">
        <v>123192450</v>
      </c>
      <c r="CD71" s="230">
        <v>-1199700</v>
      </c>
      <c r="CE71" s="229">
        <v>-9.7000000000000003E-3</v>
      </c>
      <c r="CF71" s="230">
        <v>7693425</v>
      </c>
      <c r="CG71" s="230">
        <v>6319350</v>
      </c>
      <c r="CH71" s="230">
        <v>1374075</v>
      </c>
      <c r="CI71" s="229">
        <v>0.21740000000000001</v>
      </c>
      <c r="CJ71" s="230">
        <v>5231250</v>
      </c>
      <c r="CK71" s="230">
        <v>5015025</v>
      </c>
      <c r="CL71" s="230">
        <v>216225</v>
      </c>
      <c r="CM71" s="229">
        <v>4.3099999999999999E-2</v>
      </c>
      <c r="CN71" s="230">
        <v>46181475</v>
      </c>
      <c r="CO71" s="230">
        <v>39011175</v>
      </c>
      <c r="CP71" s="230">
        <v>7170300</v>
      </c>
      <c r="CQ71" s="229">
        <v>0.18379999999999999</v>
      </c>
      <c r="CR71" s="230">
        <v>30780675</v>
      </c>
      <c r="CS71" s="230">
        <v>29162475</v>
      </c>
      <c r="CT71" s="230">
        <v>1618200</v>
      </c>
      <c r="CU71" s="229">
        <v>5.5500000000000001E-2</v>
      </c>
      <c r="CV71" s="230">
        <v>211879575</v>
      </c>
      <c r="CW71" s="230">
        <v>202700475</v>
      </c>
      <c r="CX71" s="230">
        <v>9179100</v>
      </c>
      <c r="CY71" s="229">
        <v>4.53E-2</v>
      </c>
      <c r="CZ71" s="228">
        <v>42.42</v>
      </c>
      <c r="DA71" s="228">
        <v>37.369999999999997</v>
      </c>
      <c r="DB71" s="228">
        <v>5.05</v>
      </c>
      <c r="DC71" s="228">
        <v>5.05</v>
      </c>
      <c r="DD71" s="228">
        <v>41.42</v>
      </c>
      <c r="DE71" s="228">
        <v>41.52</v>
      </c>
      <c r="DF71" s="228">
        <v>1</v>
      </c>
      <c r="DG71" s="228">
        <v>-0.1</v>
      </c>
      <c r="DH71" s="228">
        <v>42.49</v>
      </c>
      <c r="DI71" s="228">
        <v>36.799999999999997</v>
      </c>
      <c r="DJ71" s="228">
        <v>5.69</v>
      </c>
      <c r="DK71" s="228">
        <v>5.69</v>
      </c>
      <c r="DL71" s="228">
        <v>42.24</v>
      </c>
      <c r="DM71" s="228">
        <v>38.5</v>
      </c>
      <c r="DN71" s="228">
        <v>3.74</v>
      </c>
      <c r="DO71" s="228">
        <v>3.74</v>
      </c>
      <c r="DP71" s="228">
        <v>0.67</v>
      </c>
      <c r="DQ71" s="228">
        <v>0.75</v>
      </c>
      <c r="DR71" s="228">
        <v>-0.08</v>
      </c>
      <c r="DS71" s="229">
        <v>-0.1067</v>
      </c>
      <c r="DT71" s="228">
        <v>100</v>
      </c>
      <c r="DU71" s="228">
        <v>95</v>
      </c>
      <c r="DV71" s="228">
        <v>0.36</v>
      </c>
      <c r="DW71" s="228">
        <v>0.5</v>
      </c>
      <c r="DX71" s="228">
        <v>-0.14000000000000001</v>
      </c>
      <c r="DY71" s="229">
        <v>-0.28000000000000003</v>
      </c>
      <c r="DZ71" s="229">
        <v>9.5799999999999996E-2</v>
      </c>
      <c r="EA71" s="230">
        <v>11334375</v>
      </c>
      <c r="EB71" s="229">
        <v>6.1999999999999998E-3</v>
      </c>
      <c r="EC71" s="229">
        <v>9.5799999999999996E-2</v>
      </c>
      <c r="ED71" s="228">
        <v>0.62</v>
      </c>
      <c r="EE71" s="229">
        <v>6.4000000000000003E-3</v>
      </c>
      <c r="EF71" s="230">
        <v>5255300</v>
      </c>
      <c r="EG71" s="230">
        <v>6716307</v>
      </c>
      <c r="EH71" s="229">
        <v>-0.2175</v>
      </c>
      <c r="EI71" s="229">
        <v>0.49059999999999998</v>
      </c>
      <c r="EJ71" s="231">
        <v>60775.94</v>
      </c>
      <c r="EK71" s="231">
        <v>20650.71</v>
      </c>
      <c r="EL71" s="231">
        <v>17877.439999999999</v>
      </c>
      <c r="EM71" s="231">
        <v>2847</v>
      </c>
      <c r="EN71" s="231">
        <v>99304.09</v>
      </c>
      <c r="EO71" s="231">
        <v>61156.02</v>
      </c>
      <c r="EP71" s="231">
        <v>38148.07</v>
      </c>
      <c r="EQ71" s="229">
        <v>0.62380000000000002</v>
      </c>
      <c r="ER71" s="231">
        <v>45769</v>
      </c>
      <c r="ES71" s="231">
        <v>28298</v>
      </c>
      <c r="ET71" s="231">
        <v>131499</v>
      </c>
      <c r="EU71" s="231">
        <v>534704421</v>
      </c>
      <c r="EV71" s="231">
        <v>205566</v>
      </c>
      <c r="EW71" s="231">
        <v>196060</v>
      </c>
      <c r="EX71" s="231">
        <v>9506</v>
      </c>
      <c r="EY71" s="229">
        <v>4.8500000000000001E-2</v>
      </c>
      <c r="EZ71" s="229">
        <v>0.39629999999999999</v>
      </c>
      <c r="FA71" s="227" t="s">
        <v>555</v>
      </c>
      <c r="FB71" s="161">
        <f t="shared" si="1"/>
        <v>12924675</v>
      </c>
    </row>
    <row r="72" spans="1:158" ht="17.25" thickBot="1" x14ac:dyDescent="0.3">
      <c r="A72" s="226">
        <v>46132</v>
      </c>
      <c r="B72" s="227" t="s">
        <v>168</v>
      </c>
      <c r="C72" s="227" t="s">
        <v>699</v>
      </c>
      <c r="D72" s="228">
        <v>275</v>
      </c>
      <c r="E72" s="231">
        <v>2130.8000000000002</v>
      </c>
      <c r="F72" s="231">
        <v>2184.1999999999998</v>
      </c>
      <c r="G72" s="228">
        <v>-53.4</v>
      </c>
      <c r="H72" s="229">
        <v>-2.4400000000000002E-2</v>
      </c>
      <c r="I72" s="231">
        <v>2137.8000000000002</v>
      </c>
      <c r="J72" s="231">
        <v>2207.6999999999998</v>
      </c>
      <c r="K72" s="228">
        <v>-69.900000000000006</v>
      </c>
      <c r="L72" s="229">
        <v>-3.1699999999999999E-2</v>
      </c>
      <c r="M72" s="231">
        <v>2130.8000000000002</v>
      </c>
      <c r="N72" s="231">
        <v>2184.1999999999998</v>
      </c>
      <c r="O72" s="228">
        <v>-53.4</v>
      </c>
      <c r="P72" s="229">
        <v>-2.4400000000000002E-2</v>
      </c>
      <c r="Q72" s="231">
        <v>2113.1999999999998</v>
      </c>
      <c r="R72" s="231">
        <v>2170.1999999999998</v>
      </c>
      <c r="S72" s="228">
        <v>-57</v>
      </c>
      <c r="T72" s="229">
        <v>-2.63E-2</v>
      </c>
      <c r="U72" s="231">
        <v>2106.8000000000002</v>
      </c>
      <c r="V72" s="231">
        <v>2164.4</v>
      </c>
      <c r="W72" s="228">
        <v>-57.6</v>
      </c>
      <c r="X72" s="229">
        <v>-2.6599999999999999E-2</v>
      </c>
      <c r="Y72" s="228">
        <v>-7</v>
      </c>
      <c r="Z72" s="228">
        <v>-23.5</v>
      </c>
      <c r="AA72" s="228">
        <v>16.5</v>
      </c>
      <c r="AB72" s="229">
        <v>-3.3E-3</v>
      </c>
      <c r="AC72" s="228">
        <v>-7</v>
      </c>
      <c r="AD72" s="228">
        <v>-23.5</v>
      </c>
      <c r="AE72" s="228">
        <v>16.5</v>
      </c>
      <c r="AF72" s="229">
        <v>-3.3E-3</v>
      </c>
      <c r="AG72" s="228">
        <v>-24.6</v>
      </c>
      <c r="AH72" s="228">
        <v>-37.5</v>
      </c>
      <c r="AI72" s="228">
        <v>12.9</v>
      </c>
      <c r="AJ72" s="229">
        <v>-1.15E-2</v>
      </c>
      <c r="AK72" s="228">
        <v>-31</v>
      </c>
      <c r="AL72" s="228">
        <v>-43.3</v>
      </c>
      <c r="AM72" s="228">
        <v>12.3</v>
      </c>
      <c r="AN72" s="229">
        <v>-1.4500000000000001E-2</v>
      </c>
      <c r="AO72" s="231">
        <v>2158.61</v>
      </c>
      <c r="AP72" s="231">
        <v>2129.87</v>
      </c>
      <c r="AQ72" s="228">
        <v>0</v>
      </c>
      <c r="AR72" s="230">
        <v>509025</v>
      </c>
      <c r="AS72" s="230">
        <v>1638175</v>
      </c>
      <c r="AT72" s="230">
        <v>-1129150</v>
      </c>
      <c r="AU72" s="229">
        <v>-0.68930000000000002</v>
      </c>
      <c r="AV72" s="230">
        <v>389125</v>
      </c>
      <c r="AW72" s="230">
        <v>1337875</v>
      </c>
      <c r="AX72" s="230">
        <v>-948750</v>
      </c>
      <c r="AY72" s="229">
        <v>-0.70909999999999995</v>
      </c>
      <c r="AZ72" s="230">
        <v>113850</v>
      </c>
      <c r="BA72" s="230">
        <v>278025</v>
      </c>
      <c r="BB72" s="230">
        <v>-164175</v>
      </c>
      <c r="BC72" s="229">
        <v>-0.59050000000000002</v>
      </c>
      <c r="BD72" s="230">
        <v>6050</v>
      </c>
      <c r="BE72" s="230">
        <v>22275</v>
      </c>
      <c r="BF72" s="230">
        <v>-16225</v>
      </c>
      <c r="BG72" s="229">
        <v>-0.72840000000000005</v>
      </c>
      <c r="BH72" s="230">
        <v>1440175</v>
      </c>
      <c r="BI72" s="230">
        <v>6152025</v>
      </c>
      <c r="BJ72" s="230">
        <v>-4711850</v>
      </c>
      <c r="BK72" s="229">
        <v>-0.76590000000000003</v>
      </c>
      <c r="BL72" s="230">
        <v>414975</v>
      </c>
      <c r="BM72" s="230">
        <v>1490775</v>
      </c>
      <c r="BN72" s="230">
        <v>-1075800</v>
      </c>
      <c r="BO72" s="229">
        <v>-0.72160000000000002</v>
      </c>
      <c r="BP72" s="230">
        <v>2364175</v>
      </c>
      <c r="BQ72" s="230">
        <v>9280975</v>
      </c>
      <c r="BR72" s="230">
        <v>-6916800</v>
      </c>
      <c r="BS72" s="229">
        <v>-0.74529999999999996</v>
      </c>
      <c r="BT72" s="230">
        <v>997337</v>
      </c>
      <c r="BU72" s="230">
        <v>3764966</v>
      </c>
      <c r="BV72" s="230">
        <v>-2767629</v>
      </c>
      <c r="BW72" s="229">
        <v>-0.73509999999999998</v>
      </c>
      <c r="BX72" s="230">
        <v>1365650</v>
      </c>
      <c r="BY72" s="230">
        <v>1298275</v>
      </c>
      <c r="BZ72" s="230">
        <v>67375</v>
      </c>
      <c r="CA72" s="229">
        <v>5.1900000000000002E-2</v>
      </c>
      <c r="CB72" s="230">
        <v>1065075</v>
      </c>
      <c r="CC72" s="230">
        <v>1071950</v>
      </c>
      <c r="CD72" s="230">
        <v>-6875</v>
      </c>
      <c r="CE72" s="229">
        <v>-6.4000000000000003E-3</v>
      </c>
      <c r="CF72" s="230">
        <v>271150</v>
      </c>
      <c r="CG72" s="230">
        <v>200750</v>
      </c>
      <c r="CH72" s="230">
        <v>70400</v>
      </c>
      <c r="CI72" s="229">
        <v>0.35070000000000001</v>
      </c>
      <c r="CJ72" s="230">
        <v>29425</v>
      </c>
      <c r="CK72" s="230">
        <v>25575</v>
      </c>
      <c r="CL72" s="230">
        <v>3850</v>
      </c>
      <c r="CM72" s="229">
        <v>0.15049999999999999</v>
      </c>
      <c r="CN72" s="230">
        <v>934450</v>
      </c>
      <c r="CO72" s="230">
        <v>920975</v>
      </c>
      <c r="CP72" s="230">
        <v>13475</v>
      </c>
      <c r="CQ72" s="229">
        <v>1.46E-2</v>
      </c>
      <c r="CR72" s="230">
        <v>374000</v>
      </c>
      <c r="CS72" s="230">
        <v>394900</v>
      </c>
      <c r="CT72" s="230">
        <v>-20900</v>
      </c>
      <c r="CU72" s="229">
        <v>-5.2900000000000003E-2</v>
      </c>
      <c r="CV72" s="230">
        <v>2674100</v>
      </c>
      <c r="CW72" s="230">
        <v>2614150</v>
      </c>
      <c r="CX72" s="230">
        <v>59950</v>
      </c>
      <c r="CY72" s="229">
        <v>2.29E-2</v>
      </c>
      <c r="CZ72" s="228">
        <v>60.21</v>
      </c>
      <c r="DA72" s="228">
        <v>58.05</v>
      </c>
      <c r="DB72" s="228">
        <v>2.16</v>
      </c>
      <c r="DC72" s="228">
        <v>2.16</v>
      </c>
      <c r="DD72" s="228">
        <v>71.23</v>
      </c>
      <c r="DE72" s="228">
        <v>71.28</v>
      </c>
      <c r="DF72" s="228">
        <v>-11.02</v>
      </c>
      <c r="DG72" s="228">
        <v>-0.05</v>
      </c>
      <c r="DH72" s="228">
        <v>60.17</v>
      </c>
      <c r="DI72" s="228">
        <v>57.9</v>
      </c>
      <c r="DJ72" s="228">
        <v>2.27</v>
      </c>
      <c r="DK72" s="228">
        <v>2.27</v>
      </c>
      <c r="DL72" s="228">
        <v>60.38</v>
      </c>
      <c r="DM72" s="228">
        <v>58.66</v>
      </c>
      <c r="DN72" s="228">
        <v>1.72</v>
      </c>
      <c r="DO72" s="228">
        <v>1.72</v>
      </c>
      <c r="DP72" s="228">
        <v>0.4</v>
      </c>
      <c r="DQ72" s="228">
        <v>0.43</v>
      </c>
      <c r="DR72" s="228">
        <v>-0.03</v>
      </c>
      <c r="DS72" s="229">
        <v>-6.9800000000000001E-2</v>
      </c>
      <c r="DT72" s="231">
        <v>2300</v>
      </c>
      <c r="DU72" s="231">
        <v>2100</v>
      </c>
      <c r="DV72" s="228">
        <v>0.28999999999999998</v>
      </c>
      <c r="DW72" s="228">
        <v>0.24</v>
      </c>
      <c r="DX72" s="228">
        <v>0.05</v>
      </c>
      <c r="DY72" s="229">
        <v>0.20830000000000001</v>
      </c>
      <c r="DZ72" s="229">
        <v>0.22009999999999999</v>
      </c>
      <c r="EA72" s="230">
        <v>226325</v>
      </c>
      <c r="EB72" s="229">
        <v>-8.3000000000000001E-3</v>
      </c>
      <c r="EC72" s="229">
        <v>0.22009999999999999</v>
      </c>
      <c r="ED72" s="228">
        <v>-28.74</v>
      </c>
      <c r="EE72" s="229">
        <v>-1.3299999999999999E-2</v>
      </c>
      <c r="EF72" s="230">
        <v>369555</v>
      </c>
      <c r="EG72" s="230">
        <v>782089</v>
      </c>
      <c r="EH72" s="229">
        <v>-0.52749999999999997</v>
      </c>
      <c r="EI72" s="229">
        <v>0.3705</v>
      </c>
      <c r="EJ72" s="231">
        <v>33337.93</v>
      </c>
      <c r="EK72" s="231">
        <v>8686.2999999999993</v>
      </c>
      <c r="EL72" s="231">
        <v>10953.45</v>
      </c>
      <c r="EM72" s="231">
        <v>2898</v>
      </c>
      <c r="EN72" s="231">
        <v>52977.68</v>
      </c>
      <c r="EO72" s="231">
        <v>212279.44</v>
      </c>
      <c r="EP72" s="231">
        <v>-159301.76000000001</v>
      </c>
      <c r="EQ72" s="229">
        <v>-0.75039999999999996</v>
      </c>
      <c r="ER72" s="231">
        <v>20992</v>
      </c>
      <c r="ES72" s="231">
        <v>7717</v>
      </c>
      <c r="ET72" s="231">
        <v>29044</v>
      </c>
      <c r="EU72" s="231">
        <v>6329596</v>
      </c>
      <c r="EV72" s="231">
        <v>57753</v>
      </c>
      <c r="EW72" s="231">
        <v>57105</v>
      </c>
      <c r="EX72" s="228">
        <v>648</v>
      </c>
      <c r="EY72" s="229">
        <v>1.1299999999999999E-2</v>
      </c>
      <c r="EZ72" s="229">
        <v>0.42249999999999999</v>
      </c>
      <c r="FA72" s="227" t="s">
        <v>566</v>
      </c>
      <c r="FB72" s="161">
        <f t="shared" si="1"/>
        <v>300575</v>
      </c>
    </row>
    <row r="73" spans="1:158" ht="17.25" thickBot="1" x14ac:dyDescent="0.3">
      <c r="A73" s="226">
        <v>46132</v>
      </c>
      <c r="B73" s="227" t="s">
        <v>168</v>
      </c>
      <c r="C73" s="227" t="s">
        <v>217</v>
      </c>
      <c r="D73" s="228">
        <v>500</v>
      </c>
      <c r="E73" s="231">
        <v>1105.5999999999999</v>
      </c>
      <c r="F73" s="231">
        <v>1112.6500000000001</v>
      </c>
      <c r="G73" s="228">
        <v>-7.05</v>
      </c>
      <c r="H73" s="229">
        <v>-6.3E-3</v>
      </c>
      <c r="I73" s="231">
        <v>1104.8</v>
      </c>
      <c r="J73" s="231">
        <v>1109.4000000000001</v>
      </c>
      <c r="K73" s="228">
        <v>-4.5999999999999996</v>
      </c>
      <c r="L73" s="229">
        <v>-4.1000000000000003E-3</v>
      </c>
      <c r="M73" s="231">
        <v>1105.5999999999999</v>
      </c>
      <c r="N73" s="231">
        <v>1112.6500000000001</v>
      </c>
      <c r="O73" s="228">
        <v>-7.05</v>
      </c>
      <c r="P73" s="229">
        <v>-6.3E-3</v>
      </c>
      <c r="Q73" s="231">
        <v>1106.5999999999999</v>
      </c>
      <c r="R73" s="231">
        <v>1113.5999999999999</v>
      </c>
      <c r="S73" s="228">
        <v>-7</v>
      </c>
      <c r="T73" s="229">
        <v>-6.3E-3</v>
      </c>
      <c r="U73" s="231">
        <v>1113.2</v>
      </c>
      <c r="V73" s="231">
        <v>1120.9000000000001</v>
      </c>
      <c r="W73" s="228">
        <v>-7.7</v>
      </c>
      <c r="X73" s="229">
        <v>-6.8999999999999999E-3</v>
      </c>
      <c r="Y73" s="228">
        <v>0.8</v>
      </c>
      <c r="Z73" s="228">
        <v>3.25</v>
      </c>
      <c r="AA73" s="228">
        <v>-2.4500000000000002</v>
      </c>
      <c r="AB73" s="229">
        <v>6.9999999999999999E-4</v>
      </c>
      <c r="AC73" s="228">
        <v>0.8</v>
      </c>
      <c r="AD73" s="228">
        <v>3.25</v>
      </c>
      <c r="AE73" s="228">
        <v>-2.4500000000000002</v>
      </c>
      <c r="AF73" s="229">
        <v>6.9999999999999999E-4</v>
      </c>
      <c r="AG73" s="228">
        <v>1.8</v>
      </c>
      <c r="AH73" s="228">
        <v>4.2</v>
      </c>
      <c r="AI73" s="228">
        <v>-2.4</v>
      </c>
      <c r="AJ73" s="229">
        <v>1.6000000000000001E-3</v>
      </c>
      <c r="AK73" s="228">
        <v>8.4</v>
      </c>
      <c r="AL73" s="228">
        <v>11.5</v>
      </c>
      <c r="AM73" s="228">
        <v>-3.1</v>
      </c>
      <c r="AN73" s="229">
        <v>7.6E-3</v>
      </c>
      <c r="AO73" s="231">
        <v>1110.42</v>
      </c>
      <c r="AP73" s="231">
        <v>1111.48</v>
      </c>
      <c r="AQ73" s="228">
        <v>0</v>
      </c>
      <c r="AR73" s="230">
        <v>1010500</v>
      </c>
      <c r="AS73" s="230">
        <v>3853000</v>
      </c>
      <c r="AT73" s="230">
        <v>-2842500</v>
      </c>
      <c r="AU73" s="229">
        <v>-0.73770000000000002</v>
      </c>
      <c r="AV73" s="230">
        <v>901500</v>
      </c>
      <c r="AW73" s="230">
        <v>3064000</v>
      </c>
      <c r="AX73" s="230">
        <v>-2162500</v>
      </c>
      <c r="AY73" s="229">
        <v>-0.70579999999999998</v>
      </c>
      <c r="AZ73" s="230">
        <v>95500</v>
      </c>
      <c r="BA73" s="230">
        <v>180500</v>
      </c>
      <c r="BB73" s="230">
        <v>-85000</v>
      </c>
      <c r="BC73" s="229">
        <v>-0.47089999999999999</v>
      </c>
      <c r="BD73" s="230">
        <v>13500</v>
      </c>
      <c r="BE73" s="230">
        <v>608500</v>
      </c>
      <c r="BF73" s="230">
        <v>-595000</v>
      </c>
      <c r="BG73" s="229">
        <v>-0.9778</v>
      </c>
      <c r="BH73" s="230">
        <v>1282500</v>
      </c>
      <c r="BI73" s="230">
        <v>4474000</v>
      </c>
      <c r="BJ73" s="230">
        <v>-3191500</v>
      </c>
      <c r="BK73" s="229">
        <v>-0.71330000000000005</v>
      </c>
      <c r="BL73" s="230">
        <v>449500</v>
      </c>
      <c r="BM73" s="230">
        <v>1620500</v>
      </c>
      <c r="BN73" s="230">
        <v>-1171000</v>
      </c>
      <c r="BO73" s="229">
        <v>-0.72260000000000002</v>
      </c>
      <c r="BP73" s="230">
        <v>2742500</v>
      </c>
      <c r="BQ73" s="230">
        <v>9947500</v>
      </c>
      <c r="BR73" s="230">
        <v>-7205000</v>
      </c>
      <c r="BS73" s="229">
        <v>-0.72430000000000005</v>
      </c>
      <c r="BT73" s="230">
        <v>1180542</v>
      </c>
      <c r="BU73" s="230">
        <v>1788590</v>
      </c>
      <c r="BV73" s="230">
        <v>-608048</v>
      </c>
      <c r="BW73" s="229">
        <v>-0.34</v>
      </c>
      <c r="BX73" s="230">
        <v>12351000</v>
      </c>
      <c r="BY73" s="230">
        <v>12260500</v>
      </c>
      <c r="BZ73" s="230">
        <v>90500</v>
      </c>
      <c r="CA73" s="229">
        <v>7.4000000000000003E-3</v>
      </c>
      <c r="CB73" s="230">
        <v>11508500</v>
      </c>
      <c r="CC73" s="230">
        <v>11456000</v>
      </c>
      <c r="CD73" s="230">
        <v>52500</v>
      </c>
      <c r="CE73" s="229">
        <v>4.5999999999999999E-3</v>
      </c>
      <c r="CF73" s="230">
        <v>226500</v>
      </c>
      <c r="CG73" s="230">
        <v>196000</v>
      </c>
      <c r="CH73" s="230">
        <v>30500</v>
      </c>
      <c r="CI73" s="229">
        <v>0.15559999999999999</v>
      </c>
      <c r="CJ73" s="230">
        <v>616000</v>
      </c>
      <c r="CK73" s="230">
        <v>608500</v>
      </c>
      <c r="CL73" s="230">
        <v>7500</v>
      </c>
      <c r="CM73" s="229">
        <v>1.23E-2</v>
      </c>
      <c r="CN73" s="230">
        <v>1680500</v>
      </c>
      <c r="CO73" s="230">
        <v>1684500</v>
      </c>
      <c r="CP73" s="230">
        <v>-4000</v>
      </c>
      <c r="CQ73" s="229">
        <v>-2.3999999999999998E-3</v>
      </c>
      <c r="CR73" s="230">
        <v>1270000</v>
      </c>
      <c r="CS73" s="230">
        <v>1286500</v>
      </c>
      <c r="CT73" s="230">
        <v>-16500</v>
      </c>
      <c r="CU73" s="229">
        <v>-1.2800000000000001E-2</v>
      </c>
      <c r="CV73" s="230">
        <v>15301500</v>
      </c>
      <c r="CW73" s="230">
        <v>15231500</v>
      </c>
      <c r="CX73" s="230">
        <v>70000</v>
      </c>
      <c r="CY73" s="229">
        <v>4.5999999999999999E-3</v>
      </c>
      <c r="CZ73" s="228">
        <v>31.35</v>
      </c>
      <c r="DA73" s="228">
        <v>28.9</v>
      </c>
      <c r="DB73" s="228">
        <v>2.4500000000000002</v>
      </c>
      <c r="DC73" s="228">
        <v>2.4500000000000002</v>
      </c>
      <c r="DD73" s="228">
        <v>30.33</v>
      </c>
      <c r="DE73" s="228">
        <v>30.4</v>
      </c>
      <c r="DF73" s="228">
        <v>1.02</v>
      </c>
      <c r="DG73" s="228">
        <v>-7.0000000000000007E-2</v>
      </c>
      <c r="DH73" s="228">
        <v>30.41</v>
      </c>
      <c r="DI73" s="228">
        <v>27.63</v>
      </c>
      <c r="DJ73" s="228">
        <v>2.78</v>
      </c>
      <c r="DK73" s="228">
        <v>2.78</v>
      </c>
      <c r="DL73" s="228">
        <v>34.020000000000003</v>
      </c>
      <c r="DM73" s="228">
        <v>32.42</v>
      </c>
      <c r="DN73" s="228">
        <v>1.6</v>
      </c>
      <c r="DO73" s="228">
        <v>1.6</v>
      </c>
      <c r="DP73" s="228">
        <v>0.76</v>
      </c>
      <c r="DQ73" s="228">
        <v>0.76</v>
      </c>
      <c r="DR73" s="228">
        <v>0</v>
      </c>
      <c r="DS73" s="229">
        <v>0</v>
      </c>
      <c r="DT73" s="231">
        <v>1160</v>
      </c>
      <c r="DU73" s="231">
        <v>1100</v>
      </c>
      <c r="DV73" s="228">
        <v>0.35</v>
      </c>
      <c r="DW73" s="228">
        <v>0.36</v>
      </c>
      <c r="DX73" s="228">
        <v>-0.01</v>
      </c>
      <c r="DY73" s="229">
        <v>-2.7799999999999998E-2</v>
      </c>
      <c r="DZ73" s="229">
        <v>6.8199999999999997E-2</v>
      </c>
      <c r="EA73" s="230">
        <v>804500</v>
      </c>
      <c r="EB73" s="229">
        <v>8.9999999999999998E-4</v>
      </c>
      <c r="EC73" s="229">
        <v>6.8199999999999997E-2</v>
      </c>
      <c r="ED73" s="228">
        <v>1.06</v>
      </c>
      <c r="EE73" s="229">
        <v>1E-3</v>
      </c>
      <c r="EF73" s="230">
        <v>673779</v>
      </c>
      <c r="EG73" s="230">
        <v>1164476</v>
      </c>
      <c r="EH73" s="229">
        <v>-0.4214</v>
      </c>
      <c r="EI73" s="229">
        <v>0.57069999999999999</v>
      </c>
      <c r="EJ73" s="231">
        <v>14653.9</v>
      </c>
      <c r="EK73" s="231">
        <v>4851.45</v>
      </c>
      <c r="EL73" s="231">
        <v>11222.82</v>
      </c>
      <c r="EM73" s="231">
        <v>3369</v>
      </c>
      <c r="EN73" s="231">
        <v>30728.17</v>
      </c>
      <c r="EO73" s="231">
        <v>111226.86</v>
      </c>
      <c r="EP73" s="231">
        <v>-80498.69</v>
      </c>
      <c r="EQ73" s="229">
        <v>-0.72370000000000001</v>
      </c>
      <c r="ER73" s="231">
        <v>18675</v>
      </c>
      <c r="ES73" s="231">
        <v>13064</v>
      </c>
      <c r="ET73" s="231">
        <v>136602</v>
      </c>
      <c r="EU73" s="231">
        <v>53250524</v>
      </c>
      <c r="EV73" s="231">
        <v>168341</v>
      </c>
      <c r="EW73" s="231">
        <v>168363</v>
      </c>
      <c r="EX73" s="228">
        <v>-22</v>
      </c>
      <c r="EY73" s="229">
        <v>-1E-4</v>
      </c>
      <c r="EZ73" s="229">
        <v>0.2873</v>
      </c>
      <c r="FA73" s="227" t="s">
        <v>566</v>
      </c>
      <c r="FB73" s="161">
        <f t="shared" si="1"/>
        <v>842500</v>
      </c>
    </row>
    <row r="74" spans="1:158" ht="17.25" thickBot="1" x14ac:dyDescent="0.3">
      <c r="A74" s="226">
        <v>46132</v>
      </c>
      <c r="B74" s="227" t="s">
        <v>206</v>
      </c>
      <c r="C74" s="227" t="s">
        <v>218</v>
      </c>
      <c r="D74" s="228">
        <v>275</v>
      </c>
      <c r="E74" s="231">
        <v>1756.9</v>
      </c>
      <c r="F74" s="231">
        <v>1764</v>
      </c>
      <c r="G74" s="228">
        <v>-7.1</v>
      </c>
      <c r="H74" s="229">
        <v>-4.0000000000000001E-3</v>
      </c>
      <c r="I74" s="231">
        <v>1759.7</v>
      </c>
      <c r="J74" s="231">
        <v>1758.8</v>
      </c>
      <c r="K74" s="228">
        <v>0.9</v>
      </c>
      <c r="L74" s="229">
        <v>5.0000000000000001E-4</v>
      </c>
      <c r="M74" s="231">
        <v>1756.9</v>
      </c>
      <c r="N74" s="231">
        <v>1764</v>
      </c>
      <c r="O74" s="228">
        <v>-7.1</v>
      </c>
      <c r="P74" s="229">
        <v>-4.0000000000000001E-3</v>
      </c>
      <c r="Q74" s="231">
        <v>1765.5</v>
      </c>
      <c r="R74" s="231">
        <v>1774.2</v>
      </c>
      <c r="S74" s="228">
        <v>-8.6999999999999993</v>
      </c>
      <c r="T74" s="229">
        <v>-4.8999999999999998E-3</v>
      </c>
      <c r="U74" s="231">
        <v>1773.4</v>
      </c>
      <c r="V74" s="231">
        <v>1786</v>
      </c>
      <c r="W74" s="228">
        <v>-12.6</v>
      </c>
      <c r="X74" s="229">
        <v>-7.1000000000000004E-3</v>
      </c>
      <c r="Y74" s="228">
        <v>-2.8</v>
      </c>
      <c r="Z74" s="228">
        <v>5.2</v>
      </c>
      <c r="AA74" s="228">
        <v>-8</v>
      </c>
      <c r="AB74" s="229">
        <v>-1.6000000000000001E-3</v>
      </c>
      <c r="AC74" s="228">
        <v>-2.8</v>
      </c>
      <c r="AD74" s="228">
        <v>5.2</v>
      </c>
      <c r="AE74" s="228">
        <v>-8</v>
      </c>
      <c r="AF74" s="229">
        <v>-1.6000000000000001E-3</v>
      </c>
      <c r="AG74" s="228">
        <v>5.8</v>
      </c>
      <c r="AH74" s="228">
        <v>15.4</v>
      </c>
      <c r="AI74" s="228">
        <v>-9.6</v>
      </c>
      <c r="AJ74" s="229">
        <v>3.3E-3</v>
      </c>
      <c r="AK74" s="228">
        <v>13.7</v>
      </c>
      <c r="AL74" s="228">
        <v>27.2</v>
      </c>
      <c r="AM74" s="228">
        <v>-13.5</v>
      </c>
      <c r="AN74" s="229">
        <v>7.7999999999999996E-3</v>
      </c>
      <c r="AO74" s="231">
        <v>1756</v>
      </c>
      <c r="AP74" s="231">
        <v>1765.12</v>
      </c>
      <c r="AQ74" s="228">
        <v>0</v>
      </c>
      <c r="AR74" s="230">
        <v>1083500</v>
      </c>
      <c r="AS74" s="230">
        <v>875875</v>
      </c>
      <c r="AT74" s="230">
        <v>207625</v>
      </c>
      <c r="AU74" s="229">
        <v>0.23699999999999999</v>
      </c>
      <c r="AV74" s="230">
        <v>867900</v>
      </c>
      <c r="AW74" s="230">
        <v>781550</v>
      </c>
      <c r="AX74" s="230">
        <v>86350</v>
      </c>
      <c r="AY74" s="229">
        <v>0.1105</v>
      </c>
      <c r="AZ74" s="230">
        <v>202400</v>
      </c>
      <c r="BA74" s="230">
        <v>86350</v>
      </c>
      <c r="BB74" s="230">
        <v>116050</v>
      </c>
      <c r="BC74" s="229">
        <v>1.3439000000000001</v>
      </c>
      <c r="BD74" s="230">
        <v>13200</v>
      </c>
      <c r="BE74" s="230">
        <v>7975</v>
      </c>
      <c r="BF74" s="230">
        <v>5225</v>
      </c>
      <c r="BG74" s="229">
        <v>0.6552</v>
      </c>
      <c r="BH74" s="230">
        <v>2967800</v>
      </c>
      <c r="BI74" s="230">
        <v>2407900</v>
      </c>
      <c r="BJ74" s="230">
        <v>559900</v>
      </c>
      <c r="BK74" s="229">
        <v>0.23250000000000001</v>
      </c>
      <c r="BL74" s="230">
        <v>2235750</v>
      </c>
      <c r="BM74" s="230">
        <v>1978350</v>
      </c>
      <c r="BN74" s="230">
        <v>257400</v>
      </c>
      <c r="BO74" s="229">
        <v>0.13009999999999999</v>
      </c>
      <c r="BP74" s="230">
        <v>6287050</v>
      </c>
      <c r="BQ74" s="230">
        <v>5262125</v>
      </c>
      <c r="BR74" s="230">
        <v>1024925</v>
      </c>
      <c r="BS74" s="229">
        <v>0.1948</v>
      </c>
      <c r="BT74" s="230">
        <v>794896</v>
      </c>
      <c r="BU74" s="230">
        <v>716707</v>
      </c>
      <c r="BV74" s="230">
        <v>78189</v>
      </c>
      <c r="BW74" s="229">
        <v>0.1091</v>
      </c>
      <c r="BX74" s="230">
        <v>7994800</v>
      </c>
      <c r="BY74" s="230">
        <v>8075925</v>
      </c>
      <c r="BZ74" s="230">
        <v>-81125</v>
      </c>
      <c r="CA74" s="229">
        <v>-0.01</v>
      </c>
      <c r="CB74" s="230">
        <v>7539950</v>
      </c>
      <c r="CC74" s="230">
        <v>7717600</v>
      </c>
      <c r="CD74" s="230">
        <v>-177650</v>
      </c>
      <c r="CE74" s="229">
        <v>-2.3E-2</v>
      </c>
      <c r="CF74" s="230">
        <v>414150</v>
      </c>
      <c r="CG74" s="230">
        <v>325050</v>
      </c>
      <c r="CH74" s="230">
        <v>89100</v>
      </c>
      <c r="CI74" s="229">
        <v>0.27410000000000001</v>
      </c>
      <c r="CJ74" s="230">
        <v>40700</v>
      </c>
      <c r="CK74" s="230">
        <v>33275</v>
      </c>
      <c r="CL74" s="230">
        <v>7425</v>
      </c>
      <c r="CM74" s="229">
        <v>0.22309999999999999</v>
      </c>
      <c r="CN74" s="230">
        <v>2922425</v>
      </c>
      <c r="CO74" s="230">
        <v>2893000</v>
      </c>
      <c r="CP74" s="230">
        <v>29425</v>
      </c>
      <c r="CQ74" s="229">
        <v>1.0200000000000001E-2</v>
      </c>
      <c r="CR74" s="230">
        <v>3019225</v>
      </c>
      <c r="CS74" s="230">
        <v>2711500</v>
      </c>
      <c r="CT74" s="230">
        <v>307725</v>
      </c>
      <c r="CU74" s="229">
        <v>0.1135</v>
      </c>
      <c r="CV74" s="230">
        <v>13936450</v>
      </c>
      <c r="CW74" s="230">
        <v>13680425</v>
      </c>
      <c r="CX74" s="230">
        <v>256025</v>
      </c>
      <c r="CY74" s="229">
        <v>1.8700000000000001E-2</v>
      </c>
      <c r="CZ74" s="228">
        <v>41.89</v>
      </c>
      <c r="DA74" s="228">
        <v>39.5</v>
      </c>
      <c r="DB74" s="228">
        <v>2.39</v>
      </c>
      <c r="DC74" s="228">
        <v>2.39</v>
      </c>
      <c r="DD74" s="228">
        <v>45.67</v>
      </c>
      <c r="DE74" s="228">
        <v>45.79</v>
      </c>
      <c r="DF74" s="228">
        <v>-3.78</v>
      </c>
      <c r="DG74" s="228">
        <v>-0.12</v>
      </c>
      <c r="DH74" s="228">
        <v>38.9</v>
      </c>
      <c r="DI74" s="228">
        <v>35.31</v>
      </c>
      <c r="DJ74" s="228">
        <v>3.59</v>
      </c>
      <c r="DK74" s="228">
        <v>3.59</v>
      </c>
      <c r="DL74" s="228">
        <v>45.86</v>
      </c>
      <c r="DM74" s="228">
        <v>44.59</v>
      </c>
      <c r="DN74" s="228">
        <v>1.27</v>
      </c>
      <c r="DO74" s="228">
        <v>1.27</v>
      </c>
      <c r="DP74" s="228">
        <v>1.03</v>
      </c>
      <c r="DQ74" s="228">
        <v>0.94</v>
      </c>
      <c r="DR74" s="228">
        <v>0.09</v>
      </c>
      <c r="DS74" s="229">
        <v>9.5699999999999993E-2</v>
      </c>
      <c r="DT74" s="231">
        <v>1700</v>
      </c>
      <c r="DU74" s="231">
        <v>1700</v>
      </c>
      <c r="DV74" s="228">
        <v>0.75</v>
      </c>
      <c r="DW74" s="228">
        <v>0.82</v>
      </c>
      <c r="DX74" s="228">
        <v>-7.0000000000000007E-2</v>
      </c>
      <c r="DY74" s="229">
        <v>-8.5400000000000004E-2</v>
      </c>
      <c r="DZ74" s="229">
        <v>5.6899999999999999E-2</v>
      </c>
      <c r="EA74" s="230">
        <v>358325</v>
      </c>
      <c r="EB74" s="229">
        <v>4.8999999999999998E-3</v>
      </c>
      <c r="EC74" s="229">
        <v>5.6899999999999999E-2</v>
      </c>
      <c r="ED74" s="228">
        <v>9.1199999999999992</v>
      </c>
      <c r="EE74" s="229">
        <v>5.1999999999999998E-3</v>
      </c>
      <c r="EF74" s="230">
        <v>322144</v>
      </c>
      <c r="EG74" s="230">
        <v>298079</v>
      </c>
      <c r="EH74" s="229">
        <v>8.0699999999999994E-2</v>
      </c>
      <c r="EI74" s="229">
        <v>0.40529999999999999</v>
      </c>
      <c r="EJ74" s="231">
        <v>54305.14</v>
      </c>
      <c r="EK74" s="231">
        <v>37819.06</v>
      </c>
      <c r="EL74" s="231">
        <v>19047.72</v>
      </c>
      <c r="EM74" s="231">
        <v>3492</v>
      </c>
      <c r="EN74" s="231">
        <v>111171.92</v>
      </c>
      <c r="EO74" s="231">
        <v>92340.61</v>
      </c>
      <c r="EP74" s="231">
        <v>18831.310000000001</v>
      </c>
      <c r="EQ74" s="229">
        <v>0.2039</v>
      </c>
      <c r="ER74" s="231">
        <v>50700</v>
      </c>
      <c r="ES74" s="231">
        <v>48146</v>
      </c>
      <c r="ET74" s="231">
        <v>140503</v>
      </c>
      <c r="EU74" s="231">
        <v>23870110</v>
      </c>
      <c r="EV74" s="231">
        <v>239349</v>
      </c>
      <c r="EW74" s="231">
        <v>235761</v>
      </c>
      <c r="EX74" s="231">
        <v>3588</v>
      </c>
      <c r="EY74" s="229">
        <v>1.52E-2</v>
      </c>
      <c r="EZ74" s="229">
        <v>0.58379999999999999</v>
      </c>
      <c r="FA74" s="227" t="s">
        <v>567</v>
      </c>
      <c r="FB74" s="161">
        <f t="shared" si="1"/>
        <v>454850</v>
      </c>
    </row>
    <row r="75" spans="1:158" ht="17.25" thickBot="1" x14ac:dyDescent="0.3">
      <c r="A75" s="226">
        <v>46132</v>
      </c>
      <c r="B75" s="227" t="s">
        <v>157</v>
      </c>
      <c r="C75" s="227" t="s">
        <v>219</v>
      </c>
      <c r="D75" s="228">
        <v>250</v>
      </c>
      <c r="E75" s="231">
        <v>2757</v>
      </c>
      <c r="F75" s="231">
        <v>2726.6</v>
      </c>
      <c r="G75" s="228">
        <v>30.4</v>
      </c>
      <c r="H75" s="229">
        <v>1.11E-2</v>
      </c>
      <c r="I75" s="231">
        <v>2760.1</v>
      </c>
      <c r="J75" s="231">
        <v>2720.5</v>
      </c>
      <c r="K75" s="228">
        <v>39.6</v>
      </c>
      <c r="L75" s="229">
        <v>1.46E-2</v>
      </c>
      <c r="M75" s="231">
        <v>2757</v>
      </c>
      <c r="N75" s="231">
        <v>2726.6</v>
      </c>
      <c r="O75" s="228">
        <v>30.4</v>
      </c>
      <c r="P75" s="229">
        <v>1.11E-2</v>
      </c>
      <c r="Q75" s="231">
        <v>2775.8</v>
      </c>
      <c r="R75" s="231">
        <v>2739.8</v>
      </c>
      <c r="S75" s="228">
        <v>36</v>
      </c>
      <c r="T75" s="229">
        <v>1.3100000000000001E-2</v>
      </c>
      <c r="U75" s="231">
        <v>2790.2</v>
      </c>
      <c r="V75" s="231">
        <v>2753.7</v>
      </c>
      <c r="W75" s="228">
        <v>36.5</v>
      </c>
      <c r="X75" s="229">
        <v>1.3299999999999999E-2</v>
      </c>
      <c r="Y75" s="228">
        <v>-3.1</v>
      </c>
      <c r="Z75" s="228">
        <v>6.1</v>
      </c>
      <c r="AA75" s="228">
        <v>-9.1999999999999993</v>
      </c>
      <c r="AB75" s="229">
        <v>-1.1000000000000001E-3</v>
      </c>
      <c r="AC75" s="228">
        <v>-3.1</v>
      </c>
      <c r="AD75" s="228">
        <v>6.1</v>
      </c>
      <c r="AE75" s="228">
        <v>-9.1999999999999993</v>
      </c>
      <c r="AF75" s="229">
        <v>-1.1000000000000001E-3</v>
      </c>
      <c r="AG75" s="228">
        <v>15.7</v>
      </c>
      <c r="AH75" s="228">
        <v>19.3</v>
      </c>
      <c r="AI75" s="228">
        <v>-3.6</v>
      </c>
      <c r="AJ75" s="229">
        <v>5.7000000000000002E-3</v>
      </c>
      <c r="AK75" s="228">
        <v>30.1</v>
      </c>
      <c r="AL75" s="228">
        <v>33.200000000000003</v>
      </c>
      <c r="AM75" s="228">
        <v>-3.1</v>
      </c>
      <c r="AN75" s="229">
        <v>1.09E-2</v>
      </c>
      <c r="AO75" s="231">
        <v>2752.19</v>
      </c>
      <c r="AP75" s="231">
        <v>2770.73</v>
      </c>
      <c r="AQ75" s="228">
        <v>0</v>
      </c>
      <c r="AR75" s="230">
        <v>2847000</v>
      </c>
      <c r="AS75" s="230">
        <v>497500</v>
      </c>
      <c r="AT75" s="230">
        <v>2349500</v>
      </c>
      <c r="AU75" s="229">
        <v>4.7225999999999999</v>
      </c>
      <c r="AV75" s="230">
        <v>1728000</v>
      </c>
      <c r="AW75" s="230">
        <v>420500</v>
      </c>
      <c r="AX75" s="230">
        <v>1307500</v>
      </c>
      <c r="AY75" s="229">
        <v>3.1093999999999999</v>
      </c>
      <c r="AZ75" s="230">
        <v>1111000</v>
      </c>
      <c r="BA75" s="230">
        <v>66250</v>
      </c>
      <c r="BB75" s="230">
        <v>1044750</v>
      </c>
      <c r="BC75" s="229">
        <v>15.7698</v>
      </c>
      <c r="BD75" s="230">
        <v>8000</v>
      </c>
      <c r="BE75" s="230">
        <v>10750</v>
      </c>
      <c r="BF75" s="230">
        <v>-2750</v>
      </c>
      <c r="BG75" s="229">
        <v>-0.25580000000000003</v>
      </c>
      <c r="BH75" s="230">
        <v>2112500</v>
      </c>
      <c r="BI75" s="230">
        <v>1249750</v>
      </c>
      <c r="BJ75" s="230">
        <v>862750</v>
      </c>
      <c r="BK75" s="229">
        <v>0.69030000000000002</v>
      </c>
      <c r="BL75" s="230">
        <v>833000</v>
      </c>
      <c r="BM75" s="230">
        <v>520000</v>
      </c>
      <c r="BN75" s="230">
        <v>313000</v>
      </c>
      <c r="BO75" s="229">
        <v>0.60189999999999999</v>
      </c>
      <c r="BP75" s="230">
        <v>5792500</v>
      </c>
      <c r="BQ75" s="230">
        <v>2267250</v>
      </c>
      <c r="BR75" s="230">
        <v>3525250</v>
      </c>
      <c r="BS75" s="229">
        <v>1.5548999999999999</v>
      </c>
      <c r="BT75" s="230">
        <v>758516</v>
      </c>
      <c r="BU75" s="230">
        <v>442157</v>
      </c>
      <c r="BV75" s="230">
        <v>316359</v>
      </c>
      <c r="BW75" s="229">
        <v>0.71550000000000002</v>
      </c>
      <c r="BX75" s="230">
        <v>14128750</v>
      </c>
      <c r="BY75" s="230">
        <v>14148500</v>
      </c>
      <c r="BZ75" s="230">
        <v>-19750</v>
      </c>
      <c r="CA75" s="229">
        <v>-1.4E-3</v>
      </c>
      <c r="CB75" s="230">
        <v>11164250</v>
      </c>
      <c r="CC75" s="230">
        <v>12221750</v>
      </c>
      <c r="CD75" s="230">
        <v>-1057500</v>
      </c>
      <c r="CE75" s="229">
        <v>-8.6499999999999994E-2</v>
      </c>
      <c r="CF75" s="230">
        <v>2594000</v>
      </c>
      <c r="CG75" s="230">
        <v>1558500</v>
      </c>
      <c r="CH75" s="230">
        <v>1035500</v>
      </c>
      <c r="CI75" s="229">
        <v>0.66439999999999999</v>
      </c>
      <c r="CJ75" s="230">
        <v>370500</v>
      </c>
      <c r="CK75" s="230">
        <v>368250</v>
      </c>
      <c r="CL75" s="230">
        <v>2250</v>
      </c>
      <c r="CM75" s="229">
        <v>6.1000000000000004E-3</v>
      </c>
      <c r="CN75" s="230">
        <v>1570500</v>
      </c>
      <c r="CO75" s="230">
        <v>1701000</v>
      </c>
      <c r="CP75" s="230">
        <v>-130500</v>
      </c>
      <c r="CQ75" s="229">
        <v>-7.6700000000000004E-2</v>
      </c>
      <c r="CR75" s="230">
        <v>1210500</v>
      </c>
      <c r="CS75" s="230">
        <v>1234250</v>
      </c>
      <c r="CT75" s="230">
        <v>-23750</v>
      </c>
      <c r="CU75" s="229">
        <v>-1.9199999999999998E-2</v>
      </c>
      <c r="CV75" s="230">
        <v>16909750</v>
      </c>
      <c r="CW75" s="230">
        <v>17083750</v>
      </c>
      <c r="CX75" s="230">
        <v>-174000</v>
      </c>
      <c r="CY75" s="229">
        <v>-1.0200000000000001E-2</v>
      </c>
      <c r="CZ75" s="228">
        <v>29.22</v>
      </c>
      <c r="DA75" s="228">
        <v>26.85</v>
      </c>
      <c r="DB75" s="228">
        <v>2.37</v>
      </c>
      <c r="DC75" s="228">
        <v>2.37</v>
      </c>
      <c r="DD75" s="228">
        <v>28.34</v>
      </c>
      <c r="DE75" s="228">
        <v>28.37</v>
      </c>
      <c r="DF75" s="228">
        <v>0.88</v>
      </c>
      <c r="DG75" s="228">
        <v>-0.03</v>
      </c>
      <c r="DH75" s="228">
        <v>28.58</v>
      </c>
      <c r="DI75" s="228">
        <v>26.37</v>
      </c>
      <c r="DJ75" s="228">
        <v>2.21</v>
      </c>
      <c r="DK75" s="228">
        <v>2.21</v>
      </c>
      <c r="DL75" s="228">
        <v>30.87</v>
      </c>
      <c r="DM75" s="228">
        <v>28</v>
      </c>
      <c r="DN75" s="228">
        <v>2.87</v>
      </c>
      <c r="DO75" s="228">
        <v>2.87</v>
      </c>
      <c r="DP75" s="228">
        <v>0.77</v>
      </c>
      <c r="DQ75" s="228">
        <v>0.73</v>
      </c>
      <c r="DR75" s="228">
        <v>0.04</v>
      </c>
      <c r="DS75" s="229">
        <v>5.4800000000000001E-2</v>
      </c>
      <c r="DT75" s="231">
        <v>2800</v>
      </c>
      <c r="DU75" s="231">
        <v>2600</v>
      </c>
      <c r="DV75" s="228">
        <v>0.39</v>
      </c>
      <c r="DW75" s="228">
        <v>0.42</v>
      </c>
      <c r="DX75" s="228">
        <v>-0.03</v>
      </c>
      <c r="DY75" s="229">
        <v>-7.1400000000000005E-2</v>
      </c>
      <c r="DZ75" s="229">
        <v>0.20979999999999999</v>
      </c>
      <c r="EA75" s="230">
        <v>1926750</v>
      </c>
      <c r="EB75" s="229">
        <v>6.7999999999999996E-3</v>
      </c>
      <c r="EC75" s="229">
        <v>0.20979999999999999</v>
      </c>
      <c r="ED75" s="228">
        <v>18.54</v>
      </c>
      <c r="EE75" s="229">
        <v>6.7000000000000002E-3</v>
      </c>
      <c r="EF75" s="230">
        <v>396654</v>
      </c>
      <c r="EG75" s="230">
        <v>248174</v>
      </c>
      <c r="EH75" s="229">
        <v>0.59830000000000005</v>
      </c>
      <c r="EI75" s="229">
        <v>0.52290000000000003</v>
      </c>
      <c r="EJ75" s="231">
        <v>59668.45</v>
      </c>
      <c r="EK75" s="231">
        <v>22427.09</v>
      </c>
      <c r="EL75" s="231">
        <v>78563.62</v>
      </c>
      <c r="EM75" s="231">
        <v>5450</v>
      </c>
      <c r="EN75" s="231">
        <v>160659.16</v>
      </c>
      <c r="EO75" s="231">
        <v>62753.55</v>
      </c>
      <c r="EP75" s="231">
        <v>97905.61</v>
      </c>
      <c r="EQ75" s="229">
        <v>1.5602</v>
      </c>
      <c r="ER75" s="231">
        <v>44025</v>
      </c>
      <c r="ES75" s="231">
        <v>31275</v>
      </c>
      <c r="ET75" s="231">
        <v>390140</v>
      </c>
      <c r="EU75" s="231">
        <v>38401443</v>
      </c>
      <c r="EV75" s="231">
        <v>465440</v>
      </c>
      <c r="EW75" s="231">
        <v>465512</v>
      </c>
      <c r="EX75" s="228">
        <v>-72</v>
      </c>
      <c r="EY75" s="229">
        <v>-2.0000000000000001E-4</v>
      </c>
      <c r="EZ75" s="229">
        <v>0.44030000000000002</v>
      </c>
      <c r="FA75" s="227" t="s">
        <v>693</v>
      </c>
      <c r="FB75" s="161">
        <f t="shared" si="1"/>
        <v>2964500</v>
      </c>
    </row>
    <row r="76" spans="1:158" ht="17.25" thickBot="1" x14ac:dyDescent="0.3">
      <c r="A76" s="226">
        <v>46132</v>
      </c>
      <c r="B76" s="227" t="s">
        <v>184</v>
      </c>
      <c r="C76" s="227" t="s">
        <v>513</v>
      </c>
      <c r="D76" s="228">
        <v>150</v>
      </c>
      <c r="E76" s="231">
        <v>4343</v>
      </c>
      <c r="F76" s="231">
        <v>4393.3</v>
      </c>
      <c r="G76" s="228">
        <v>-50.3</v>
      </c>
      <c r="H76" s="229">
        <v>-1.14E-2</v>
      </c>
      <c r="I76" s="231">
        <v>4344.5</v>
      </c>
      <c r="J76" s="231">
        <v>4388.1000000000004</v>
      </c>
      <c r="K76" s="228">
        <v>-43.6</v>
      </c>
      <c r="L76" s="229">
        <v>-9.9000000000000008E-3</v>
      </c>
      <c r="M76" s="231">
        <v>4343</v>
      </c>
      <c r="N76" s="231">
        <v>4393.3</v>
      </c>
      <c r="O76" s="228">
        <v>-50.3</v>
      </c>
      <c r="P76" s="229">
        <v>-1.14E-2</v>
      </c>
      <c r="Q76" s="231">
        <v>4370.3999999999996</v>
      </c>
      <c r="R76" s="231">
        <v>4418.6000000000004</v>
      </c>
      <c r="S76" s="228">
        <v>-48.2</v>
      </c>
      <c r="T76" s="229">
        <v>-1.09E-2</v>
      </c>
      <c r="U76" s="231">
        <v>4398.3</v>
      </c>
      <c r="V76" s="231">
        <v>4445</v>
      </c>
      <c r="W76" s="228">
        <v>-46.7</v>
      </c>
      <c r="X76" s="229">
        <v>-1.0500000000000001E-2</v>
      </c>
      <c r="Y76" s="228">
        <v>-1.5</v>
      </c>
      <c r="Z76" s="228">
        <v>5.2</v>
      </c>
      <c r="AA76" s="228">
        <v>-6.7</v>
      </c>
      <c r="AB76" s="229">
        <v>-2.9999999999999997E-4</v>
      </c>
      <c r="AC76" s="228">
        <v>-1.5</v>
      </c>
      <c r="AD76" s="228">
        <v>5.2</v>
      </c>
      <c r="AE76" s="228">
        <v>-6.7</v>
      </c>
      <c r="AF76" s="229">
        <v>-2.9999999999999997E-4</v>
      </c>
      <c r="AG76" s="228">
        <v>25.9</v>
      </c>
      <c r="AH76" s="228">
        <v>30.5</v>
      </c>
      <c r="AI76" s="228">
        <v>-4.5999999999999996</v>
      </c>
      <c r="AJ76" s="229">
        <v>6.0000000000000001E-3</v>
      </c>
      <c r="AK76" s="228">
        <v>53.8</v>
      </c>
      <c r="AL76" s="228">
        <v>56.9</v>
      </c>
      <c r="AM76" s="228">
        <v>-3.1</v>
      </c>
      <c r="AN76" s="229">
        <v>1.24E-2</v>
      </c>
      <c r="AO76" s="231">
        <v>4366.12</v>
      </c>
      <c r="AP76" s="231">
        <v>4392.79</v>
      </c>
      <c r="AQ76" s="228">
        <v>0</v>
      </c>
      <c r="AR76" s="230">
        <v>982050</v>
      </c>
      <c r="AS76" s="230">
        <v>935700</v>
      </c>
      <c r="AT76" s="230">
        <v>46350</v>
      </c>
      <c r="AU76" s="229">
        <v>4.9500000000000002E-2</v>
      </c>
      <c r="AV76" s="230">
        <v>678900</v>
      </c>
      <c r="AW76" s="230">
        <v>727200</v>
      </c>
      <c r="AX76" s="230">
        <v>-48300</v>
      </c>
      <c r="AY76" s="229">
        <v>-6.6400000000000001E-2</v>
      </c>
      <c r="AZ76" s="230">
        <v>264750</v>
      </c>
      <c r="BA76" s="230">
        <v>186900</v>
      </c>
      <c r="BB76" s="230">
        <v>77850</v>
      </c>
      <c r="BC76" s="229">
        <v>0.41649999999999998</v>
      </c>
      <c r="BD76" s="230">
        <v>38400</v>
      </c>
      <c r="BE76" s="230">
        <v>21600</v>
      </c>
      <c r="BF76" s="230">
        <v>16800</v>
      </c>
      <c r="BG76" s="229">
        <v>0.77780000000000005</v>
      </c>
      <c r="BH76" s="230">
        <v>3391650</v>
      </c>
      <c r="BI76" s="230">
        <v>4740750</v>
      </c>
      <c r="BJ76" s="230">
        <v>-1349100</v>
      </c>
      <c r="BK76" s="229">
        <v>-0.28460000000000002</v>
      </c>
      <c r="BL76" s="230">
        <v>2365500</v>
      </c>
      <c r="BM76" s="230">
        <v>3074250</v>
      </c>
      <c r="BN76" s="230">
        <v>-708750</v>
      </c>
      <c r="BO76" s="229">
        <v>-0.23050000000000001</v>
      </c>
      <c r="BP76" s="230">
        <v>6739200</v>
      </c>
      <c r="BQ76" s="230">
        <v>8750700</v>
      </c>
      <c r="BR76" s="230">
        <v>-2011500</v>
      </c>
      <c r="BS76" s="229">
        <v>-0.22989999999999999</v>
      </c>
      <c r="BT76" s="230">
        <v>938506</v>
      </c>
      <c r="BU76" s="230">
        <v>1136732</v>
      </c>
      <c r="BV76" s="230">
        <v>-198226</v>
      </c>
      <c r="BW76" s="229">
        <v>-0.1744</v>
      </c>
      <c r="BX76" s="230">
        <v>7560150</v>
      </c>
      <c r="BY76" s="230">
        <v>7551450</v>
      </c>
      <c r="BZ76" s="230">
        <v>8700</v>
      </c>
      <c r="CA76" s="229">
        <v>1.1999999999999999E-3</v>
      </c>
      <c r="CB76" s="230">
        <v>6547950</v>
      </c>
      <c r="CC76" s="230">
        <v>6692700</v>
      </c>
      <c r="CD76" s="230">
        <v>-144750</v>
      </c>
      <c r="CE76" s="229">
        <v>-2.1600000000000001E-2</v>
      </c>
      <c r="CF76" s="230">
        <v>783150</v>
      </c>
      <c r="CG76" s="230">
        <v>638700</v>
      </c>
      <c r="CH76" s="230">
        <v>144450</v>
      </c>
      <c r="CI76" s="229">
        <v>0.22620000000000001</v>
      </c>
      <c r="CJ76" s="230">
        <v>229050</v>
      </c>
      <c r="CK76" s="230">
        <v>220050</v>
      </c>
      <c r="CL76" s="230">
        <v>9000</v>
      </c>
      <c r="CM76" s="229">
        <v>4.0899999999999999E-2</v>
      </c>
      <c r="CN76" s="230">
        <v>3496500</v>
      </c>
      <c r="CO76" s="230">
        <v>3505350</v>
      </c>
      <c r="CP76" s="230">
        <v>-8850</v>
      </c>
      <c r="CQ76" s="229">
        <v>-2.5000000000000001E-3</v>
      </c>
      <c r="CR76" s="230">
        <v>3262200</v>
      </c>
      <c r="CS76" s="230">
        <v>3327150</v>
      </c>
      <c r="CT76" s="230">
        <v>-64950</v>
      </c>
      <c r="CU76" s="229">
        <v>-1.95E-2</v>
      </c>
      <c r="CV76" s="230">
        <v>14318850</v>
      </c>
      <c r="CW76" s="230">
        <v>14383950</v>
      </c>
      <c r="CX76" s="230">
        <v>-65100</v>
      </c>
      <c r="CY76" s="229">
        <v>-4.4999999999999997E-3</v>
      </c>
      <c r="CZ76" s="228">
        <v>34.82</v>
      </c>
      <c r="DA76" s="228">
        <v>32.08</v>
      </c>
      <c r="DB76" s="228">
        <v>2.74</v>
      </c>
      <c r="DC76" s="228">
        <v>2.74</v>
      </c>
      <c r="DD76" s="228">
        <v>39.11</v>
      </c>
      <c r="DE76" s="228">
        <v>39.18</v>
      </c>
      <c r="DF76" s="228">
        <v>-4.29</v>
      </c>
      <c r="DG76" s="228">
        <v>-7.0000000000000007E-2</v>
      </c>
      <c r="DH76" s="228">
        <v>33.450000000000003</v>
      </c>
      <c r="DI76" s="228">
        <v>30.13</v>
      </c>
      <c r="DJ76" s="228">
        <v>3.32</v>
      </c>
      <c r="DK76" s="228">
        <v>3.32</v>
      </c>
      <c r="DL76" s="228">
        <v>36.78</v>
      </c>
      <c r="DM76" s="228">
        <v>35.07</v>
      </c>
      <c r="DN76" s="228">
        <v>1.71</v>
      </c>
      <c r="DO76" s="228">
        <v>1.71</v>
      </c>
      <c r="DP76" s="228">
        <v>0.93</v>
      </c>
      <c r="DQ76" s="228">
        <v>0.95</v>
      </c>
      <c r="DR76" s="228">
        <v>-0.02</v>
      </c>
      <c r="DS76" s="229">
        <v>-2.1100000000000001E-2</v>
      </c>
      <c r="DT76" s="231">
        <v>4400</v>
      </c>
      <c r="DU76" s="231">
        <v>3600</v>
      </c>
      <c r="DV76" s="228">
        <v>0.7</v>
      </c>
      <c r="DW76" s="228">
        <v>0.65</v>
      </c>
      <c r="DX76" s="228">
        <v>0.05</v>
      </c>
      <c r="DY76" s="229">
        <v>7.6899999999999996E-2</v>
      </c>
      <c r="DZ76" s="229">
        <v>0.13389999999999999</v>
      </c>
      <c r="EA76" s="230">
        <v>858750</v>
      </c>
      <c r="EB76" s="229">
        <v>6.3E-3</v>
      </c>
      <c r="EC76" s="229">
        <v>0.13389999999999999</v>
      </c>
      <c r="ED76" s="228">
        <v>26.67</v>
      </c>
      <c r="EE76" s="229">
        <v>6.1000000000000004E-3</v>
      </c>
      <c r="EF76" s="230">
        <v>442397</v>
      </c>
      <c r="EG76" s="230">
        <v>493403</v>
      </c>
      <c r="EH76" s="229">
        <v>-0.10340000000000001</v>
      </c>
      <c r="EI76" s="229">
        <v>0.47139999999999999</v>
      </c>
      <c r="EJ76" s="231">
        <v>153789.89000000001</v>
      </c>
      <c r="EK76" s="231">
        <v>100895.39</v>
      </c>
      <c r="EL76" s="231">
        <v>42965.64</v>
      </c>
      <c r="EM76" s="231">
        <v>9963</v>
      </c>
      <c r="EN76" s="231">
        <v>297650.92</v>
      </c>
      <c r="EO76" s="231">
        <v>385923.32</v>
      </c>
      <c r="EP76" s="231">
        <v>-88272.4</v>
      </c>
      <c r="EQ76" s="229">
        <v>-0.22869999999999999</v>
      </c>
      <c r="ER76" s="231">
        <v>147621</v>
      </c>
      <c r="ES76" s="231">
        <v>129100</v>
      </c>
      <c r="ET76" s="231">
        <v>328679</v>
      </c>
      <c r="EU76" s="231">
        <v>28450886</v>
      </c>
      <c r="EV76" s="231">
        <v>605400</v>
      </c>
      <c r="EW76" s="231">
        <v>610795</v>
      </c>
      <c r="EX76" s="231">
        <v>-5395</v>
      </c>
      <c r="EY76" s="229">
        <v>-8.8000000000000005E-3</v>
      </c>
      <c r="EZ76" s="229">
        <v>0.50329999999999997</v>
      </c>
      <c r="FA76" s="227" t="s">
        <v>566</v>
      </c>
      <c r="FB76" s="161">
        <f t="shared" si="1"/>
        <v>1012200</v>
      </c>
    </row>
    <row r="77" spans="1:158" ht="17.25" thickBot="1" x14ac:dyDescent="0.3">
      <c r="A77" s="226">
        <v>46132</v>
      </c>
      <c r="B77" s="227" t="s">
        <v>184</v>
      </c>
      <c r="C77" s="227" t="s">
        <v>220</v>
      </c>
      <c r="D77" s="228">
        <v>500</v>
      </c>
      <c r="E77" s="231">
        <v>1305.7</v>
      </c>
      <c r="F77" s="231">
        <v>1309.8</v>
      </c>
      <c r="G77" s="228">
        <v>-4.0999999999999996</v>
      </c>
      <c r="H77" s="229">
        <v>-3.0999999999999999E-3</v>
      </c>
      <c r="I77" s="231">
        <v>1302.0999999999999</v>
      </c>
      <c r="J77" s="231">
        <v>1306.4000000000001</v>
      </c>
      <c r="K77" s="228">
        <v>-4.3</v>
      </c>
      <c r="L77" s="229">
        <v>-3.3E-3</v>
      </c>
      <c r="M77" s="231">
        <v>1305.7</v>
      </c>
      <c r="N77" s="231">
        <v>1309.8</v>
      </c>
      <c r="O77" s="228">
        <v>-4.0999999999999996</v>
      </c>
      <c r="P77" s="229">
        <v>-3.0999999999999999E-3</v>
      </c>
      <c r="Q77" s="231">
        <v>1307.7</v>
      </c>
      <c r="R77" s="231">
        <v>1311.9</v>
      </c>
      <c r="S77" s="228">
        <v>-4.2</v>
      </c>
      <c r="T77" s="229">
        <v>-3.2000000000000002E-3</v>
      </c>
      <c r="U77" s="231">
        <v>1310.5999999999999</v>
      </c>
      <c r="V77" s="231">
        <v>1318.1</v>
      </c>
      <c r="W77" s="228">
        <v>-7.5</v>
      </c>
      <c r="X77" s="229">
        <v>-5.7000000000000002E-3</v>
      </c>
      <c r="Y77" s="228">
        <v>3.6</v>
      </c>
      <c r="Z77" s="228">
        <v>3.4</v>
      </c>
      <c r="AA77" s="228">
        <v>0.2</v>
      </c>
      <c r="AB77" s="229">
        <v>2.8E-3</v>
      </c>
      <c r="AC77" s="228">
        <v>3.6</v>
      </c>
      <c r="AD77" s="228">
        <v>3.4</v>
      </c>
      <c r="AE77" s="228">
        <v>0.2</v>
      </c>
      <c r="AF77" s="229">
        <v>2.8E-3</v>
      </c>
      <c r="AG77" s="228">
        <v>5.6</v>
      </c>
      <c r="AH77" s="228">
        <v>5.5</v>
      </c>
      <c r="AI77" s="228">
        <v>0.1</v>
      </c>
      <c r="AJ77" s="229">
        <v>4.3E-3</v>
      </c>
      <c r="AK77" s="228">
        <v>8.5</v>
      </c>
      <c r="AL77" s="228">
        <v>11.7</v>
      </c>
      <c r="AM77" s="228">
        <v>-3.2</v>
      </c>
      <c r="AN77" s="229">
        <v>6.4999999999999997E-3</v>
      </c>
      <c r="AO77" s="231">
        <v>1310.72</v>
      </c>
      <c r="AP77" s="231">
        <v>1313.27</v>
      </c>
      <c r="AQ77" s="228">
        <v>0</v>
      </c>
      <c r="AR77" s="230">
        <v>1225500</v>
      </c>
      <c r="AS77" s="230">
        <v>1597500</v>
      </c>
      <c r="AT77" s="230">
        <v>-372000</v>
      </c>
      <c r="AU77" s="229">
        <v>-0.2329</v>
      </c>
      <c r="AV77" s="230">
        <v>1034000</v>
      </c>
      <c r="AW77" s="230">
        <v>1325500</v>
      </c>
      <c r="AX77" s="230">
        <v>-291500</v>
      </c>
      <c r="AY77" s="229">
        <v>-0.21990000000000001</v>
      </c>
      <c r="AZ77" s="230">
        <v>172500</v>
      </c>
      <c r="BA77" s="230">
        <v>252500</v>
      </c>
      <c r="BB77" s="230">
        <v>-80000</v>
      </c>
      <c r="BC77" s="229">
        <v>-0.31680000000000003</v>
      </c>
      <c r="BD77" s="230">
        <v>19000</v>
      </c>
      <c r="BE77" s="230">
        <v>19500</v>
      </c>
      <c r="BF77" s="228">
        <v>-500</v>
      </c>
      <c r="BG77" s="229">
        <v>-2.5600000000000001E-2</v>
      </c>
      <c r="BH77" s="230">
        <v>2309000</v>
      </c>
      <c r="BI77" s="230">
        <v>4491500</v>
      </c>
      <c r="BJ77" s="230">
        <v>-2182500</v>
      </c>
      <c r="BK77" s="229">
        <v>-0.4859</v>
      </c>
      <c r="BL77" s="230">
        <v>1066000</v>
      </c>
      <c r="BM77" s="230">
        <v>1497500</v>
      </c>
      <c r="BN77" s="230">
        <v>-431500</v>
      </c>
      <c r="BO77" s="229">
        <v>-0.28810000000000002</v>
      </c>
      <c r="BP77" s="230">
        <v>4600500</v>
      </c>
      <c r="BQ77" s="230">
        <v>7586500</v>
      </c>
      <c r="BR77" s="230">
        <v>-2986000</v>
      </c>
      <c r="BS77" s="229">
        <v>-0.39360000000000001</v>
      </c>
      <c r="BT77" s="230">
        <v>655876</v>
      </c>
      <c r="BU77" s="230">
        <v>793275</v>
      </c>
      <c r="BV77" s="230">
        <v>-137399</v>
      </c>
      <c r="BW77" s="229">
        <v>-0.17319999999999999</v>
      </c>
      <c r="BX77" s="230">
        <v>8929000</v>
      </c>
      <c r="BY77" s="230">
        <v>8921500</v>
      </c>
      <c r="BZ77" s="230">
        <v>7500</v>
      </c>
      <c r="CA77" s="229">
        <v>8.0000000000000004E-4</v>
      </c>
      <c r="CB77" s="230">
        <v>8328500</v>
      </c>
      <c r="CC77" s="230">
        <v>8360000</v>
      </c>
      <c r="CD77" s="230">
        <v>-31500</v>
      </c>
      <c r="CE77" s="229">
        <v>-3.8E-3</v>
      </c>
      <c r="CF77" s="230">
        <v>558000</v>
      </c>
      <c r="CG77" s="230">
        <v>519000</v>
      </c>
      <c r="CH77" s="230">
        <v>39000</v>
      </c>
      <c r="CI77" s="229">
        <v>7.51E-2</v>
      </c>
      <c r="CJ77" s="230">
        <v>42500</v>
      </c>
      <c r="CK77" s="230">
        <v>42500</v>
      </c>
      <c r="CL77" s="228">
        <v>0</v>
      </c>
      <c r="CM77" s="229">
        <v>0</v>
      </c>
      <c r="CN77" s="230">
        <v>3288000</v>
      </c>
      <c r="CO77" s="230">
        <v>3176000</v>
      </c>
      <c r="CP77" s="230">
        <v>112000</v>
      </c>
      <c r="CQ77" s="229">
        <v>3.5299999999999998E-2</v>
      </c>
      <c r="CR77" s="230">
        <v>2416000</v>
      </c>
      <c r="CS77" s="230">
        <v>2349000</v>
      </c>
      <c r="CT77" s="230">
        <v>67000</v>
      </c>
      <c r="CU77" s="229">
        <v>2.8500000000000001E-2</v>
      </c>
      <c r="CV77" s="230">
        <v>14633000</v>
      </c>
      <c r="CW77" s="230">
        <v>14446500</v>
      </c>
      <c r="CX77" s="230">
        <v>186500</v>
      </c>
      <c r="CY77" s="229">
        <v>1.29E-2</v>
      </c>
      <c r="CZ77" s="228">
        <v>40.68</v>
      </c>
      <c r="DA77" s="228">
        <v>37.03</v>
      </c>
      <c r="DB77" s="228">
        <v>3.65</v>
      </c>
      <c r="DC77" s="228">
        <v>3.65</v>
      </c>
      <c r="DD77" s="228">
        <v>29.51</v>
      </c>
      <c r="DE77" s="228">
        <v>29.58</v>
      </c>
      <c r="DF77" s="228">
        <v>11.17</v>
      </c>
      <c r="DG77" s="228">
        <v>-7.0000000000000007E-2</v>
      </c>
      <c r="DH77" s="228">
        <v>40.299999999999997</v>
      </c>
      <c r="DI77" s="228">
        <v>36.479999999999997</v>
      </c>
      <c r="DJ77" s="228">
        <v>3.82</v>
      </c>
      <c r="DK77" s="228">
        <v>3.82</v>
      </c>
      <c r="DL77" s="228">
        <v>41.51</v>
      </c>
      <c r="DM77" s="228">
        <v>38.69</v>
      </c>
      <c r="DN77" s="228">
        <v>2.82</v>
      </c>
      <c r="DO77" s="228">
        <v>2.82</v>
      </c>
      <c r="DP77" s="228">
        <v>0.73</v>
      </c>
      <c r="DQ77" s="228">
        <v>0.74</v>
      </c>
      <c r="DR77" s="228">
        <v>-0.01</v>
      </c>
      <c r="DS77" s="229">
        <v>-1.35E-2</v>
      </c>
      <c r="DT77" s="231">
        <v>1300</v>
      </c>
      <c r="DU77" s="231">
        <v>1200</v>
      </c>
      <c r="DV77" s="228">
        <v>0.46</v>
      </c>
      <c r="DW77" s="228">
        <v>0.33</v>
      </c>
      <c r="DX77" s="228">
        <v>0.13</v>
      </c>
      <c r="DY77" s="229">
        <v>0.39389999999999997</v>
      </c>
      <c r="DZ77" s="229">
        <v>6.7299999999999999E-2</v>
      </c>
      <c r="EA77" s="230">
        <v>561500</v>
      </c>
      <c r="EB77" s="229">
        <v>1.5E-3</v>
      </c>
      <c r="EC77" s="229">
        <v>6.7299999999999999E-2</v>
      </c>
      <c r="ED77" s="228">
        <v>2.5499999999999998</v>
      </c>
      <c r="EE77" s="229">
        <v>1.9E-3</v>
      </c>
      <c r="EF77" s="230">
        <v>364561</v>
      </c>
      <c r="EG77" s="230">
        <v>391368</v>
      </c>
      <c r="EH77" s="229">
        <v>-6.8500000000000005E-2</v>
      </c>
      <c r="EI77" s="229">
        <v>0.55579999999999996</v>
      </c>
      <c r="EJ77" s="231">
        <v>31629.71</v>
      </c>
      <c r="EK77" s="231">
        <v>13710.77</v>
      </c>
      <c r="EL77" s="231">
        <v>16068.92</v>
      </c>
      <c r="EM77" s="231">
        <v>4814</v>
      </c>
      <c r="EN77" s="231">
        <v>61409.4</v>
      </c>
      <c r="EO77" s="231">
        <v>101426.93</v>
      </c>
      <c r="EP77" s="231">
        <v>-40017.53</v>
      </c>
      <c r="EQ77" s="229">
        <v>-0.39450000000000002</v>
      </c>
      <c r="ER77" s="231">
        <v>43777</v>
      </c>
      <c r="ES77" s="231">
        <v>29875</v>
      </c>
      <c r="ET77" s="231">
        <v>116599</v>
      </c>
      <c r="EU77" s="231">
        <v>29751886</v>
      </c>
      <c r="EV77" s="231">
        <v>190251</v>
      </c>
      <c r="EW77" s="231">
        <v>188000</v>
      </c>
      <c r="EX77" s="231">
        <v>2251</v>
      </c>
      <c r="EY77" s="229">
        <v>1.2E-2</v>
      </c>
      <c r="EZ77" s="229">
        <v>0.49180000000000001</v>
      </c>
      <c r="FA77" s="227" t="s">
        <v>566</v>
      </c>
      <c r="FB77" s="161">
        <f t="shared" si="1"/>
        <v>600500</v>
      </c>
    </row>
    <row r="78" spans="1:158" ht="17.25" thickBot="1" x14ac:dyDescent="0.3">
      <c r="A78" s="226">
        <v>46132</v>
      </c>
      <c r="B78" s="227" t="s">
        <v>221</v>
      </c>
      <c r="C78" s="227" t="s">
        <v>222</v>
      </c>
      <c r="D78" s="228">
        <v>350</v>
      </c>
      <c r="E78" s="231">
        <v>1407.1</v>
      </c>
      <c r="F78" s="231">
        <v>1415.3</v>
      </c>
      <c r="G78" s="228">
        <v>-8.1999999999999993</v>
      </c>
      <c r="H78" s="229">
        <v>-5.7999999999999996E-3</v>
      </c>
      <c r="I78" s="231">
        <v>1428.3</v>
      </c>
      <c r="J78" s="231">
        <v>1442.3</v>
      </c>
      <c r="K78" s="228">
        <v>-14</v>
      </c>
      <c r="L78" s="229">
        <v>-9.7000000000000003E-3</v>
      </c>
      <c r="M78" s="231">
        <v>1407.1</v>
      </c>
      <c r="N78" s="231">
        <v>1415.3</v>
      </c>
      <c r="O78" s="228">
        <v>-8.1999999999999993</v>
      </c>
      <c r="P78" s="229">
        <v>-5.7999999999999996E-3</v>
      </c>
      <c r="Q78" s="231">
        <v>1394.9</v>
      </c>
      <c r="R78" s="231">
        <v>1402.4</v>
      </c>
      <c r="S78" s="228">
        <v>-7.5</v>
      </c>
      <c r="T78" s="229">
        <v>-5.3E-3</v>
      </c>
      <c r="U78" s="231">
        <v>1391.8</v>
      </c>
      <c r="V78" s="231">
        <v>1398.2</v>
      </c>
      <c r="W78" s="228">
        <v>-6.4</v>
      </c>
      <c r="X78" s="229">
        <v>-4.5999999999999999E-3</v>
      </c>
      <c r="Y78" s="228">
        <v>-21.2</v>
      </c>
      <c r="Z78" s="228">
        <v>-27</v>
      </c>
      <c r="AA78" s="228">
        <v>5.8</v>
      </c>
      <c r="AB78" s="229">
        <v>-1.4800000000000001E-2</v>
      </c>
      <c r="AC78" s="228">
        <v>-21.2</v>
      </c>
      <c r="AD78" s="228">
        <v>-27</v>
      </c>
      <c r="AE78" s="228">
        <v>5.8</v>
      </c>
      <c r="AF78" s="229">
        <v>-1.4800000000000001E-2</v>
      </c>
      <c r="AG78" s="228">
        <v>-33.4</v>
      </c>
      <c r="AH78" s="228">
        <v>-39.9</v>
      </c>
      <c r="AI78" s="228">
        <v>6.5</v>
      </c>
      <c r="AJ78" s="229">
        <v>-2.3400000000000001E-2</v>
      </c>
      <c r="AK78" s="228">
        <v>-36.5</v>
      </c>
      <c r="AL78" s="228">
        <v>-44.1</v>
      </c>
      <c r="AM78" s="228">
        <v>7.6</v>
      </c>
      <c r="AN78" s="229">
        <v>-2.5600000000000001E-2</v>
      </c>
      <c r="AO78" s="231">
        <v>1410.01</v>
      </c>
      <c r="AP78" s="231">
        <v>1397.46</v>
      </c>
      <c r="AQ78" s="228">
        <v>0</v>
      </c>
      <c r="AR78" s="230">
        <v>6958700</v>
      </c>
      <c r="AS78" s="230">
        <v>7057400</v>
      </c>
      <c r="AT78" s="230">
        <v>-98700</v>
      </c>
      <c r="AU78" s="229">
        <v>-1.4E-2</v>
      </c>
      <c r="AV78" s="230">
        <v>5181400</v>
      </c>
      <c r="AW78" s="230">
        <v>5533850</v>
      </c>
      <c r="AX78" s="230">
        <v>-352450</v>
      </c>
      <c r="AY78" s="229">
        <v>-6.3700000000000007E-2</v>
      </c>
      <c r="AZ78" s="230">
        <v>1725500</v>
      </c>
      <c r="BA78" s="230">
        <v>1493800</v>
      </c>
      <c r="BB78" s="230">
        <v>231700</v>
      </c>
      <c r="BC78" s="229">
        <v>0.15509999999999999</v>
      </c>
      <c r="BD78" s="230">
        <v>51800</v>
      </c>
      <c r="BE78" s="230">
        <v>29750</v>
      </c>
      <c r="BF78" s="230">
        <v>22050</v>
      </c>
      <c r="BG78" s="229">
        <v>0.74119999999999997</v>
      </c>
      <c r="BH78" s="230">
        <v>8901550</v>
      </c>
      <c r="BI78" s="230">
        <v>10275300</v>
      </c>
      <c r="BJ78" s="230">
        <v>-1373750</v>
      </c>
      <c r="BK78" s="229">
        <v>-0.13370000000000001</v>
      </c>
      <c r="BL78" s="230">
        <v>4884600</v>
      </c>
      <c r="BM78" s="230">
        <v>5757500</v>
      </c>
      <c r="BN78" s="230">
        <v>-872900</v>
      </c>
      <c r="BO78" s="229">
        <v>-0.15160000000000001</v>
      </c>
      <c r="BP78" s="230">
        <v>20744850</v>
      </c>
      <c r="BQ78" s="230">
        <v>23090200</v>
      </c>
      <c r="BR78" s="230">
        <v>-2345350</v>
      </c>
      <c r="BS78" s="229">
        <v>-0.1016</v>
      </c>
      <c r="BT78" s="230">
        <v>2421112</v>
      </c>
      <c r="BU78" s="230">
        <v>3608781</v>
      </c>
      <c r="BV78" s="230">
        <v>-1187669</v>
      </c>
      <c r="BW78" s="229">
        <v>-0.3291</v>
      </c>
      <c r="BX78" s="230">
        <v>44422700</v>
      </c>
      <c r="BY78" s="230">
        <v>42867300</v>
      </c>
      <c r="BZ78" s="230">
        <v>1555400</v>
      </c>
      <c r="CA78" s="229">
        <v>3.6299999999999999E-2</v>
      </c>
      <c r="CB78" s="230">
        <v>37202900</v>
      </c>
      <c r="CC78" s="230">
        <v>36706600</v>
      </c>
      <c r="CD78" s="230">
        <v>496300</v>
      </c>
      <c r="CE78" s="229">
        <v>1.35E-2</v>
      </c>
      <c r="CF78" s="230">
        <v>6975850</v>
      </c>
      <c r="CG78" s="230">
        <v>5937400</v>
      </c>
      <c r="CH78" s="230">
        <v>1038450</v>
      </c>
      <c r="CI78" s="229">
        <v>0.1749</v>
      </c>
      <c r="CJ78" s="230">
        <v>243950</v>
      </c>
      <c r="CK78" s="230">
        <v>223300</v>
      </c>
      <c r="CL78" s="230">
        <v>20650</v>
      </c>
      <c r="CM78" s="229">
        <v>9.2499999999999999E-2</v>
      </c>
      <c r="CN78" s="230">
        <v>7597800</v>
      </c>
      <c r="CO78" s="230">
        <v>7123550</v>
      </c>
      <c r="CP78" s="230">
        <v>474250</v>
      </c>
      <c r="CQ78" s="229">
        <v>6.6600000000000006E-2</v>
      </c>
      <c r="CR78" s="230">
        <v>6377350</v>
      </c>
      <c r="CS78" s="230">
        <v>5924100</v>
      </c>
      <c r="CT78" s="230">
        <v>453250</v>
      </c>
      <c r="CU78" s="229">
        <v>7.6499999999999999E-2</v>
      </c>
      <c r="CV78" s="230">
        <v>58397850</v>
      </c>
      <c r="CW78" s="230">
        <v>55914950</v>
      </c>
      <c r="CX78" s="230">
        <v>2482900</v>
      </c>
      <c r="CY78" s="229">
        <v>4.4400000000000002E-2</v>
      </c>
      <c r="CZ78" s="228">
        <v>41.04</v>
      </c>
      <c r="DA78" s="228">
        <v>35.65</v>
      </c>
      <c r="DB78" s="228">
        <v>5.39</v>
      </c>
      <c r="DC78" s="228">
        <v>5.39</v>
      </c>
      <c r="DD78" s="228">
        <v>29.29</v>
      </c>
      <c r="DE78" s="228">
        <v>29.34</v>
      </c>
      <c r="DF78" s="228">
        <v>11.75</v>
      </c>
      <c r="DG78" s="228">
        <v>-0.05</v>
      </c>
      <c r="DH78" s="228">
        <v>40.83</v>
      </c>
      <c r="DI78" s="228">
        <v>35.47</v>
      </c>
      <c r="DJ78" s="228">
        <v>5.36</v>
      </c>
      <c r="DK78" s="228">
        <v>5.36</v>
      </c>
      <c r="DL78" s="228">
        <v>41.41</v>
      </c>
      <c r="DM78" s="228">
        <v>35.979999999999997</v>
      </c>
      <c r="DN78" s="228">
        <v>5.43</v>
      </c>
      <c r="DO78" s="228">
        <v>5.43</v>
      </c>
      <c r="DP78" s="228">
        <v>0.84</v>
      </c>
      <c r="DQ78" s="228">
        <v>0.83</v>
      </c>
      <c r="DR78" s="228">
        <v>0.01</v>
      </c>
      <c r="DS78" s="229">
        <v>1.2E-2</v>
      </c>
      <c r="DT78" s="231">
        <v>1440</v>
      </c>
      <c r="DU78" s="231">
        <v>1400</v>
      </c>
      <c r="DV78" s="228">
        <v>0.55000000000000004</v>
      </c>
      <c r="DW78" s="228">
        <v>0.56000000000000005</v>
      </c>
      <c r="DX78" s="228">
        <v>-0.01</v>
      </c>
      <c r="DY78" s="229">
        <v>-1.7899999999999999E-2</v>
      </c>
      <c r="DZ78" s="229">
        <v>0.16250000000000001</v>
      </c>
      <c r="EA78" s="230">
        <v>6160700</v>
      </c>
      <c r="EB78" s="229">
        <v>-8.6999999999999994E-3</v>
      </c>
      <c r="EC78" s="229">
        <v>0.16250000000000001</v>
      </c>
      <c r="ED78" s="228">
        <v>-12.55</v>
      </c>
      <c r="EE78" s="229">
        <v>-8.8999999999999999E-3</v>
      </c>
      <c r="EF78" s="230">
        <v>1276485</v>
      </c>
      <c r="EG78" s="230">
        <v>2104908</v>
      </c>
      <c r="EH78" s="229">
        <v>-0.39360000000000001</v>
      </c>
      <c r="EI78" s="229">
        <v>0.5272</v>
      </c>
      <c r="EJ78" s="231">
        <v>132255.73000000001</v>
      </c>
      <c r="EK78" s="231">
        <v>69372.23</v>
      </c>
      <c r="EL78" s="231">
        <v>97893.93</v>
      </c>
      <c r="EM78" s="231">
        <v>21312</v>
      </c>
      <c r="EN78" s="231">
        <v>299521.89</v>
      </c>
      <c r="EO78" s="231">
        <v>333623.05</v>
      </c>
      <c r="EP78" s="231">
        <v>-34101.160000000003</v>
      </c>
      <c r="EQ78" s="229">
        <v>-0.1022</v>
      </c>
      <c r="ER78" s="231">
        <v>111214</v>
      </c>
      <c r="ES78" s="231">
        <v>87011</v>
      </c>
      <c r="ET78" s="231">
        <v>624183</v>
      </c>
      <c r="EU78" s="231">
        <v>145140505</v>
      </c>
      <c r="EV78" s="231">
        <v>822409</v>
      </c>
      <c r="EW78" s="231">
        <v>790768</v>
      </c>
      <c r="EX78" s="231">
        <v>31641</v>
      </c>
      <c r="EY78" s="229">
        <v>0.04</v>
      </c>
      <c r="EZ78" s="229">
        <v>0.40239999999999998</v>
      </c>
      <c r="FA78" s="227" t="s">
        <v>566</v>
      </c>
      <c r="FB78" s="161">
        <f t="shared" si="1"/>
        <v>7219800</v>
      </c>
    </row>
    <row r="79" spans="1:158" ht="17.25" thickBot="1" x14ac:dyDescent="0.3">
      <c r="A79" s="226">
        <v>46132</v>
      </c>
      <c r="B79" s="227" t="s">
        <v>175</v>
      </c>
      <c r="C79" s="227" t="s">
        <v>475</v>
      </c>
      <c r="D79" s="228">
        <v>300</v>
      </c>
      <c r="E79" s="231">
        <v>2763.8</v>
      </c>
      <c r="F79" s="231">
        <v>2791.6</v>
      </c>
      <c r="G79" s="228">
        <v>-27.8</v>
      </c>
      <c r="H79" s="229">
        <v>-0.01</v>
      </c>
      <c r="I79" s="231">
        <v>2768.2</v>
      </c>
      <c r="J79" s="231">
        <v>2792.4</v>
      </c>
      <c r="K79" s="228">
        <v>-24.2</v>
      </c>
      <c r="L79" s="229">
        <v>-8.6999999999999994E-3</v>
      </c>
      <c r="M79" s="231">
        <v>2763.8</v>
      </c>
      <c r="N79" s="231">
        <v>2791.6</v>
      </c>
      <c r="O79" s="228">
        <v>-27.8</v>
      </c>
      <c r="P79" s="229">
        <v>-0.01</v>
      </c>
      <c r="Q79" s="231">
        <v>2775.8</v>
      </c>
      <c r="R79" s="231">
        <v>2803.1</v>
      </c>
      <c r="S79" s="228">
        <v>-27.3</v>
      </c>
      <c r="T79" s="229">
        <v>-9.7000000000000003E-3</v>
      </c>
      <c r="U79" s="231">
        <v>2780.7</v>
      </c>
      <c r="V79" s="231">
        <v>2810.8</v>
      </c>
      <c r="W79" s="228">
        <v>-30.1</v>
      </c>
      <c r="X79" s="229">
        <v>-1.0699999999999999E-2</v>
      </c>
      <c r="Y79" s="228">
        <v>-4.4000000000000004</v>
      </c>
      <c r="Z79" s="228">
        <v>-0.8</v>
      </c>
      <c r="AA79" s="228">
        <v>-3.6</v>
      </c>
      <c r="AB79" s="229">
        <v>-1.6000000000000001E-3</v>
      </c>
      <c r="AC79" s="228">
        <v>-4.4000000000000004</v>
      </c>
      <c r="AD79" s="228">
        <v>-0.8</v>
      </c>
      <c r="AE79" s="228">
        <v>-3.6</v>
      </c>
      <c r="AF79" s="229">
        <v>-1.6000000000000001E-3</v>
      </c>
      <c r="AG79" s="228">
        <v>7.6</v>
      </c>
      <c r="AH79" s="228">
        <v>10.7</v>
      </c>
      <c r="AI79" s="228">
        <v>-3.1</v>
      </c>
      <c r="AJ79" s="229">
        <v>2.7000000000000001E-3</v>
      </c>
      <c r="AK79" s="228">
        <v>12.5</v>
      </c>
      <c r="AL79" s="228">
        <v>18.399999999999999</v>
      </c>
      <c r="AM79" s="228">
        <v>-5.9</v>
      </c>
      <c r="AN79" s="229">
        <v>4.4999999999999997E-3</v>
      </c>
      <c r="AO79" s="231">
        <v>2768.85</v>
      </c>
      <c r="AP79" s="231">
        <v>2780.28</v>
      </c>
      <c r="AQ79" s="228">
        <v>0</v>
      </c>
      <c r="AR79" s="230">
        <v>1071000</v>
      </c>
      <c r="AS79" s="230">
        <v>2414100</v>
      </c>
      <c r="AT79" s="230">
        <v>-1343100</v>
      </c>
      <c r="AU79" s="229">
        <v>-0.55640000000000001</v>
      </c>
      <c r="AV79" s="230">
        <v>954000</v>
      </c>
      <c r="AW79" s="230">
        <v>2199000</v>
      </c>
      <c r="AX79" s="230">
        <v>-1245000</v>
      </c>
      <c r="AY79" s="229">
        <v>-0.56620000000000004</v>
      </c>
      <c r="AZ79" s="230">
        <v>113400</v>
      </c>
      <c r="BA79" s="230">
        <v>194100</v>
      </c>
      <c r="BB79" s="230">
        <v>-80700</v>
      </c>
      <c r="BC79" s="229">
        <v>-0.4158</v>
      </c>
      <c r="BD79" s="230">
        <v>3600</v>
      </c>
      <c r="BE79" s="230">
        <v>21000</v>
      </c>
      <c r="BF79" s="230">
        <v>-17400</v>
      </c>
      <c r="BG79" s="229">
        <v>-0.8286</v>
      </c>
      <c r="BH79" s="230">
        <v>3178800</v>
      </c>
      <c r="BI79" s="230">
        <v>20601000</v>
      </c>
      <c r="BJ79" s="230">
        <v>-17422200</v>
      </c>
      <c r="BK79" s="229">
        <v>-0.84570000000000001</v>
      </c>
      <c r="BL79" s="230">
        <v>2549100</v>
      </c>
      <c r="BM79" s="230">
        <v>9114000</v>
      </c>
      <c r="BN79" s="230">
        <v>-6564900</v>
      </c>
      <c r="BO79" s="229">
        <v>-0.72030000000000005</v>
      </c>
      <c r="BP79" s="230">
        <v>6798900</v>
      </c>
      <c r="BQ79" s="230">
        <v>32129100</v>
      </c>
      <c r="BR79" s="230">
        <v>-25330200</v>
      </c>
      <c r="BS79" s="229">
        <v>-0.78839999999999999</v>
      </c>
      <c r="BT79" s="230">
        <v>1078886</v>
      </c>
      <c r="BU79" s="230">
        <v>2369564</v>
      </c>
      <c r="BV79" s="230">
        <v>-1290678</v>
      </c>
      <c r="BW79" s="229">
        <v>-0.54469999999999996</v>
      </c>
      <c r="BX79" s="230">
        <v>5461800</v>
      </c>
      <c r="BY79" s="230">
        <v>5727600</v>
      </c>
      <c r="BZ79" s="230">
        <v>-265800</v>
      </c>
      <c r="CA79" s="229">
        <v>-4.6399999999999997E-2</v>
      </c>
      <c r="CB79" s="230">
        <v>5178900</v>
      </c>
      <c r="CC79" s="230">
        <v>5465100</v>
      </c>
      <c r="CD79" s="230">
        <v>-286200</v>
      </c>
      <c r="CE79" s="229">
        <v>-5.2400000000000002E-2</v>
      </c>
      <c r="CF79" s="230">
        <v>219900</v>
      </c>
      <c r="CG79" s="230">
        <v>201000</v>
      </c>
      <c r="CH79" s="230">
        <v>18900</v>
      </c>
      <c r="CI79" s="229">
        <v>9.4E-2</v>
      </c>
      <c r="CJ79" s="230">
        <v>63000</v>
      </c>
      <c r="CK79" s="230">
        <v>61500</v>
      </c>
      <c r="CL79" s="230">
        <v>1500</v>
      </c>
      <c r="CM79" s="229">
        <v>2.4400000000000002E-2</v>
      </c>
      <c r="CN79" s="230">
        <v>2326200</v>
      </c>
      <c r="CO79" s="230">
        <v>2534400</v>
      </c>
      <c r="CP79" s="230">
        <v>-208200</v>
      </c>
      <c r="CQ79" s="229">
        <v>-8.2100000000000006E-2</v>
      </c>
      <c r="CR79" s="230">
        <v>2238000</v>
      </c>
      <c r="CS79" s="230">
        <v>2455500</v>
      </c>
      <c r="CT79" s="230">
        <v>-217500</v>
      </c>
      <c r="CU79" s="229">
        <v>-8.8599999999999998E-2</v>
      </c>
      <c r="CV79" s="230">
        <v>10026000</v>
      </c>
      <c r="CW79" s="230">
        <v>10717500</v>
      </c>
      <c r="CX79" s="230">
        <v>-691500</v>
      </c>
      <c r="CY79" s="229">
        <v>-6.4500000000000002E-2</v>
      </c>
      <c r="CZ79" s="228">
        <v>36.33</v>
      </c>
      <c r="DA79" s="228">
        <v>33.130000000000003</v>
      </c>
      <c r="DB79" s="228">
        <v>3.2</v>
      </c>
      <c r="DC79" s="228">
        <v>3.2</v>
      </c>
      <c r="DD79" s="228">
        <v>39.340000000000003</v>
      </c>
      <c r="DE79" s="228">
        <v>39.42</v>
      </c>
      <c r="DF79" s="228">
        <v>-3.01</v>
      </c>
      <c r="DG79" s="228">
        <v>-0.08</v>
      </c>
      <c r="DH79" s="228">
        <v>33.549999999999997</v>
      </c>
      <c r="DI79" s="228">
        <v>31.17</v>
      </c>
      <c r="DJ79" s="228">
        <v>2.38</v>
      </c>
      <c r="DK79" s="228">
        <v>2.38</v>
      </c>
      <c r="DL79" s="228">
        <v>39.799999999999997</v>
      </c>
      <c r="DM79" s="228">
        <v>37.58</v>
      </c>
      <c r="DN79" s="228">
        <v>2.2200000000000002</v>
      </c>
      <c r="DO79" s="228">
        <v>2.2200000000000002</v>
      </c>
      <c r="DP79" s="228">
        <v>0.96</v>
      </c>
      <c r="DQ79" s="228">
        <v>0.97</v>
      </c>
      <c r="DR79" s="228">
        <v>-0.01</v>
      </c>
      <c r="DS79" s="229">
        <v>-1.03E-2</v>
      </c>
      <c r="DT79" s="231">
        <v>2800</v>
      </c>
      <c r="DU79" s="231">
        <v>2700</v>
      </c>
      <c r="DV79" s="228">
        <v>0.8</v>
      </c>
      <c r="DW79" s="228">
        <v>0.44</v>
      </c>
      <c r="DX79" s="228">
        <v>0.36</v>
      </c>
      <c r="DY79" s="229">
        <v>0.81820000000000004</v>
      </c>
      <c r="DZ79" s="229">
        <v>5.1799999999999999E-2</v>
      </c>
      <c r="EA79" s="230">
        <v>262500</v>
      </c>
      <c r="EB79" s="229">
        <v>4.3E-3</v>
      </c>
      <c r="EC79" s="229">
        <v>5.1799999999999999E-2</v>
      </c>
      <c r="ED79" s="228">
        <v>11.43</v>
      </c>
      <c r="EE79" s="229">
        <v>4.1000000000000003E-3</v>
      </c>
      <c r="EF79" s="230">
        <v>697583</v>
      </c>
      <c r="EG79" s="230">
        <v>1170540</v>
      </c>
      <c r="EH79" s="229">
        <v>-0.40410000000000001</v>
      </c>
      <c r="EI79" s="229">
        <v>0.64659999999999995</v>
      </c>
      <c r="EJ79" s="231">
        <v>91486.77</v>
      </c>
      <c r="EK79" s="231">
        <v>68976.960000000006</v>
      </c>
      <c r="EL79" s="231">
        <v>29668.01</v>
      </c>
      <c r="EM79" s="231">
        <v>8140</v>
      </c>
      <c r="EN79" s="231">
        <v>190131.74</v>
      </c>
      <c r="EO79" s="231">
        <v>899812.92</v>
      </c>
      <c r="EP79" s="231">
        <v>-709681.18</v>
      </c>
      <c r="EQ79" s="229">
        <v>-0.78869999999999996</v>
      </c>
      <c r="ER79" s="231">
        <v>64299</v>
      </c>
      <c r="ES79" s="231">
        <v>57005</v>
      </c>
      <c r="ET79" s="231">
        <v>150990</v>
      </c>
      <c r="EU79" s="231">
        <v>30592324</v>
      </c>
      <c r="EV79" s="231">
        <v>272294</v>
      </c>
      <c r="EW79" s="231">
        <v>292902</v>
      </c>
      <c r="EX79" s="231">
        <v>-20608</v>
      </c>
      <c r="EY79" s="229">
        <v>-7.0400000000000004E-2</v>
      </c>
      <c r="EZ79" s="229">
        <v>0.32769999999999999</v>
      </c>
      <c r="FA79" s="227" t="s">
        <v>567</v>
      </c>
      <c r="FB79" s="161">
        <f t="shared" si="1"/>
        <v>282900</v>
      </c>
    </row>
    <row r="80" spans="1:158" ht="17.25" thickBot="1" x14ac:dyDescent="0.3">
      <c r="A80" s="226">
        <v>46132</v>
      </c>
      <c r="B80" s="227" t="s">
        <v>172</v>
      </c>
      <c r="C80" s="227" t="s">
        <v>224</v>
      </c>
      <c r="D80" s="228">
        <v>550</v>
      </c>
      <c r="E80" s="228">
        <v>794.9</v>
      </c>
      <c r="F80" s="228">
        <v>801.6</v>
      </c>
      <c r="G80" s="228">
        <v>-6.7</v>
      </c>
      <c r="H80" s="229">
        <v>-8.3999999999999995E-3</v>
      </c>
      <c r="I80" s="228">
        <v>795.45</v>
      </c>
      <c r="J80" s="228">
        <v>799.9</v>
      </c>
      <c r="K80" s="228">
        <v>-4.45</v>
      </c>
      <c r="L80" s="229">
        <v>-5.5999999999999999E-3</v>
      </c>
      <c r="M80" s="228">
        <v>794.9</v>
      </c>
      <c r="N80" s="228">
        <v>801.6</v>
      </c>
      <c r="O80" s="228">
        <v>-6.7</v>
      </c>
      <c r="P80" s="229">
        <v>-8.3999999999999995E-3</v>
      </c>
      <c r="Q80" s="228">
        <v>799.7</v>
      </c>
      <c r="R80" s="228">
        <v>803.2</v>
      </c>
      <c r="S80" s="228">
        <v>-3.5</v>
      </c>
      <c r="T80" s="229">
        <v>-4.4000000000000003E-3</v>
      </c>
      <c r="U80" s="228">
        <v>791.25</v>
      </c>
      <c r="V80" s="228">
        <v>799.05</v>
      </c>
      <c r="W80" s="228">
        <v>-7.8</v>
      </c>
      <c r="X80" s="229">
        <v>-9.7999999999999997E-3</v>
      </c>
      <c r="Y80" s="228">
        <v>-0.55000000000000004</v>
      </c>
      <c r="Z80" s="228">
        <v>1.7</v>
      </c>
      <c r="AA80" s="228">
        <v>-2.25</v>
      </c>
      <c r="AB80" s="229">
        <v>-6.9999999999999999E-4</v>
      </c>
      <c r="AC80" s="228">
        <v>-0.55000000000000004</v>
      </c>
      <c r="AD80" s="228">
        <v>1.7</v>
      </c>
      <c r="AE80" s="228">
        <v>-2.25</v>
      </c>
      <c r="AF80" s="229">
        <v>-6.9999999999999999E-4</v>
      </c>
      <c r="AG80" s="228">
        <v>4.25</v>
      </c>
      <c r="AH80" s="228">
        <v>3.3</v>
      </c>
      <c r="AI80" s="228">
        <v>0.95</v>
      </c>
      <c r="AJ80" s="229">
        <v>5.3E-3</v>
      </c>
      <c r="AK80" s="228">
        <v>-4.2</v>
      </c>
      <c r="AL80" s="228">
        <v>-0.85</v>
      </c>
      <c r="AM80" s="228">
        <v>-3.35</v>
      </c>
      <c r="AN80" s="229">
        <v>-5.3E-3</v>
      </c>
      <c r="AO80" s="228">
        <v>796.63</v>
      </c>
      <c r="AP80" s="228">
        <v>801.08</v>
      </c>
      <c r="AQ80" s="228">
        <v>0</v>
      </c>
      <c r="AR80" s="230">
        <v>67928850</v>
      </c>
      <c r="AS80" s="230">
        <v>33108900</v>
      </c>
      <c r="AT80" s="230">
        <v>34819950</v>
      </c>
      <c r="AU80" s="229">
        <v>1.0517000000000001</v>
      </c>
      <c r="AV80" s="230">
        <v>46614150</v>
      </c>
      <c r="AW80" s="230">
        <v>26361500</v>
      </c>
      <c r="AX80" s="230">
        <v>20252650</v>
      </c>
      <c r="AY80" s="229">
        <v>0.76829999999999998</v>
      </c>
      <c r="AZ80" s="230">
        <v>9368700</v>
      </c>
      <c r="BA80" s="230">
        <v>5507150</v>
      </c>
      <c r="BB80" s="230">
        <v>3861550</v>
      </c>
      <c r="BC80" s="229">
        <v>0.70120000000000005</v>
      </c>
      <c r="BD80" s="230">
        <v>11946000</v>
      </c>
      <c r="BE80" s="230">
        <v>1240250</v>
      </c>
      <c r="BF80" s="230">
        <v>10705750</v>
      </c>
      <c r="BG80" s="229">
        <v>8.6318999999999999</v>
      </c>
      <c r="BH80" s="230">
        <v>232230900</v>
      </c>
      <c r="BI80" s="230">
        <v>105810650</v>
      </c>
      <c r="BJ80" s="230">
        <v>126420250</v>
      </c>
      <c r="BK80" s="229">
        <v>1.1948000000000001</v>
      </c>
      <c r="BL80" s="230">
        <v>107932000</v>
      </c>
      <c r="BM80" s="230">
        <v>57940850</v>
      </c>
      <c r="BN80" s="230">
        <v>49991150</v>
      </c>
      <c r="BO80" s="229">
        <v>0.86280000000000001</v>
      </c>
      <c r="BP80" s="230">
        <v>408091750</v>
      </c>
      <c r="BQ80" s="230">
        <v>196860400</v>
      </c>
      <c r="BR80" s="230">
        <v>211231350</v>
      </c>
      <c r="BS80" s="229">
        <v>1.073</v>
      </c>
      <c r="BT80" s="230">
        <v>54063314</v>
      </c>
      <c r="BU80" s="230">
        <v>38872616</v>
      </c>
      <c r="BV80" s="230">
        <v>15190698</v>
      </c>
      <c r="BW80" s="229">
        <v>0.39079999999999998</v>
      </c>
      <c r="BX80" s="230">
        <v>328107450</v>
      </c>
      <c r="BY80" s="230">
        <v>330540100</v>
      </c>
      <c r="BZ80" s="230">
        <v>-2432650</v>
      </c>
      <c r="CA80" s="229">
        <v>-7.4000000000000003E-3</v>
      </c>
      <c r="CB80" s="230">
        <v>269287700</v>
      </c>
      <c r="CC80" s="230">
        <v>288009150</v>
      </c>
      <c r="CD80" s="230">
        <v>-18721450</v>
      </c>
      <c r="CE80" s="229">
        <v>-6.5000000000000002E-2</v>
      </c>
      <c r="CF80" s="230">
        <v>29218750</v>
      </c>
      <c r="CG80" s="230">
        <v>24295700</v>
      </c>
      <c r="CH80" s="230">
        <v>4923050</v>
      </c>
      <c r="CI80" s="229">
        <v>0.2026</v>
      </c>
      <c r="CJ80" s="230">
        <v>29601000</v>
      </c>
      <c r="CK80" s="230">
        <v>18235250</v>
      </c>
      <c r="CL80" s="230">
        <v>11365750</v>
      </c>
      <c r="CM80" s="229">
        <v>0.62329999999999997</v>
      </c>
      <c r="CN80" s="230">
        <v>104784350</v>
      </c>
      <c r="CO80" s="230">
        <v>97987450</v>
      </c>
      <c r="CP80" s="230">
        <v>6796900</v>
      </c>
      <c r="CQ80" s="229">
        <v>6.9400000000000003E-2</v>
      </c>
      <c r="CR80" s="230">
        <v>55524150</v>
      </c>
      <c r="CS80" s="230">
        <v>55635250</v>
      </c>
      <c r="CT80" s="230">
        <v>-111100</v>
      </c>
      <c r="CU80" s="229">
        <v>-2E-3</v>
      </c>
      <c r="CV80" s="230">
        <v>488415950</v>
      </c>
      <c r="CW80" s="230">
        <v>484162800</v>
      </c>
      <c r="CX80" s="230">
        <v>4253150</v>
      </c>
      <c r="CY80" s="229">
        <v>8.8000000000000005E-3</v>
      </c>
      <c r="CZ80" s="228">
        <v>30.48</v>
      </c>
      <c r="DA80" s="228">
        <v>34.020000000000003</v>
      </c>
      <c r="DB80" s="228">
        <v>-3.54</v>
      </c>
      <c r="DC80" s="228">
        <v>-3.54</v>
      </c>
      <c r="DD80" s="228">
        <v>25.3</v>
      </c>
      <c r="DE80" s="228">
        <v>25.35</v>
      </c>
      <c r="DF80" s="228">
        <v>5.18</v>
      </c>
      <c r="DG80" s="228">
        <v>-0.05</v>
      </c>
      <c r="DH80" s="228">
        <v>30.6</v>
      </c>
      <c r="DI80" s="228">
        <v>34.22</v>
      </c>
      <c r="DJ80" s="228">
        <v>-3.62</v>
      </c>
      <c r="DK80" s="228">
        <v>-3.62</v>
      </c>
      <c r="DL80" s="228">
        <v>30.22</v>
      </c>
      <c r="DM80" s="228">
        <v>33.64</v>
      </c>
      <c r="DN80" s="228">
        <v>-3.42</v>
      </c>
      <c r="DO80" s="228">
        <v>-3.42</v>
      </c>
      <c r="DP80" s="228">
        <v>0.53</v>
      </c>
      <c r="DQ80" s="228">
        <v>0.56999999999999995</v>
      </c>
      <c r="DR80" s="228">
        <v>-0.04</v>
      </c>
      <c r="DS80" s="229">
        <v>-7.0199999999999999E-2</v>
      </c>
      <c r="DT80" s="228">
        <v>800</v>
      </c>
      <c r="DU80" s="228">
        <v>800</v>
      </c>
      <c r="DV80" s="228">
        <v>0.46</v>
      </c>
      <c r="DW80" s="228">
        <v>0.55000000000000004</v>
      </c>
      <c r="DX80" s="228">
        <v>-0.09</v>
      </c>
      <c r="DY80" s="229">
        <v>-0.1636</v>
      </c>
      <c r="DZ80" s="229">
        <v>0.17929999999999999</v>
      </c>
      <c r="EA80" s="230">
        <v>42530950</v>
      </c>
      <c r="EB80" s="229">
        <v>6.0000000000000001E-3</v>
      </c>
      <c r="EC80" s="229">
        <v>0.17929999999999999</v>
      </c>
      <c r="ED80" s="228">
        <v>4.45</v>
      </c>
      <c r="EE80" s="229">
        <v>5.5999999999999999E-3</v>
      </c>
      <c r="EF80" s="230">
        <v>28509334</v>
      </c>
      <c r="EG80" s="230">
        <v>24425141</v>
      </c>
      <c r="EH80" s="229">
        <v>0.16719999999999999</v>
      </c>
      <c r="EI80" s="229">
        <v>0.52729999999999999</v>
      </c>
      <c r="EJ80" s="231">
        <v>1936851.49</v>
      </c>
      <c r="EK80" s="231">
        <v>847227.68</v>
      </c>
      <c r="EL80" s="231">
        <v>541187.49</v>
      </c>
      <c r="EM80" s="231">
        <v>61080</v>
      </c>
      <c r="EN80" s="231">
        <v>3325266.66</v>
      </c>
      <c r="EO80" s="231">
        <v>1610884.02</v>
      </c>
      <c r="EP80" s="231">
        <v>1714382.64</v>
      </c>
      <c r="EQ80" s="229">
        <v>1.0642</v>
      </c>
      <c r="ER80" s="231">
        <v>878149</v>
      </c>
      <c r="ES80" s="231">
        <v>430777</v>
      </c>
      <c r="ET80" s="231">
        <v>2608448</v>
      </c>
      <c r="EU80" s="231">
        <v>1496665645</v>
      </c>
      <c r="EV80" s="231">
        <v>3917374</v>
      </c>
      <c r="EW80" s="231">
        <v>3901030</v>
      </c>
      <c r="EX80" s="231">
        <v>16344</v>
      </c>
      <c r="EY80" s="229">
        <v>4.1999999999999997E-3</v>
      </c>
      <c r="EZ80" s="229">
        <v>0.32629999999999998</v>
      </c>
      <c r="FA80" s="227" t="s">
        <v>567</v>
      </c>
      <c r="FB80" s="161">
        <f t="shared" si="1"/>
        <v>58819750</v>
      </c>
    </row>
    <row r="81" spans="1:158" ht="17.25" thickBot="1" x14ac:dyDescent="0.3">
      <c r="A81" s="226">
        <v>46132</v>
      </c>
      <c r="B81" s="227" t="s">
        <v>175</v>
      </c>
      <c r="C81" s="227" t="s">
        <v>225</v>
      </c>
      <c r="D81" s="228">
        <v>1100</v>
      </c>
      <c r="E81" s="228">
        <v>611</v>
      </c>
      <c r="F81" s="228">
        <v>616.29999999999995</v>
      </c>
      <c r="G81" s="228">
        <v>-5.3</v>
      </c>
      <c r="H81" s="229">
        <v>-8.6E-3</v>
      </c>
      <c r="I81" s="228">
        <v>609.75</v>
      </c>
      <c r="J81" s="228">
        <v>616.45000000000005</v>
      </c>
      <c r="K81" s="228">
        <v>-6.7</v>
      </c>
      <c r="L81" s="229">
        <v>-1.09E-2</v>
      </c>
      <c r="M81" s="228">
        <v>611</v>
      </c>
      <c r="N81" s="228">
        <v>616.29999999999995</v>
      </c>
      <c r="O81" s="228">
        <v>-5.3</v>
      </c>
      <c r="P81" s="229">
        <v>-8.6E-3</v>
      </c>
      <c r="Q81" s="228">
        <v>613.85</v>
      </c>
      <c r="R81" s="228">
        <v>619.6</v>
      </c>
      <c r="S81" s="228">
        <v>-5.75</v>
      </c>
      <c r="T81" s="229">
        <v>-9.2999999999999992E-3</v>
      </c>
      <c r="U81" s="228">
        <v>615.65</v>
      </c>
      <c r="V81" s="228">
        <v>621.1</v>
      </c>
      <c r="W81" s="228">
        <v>-5.45</v>
      </c>
      <c r="X81" s="229">
        <v>-8.8000000000000005E-3</v>
      </c>
      <c r="Y81" s="228">
        <v>1.25</v>
      </c>
      <c r="Z81" s="228">
        <v>-0.15</v>
      </c>
      <c r="AA81" s="228">
        <v>1.4</v>
      </c>
      <c r="AB81" s="229">
        <v>2.0999999999999999E-3</v>
      </c>
      <c r="AC81" s="228">
        <v>1.25</v>
      </c>
      <c r="AD81" s="228">
        <v>-0.15</v>
      </c>
      <c r="AE81" s="228">
        <v>1.4</v>
      </c>
      <c r="AF81" s="229">
        <v>2.0999999999999999E-3</v>
      </c>
      <c r="AG81" s="228">
        <v>4.0999999999999996</v>
      </c>
      <c r="AH81" s="228">
        <v>3.15</v>
      </c>
      <c r="AI81" s="228">
        <v>0.95</v>
      </c>
      <c r="AJ81" s="229">
        <v>6.7000000000000002E-3</v>
      </c>
      <c r="AK81" s="228">
        <v>5.9</v>
      </c>
      <c r="AL81" s="228">
        <v>4.6500000000000004</v>
      </c>
      <c r="AM81" s="228">
        <v>1.25</v>
      </c>
      <c r="AN81" s="229">
        <v>9.7000000000000003E-3</v>
      </c>
      <c r="AO81" s="228">
        <v>611.51</v>
      </c>
      <c r="AP81" s="228">
        <v>614.54999999999995</v>
      </c>
      <c r="AQ81" s="228">
        <v>0</v>
      </c>
      <c r="AR81" s="230">
        <v>5321800</v>
      </c>
      <c r="AS81" s="230">
        <v>11900900</v>
      </c>
      <c r="AT81" s="230">
        <v>-6579100</v>
      </c>
      <c r="AU81" s="229">
        <v>-0.55279999999999996</v>
      </c>
      <c r="AV81" s="230">
        <v>3661900</v>
      </c>
      <c r="AW81" s="230">
        <v>10356500</v>
      </c>
      <c r="AX81" s="230">
        <v>-6694600</v>
      </c>
      <c r="AY81" s="229">
        <v>-0.64639999999999997</v>
      </c>
      <c r="AZ81" s="230">
        <v>1490500</v>
      </c>
      <c r="BA81" s="230">
        <v>1337600</v>
      </c>
      <c r="BB81" s="230">
        <v>152900</v>
      </c>
      <c r="BC81" s="229">
        <v>0.1143</v>
      </c>
      <c r="BD81" s="230">
        <v>169400</v>
      </c>
      <c r="BE81" s="230">
        <v>206800</v>
      </c>
      <c r="BF81" s="230">
        <v>-37400</v>
      </c>
      <c r="BG81" s="229">
        <v>-0.18090000000000001</v>
      </c>
      <c r="BH81" s="230">
        <v>23256200</v>
      </c>
      <c r="BI81" s="230">
        <v>59659600</v>
      </c>
      <c r="BJ81" s="230">
        <v>-36403400</v>
      </c>
      <c r="BK81" s="229">
        <v>-0.61019999999999996</v>
      </c>
      <c r="BL81" s="230">
        <v>13172500</v>
      </c>
      <c r="BM81" s="230">
        <v>41327000</v>
      </c>
      <c r="BN81" s="230">
        <v>-28154500</v>
      </c>
      <c r="BO81" s="229">
        <v>-0.68130000000000002</v>
      </c>
      <c r="BP81" s="230">
        <v>41750500</v>
      </c>
      <c r="BQ81" s="230">
        <v>112887500</v>
      </c>
      <c r="BR81" s="230">
        <v>-71137000</v>
      </c>
      <c r="BS81" s="229">
        <v>-0.63019999999999998</v>
      </c>
      <c r="BT81" s="230">
        <v>5401184</v>
      </c>
      <c r="BU81" s="230">
        <v>9166222</v>
      </c>
      <c r="BV81" s="230">
        <v>-3765038</v>
      </c>
      <c r="BW81" s="229">
        <v>-0.4108</v>
      </c>
      <c r="BX81" s="230">
        <v>44033000</v>
      </c>
      <c r="BY81" s="230">
        <v>43734900</v>
      </c>
      <c r="BZ81" s="230">
        <v>298100</v>
      </c>
      <c r="CA81" s="229">
        <v>6.7999999999999996E-3</v>
      </c>
      <c r="CB81" s="230">
        <v>40395300</v>
      </c>
      <c r="CC81" s="230">
        <v>41059700</v>
      </c>
      <c r="CD81" s="230">
        <v>-664400</v>
      </c>
      <c r="CE81" s="229">
        <v>-1.6199999999999999E-2</v>
      </c>
      <c r="CF81" s="230">
        <v>3258200</v>
      </c>
      <c r="CG81" s="230">
        <v>2384800</v>
      </c>
      <c r="CH81" s="230">
        <v>873400</v>
      </c>
      <c r="CI81" s="229">
        <v>0.36620000000000003</v>
      </c>
      <c r="CJ81" s="230">
        <v>379500</v>
      </c>
      <c r="CK81" s="230">
        <v>290400</v>
      </c>
      <c r="CL81" s="230">
        <v>89100</v>
      </c>
      <c r="CM81" s="229">
        <v>0.30680000000000002</v>
      </c>
      <c r="CN81" s="230">
        <v>19003600</v>
      </c>
      <c r="CO81" s="230">
        <v>19886900</v>
      </c>
      <c r="CP81" s="230">
        <v>-883300</v>
      </c>
      <c r="CQ81" s="229">
        <v>-4.4400000000000002E-2</v>
      </c>
      <c r="CR81" s="230">
        <v>12281500</v>
      </c>
      <c r="CS81" s="230">
        <v>13211000</v>
      </c>
      <c r="CT81" s="230">
        <v>-929500</v>
      </c>
      <c r="CU81" s="229">
        <v>-7.0400000000000004E-2</v>
      </c>
      <c r="CV81" s="230">
        <v>75318100</v>
      </c>
      <c r="CW81" s="230">
        <v>76832800</v>
      </c>
      <c r="CX81" s="230">
        <v>-1514700</v>
      </c>
      <c r="CY81" s="229">
        <v>-1.9699999999999999E-2</v>
      </c>
      <c r="CZ81" s="228">
        <v>29.85</v>
      </c>
      <c r="DA81" s="228">
        <v>27.44</v>
      </c>
      <c r="DB81" s="228">
        <v>2.41</v>
      </c>
      <c r="DC81" s="228">
        <v>2.41</v>
      </c>
      <c r="DD81" s="228">
        <v>27.75</v>
      </c>
      <c r="DE81" s="228">
        <v>27.78</v>
      </c>
      <c r="DF81" s="228">
        <v>2.1</v>
      </c>
      <c r="DG81" s="228">
        <v>-0.03</v>
      </c>
      <c r="DH81" s="228">
        <v>30.12</v>
      </c>
      <c r="DI81" s="228">
        <v>27.56</v>
      </c>
      <c r="DJ81" s="228">
        <v>2.56</v>
      </c>
      <c r="DK81" s="228">
        <v>2.56</v>
      </c>
      <c r="DL81" s="228">
        <v>29.38</v>
      </c>
      <c r="DM81" s="228">
        <v>27.27</v>
      </c>
      <c r="DN81" s="228">
        <v>2.11</v>
      </c>
      <c r="DO81" s="228">
        <v>2.11</v>
      </c>
      <c r="DP81" s="228">
        <v>0.65</v>
      </c>
      <c r="DQ81" s="228">
        <v>0.66</v>
      </c>
      <c r="DR81" s="228">
        <v>-0.01</v>
      </c>
      <c r="DS81" s="229">
        <v>-1.52E-2</v>
      </c>
      <c r="DT81" s="228">
        <v>600</v>
      </c>
      <c r="DU81" s="228">
        <v>600</v>
      </c>
      <c r="DV81" s="228">
        <v>0.56999999999999995</v>
      </c>
      <c r="DW81" s="228">
        <v>0.69</v>
      </c>
      <c r="DX81" s="228">
        <v>-0.12</v>
      </c>
      <c r="DY81" s="229">
        <v>-0.1739</v>
      </c>
      <c r="DZ81" s="229">
        <v>8.2600000000000007E-2</v>
      </c>
      <c r="EA81" s="230">
        <v>2675200</v>
      </c>
      <c r="EB81" s="229">
        <v>4.7000000000000002E-3</v>
      </c>
      <c r="EC81" s="229">
        <v>8.2600000000000007E-2</v>
      </c>
      <c r="ED81" s="228">
        <v>3.04</v>
      </c>
      <c r="EE81" s="229">
        <v>5.0000000000000001E-3</v>
      </c>
      <c r="EF81" s="230">
        <v>3550988</v>
      </c>
      <c r="EG81" s="230">
        <v>4018782</v>
      </c>
      <c r="EH81" s="229">
        <v>-0.1164</v>
      </c>
      <c r="EI81" s="229">
        <v>0.65739999999999998</v>
      </c>
      <c r="EJ81" s="231">
        <v>149198.69</v>
      </c>
      <c r="EK81" s="231">
        <v>80255.77</v>
      </c>
      <c r="EL81" s="231">
        <v>32596.73</v>
      </c>
      <c r="EM81" s="231">
        <v>7456</v>
      </c>
      <c r="EN81" s="231">
        <v>262051.19</v>
      </c>
      <c r="EO81" s="231">
        <v>710970.28</v>
      </c>
      <c r="EP81" s="231">
        <v>-448919.09</v>
      </c>
      <c r="EQ81" s="229">
        <v>-0.63139999999999996</v>
      </c>
      <c r="ER81" s="231">
        <v>121587</v>
      </c>
      <c r="ES81" s="231">
        <v>72535</v>
      </c>
      <c r="ET81" s="231">
        <v>269152</v>
      </c>
      <c r="EU81" s="231">
        <v>156090005</v>
      </c>
      <c r="EV81" s="231">
        <v>463274</v>
      </c>
      <c r="EW81" s="231">
        <v>475357</v>
      </c>
      <c r="EX81" s="231">
        <v>-12083</v>
      </c>
      <c r="EY81" s="229">
        <v>-2.5399999999999999E-2</v>
      </c>
      <c r="EZ81" s="229">
        <v>0.48249999999999998</v>
      </c>
      <c r="FA81" s="227" t="s">
        <v>566</v>
      </c>
      <c r="FB81" s="161">
        <f t="shared" si="1"/>
        <v>3637700</v>
      </c>
    </row>
    <row r="82" spans="1:158" ht="17.25" thickBot="1" x14ac:dyDescent="0.3">
      <c r="A82" s="226">
        <v>46132</v>
      </c>
      <c r="B82" s="227" t="s">
        <v>162</v>
      </c>
      <c r="C82" s="227" t="s">
        <v>226</v>
      </c>
      <c r="D82" s="228">
        <v>150</v>
      </c>
      <c r="E82" s="231">
        <v>5288</v>
      </c>
      <c r="F82" s="231">
        <v>5244.5</v>
      </c>
      <c r="G82" s="228">
        <v>43.5</v>
      </c>
      <c r="H82" s="229">
        <v>8.3000000000000001E-3</v>
      </c>
      <c r="I82" s="231">
        <v>5282.5</v>
      </c>
      <c r="J82" s="231">
        <v>5230.5</v>
      </c>
      <c r="K82" s="228">
        <v>52</v>
      </c>
      <c r="L82" s="229">
        <v>9.9000000000000008E-3</v>
      </c>
      <c r="M82" s="231">
        <v>5288</v>
      </c>
      <c r="N82" s="231">
        <v>5244.5</v>
      </c>
      <c r="O82" s="228">
        <v>43.5</v>
      </c>
      <c r="P82" s="229">
        <v>8.3000000000000001E-3</v>
      </c>
      <c r="Q82" s="231">
        <v>5314.5</v>
      </c>
      <c r="R82" s="231">
        <v>5269.5</v>
      </c>
      <c r="S82" s="228">
        <v>45</v>
      </c>
      <c r="T82" s="229">
        <v>8.5000000000000006E-3</v>
      </c>
      <c r="U82" s="231">
        <v>5337</v>
      </c>
      <c r="V82" s="231">
        <v>5300.5</v>
      </c>
      <c r="W82" s="228">
        <v>36.5</v>
      </c>
      <c r="X82" s="229">
        <v>6.8999999999999999E-3</v>
      </c>
      <c r="Y82" s="228">
        <v>5.5</v>
      </c>
      <c r="Z82" s="228">
        <v>14</v>
      </c>
      <c r="AA82" s="228">
        <v>-8.5</v>
      </c>
      <c r="AB82" s="229">
        <v>1E-3</v>
      </c>
      <c r="AC82" s="228">
        <v>5.5</v>
      </c>
      <c r="AD82" s="228">
        <v>14</v>
      </c>
      <c r="AE82" s="228">
        <v>-8.5</v>
      </c>
      <c r="AF82" s="229">
        <v>1E-3</v>
      </c>
      <c r="AG82" s="228">
        <v>32</v>
      </c>
      <c r="AH82" s="228">
        <v>39</v>
      </c>
      <c r="AI82" s="228">
        <v>-7</v>
      </c>
      <c r="AJ82" s="229">
        <v>6.1000000000000004E-3</v>
      </c>
      <c r="AK82" s="228">
        <v>54.5</v>
      </c>
      <c r="AL82" s="228">
        <v>70</v>
      </c>
      <c r="AM82" s="228">
        <v>-15.5</v>
      </c>
      <c r="AN82" s="229">
        <v>1.03E-2</v>
      </c>
      <c r="AO82" s="231">
        <v>5289.53</v>
      </c>
      <c r="AP82" s="231">
        <v>5317.67</v>
      </c>
      <c r="AQ82" s="228">
        <v>0</v>
      </c>
      <c r="AR82" s="230">
        <v>684150</v>
      </c>
      <c r="AS82" s="230">
        <v>993450</v>
      </c>
      <c r="AT82" s="230">
        <v>-309300</v>
      </c>
      <c r="AU82" s="229">
        <v>-0.31130000000000002</v>
      </c>
      <c r="AV82" s="230">
        <v>556800</v>
      </c>
      <c r="AW82" s="230">
        <v>794400</v>
      </c>
      <c r="AX82" s="230">
        <v>-237600</v>
      </c>
      <c r="AY82" s="229">
        <v>-0.29909999999999998</v>
      </c>
      <c r="AZ82" s="230">
        <v>118050</v>
      </c>
      <c r="BA82" s="230">
        <v>98550</v>
      </c>
      <c r="BB82" s="230">
        <v>19500</v>
      </c>
      <c r="BC82" s="229">
        <v>0.19789999999999999</v>
      </c>
      <c r="BD82" s="230">
        <v>9300</v>
      </c>
      <c r="BE82" s="230">
        <v>100500</v>
      </c>
      <c r="BF82" s="230">
        <v>-91200</v>
      </c>
      <c r="BG82" s="229">
        <v>-0.90749999999999997</v>
      </c>
      <c r="BH82" s="230">
        <v>4541250</v>
      </c>
      <c r="BI82" s="230">
        <v>4682700</v>
      </c>
      <c r="BJ82" s="230">
        <v>-141450</v>
      </c>
      <c r="BK82" s="229">
        <v>-3.0200000000000001E-2</v>
      </c>
      <c r="BL82" s="230">
        <v>1662600</v>
      </c>
      <c r="BM82" s="230">
        <v>1809600</v>
      </c>
      <c r="BN82" s="230">
        <v>-147000</v>
      </c>
      <c r="BO82" s="229">
        <v>-8.1199999999999994E-2</v>
      </c>
      <c r="BP82" s="230">
        <v>6888000</v>
      </c>
      <c r="BQ82" s="230">
        <v>7485750</v>
      </c>
      <c r="BR82" s="230">
        <v>-597750</v>
      </c>
      <c r="BS82" s="229">
        <v>-7.9899999999999999E-2</v>
      </c>
      <c r="BT82" s="230">
        <v>668296</v>
      </c>
      <c r="BU82" s="230">
        <v>584323</v>
      </c>
      <c r="BV82" s="230">
        <v>83973</v>
      </c>
      <c r="BW82" s="229">
        <v>0.14369999999999999</v>
      </c>
      <c r="BX82" s="230">
        <v>4295100</v>
      </c>
      <c r="BY82" s="230">
        <v>4376550</v>
      </c>
      <c r="BZ82" s="230">
        <v>-81450</v>
      </c>
      <c r="CA82" s="229">
        <v>-1.8599999999999998E-2</v>
      </c>
      <c r="CB82" s="230">
        <v>3954150</v>
      </c>
      <c r="CC82" s="230">
        <v>4068300</v>
      </c>
      <c r="CD82" s="230">
        <v>-114150</v>
      </c>
      <c r="CE82" s="229">
        <v>-2.81E-2</v>
      </c>
      <c r="CF82" s="230">
        <v>234150</v>
      </c>
      <c r="CG82" s="230">
        <v>201300</v>
      </c>
      <c r="CH82" s="230">
        <v>32850</v>
      </c>
      <c r="CI82" s="229">
        <v>0.16320000000000001</v>
      </c>
      <c r="CJ82" s="230">
        <v>106800</v>
      </c>
      <c r="CK82" s="230">
        <v>106950</v>
      </c>
      <c r="CL82" s="228">
        <v>-150</v>
      </c>
      <c r="CM82" s="229">
        <v>-1.4E-3</v>
      </c>
      <c r="CN82" s="230">
        <v>2180550</v>
      </c>
      <c r="CO82" s="230">
        <v>2450250</v>
      </c>
      <c r="CP82" s="230">
        <v>-269700</v>
      </c>
      <c r="CQ82" s="229">
        <v>-0.1101</v>
      </c>
      <c r="CR82" s="230">
        <v>1460850</v>
      </c>
      <c r="CS82" s="230">
        <v>1464300</v>
      </c>
      <c r="CT82" s="230">
        <v>-3450</v>
      </c>
      <c r="CU82" s="229">
        <v>-2.3999999999999998E-3</v>
      </c>
      <c r="CV82" s="230">
        <v>7936500</v>
      </c>
      <c r="CW82" s="230">
        <v>8291100</v>
      </c>
      <c r="CX82" s="230">
        <v>-354600</v>
      </c>
      <c r="CY82" s="229">
        <v>-4.2799999999999998E-2</v>
      </c>
      <c r="CZ82" s="228">
        <v>33.58</v>
      </c>
      <c r="DA82" s="228">
        <v>31.96</v>
      </c>
      <c r="DB82" s="228">
        <v>1.62</v>
      </c>
      <c r="DC82" s="228">
        <v>1.62</v>
      </c>
      <c r="DD82" s="228">
        <v>33.54</v>
      </c>
      <c r="DE82" s="228">
        <v>33.6</v>
      </c>
      <c r="DF82" s="228">
        <v>0.04</v>
      </c>
      <c r="DG82" s="228">
        <v>-0.06</v>
      </c>
      <c r="DH82" s="228">
        <v>32.729999999999997</v>
      </c>
      <c r="DI82" s="228">
        <v>31.35</v>
      </c>
      <c r="DJ82" s="228">
        <v>1.38</v>
      </c>
      <c r="DK82" s="228">
        <v>1.38</v>
      </c>
      <c r="DL82" s="228">
        <v>35.909999999999997</v>
      </c>
      <c r="DM82" s="228">
        <v>33.53</v>
      </c>
      <c r="DN82" s="228">
        <v>2.38</v>
      </c>
      <c r="DO82" s="228">
        <v>2.38</v>
      </c>
      <c r="DP82" s="228">
        <v>0.67</v>
      </c>
      <c r="DQ82" s="228">
        <v>0.6</v>
      </c>
      <c r="DR82" s="228">
        <v>7.0000000000000007E-2</v>
      </c>
      <c r="DS82" s="229">
        <v>0.1167</v>
      </c>
      <c r="DT82" s="231">
        <v>5400</v>
      </c>
      <c r="DU82" s="231">
        <v>5200</v>
      </c>
      <c r="DV82" s="228">
        <v>0.37</v>
      </c>
      <c r="DW82" s="228">
        <v>0.39</v>
      </c>
      <c r="DX82" s="228">
        <v>-0.02</v>
      </c>
      <c r="DY82" s="229">
        <v>-5.1299999999999998E-2</v>
      </c>
      <c r="DZ82" s="229">
        <v>7.9399999999999998E-2</v>
      </c>
      <c r="EA82" s="230">
        <v>308250</v>
      </c>
      <c r="EB82" s="229">
        <v>5.0000000000000001E-3</v>
      </c>
      <c r="EC82" s="229">
        <v>7.9399999999999998E-2</v>
      </c>
      <c r="ED82" s="228">
        <v>28.14</v>
      </c>
      <c r="EE82" s="229">
        <v>5.3E-3</v>
      </c>
      <c r="EF82" s="230">
        <v>370768</v>
      </c>
      <c r="EG82" s="230">
        <v>282814</v>
      </c>
      <c r="EH82" s="229">
        <v>0.311</v>
      </c>
      <c r="EI82" s="229">
        <v>0.55479999999999996</v>
      </c>
      <c r="EJ82" s="231">
        <v>248855.05</v>
      </c>
      <c r="EK82" s="231">
        <v>86861.91</v>
      </c>
      <c r="EL82" s="231">
        <v>36226.720000000001</v>
      </c>
      <c r="EM82" s="231">
        <v>5952</v>
      </c>
      <c r="EN82" s="231">
        <v>371943.67999999999</v>
      </c>
      <c r="EO82" s="231">
        <v>401739.06</v>
      </c>
      <c r="EP82" s="231">
        <v>-29795.38</v>
      </c>
      <c r="EQ82" s="229">
        <v>-7.4200000000000002E-2</v>
      </c>
      <c r="ER82" s="231">
        <v>119462</v>
      </c>
      <c r="ES82" s="231">
        <v>74274</v>
      </c>
      <c r="ET82" s="231">
        <v>227239</v>
      </c>
      <c r="EU82" s="231">
        <v>19589014</v>
      </c>
      <c r="EV82" s="231">
        <v>420975</v>
      </c>
      <c r="EW82" s="231">
        <v>438152</v>
      </c>
      <c r="EX82" s="231">
        <v>-17177</v>
      </c>
      <c r="EY82" s="229">
        <v>-3.9199999999999999E-2</v>
      </c>
      <c r="EZ82" s="229">
        <v>0.4052</v>
      </c>
      <c r="FA82" s="227" t="s">
        <v>693</v>
      </c>
      <c r="FB82" s="161">
        <f t="shared" si="1"/>
        <v>340950</v>
      </c>
    </row>
    <row r="83" spans="1:158" ht="17.25" thickBot="1" x14ac:dyDescent="0.3">
      <c r="A83" s="226">
        <v>46132</v>
      </c>
      <c r="B83" s="227" t="s">
        <v>227</v>
      </c>
      <c r="C83" s="227" t="s">
        <v>228</v>
      </c>
      <c r="D83" s="228">
        <v>700</v>
      </c>
      <c r="E83" s="231">
        <v>1015.8</v>
      </c>
      <c r="F83" s="231">
        <v>1040.95</v>
      </c>
      <c r="G83" s="228">
        <v>-25.15</v>
      </c>
      <c r="H83" s="229">
        <v>-2.4199999999999999E-2</v>
      </c>
      <c r="I83" s="231">
        <v>1015.25</v>
      </c>
      <c r="J83" s="231">
        <v>1039</v>
      </c>
      <c r="K83" s="228">
        <v>-23.75</v>
      </c>
      <c r="L83" s="229">
        <v>-2.29E-2</v>
      </c>
      <c r="M83" s="231">
        <v>1015.8</v>
      </c>
      <c r="N83" s="231">
        <v>1040.95</v>
      </c>
      <c r="O83" s="228">
        <v>-25.15</v>
      </c>
      <c r="P83" s="229">
        <v>-2.4199999999999999E-2</v>
      </c>
      <c r="Q83" s="231">
        <v>1021.55</v>
      </c>
      <c r="R83" s="231">
        <v>1046.95</v>
      </c>
      <c r="S83" s="228">
        <v>-25.4</v>
      </c>
      <c r="T83" s="229">
        <v>-2.4299999999999999E-2</v>
      </c>
      <c r="U83" s="231">
        <v>1028.55</v>
      </c>
      <c r="V83" s="231">
        <v>1052.7</v>
      </c>
      <c r="W83" s="228">
        <v>-24.15</v>
      </c>
      <c r="X83" s="229">
        <v>-2.29E-2</v>
      </c>
      <c r="Y83" s="228">
        <v>0.55000000000000004</v>
      </c>
      <c r="Z83" s="228">
        <v>1.95</v>
      </c>
      <c r="AA83" s="228">
        <v>-1.4</v>
      </c>
      <c r="AB83" s="229">
        <v>5.0000000000000001E-4</v>
      </c>
      <c r="AC83" s="228">
        <v>0.55000000000000004</v>
      </c>
      <c r="AD83" s="228">
        <v>1.95</v>
      </c>
      <c r="AE83" s="228">
        <v>-1.4</v>
      </c>
      <c r="AF83" s="229">
        <v>5.0000000000000001E-4</v>
      </c>
      <c r="AG83" s="228">
        <v>6.3</v>
      </c>
      <c r="AH83" s="228">
        <v>7.95</v>
      </c>
      <c r="AI83" s="228">
        <v>-1.65</v>
      </c>
      <c r="AJ83" s="229">
        <v>6.1999999999999998E-3</v>
      </c>
      <c r="AK83" s="228">
        <v>13.3</v>
      </c>
      <c r="AL83" s="228">
        <v>13.7</v>
      </c>
      <c r="AM83" s="228">
        <v>-0.4</v>
      </c>
      <c r="AN83" s="229">
        <v>1.3100000000000001E-2</v>
      </c>
      <c r="AO83" s="231">
        <v>1019.2</v>
      </c>
      <c r="AP83" s="231">
        <v>1024.9100000000001</v>
      </c>
      <c r="AQ83" s="228">
        <v>0</v>
      </c>
      <c r="AR83" s="230">
        <v>6448400</v>
      </c>
      <c r="AS83" s="230">
        <v>4491900</v>
      </c>
      <c r="AT83" s="230">
        <v>1956500</v>
      </c>
      <c r="AU83" s="229">
        <v>0.43559999999999999</v>
      </c>
      <c r="AV83" s="230">
        <v>5289900</v>
      </c>
      <c r="AW83" s="230">
        <v>3908100</v>
      </c>
      <c r="AX83" s="230">
        <v>1381800</v>
      </c>
      <c r="AY83" s="229">
        <v>0.35360000000000003</v>
      </c>
      <c r="AZ83" s="230">
        <v>1022700</v>
      </c>
      <c r="BA83" s="230">
        <v>542500</v>
      </c>
      <c r="BB83" s="230">
        <v>480200</v>
      </c>
      <c r="BC83" s="229">
        <v>0.88519999999999999</v>
      </c>
      <c r="BD83" s="230">
        <v>135800</v>
      </c>
      <c r="BE83" s="230">
        <v>41300</v>
      </c>
      <c r="BF83" s="230">
        <v>94500</v>
      </c>
      <c r="BG83" s="229">
        <v>2.2881</v>
      </c>
      <c r="BH83" s="230">
        <v>21142800</v>
      </c>
      <c r="BI83" s="230">
        <v>20665400</v>
      </c>
      <c r="BJ83" s="230">
        <v>477400</v>
      </c>
      <c r="BK83" s="229">
        <v>2.3099999999999999E-2</v>
      </c>
      <c r="BL83" s="230">
        <v>15725500</v>
      </c>
      <c r="BM83" s="230">
        <v>16212000</v>
      </c>
      <c r="BN83" s="230">
        <v>-486500</v>
      </c>
      <c r="BO83" s="229">
        <v>-0.03</v>
      </c>
      <c r="BP83" s="230">
        <v>43316700</v>
      </c>
      <c r="BQ83" s="230">
        <v>41369300</v>
      </c>
      <c r="BR83" s="230">
        <v>1947400</v>
      </c>
      <c r="BS83" s="229">
        <v>4.7100000000000003E-2</v>
      </c>
      <c r="BT83" s="230">
        <v>4386376</v>
      </c>
      <c r="BU83" s="230">
        <v>4421270</v>
      </c>
      <c r="BV83" s="230">
        <v>-34894</v>
      </c>
      <c r="BW83" s="229">
        <v>-7.9000000000000008E-3</v>
      </c>
      <c r="BX83" s="230">
        <v>36621900</v>
      </c>
      <c r="BY83" s="230">
        <v>36741600</v>
      </c>
      <c r="BZ83" s="230">
        <v>-119700</v>
      </c>
      <c r="CA83" s="229">
        <v>-3.3E-3</v>
      </c>
      <c r="CB83" s="230">
        <v>31355800</v>
      </c>
      <c r="CC83" s="230">
        <v>32025000</v>
      </c>
      <c r="CD83" s="230">
        <v>-669200</v>
      </c>
      <c r="CE83" s="229">
        <v>-2.0899999999999998E-2</v>
      </c>
      <c r="CF83" s="230">
        <v>3504200</v>
      </c>
      <c r="CG83" s="230">
        <v>3024000</v>
      </c>
      <c r="CH83" s="230">
        <v>480200</v>
      </c>
      <c r="CI83" s="229">
        <v>0.1588</v>
      </c>
      <c r="CJ83" s="230">
        <v>1761900</v>
      </c>
      <c r="CK83" s="230">
        <v>1692600</v>
      </c>
      <c r="CL83" s="230">
        <v>69300</v>
      </c>
      <c r="CM83" s="229">
        <v>4.0899999999999999E-2</v>
      </c>
      <c r="CN83" s="230">
        <v>15787800</v>
      </c>
      <c r="CO83" s="230">
        <v>15120000</v>
      </c>
      <c r="CP83" s="230">
        <v>667800</v>
      </c>
      <c r="CQ83" s="229">
        <v>4.4200000000000003E-2</v>
      </c>
      <c r="CR83" s="230">
        <v>10868900</v>
      </c>
      <c r="CS83" s="230">
        <v>11953900</v>
      </c>
      <c r="CT83" s="230">
        <v>-1085000</v>
      </c>
      <c r="CU83" s="229">
        <v>-9.0800000000000006E-2</v>
      </c>
      <c r="CV83" s="230">
        <v>63278600</v>
      </c>
      <c r="CW83" s="230">
        <v>63815500</v>
      </c>
      <c r="CX83" s="230">
        <v>-536900</v>
      </c>
      <c r="CY83" s="229">
        <v>-8.3999999999999995E-3</v>
      </c>
      <c r="CZ83" s="228">
        <v>36.31</v>
      </c>
      <c r="DA83" s="228">
        <v>33.67</v>
      </c>
      <c r="DB83" s="228">
        <v>2.64</v>
      </c>
      <c r="DC83" s="228">
        <v>2.64</v>
      </c>
      <c r="DD83" s="228">
        <v>36.619999999999997</v>
      </c>
      <c r="DE83" s="228">
        <v>36.58</v>
      </c>
      <c r="DF83" s="228">
        <v>-0.31</v>
      </c>
      <c r="DG83" s="228">
        <v>0.04</v>
      </c>
      <c r="DH83" s="228">
        <v>36.4</v>
      </c>
      <c r="DI83" s="228">
        <v>32.450000000000003</v>
      </c>
      <c r="DJ83" s="228">
        <v>3.95</v>
      </c>
      <c r="DK83" s="228">
        <v>3.95</v>
      </c>
      <c r="DL83" s="228">
        <v>36.18</v>
      </c>
      <c r="DM83" s="228">
        <v>35.229999999999997</v>
      </c>
      <c r="DN83" s="228">
        <v>0.95</v>
      </c>
      <c r="DO83" s="228">
        <v>0.95</v>
      </c>
      <c r="DP83" s="228">
        <v>0.69</v>
      </c>
      <c r="DQ83" s="228">
        <v>0.79</v>
      </c>
      <c r="DR83" s="228">
        <v>-0.1</v>
      </c>
      <c r="DS83" s="229">
        <v>-0.12659999999999999</v>
      </c>
      <c r="DT83" s="228">
        <v>900</v>
      </c>
      <c r="DU83" s="228">
        <v>900</v>
      </c>
      <c r="DV83" s="228">
        <v>0.74</v>
      </c>
      <c r="DW83" s="228">
        <v>0.78</v>
      </c>
      <c r="DX83" s="228">
        <v>-0.04</v>
      </c>
      <c r="DY83" s="229">
        <v>-5.1299999999999998E-2</v>
      </c>
      <c r="DZ83" s="229">
        <v>0.14380000000000001</v>
      </c>
      <c r="EA83" s="230">
        <v>4716600</v>
      </c>
      <c r="EB83" s="229">
        <v>5.7000000000000002E-3</v>
      </c>
      <c r="EC83" s="229">
        <v>0.14380000000000001</v>
      </c>
      <c r="ED83" s="228">
        <v>5.71</v>
      </c>
      <c r="EE83" s="229">
        <v>5.5999999999999999E-3</v>
      </c>
      <c r="EF83" s="230">
        <v>2186566</v>
      </c>
      <c r="EG83" s="230">
        <v>2131443</v>
      </c>
      <c r="EH83" s="229">
        <v>2.5899999999999999E-2</v>
      </c>
      <c r="EI83" s="229">
        <v>0.4985</v>
      </c>
      <c r="EJ83" s="231">
        <v>224575.73</v>
      </c>
      <c r="EK83" s="231">
        <v>159636.89000000001</v>
      </c>
      <c r="EL83" s="231">
        <v>65795.990000000005</v>
      </c>
      <c r="EM83" s="231">
        <v>12380</v>
      </c>
      <c r="EN83" s="231">
        <v>450008.61</v>
      </c>
      <c r="EO83" s="231">
        <v>434027.78</v>
      </c>
      <c r="EP83" s="231">
        <v>15980.83</v>
      </c>
      <c r="EQ83" s="229">
        <v>3.6799999999999999E-2</v>
      </c>
      <c r="ER83" s="231">
        <v>158388</v>
      </c>
      <c r="ES83" s="231">
        <v>102082</v>
      </c>
      <c r="ET83" s="231">
        <v>372431</v>
      </c>
      <c r="EU83" s="231">
        <v>218611634</v>
      </c>
      <c r="EV83" s="231">
        <v>632902</v>
      </c>
      <c r="EW83" s="231">
        <v>647122</v>
      </c>
      <c r="EX83" s="231">
        <v>-14220</v>
      </c>
      <c r="EY83" s="229">
        <v>-2.1999999999999999E-2</v>
      </c>
      <c r="EZ83" s="229">
        <v>0.28949999999999998</v>
      </c>
      <c r="FA83" s="227" t="s">
        <v>567</v>
      </c>
      <c r="FB83" s="161">
        <f t="shared" si="1"/>
        <v>5266100</v>
      </c>
    </row>
    <row r="84" spans="1:158" ht="17.25" thickBot="1" x14ac:dyDescent="0.3">
      <c r="A84" s="226">
        <v>46132</v>
      </c>
      <c r="B84" s="227" t="s">
        <v>193</v>
      </c>
      <c r="C84" s="227" t="s">
        <v>229</v>
      </c>
      <c r="D84" s="228">
        <v>2025</v>
      </c>
      <c r="E84" s="228">
        <v>378.8</v>
      </c>
      <c r="F84" s="228">
        <v>372.35</v>
      </c>
      <c r="G84" s="228">
        <v>6.45</v>
      </c>
      <c r="H84" s="229">
        <v>1.7299999999999999E-2</v>
      </c>
      <c r="I84" s="228">
        <v>379.5</v>
      </c>
      <c r="J84" s="228">
        <v>370.85</v>
      </c>
      <c r="K84" s="228">
        <v>8.65</v>
      </c>
      <c r="L84" s="229">
        <v>2.3300000000000001E-2</v>
      </c>
      <c r="M84" s="228">
        <v>378.8</v>
      </c>
      <c r="N84" s="228">
        <v>372.35</v>
      </c>
      <c r="O84" s="228">
        <v>6.45</v>
      </c>
      <c r="P84" s="229">
        <v>1.7299999999999999E-2</v>
      </c>
      <c r="Q84" s="228">
        <v>381</v>
      </c>
      <c r="R84" s="228">
        <v>374.15</v>
      </c>
      <c r="S84" s="228">
        <v>6.85</v>
      </c>
      <c r="T84" s="229">
        <v>1.83E-2</v>
      </c>
      <c r="U84" s="228">
        <v>381.95</v>
      </c>
      <c r="V84" s="228">
        <v>376.15</v>
      </c>
      <c r="W84" s="228">
        <v>5.8</v>
      </c>
      <c r="X84" s="229">
        <v>1.54E-2</v>
      </c>
      <c r="Y84" s="228">
        <v>-0.7</v>
      </c>
      <c r="Z84" s="228">
        <v>1.5</v>
      </c>
      <c r="AA84" s="228">
        <v>-2.2000000000000002</v>
      </c>
      <c r="AB84" s="229">
        <v>-1.8E-3</v>
      </c>
      <c r="AC84" s="228">
        <v>-0.7</v>
      </c>
      <c r="AD84" s="228">
        <v>1.5</v>
      </c>
      <c r="AE84" s="228">
        <v>-2.2000000000000002</v>
      </c>
      <c r="AF84" s="229">
        <v>-1.8E-3</v>
      </c>
      <c r="AG84" s="228">
        <v>1.5</v>
      </c>
      <c r="AH84" s="228">
        <v>3.3</v>
      </c>
      <c r="AI84" s="228">
        <v>-1.8</v>
      </c>
      <c r="AJ84" s="229">
        <v>4.0000000000000001E-3</v>
      </c>
      <c r="AK84" s="228">
        <v>2.4500000000000002</v>
      </c>
      <c r="AL84" s="228">
        <v>5.3</v>
      </c>
      <c r="AM84" s="228">
        <v>-2.85</v>
      </c>
      <c r="AN84" s="229">
        <v>6.4999999999999997E-3</v>
      </c>
      <c r="AO84" s="228">
        <v>377.08</v>
      </c>
      <c r="AP84" s="228">
        <v>379.14</v>
      </c>
      <c r="AQ84" s="228">
        <v>0</v>
      </c>
      <c r="AR84" s="230">
        <v>14825025</v>
      </c>
      <c r="AS84" s="230">
        <v>7456050</v>
      </c>
      <c r="AT84" s="230">
        <v>7368975</v>
      </c>
      <c r="AU84" s="229">
        <v>0.98829999999999996</v>
      </c>
      <c r="AV84" s="230">
        <v>12652200</v>
      </c>
      <c r="AW84" s="230">
        <v>6318000</v>
      </c>
      <c r="AX84" s="230">
        <v>6334200</v>
      </c>
      <c r="AY84" s="229">
        <v>1.0025999999999999</v>
      </c>
      <c r="AZ84" s="230">
        <v>2020950</v>
      </c>
      <c r="BA84" s="230">
        <v>1099575</v>
      </c>
      <c r="BB84" s="230">
        <v>921375</v>
      </c>
      <c r="BC84" s="229">
        <v>0.83789999999999998</v>
      </c>
      <c r="BD84" s="230">
        <v>151875</v>
      </c>
      <c r="BE84" s="230">
        <v>38475</v>
      </c>
      <c r="BF84" s="230">
        <v>113400</v>
      </c>
      <c r="BG84" s="229">
        <v>2.9474</v>
      </c>
      <c r="BH84" s="230">
        <v>36832725</v>
      </c>
      <c r="BI84" s="230">
        <v>16971525</v>
      </c>
      <c r="BJ84" s="230">
        <v>19861200</v>
      </c>
      <c r="BK84" s="229">
        <v>1.1702999999999999</v>
      </c>
      <c r="BL84" s="230">
        <v>21687750</v>
      </c>
      <c r="BM84" s="230">
        <v>13381200</v>
      </c>
      <c r="BN84" s="230">
        <v>8306550</v>
      </c>
      <c r="BO84" s="229">
        <v>0.62080000000000002</v>
      </c>
      <c r="BP84" s="230">
        <v>73345500</v>
      </c>
      <c r="BQ84" s="230">
        <v>37808775</v>
      </c>
      <c r="BR84" s="230">
        <v>35536725</v>
      </c>
      <c r="BS84" s="229">
        <v>0.93989999999999996</v>
      </c>
      <c r="BT84" s="230">
        <v>10610293</v>
      </c>
      <c r="BU84" s="230">
        <v>6489310</v>
      </c>
      <c r="BV84" s="230">
        <v>4120983</v>
      </c>
      <c r="BW84" s="229">
        <v>0.63500000000000001</v>
      </c>
      <c r="BX84" s="230">
        <v>40951575</v>
      </c>
      <c r="BY84" s="230">
        <v>41362650</v>
      </c>
      <c r="BZ84" s="230">
        <v>-411075</v>
      </c>
      <c r="CA84" s="229">
        <v>-9.9000000000000008E-3</v>
      </c>
      <c r="CB84" s="230">
        <v>37980900</v>
      </c>
      <c r="CC84" s="230">
        <v>39120975</v>
      </c>
      <c r="CD84" s="230">
        <v>-1140075</v>
      </c>
      <c r="CE84" s="229">
        <v>-2.9100000000000001E-2</v>
      </c>
      <c r="CF84" s="230">
        <v>2772225</v>
      </c>
      <c r="CG84" s="230">
        <v>2053350</v>
      </c>
      <c r="CH84" s="230">
        <v>718875</v>
      </c>
      <c r="CI84" s="229">
        <v>0.35010000000000002</v>
      </c>
      <c r="CJ84" s="230">
        <v>198450</v>
      </c>
      <c r="CK84" s="230">
        <v>188325</v>
      </c>
      <c r="CL84" s="230">
        <v>10125</v>
      </c>
      <c r="CM84" s="229">
        <v>5.3800000000000001E-2</v>
      </c>
      <c r="CN84" s="230">
        <v>19156500</v>
      </c>
      <c r="CO84" s="230">
        <v>19812600</v>
      </c>
      <c r="CP84" s="230">
        <v>-656100</v>
      </c>
      <c r="CQ84" s="229">
        <v>-3.3099999999999997E-2</v>
      </c>
      <c r="CR84" s="230">
        <v>17388675</v>
      </c>
      <c r="CS84" s="230">
        <v>16724475</v>
      </c>
      <c r="CT84" s="230">
        <v>664200</v>
      </c>
      <c r="CU84" s="229">
        <v>3.9699999999999999E-2</v>
      </c>
      <c r="CV84" s="230">
        <v>77496750</v>
      </c>
      <c r="CW84" s="230">
        <v>77899725</v>
      </c>
      <c r="CX84" s="230">
        <v>-402975</v>
      </c>
      <c r="CY84" s="229">
        <v>-5.1999999999999998E-3</v>
      </c>
      <c r="CZ84" s="228">
        <v>46.92</v>
      </c>
      <c r="DA84" s="228">
        <v>42.16</v>
      </c>
      <c r="DB84" s="228">
        <v>4.76</v>
      </c>
      <c r="DC84" s="228">
        <v>4.76</v>
      </c>
      <c r="DD84" s="228">
        <v>44.29</v>
      </c>
      <c r="DE84" s="228">
        <v>44.29</v>
      </c>
      <c r="DF84" s="228">
        <v>2.63</v>
      </c>
      <c r="DG84" s="228">
        <v>0</v>
      </c>
      <c r="DH84" s="228">
        <v>45.94</v>
      </c>
      <c r="DI84" s="228">
        <v>39.82</v>
      </c>
      <c r="DJ84" s="228">
        <v>6.12</v>
      </c>
      <c r="DK84" s="228">
        <v>6.12</v>
      </c>
      <c r="DL84" s="228">
        <v>48.59</v>
      </c>
      <c r="DM84" s="228">
        <v>45.13</v>
      </c>
      <c r="DN84" s="228">
        <v>3.46</v>
      </c>
      <c r="DO84" s="228">
        <v>3.46</v>
      </c>
      <c r="DP84" s="228">
        <v>0.91</v>
      </c>
      <c r="DQ84" s="228">
        <v>0.84</v>
      </c>
      <c r="DR84" s="228">
        <v>7.0000000000000007E-2</v>
      </c>
      <c r="DS84" s="229">
        <v>8.3299999999999999E-2</v>
      </c>
      <c r="DT84" s="228">
        <v>400</v>
      </c>
      <c r="DU84" s="228">
        <v>350</v>
      </c>
      <c r="DV84" s="228">
        <v>0.59</v>
      </c>
      <c r="DW84" s="228">
        <v>0.79</v>
      </c>
      <c r="DX84" s="228">
        <v>-0.2</v>
      </c>
      <c r="DY84" s="229">
        <v>-0.25319999999999998</v>
      </c>
      <c r="DZ84" s="229">
        <v>7.2499999999999995E-2</v>
      </c>
      <c r="EA84" s="230">
        <v>2241675</v>
      </c>
      <c r="EB84" s="229">
        <v>5.7999999999999996E-3</v>
      </c>
      <c r="EC84" s="229">
        <v>7.2499999999999995E-2</v>
      </c>
      <c r="ED84" s="228">
        <v>2.06</v>
      </c>
      <c r="EE84" s="229">
        <v>5.4999999999999997E-3</v>
      </c>
      <c r="EF84" s="230">
        <v>4916587</v>
      </c>
      <c r="EG84" s="230">
        <v>2850536</v>
      </c>
      <c r="EH84" s="229">
        <v>0.7248</v>
      </c>
      <c r="EI84" s="229">
        <v>0.46339999999999998</v>
      </c>
      <c r="EJ84" s="231">
        <v>146527.67999999999</v>
      </c>
      <c r="EK84" s="231">
        <v>79349.45</v>
      </c>
      <c r="EL84" s="231">
        <v>55949.22</v>
      </c>
      <c r="EM84" s="231">
        <v>4703</v>
      </c>
      <c r="EN84" s="231">
        <v>281826.34999999998</v>
      </c>
      <c r="EO84" s="231">
        <v>141698.81</v>
      </c>
      <c r="EP84" s="231">
        <v>140127.54</v>
      </c>
      <c r="EQ84" s="229">
        <v>0.9889</v>
      </c>
      <c r="ER84" s="231">
        <v>72802</v>
      </c>
      <c r="ES84" s="231">
        <v>59682</v>
      </c>
      <c r="ET84" s="231">
        <v>155192</v>
      </c>
      <c r="EU84" s="231">
        <v>143933168</v>
      </c>
      <c r="EV84" s="231">
        <v>287676</v>
      </c>
      <c r="EW84" s="231">
        <v>285878</v>
      </c>
      <c r="EX84" s="231">
        <v>1798</v>
      </c>
      <c r="EY84" s="229">
        <v>6.3E-3</v>
      </c>
      <c r="EZ84" s="229">
        <v>0.53839999999999999</v>
      </c>
      <c r="FA84" s="227" t="s">
        <v>693</v>
      </c>
      <c r="FB84" s="161">
        <f t="shared" si="1"/>
        <v>2970675</v>
      </c>
    </row>
    <row r="85" spans="1:158" ht="17.25" thickBot="1" x14ac:dyDescent="0.3">
      <c r="A85" s="226">
        <v>46132</v>
      </c>
      <c r="B85" s="227" t="s">
        <v>168</v>
      </c>
      <c r="C85" s="227" t="s">
        <v>230</v>
      </c>
      <c r="D85" s="228">
        <v>300</v>
      </c>
      <c r="E85" s="231">
        <v>2235.1999999999998</v>
      </c>
      <c r="F85" s="231">
        <v>2240.6999999999998</v>
      </c>
      <c r="G85" s="228">
        <v>-5.5</v>
      </c>
      <c r="H85" s="229">
        <v>-2.5000000000000001E-3</v>
      </c>
      <c r="I85" s="231">
        <v>2231.5</v>
      </c>
      <c r="J85" s="231">
        <v>2240.8000000000002</v>
      </c>
      <c r="K85" s="228">
        <v>-9.3000000000000007</v>
      </c>
      <c r="L85" s="229">
        <v>-4.1999999999999997E-3</v>
      </c>
      <c r="M85" s="231">
        <v>2235.1999999999998</v>
      </c>
      <c r="N85" s="231">
        <v>2240.6999999999998</v>
      </c>
      <c r="O85" s="228">
        <v>-5.5</v>
      </c>
      <c r="P85" s="229">
        <v>-2.5000000000000001E-3</v>
      </c>
      <c r="Q85" s="231">
        <v>2245.4</v>
      </c>
      <c r="R85" s="231">
        <v>2251.4</v>
      </c>
      <c r="S85" s="228">
        <v>-6</v>
      </c>
      <c r="T85" s="229">
        <v>-2.7000000000000001E-3</v>
      </c>
      <c r="U85" s="231">
        <v>2237.5</v>
      </c>
      <c r="V85" s="231">
        <v>2237.8000000000002</v>
      </c>
      <c r="W85" s="228">
        <v>-0.3</v>
      </c>
      <c r="X85" s="229">
        <v>-1E-4</v>
      </c>
      <c r="Y85" s="228">
        <v>3.7</v>
      </c>
      <c r="Z85" s="228">
        <v>-0.1</v>
      </c>
      <c r="AA85" s="228">
        <v>3.8</v>
      </c>
      <c r="AB85" s="229">
        <v>1.6999999999999999E-3</v>
      </c>
      <c r="AC85" s="228">
        <v>3.7</v>
      </c>
      <c r="AD85" s="228">
        <v>-0.1</v>
      </c>
      <c r="AE85" s="228">
        <v>3.8</v>
      </c>
      <c r="AF85" s="229">
        <v>1.6999999999999999E-3</v>
      </c>
      <c r="AG85" s="228">
        <v>13.9</v>
      </c>
      <c r="AH85" s="228">
        <v>10.6</v>
      </c>
      <c r="AI85" s="228">
        <v>3.3</v>
      </c>
      <c r="AJ85" s="229">
        <v>6.1999999999999998E-3</v>
      </c>
      <c r="AK85" s="228">
        <v>6</v>
      </c>
      <c r="AL85" s="228">
        <v>-3</v>
      </c>
      <c r="AM85" s="228">
        <v>9</v>
      </c>
      <c r="AN85" s="229">
        <v>2.7000000000000001E-3</v>
      </c>
      <c r="AO85" s="231">
        <v>2240.6</v>
      </c>
      <c r="AP85" s="231">
        <v>2251.3200000000002</v>
      </c>
      <c r="AQ85" s="228">
        <v>0</v>
      </c>
      <c r="AR85" s="230">
        <v>1360200</v>
      </c>
      <c r="AS85" s="230">
        <v>4886400</v>
      </c>
      <c r="AT85" s="230">
        <v>-3526200</v>
      </c>
      <c r="AU85" s="229">
        <v>-0.72160000000000002</v>
      </c>
      <c r="AV85" s="230">
        <v>1077600</v>
      </c>
      <c r="AW85" s="230">
        <v>4339800</v>
      </c>
      <c r="AX85" s="230">
        <v>-3262200</v>
      </c>
      <c r="AY85" s="229">
        <v>-0.75170000000000003</v>
      </c>
      <c r="AZ85" s="230">
        <v>253500</v>
      </c>
      <c r="BA85" s="230">
        <v>448800</v>
      </c>
      <c r="BB85" s="230">
        <v>-195300</v>
      </c>
      <c r="BC85" s="229">
        <v>-0.43519999999999998</v>
      </c>
      <c r="BD85" s="230">
        <v>29100</v>
      </c>
      <c r="BE85" s="230">
        <v>97800</v>
      </c>
      <c r="BF85" s="230">
        <v>-68700</v>
      </c>
      <c r="BG85" s="229">
        <v>-0.70250000000000001</v>
      </c>
      <c r="BH85" s="230">
        <v>8043900</v>
      </c>
      <c r="BI85" s="230">
        <v>38680800</v>
      </c>
      <c r="BJ85" s="230">
        <v>-30636900</v>
      </c>
      <c r="BK85" s="229">
        <v>-0.79200000000000004</v>
      </c>
      <c r="BL85" s="230">
        <v>5261400</v>
      </c>
      <c r="BM85" s="230">
        <v>16328400</v>
      </c>
      <c r="BN85" s="230">
        <v>-11067000</v>
      </c>
      <c r="BO85" s="229">
        <v>-0.67779999999999996</v>
      </c>
      <c r="BP85" s="230">
        <v>14665500</v>
      </c>
      <c r="BQ85" s="230">
        <v>59895600</v>
      </c>
      <c r="BR85" s="230">
        <v>-45230100</v>
      </c>
      <c r="BS85" s="229">
        <v>-0.75509999999999999</v>
      </c>
      <c r="BT85" s="230">
        <v>1564228</v>
      </c>
      <c r="BU85" s="230">
        <v>5144290</v>
      </c>
      <c r="BV85" s="230">
        <v>-3580062</v>
      </c>
      <c r="BW85" s="229">
        <v>-0.69589999999999996</v>
      </c>
      <c r="BX85" s="230">
        <v>18036900</v>
      </c>
      <c r="BY85" s="230">
        <v>17974800</v>
      </c>
      <c r="BZ85" s="230">
        <v>62100</v>
      </c>
      <c r="CA85" s="229">
        <v>3.5000000000000001E-3</v>
      </c>
      <c r="CB85" s="230">
        <v>16918200</v>
      </c>
      <c r="CC85" s="230">
        <v>16951500</v>
      </c>
      <c r="CD85" s="230">
        <v>-33300</v>
      </c>
      <c r="CE85" s="229">
        <v>-2E-3</v>
      </c>
      <c r="CF85" s="230">
        <v>932100</v>
      </c>
      <c r="CG85" s="230">
        <v>843000</v>
      </c>
      <c r="CH85" s="230">
        <v>89100</v>
      </c>
      <c r="CI85" s="229">
        <v>0.1057</v>
      </c>
      <c r="CJ85" s="230">
        <v>186600</v>
      </c>
      <c r="CK85" s="230">
        <v>180300</v>
      </c>
      <c r="CL85" s="230">
        <v>6300</v>
      </c>
      <c r="CM85" s="229">
        <v>3.49E-2</v>
      </c>
      <c r="CN85" s="230">
        <v>6643800</v>
      </c>
      <c r="CO85" s="230">
        <v>7044000</v>
      </c>
      <c r="CP85" s="230">
        <v>-400200</v>
      </c>
      <c r="CQ85" s="229">
        <v>-5.6800000000000003E-2</v>
      </c>
      <c r="CR85" s="230">
        <v>4897800</v>
      </c>
      <c r="CS85" s="230">
        <v>4959000</v>
      </c>
      <c r="CT85" s="230">
        <v>-61200</v>
      </c>
      <c r="CU85" s="229">
        <v>-1.23E-2</v>
      </c>
      <c r="CV85" s="230">
        <v>29578500</v>
      </c>
      <c r="CW85" s="230">
        <v>29977800</v>
      </c>
      <c r="CX85" s="230">
        <v>-399300</v>
      </c>
      <c r="CY85" s="229">
        <v>-1.3299999999999999E-2</v>
      </c>
      <c r="CZ85" s="228">
        <v>25.4</v>
      </c>
      <c r="DA85" s="228">
        <v>23.32</v>
      </c>
      <c r="DB85" s="228">
        <v>2.08</v>
      </c>
      <c r="DC85" s="228">
        <v>2.08</v>
      </c>
      <c r="DD85" s="228">
        <v>23.88</v>
      </c>
      <c r="DE85" s="228">
        <v>23.93</v>
      </c>
      <c r="DF85" s="228">
        <v>1.52</v>
      </c>
      <c r="DG85" s="228">
        <v>-0.05</v>
      </c>
      <c r="DH85" s="228">
        <v>24.8</v>
      </c>
      <c r="DI85" s="228">
        <v>22.79</v>
      </c>
      <c r="DJ85" s="228">
        <v>2.0099999999999998</v>
      </c>
      <c r="DK85" s="228">
        <v>2.0099999999999998</v>
      </c>
      <c r="DL85" s="228">
        <v>26.31</v>
      </c>
      <c r="DM85" s="228">
        <v>24.59</v>
      </c>
      <c r="DN85" s="228">
        <v>1.72</v>
      </c>
      <c r="DO85" s="228">
        <v>1.72</v>
      </c>
      <c r="DP85" s="228">
        <v>0.74</v>
      </c>
      <c r="DQ85" s="228">
        <v>0.7</v>
      </c>
      <c r="DR85" s="228">
        <v>0.04</v>
      </c>
      <c r="DS85" s="229">
        <v>5.7099999999999998E-2</v>
      </c>
      <c r="DT85" s="231">
        <v>2260</v>
      </c>
      <c r="DU85" s="231">
        <v>1900</v>
      </c>
      <c r="DV85" s="228">
        <v>0.65</v>
      </c>
      <c r="DW85" s="228">
        <v>0.42</v>
      </c>
      <c r="DX85" s="228">
        <v>0.23</v>
      </c>
      <c r="DY85" s="229">
        <v>0.54759999999999998</v>
      </c>
      <c r="DZ85" s="229">
        <v>6.2E-2</v>
      </c>
      <c r="EA85" s="230">
        <v>1023300</v>
      </c>
      <c r="EB85" s="229">
        <v>4.5999999999999999E-3</v>
      </c>
      <c r="EC85" s="229">
        <v>6.2E-2</v>
      </c>
      <c r="ED85" s="228">
        <v>10.72</v>
      </c>
      <c r="EE85" s="229">
        <v>4.7999999999999996E-3</v>
      </c>
      <c r="EF85" s="230">
        <v>895910</v>
      </c>
      <c r="EG85" s="230">
        <v>2985003</v>
      </c>
      <c r="EH85" s="229">
        <v>-0.69989999999999997</v>
      </c>
      <c r="EI85" s="229">
        <v>0.57269999999999999</v>
      </c>
      <c r="EJ85" s="231">
        <v>185666.87</v>
      </c>
      <c r="EK85" s="231">
        <v>115472.52</v>
      </c>
      <c r="EL85" s="231">
        <v>30503.77</v>
      </c>
      <c r="EM85" s="231">
        <v>8255</v>
      </c>
      <c r="EN85" s="231">
        <v>331643.15999999997</v>
      </c>
      <c r="EO85" s="231">
        <v>1353587.15</v>
      </c>
      <c r="EP85" s="231">
        <v>-1021943.99</v>
      </c>
      <c r="EQ85" s="229">
        <v>-0.755</v>
      </c>
      <c r="ER85" s="231">
        <v>149108</v>
      </c>
      <c r="ES85" s="231">
        <v>103206</v>
      </c>
      <c r="ET85" s="231">
        <v>403260</v>
      </c>
      <c r="EU85" s="231">
        <v>89517840</v>
      </c>
      <c r="EV85" s="231">
        <v>655574</v>
      </c>
      <c r="EW85" s="231">
        <v>665240</v>
      </c>
      <c r="EX85" s="231">
        <v>-9666</v>
      </c>
      <c r="EY85" s="229">
        <v>-1.4500000000000001E-2</v>
      </c>
      <c r="EZ85" s="229">
        <v>0.33040000000000003</v>
      </c>
      <c r="FA85" s="227" t="s">
        <v>566</v>
      </c>
      <c r="FB85" s="161">
        <f t="shared" si="1"/>
        <v>1118700</v>
      </c>
    </row>
    <row r="86" spans="1:158" ht="17.25" thickBot="1" x14ac:dyDescent="0.3">
      <c r="A86" s="226">
        <v>46132</v>
      </c>
      <c r="B86" s="227" t="s">
        <v>227</v>
      </c>
      <c r="C86" s="227" t="s">
        <v>666</v>
      </c>
      <c r="D86" s="228">
        <v>1225</v>
      </c>
      <c r="E86" s="228">
        <v>590.29999999999995</v>
      </c>
      <c r="F86" s="228">
        <v>593.20000000000005</v>
      </c>
      <c r="G86" s="228">
        <v>-2.9</v>
      </c>
      <c r="H86" s="229">
        <v>-4.8999999999999998E-3</v>
      </c>
      <c r="I86" s="228">
        <v>590.29999999999995</v>
      </c>
      <c r="J86" s="228">
        <v>592.29999999999995</v>
      </c>
      <c r="K86" s="228">
        <v>-2</v>
      </c>
      <c r="L86" s="229">
        <v>-3.3999999999999998E-3</v>
      </c>
      <c r="M86" s="228">
        <v>590.29999999999995</v>
      </c>
      <c r="N86" s="228">
        <v>593.20000000000005</v>
      </c>
      <c r="O86" s="228">
        <v>-2.9</v>
      </c>
      <c r="P86" s="229">
        <v>-4.8999999999999998E-3</v>
      </c>
      <c r="Q86" s="228">
        <v>593.25</v>
      </c>
      <c r="R86" s="228">
        <v>596.95000000000005</v>
      </c>
      <c r="S86" s="228">
        <v>-3.7</v>
      </c>
      <c r="T86" s="229">
        <v>-6.1999999999999998E-3</v>
      </c>
      <c r="U86" s="228">
        <v>596.9</v>
      </c>
      <c r="V86" s="228">
        <v>598.65</v>
      </c>
      <c r="W86" s="228">
        <v>-1.75</v>
      </c>
      <c r="X86" s="229">
        <v>-2.8999999999999998E-3</v>
      </c>
      <c r="Y86" s="228">
        <v>0</v>
      </c>
      <c r="Z86" s="228">
        <v>0.9</v>
      </c>
      <c r="AA86" s="228">
        <v>-0.9</v>
      </c>
      <c r="AB86" s="229">
        <v>0</v>
      </c>
      <c r="AC86" s="228">
        <v>0</v>
      </c>
      <c r="AD86" s="228">
        <v>0.9</v>
      </c>
      <c r="AE86" s="228">
        <v>-0.9</v>
      </c>
      <c r="AF86" s="229">
        <v>0</v>
      </c>
      <c r="AG86" s="228">
        <v>2.95</v>
      </c>
      <c r="AH86" s="228">
        <v>4.6500000000000004</v>
      </c>
      <c r="AI86" s="228">
        <v>-1.7</v>
      </c>
      <c r="AJ86" s="229">
        <v>5.0000000000000001E-3</v>
      </c>
      <c r="AK86" s="228">
        <v>6.6</v>
      </c>
      <c r="AL86" s="228">
        <v>6.35</v>
      </c>
      <c r="AM86" s="228">
        <v>0.25</v>
      </c>
      <c r="AN86" s="229">
        <v>1.12E-2</v>
      </c>
      <c r="AO86" s="228">
        <v>588.54</v>
      </c>
      <c r="AP86" s="228">
        <v>592.84</v>
      </c>
      <c r="AQ86" s="228">
        <v>0</v>
      </c>
      <c r="AR86" s="230">
        <v>4683175</v>
      </c>
      <c r="AS86" s="230">
        <v>5538225</v>
      </c>
      <c r="AT86" s="230">
        <v>-855050</v>
      </c>
      <c r="AU86" s="229">
        <v>-0.15440000000000001</v>
      </c>
      <c r="AV86" s="230">
        <v>2821175</v>
      </c>
      <c r="AW86" s="230">
        <v>4265450</v>
      </c>
      <c r="AX86" s="230">
        <v>-1444275</v>
      </c>
      <c r="AY86" s="229">
        <v>-0.33860000000000001</v>
      </c>
      <c r="AZ86" s="230">
        <v>1803200</v>
      </c>
      <c r="BA86" s="230">
        <v>1205400</v>
      </c>
      <c r="BB86" s="230">
        <v>597800</v>
      </c>
      <c r="BC86" s="229">
        <v>0.49590000000000001</v>
      </c>
      <c r="BD86" s="230">
        <v>58800</v>
      </c>
      <c r="BE86" s="230">
        <v>67375</v>
      </c>
      <c r="BF86" s="230">
        <v>-8575</v>
      </c>
      <c r="BG86" s="229">
        <v>-0.1273</v>
      </c>
      <c r="BH86" s="230">
        <v>18165525</v>
      </c>
      <c r="BI86" s="230">
        <v>16158975</v>
      </c>
      <c r="BJ86" s="230">
        <v>2006550</v>
      </c>
      <c r="BK86" s="229">
        <v>0.1242</v>
      </c>
      <c r="BL86" s="230">
        <v>10522750</v>
      </c>
      <c r="BM86" s="230">
        <v>9641975</v>
      </c>
      <c r="BN86" s="230">
        <v>880775</v>
      </c>
      <c r="BO86" s="229">
        <v>9.1300000000000006E-2</v>
      </c>
      <c r="BP86" s="230">
        <v>33371450</v>
      </c>
      <c r="BQ86" s="230">
        <v>31339175</v>
      </c>
      <c r="BR86" s="230">
        <v>2032275</v>
      </c>
      <c r="BS86" s="229">
        <v>6.4799999999999996E-2</v>
      </c>
      <c r="BT86" s="230">
        <v>4427869</v>
      </c>
      <c r="BU86" s="230">
        <v>3168321</v>
      </c>
      <c r="BV86" s="230">
        <v>1259548</v>
      </c>
      <c r="BW86" s="229">
        <v>0.39750000000000002</v>
      </c>
      <c r="BX86" s="230">
        <v>37034200</v>
      </c>
      <c r="BY86" s="230">
        <v>36605450</v>
      </c>
      <c r="BZ86" s="230">
        <v>428750</v>
      </c>
      <c r="CA86" s="229">
        <v>1.17E-2</v>
      </c>
      <c r="CB86" s="230">
        <v>32128075</v>
      </c>
      <c r="CC86" s="230">
        <v>32559275</v>
      </c>
      <c r="CD86" s="230">
        <v>-431200</v>
      </c>
      <c r="CE86" s="229">
        <v>-1.32E-2</v>
      </c>
      <c r="CF86" s="230">
        <v>4450425</v>
      </c>
      <c r="CG86" s="230">
        <v>3573325</v>
      </c>
      <c r="CH86" s="230">
        <v>877100</v>
      </c>
      <c r="CI86" s="229">
        <v>0.2455</v>
      </c>
      <c r="CJ86" s="230">
        <v>455700</v>
      </c>
      <c r="CK86" s="230">
        <v>472850</v>
      </c>
      <c r="CL86" s="230">
        <v>-17150</v>
      </c>
      <c r="CM86" s="229">
        <v>-3.6299999999999999E-2</v>
      </c>
      <c r="CN86" s="230">
        <v>21202300</v>
      </c>
      <c r="CO86" s="230">
        <v>20903400</v>
      </c>
      <c r="CP86" s="230">
        <v>298900</v>
      </c>
      <c r="CQ86" s="229">
        <v>1.43E-2</v>
      </c>
      <c r="CR86" s="230">
        <v>16570575</v>
      </c>
      <c r="CS86" s="230">
        <v>16691850</v>
      </c>
      <c r="CT86" s="230">
        <v>-121275</v>
      </c>
      <c r="CU86" s="229">
        <v>-7.3000000000000001E-3</v>
      </c>
      <c r="CV86" s="230">
        <v>74807075</v>
      </c>
      <c r="CW86" s="230">
        <v>74200700</v>
      </c>
      <c r="CX86" s="230">
        <v>606375</v>
      </c>
      <c r="CY86" s="229">
        <v>8.2000000000000007E-3</v>
      </c>
      <c r="CZ86" s="228">
        <v>46.37</v>
      </c>
      <c r="DA86" s="228">
        <v>43.38</v>
      </c>
      <c r="DB86" s="228">
        <v>2.99</v>
      </c>
      <c r="DC86" s="228">
        <v>2.99</v>
      </c>
      <c r="DD86" s="228">
        <v>50.43</v>
      </c>
      <c r="DE86" s="228">
        <v>50.55</v>
      </c>
      <c r="DF86" s="228">
        <v>-4.0599999999999996</v>
      </c>
      <c r="DG86" s="228">
        <v>-0.12</v>
      </c>
      <c r="DH86" s="228">
        <v>46.23</v>
      </c>
      <c r="DI86" s="228">
        <v>42.34</v>
      </c>
      <c r="DJ86" s="228">
        <v>3.89</v>
      </c>
      <c r="DK86" s="228">
        <v>3.89</v>
      </c>
      <c r="DL86" s="228">
        <v>46.62</v>
      </c>
      <c r="DM86" s="228">
        <v>45.13</v>
      </c>
      <c r="DN86" s="228">
        <v>1.49</v>
      </c>
      <c r="DO86" s="228">
        <v>1.49</v>
      </c>
      <c r="DP86" s="228">
        <v>0.78</v>
      </c>
      <c r="DQ86" s="228">
        <v>0.8</v>
      </c>
      <c r="DR86" s="228">
        <v>-0.02</v>
      </c>
      <c r="DS86" s="229">
        <v>-2.5000000000000001E-2</v>
      </c>
      <c r="DT86" s="228">
        <v>600</v>
      </c>
      <c r="DU86" s="228">
        <v>550</v>
      </c>
      <c r="DV86" s="228">
        <v>0.57999999999999996</v>
      </c>
      <c r="DW86" s="228">
        <v>0.6</v>
      </c>
      <c r="DX86" s="228">
        <v>-0.02</v>
      </c>
      <c r="DY86" s="229">
        <v>-3.3300000000000003E-2</v>
      </c>
      <c r="DZ86" s="229">
        <v>0.13250000000000001</v>
      </c>
      <c r="EA86" s="230">
        <v>4046175</v>
      </c>
      <c r="EB86" s="229">
        <v>5.0000000000000001E-3</v>
      </c>
      <c r="EC86" s="229">
        <v>0.13250000000000001</v>
      </c>
      <c r="ED86" s="228">
        <v>4.3</v>
      </c>
      <c r="EE86" s="229">
        <v>7.3000000000000001E-3</v>
      </c>
      <c r="EF86" s="230">
        <v>2027888</v>
      </c>
      <c r="EG86" s="230">
        <v>944338</v>
      </c>
      <c r="EH86" s="229">
        <v>1.1474</v>
      </c>
      <c r="EI86" s="229">
        <v>0.45800000000000002</v>
      </c>
      <c r="EJ86" s="231">
        <v>113240.68</v>
      </c>
      <c r="EK86" s="231">
        <v>61493.48</v>
      </c>
      <c r="EL86" s="231">
        <v>27644.58</v>
      </c>
      <c r="EM86" s="231">
        <v>5017</v>
      </c>
      <c r="EN86" s="231">
        <v>202378.74</v>
      </c>
      <c r="EO86" s="231">
        <v>188894.92</v>
      </c>
      <c r="EP86" s="231">
        <v>13483.82</v>
      </c>
      <c r="EQ86" s="229">
        <v>7.1400000000000005E-2</v>
      </c>
      <c r="ER86" s="231">
        <v>125116</v>
      </c>
      <c r="ES86" s="231">
        <v>90423</v>
      </c>
      <c r="ET86" s="231">
        <v>218774</v>
      </c>
      <c r="EU86" s="231">
        <v>241870587</v>
      </c>
      <c r="EV86" s="231">
        <v>434313</v>
      </c>
      <c r="EW86" s="231">
        <v>431530</v>
      </c>
      <c r="EX86" s="231">
        <v>2783</v>
      </c>
      <c r="EY86" s="229">
        <v>6.4000000000000003E-3</v>
      </c>
      <c r="EZ86" s="229">
        <v>0.30930000000000002</v>
      </c>
      <c r="FA86" s="227" t="s">
        <v>566</v>
      </c>
      <c r="FB86" s="161">
        <f t="shared" si="1"/>
        <v>4906125</v>
      </c>
    </row>
    <row r="87" spans="1:158" ht="17.25" thickBot="1" x14ac:dyDescent="0.3">
      <c r="A87" s="226">
        <v>46132</v>
      </c>
      <c r="B87" s="227" t="s">
        <v>206</v>
      </c>
      <c r="C87" s="227" t="s">
        <v>607</v>
      </c>
      <c r="D87" s="228">
        <v>2775</v>
      </c>
      <c r="E87" s="228">
        <v>199.26</v>
      </c>
      <c r="F87" s="228">
        <v>197.6</v>
      </c>
      <c r="G87" s="228">
        <v>1.66</v>
      </c>
      <c r="H87" s="229">
        <v>8.3999999999999995E-3</v>
      </c>
      <c r="I87" s="228">
        <v>199.4</v>
      </c>
      <c r="J87" s="228">
        <v>196.91</v>
      </c>
      <c r="K87" s="228">
        <v>2.4900000000000002</v>
      </c>
      <c r="L87" s="229">
        <v>1.26E-2</v>
      </c>
      <c r="M87" s="228">
        <v>199.26</v>
      </c>
      <c r="N87" s="228">
        <v>197.6</v>
      </c>
      <c r="O87" s="228">
        <v>1.66</v>
      </c>
      <c r="P87" s="229">
        <v>8.3999999999999995E-3</v>
      </c>
      <c r="Q87" s="228">
        <v>0</v>
      </c>
      <c r="R87" s="228">
        <v>0</v>
      </c>
      <c r="S87" s="228">
        <v>0</v>
      </c>
      <c r="T87" s="229">
        <v>0</v>
      </c>
      <c r="U87" s="228">
        <v>0</v>
      </c>
      <c r="V87" s="228">
        <v>0</v>
      </c>
      <c r="W87" s="228">
        <v>0</v>
      </c>
      <c r="X87" s="229">
        <v>0</v>
      </c>
      <c r="Y87" s="228">
        <v>-0.14000000000000001</v>
      </c>
      <c r="Z87" s="228">
        <v>0.69</v>
      </c>
      <c r="AA87" s="228">
        <v>-0.83</v>
      </c>
      <c r="AB87" s="229">
        <v>-6.9999999999999999E-4</v>
      </c>
      <c r="AC87" s="228">
        <v>-0.14000000000000001</v>
      </c>
      <c r="AD87" s="228">
        <v>0.69</v>
      </c>
      <c r="AE87" s="228">
        <v>-0.83</v>
      </c>
      <c r="AF87" s="229">
        <v>-6.9999999999999999E-4</v>
      </c>
      <c r="AG87" s="228">
        <v>0</v>
      </c>
      <c r="AH87" s="228">
        <v>0</v>
      </c>
      <c r="AI87" s="228">
        <v>0</v>
      </c>
      <c r="AJ87" s="229">
        <v>0</v>
      </c>
      <c r="AK87" s="228">
        <v>0</v>
      </c>
      <c r="AL87" s="228">
        <v>0</v>
      </c>
      <c r="AM87" s="228">
        <v>0</v>
      </c>
      <c r="AN87" s="229">
        <v>0</v>
      </c>
      <c r="AO87" s="228">
        <v>199.55</v>
      </c>
      <c r="AP87" s="228">
        <v>0</v>
      </c>
      <c r="AQ87" s="228">
        <v>0</v>
      </c>
      <c r="AR87" s="230">
        <v>6596175</v>
      </c>
      <c r="AS87" s="230">
        <v>7728375</v>
      </c>
      <c r="AT87" s="230">
        <v>-1132200</v>
      </c>
      <c r="AU87" s="229">
        <v>-0.14649999999999999</v>
      </c>
      <c r="AV87" s="230">
        <v>6596175</v>
      </c>
      <c r="AW87" s="230">
        <v>7728375</v>
      </c>
      <c r="AX87" s="230">
        <v>-1132200</v>
      </c>
      <c r="AY87" s="229">
        <v>-0.14649999999999999</v>
      </c>
      <c r="AZ87" s="228">
        <v>0</v>
      </c>
      <c r="BA87" s="228">
        <v>0</v>
      </c>
      <c r="BB87" s="228">
        <v>0</v>
      </c>
      <c r="BC87" s="229">
        <v>0</v>
      </c>
      <c r="BD87" s="228">
        <v>0</v>
      </c>
      <c r="BE87" s="228">
        <v>0</v>
      </c>
      <c r="BF87" s="228">
        <v>0</v>
      </c>
      <c r="BG87" s="229">
        <v>0</v>
      </c>
      <c r="BH87" s="230">
        <v>27031275</v>
      </c>
      <c r="BI87" s="230">
        <v>24120300</v>
      </c>
      <c r="BJ87" s="230">
        <v>2910975</v>
      </c>
      <c r="BK87" s="229">
        <v>0.1207</v>
      </c>
      <c r="BL87" s="230">
        <v>13927725</v>
      </c>
      <c r="BM87" s="230">
        <v>13736250</v>
      </c>
      <c r="BN87" s="230">
        <v>191475</v>
      </c>
      <c r="BO87" s="229">
        <v>1.3899999999999999E-2</v>
      </c>
      <c r="BP87" s="230">
        <v>47555175</v>
      </c>
      <c r="BQ87" s="230">
        <v>45584925</v>
      </c>
      <c r="BR87" s="230">
        <v>1970250</v>
      </c>
      <c r="BS87" s="229">
        <v>4.3200000000000002E-2</v>
      </c>
      <c r="BT87" s="230">
        <v>8152717</v>
      </c>
      <c r="BU87" s="230">
        <v>6783178</v>
      </c>
      <c r="BV87" s="230">
        <v>1369539</v>
      </c>
      <c r="BW87" s="229">
        <v>0.2019</v>
      </c>
      <c r="BX87" s="230">
        <v>26021175</v>
      </c>
      <c r="BY87" s="230">
        <v>27705600</v>
      </c>
      <c r="BZ87" s="230">
        <v>-1684425</v>
      </c>
      <c r="CA87" s="229">
        <v>-6.08E-2</v>
      </c>
      <c r="CB87" s="230">
        <v>26021175</v>
      </c>
      <c r="CC87" s="230">
        <v>27705600</v>
      </c>
      <c r="CD87" s="230">
        <v>-1684425</v>
      </c>
      <c r="CE87" s="229">
        <v>-6.08E-2</v>
      </c>
      <c r="CF87" s="228">
        <v>0</v>
      </c>
      <c r="CG87" s="228">
        <v>0</v>
      </c>
      <c r="CH87" s="228">
        <v>0</v>
      </c>
      <c r="CI87" s="229">
        <v>0</v>
      </c>
      <c r="CJ87" s="228">
        <v>0</v>
      </c>
      <c r="CK87" s="228">
        <v>0</v>
      </c>
      <c r="CL87" s="228">
        <v>0</v>
      </c>
      <c r="CM87" s="229">
        <v>0</v>
      </c>
      <c r="CN87" s="230">
        <v>11596725</v>
      </c>
      <c r="CO87" s="230">
        <v>11161050</v>
      </c>
      <c r="CP87" s="230">
        <v>435675</v>
      </c>
      <c r="CQ87" s="229">
        <v>3.9E-2</v>
      </c>
      <c r="CR87" s="230">
        <v>11047275</v>
      </c>
      <c r="CS87" s="230">
        <v>9879000</v>
      </c>
      <c r="CT87" s="230">
        <v>1168275</v>
      </c>
      <c r="CU87" s="229">
        <v>0.1183</v>
      </c>
      <c r="CV87" s="230">
        <v>48665175</v>
      </c>
      <c r="CW87" s="230">
        <v>48745650</v>
      </c>
      <c r="CX87" s="230">
        <v>-80475</v>
      </c>
      <c r="CY87" s="229">
        <v>-1.6999999999999999E-3</v>
      </c>
      <c r="CZ87" s="228">
        <v>42.88</v>
      </c>
      <c r="DA87" s="228">
        <v>36.89</v>
      </c>
      <c r="DB87" s="228">
        <v>5.99</v>
      </c>
      <c r="DC87" s="228">
        <v>5.99</v>
      </c>
      <c r="DD87" s="228">
        <v>50.23</v>
      </c>
      <c r="DE87" s="228">
        <v>50.34</v>
      </c>
      <c r="DF87" s="228">
        <v>-7.35</v>
      </c>
      <c r="DG87" s="228">
        <v>-0.11</v>
      </c>
      <c r="DH87" s="228">
        <v>40.909999999999997</v>
      </c>
      <c r="DI87" s="228">
        <v>35.39</v>
      </c>
      <c r="DJ87" s="228">
        <v>5.52</v>
      </c>
      <c r="DK87" s="228">
        <v>5.52</v>
      </c>
      <c r="DL87" s="228">
        <v>46.71</v>
      </c>
      <c r="DM87" s="228">
        <v>39.520000000000003</v>
      </c>
      <c r="DN87" s="228">
        <v>7.19</v>
      </c>
      <c r="DO87" s="228">
        <v>7.19</v>
      </c>
      <c r="DP87" s="228">
        <v>0.95</v>
      </c>
      <c r="DQ87" s="228">
        <v>0.89</v>
      </c>
      <c r="DR87" s="228">
        <v>0.06</v>
      </c>
      <c r="DS87" s="229">
        <v>6.7400000000000002E-2</v>
      </c>
      <c r="DT87" s="228">
        <v>210</v>
      </c>
      <c r="DU87" s="228">
        <v>190</v>
      </c>
      <c r="DV87" s="228">
        <v>0.52</v>
      </c>
      <c r="DW87" s="228">
        <v>0.56999999999999995</v>
      </c>
      <c r="DX87" s="228">
        <v>-0.05</v>
      </c>
      <c r="DY87" s="229">
        <v>-8.77E-2</v>
      </c>
      <c r="DZ87" s="229">
        <v>0</v>
      </c>
      <c r="EA87" s="228">
        <v>0</v>
      </c>
      <c r="EB87" s="229">
        <v>0</v>
      </c>
      <c r="EC87" s="229">
        <v>0</v>
      </c>
      <c r="ED87" s="228">
        <v>0</v>
      </c>
      <c r="EE87" s="229">
        <v>0</v>
      </c>
      <c r="EF87" s="230">
        <v>3241486</v>
      </c>
      <c r="EG87" s="230">
        <v>1325856</v>
      </c>
      <c r="EH87" s="229">
        <v>1.4448000000000001</v>
      </c>
      <c r="EI87" s="229">
        <v>0.39760000000000001</v>
      </c>
      <c r="EJ87" s="231">
        <v>56432.38</v>
      </c>
      <c r="EK87" s="231">
        <v>26596.87</v>
      </c>
      <c r="EL87" s="231">
        <v>13162.75</v>
      </c>
      <c r="EM87" s="231">
        <v>2153</v>
      </c>
      <c r="EN87" s="231">
        <v>96192</v>
      </c>
      <c r="EO87" s="231">
        <v>90418.14</v>
      </c>
      <c r="EP87" s="231">
        <v>5773.86</v>
      </c>
      <c r="EQ87" s="229">
        <v>6.3899999999999998E-2</v>
      </c>
      <c r="ER87" s="231">
        <v>22605</v>
      </c>
      <c r="ES87" s="231">
        <v>20030</v>
      </c>
      <c r="ET87" s="231">
        <v>51850</v>
      </c>
      <c r="EU87" s="231">
        <v>75071250</v>
      </c>
      <c r="EV87" s="231">
        <v>94484</v>
      </c>
      <c r="EW87" s="231">
        <v>93827</v>
      </c>
      <c r="EX87" s="228">
        <v>657</v>
      </c>
      <c r="EY87" s="229">
        <v>7.0000000000000001E-3</v>
      </c>
      <c r="EZ87" s="229">
        <v>0.64829999999999999</v>
      </c>
      <c r="FA87" s="227" t="s">
        <v>693</v>
      </c>
      <c r="FB87" s="161">
        <f t="shared" si="1"/>
        <v>0</v>
      </c>
    </row>
    <row r="88" spans="1:158" ht="17.25" thickBot="1" x14ac:dyDescent="0.3">
      <c r="A88" s="226">
        <v>46132</v>
      </c>
      <c r="B88" s="227" t="s">
        <v>162</v>
      </c>
      <c r="C88" s="227" t="s">
        <v>694</v>
      </c>
      <c r="D88" s="228">
        <v>275</v>
      </c>
      <c r="E88" s="231">
        <v>1868.7</v>
      </c>
      <c r="F88" s="231">
        <v>1869.4</v>
      </c>
      <c r="G88" s="228">
        <v>-0.7</v>
      </c>
      <c r="H88" s="229">
        <v>-4.0000000000000002E-4</v>
      </c>
      <c r="I88" s="231">
        <v>1886</v>
      </c>
      <c r="J88" s="231">
        <v>1902.8</v>
      </c>
      <c r="K88" s="228">
        <v>-16.8</v>
      </c>
      <c r="L88" s="229">
        <v>-8.8000000000000005E-3</v>
      </c>
      <c r="M88" s="231">
        <v>1868.7</v>
      </c>
      <c r="N88" s="231">
        <v>1869.4</v>
      </c>
      <c r="O88" s="228">
        <v>-0.7</v>
      </c>
      <c r="P88" s="229">
        <v>-4.0000000000000002E-4</v>
      </c>
      <c r="Q88" s="231">
        <v>1840.1</v>
      </c>
      <c r="R88" s="231">
        <v>1838</v>
      </c>
      <c r="S88" s="228">
        <v>2.1</v>
      </c>
      <c r="T88" s="229">
        <v>1.1000000000000001E-3</v>
      </c>
      <c r="U88" s="231">
        <v>1827.9</v>
      </c>
      <c r="V88" s="231">
        <v>1816.5</v>
      </c>
      <c r="W88" s="228">
        <v>11.4</v>
      </c>
      <c r="X88" s="229">
        <v>6.3E-3</v>
      </c>
      <c r="Y88" s="228">
        <v>-17.3</v>
      </c>
      <c r="Z88" s="228">
        <v>-33.4</v>
      </c>
      <c r="AA88" s="228">
        <v>16.100000000000001</v>
      </c>
      <c r="AB88" s="229">
        <v>-9.1999999999999998E-3</v>
      </c>
      <c r="AC88" s="228">
        <v>-17.3</v>
      </c>
      <c r="AD88" s="228">
        <v>-33.4</v>
      </c>
      <c r="AE88" s="228">
        <v>16.100000000000001</v>
      </c>
      <c r="AF88" s="229">
        <v>-9.1999999999999998E-3</v>
      </c>
      <c r="AG88" s="228">
        <v>-45.9</v>
      </c>
      <c r="AH88" s="228">
        <v>-64.8</v>
      </c>
      <c r="AI88" s="228">
        <v>18.899999999999999</v>
      </c>
      <c r="AJ88" s="229">
        <v>-2.4299999999999999E-2</v>
      </c>
      <c r="AK88" s="228">
        <v>-58.1</v>
      </c>
      <c r="AL88" s="228">
        <v>-86.3</v>
      </c>
      <c r="AM88" s="228">
        <v>28.2</v>
      </c>
      <c r="AN88" s="229">
        <v>-3.0800000000000001E-2</v>
      </c>
      <c r="AO88" s="231">
        <v>1870.06</v>
      </c>
      <c r="AP88" s="231">
        <v>1840.79</v>
      </c>
      <c r="AQ88" s="228">
        <v>0</v>
      </c>
      <c r="AR88" s="230">
        <v>1211925</v>
      </c>
      <c r="AS88" s="230">
        <v>2300650</v>
      </c>
      <c r="AT88" s="230">
        <v>-1088725</v>
      </c>
      <c r="AU88" s="229">
        <v>-0.47320000000000001</v>
      </c>
      <c r="AV88" s="230">
        <v>761750</v>
      </c>
      <c r="AW88" s="230">
        <v>1692625</v>
      </c>
      <c r="AX88" s="230">
        <v>-930875</v>
      </c>
      <c r="AY88" s="229">
        <v>-0.55000000000000004</v>
      </c>
      <c r="AZ88" s="230">
        <v>433400</v>
      </c>
      <c r="BA88" s="230">
        <v>563200</v>
      </c>
      <c r="BB88" s="230">
        <v>-129800</v>
      </c>
      <c r="BC88" s="229">
        <v>-0.23050000000000001</v>
      </c>
      <c r="BD88" s="230">
        <v>16775</v>
      </c>
      <c r="BE88" s="230">
        <v>44825</v>
      </c>
      <c r="BF88" s="230">
        <v>-28050</v>
      </c>
      <c r="BG88" s="229">
        <v>-0.62580000000000002</v>
      </c>
      <c r="BH88" s="230">
        <v>1575200</v>
      </c>
      <c r="BI88" s="230">
        <v>3902250</v>
      </c>
      <c r="BJ88" s="230">
        <v>-2327050</v>
      </c>
      <c r="BK88" s="229">
        <v>-0.59630000000000005</v>
      </c>
      <c r="BL88" s="230">
        <v>348700</v>
      </c>
      <c r="BM88" s="230">
        <v>955900</v>
      </c>
      <c r="BN88" s="230">
        <v>-607200</v>
      </c>
      <c r="BO88" s="229">
        <v>-0.63519999999999999</v>
      </c>
      <c r="BP88" s="230">
        <v>3135825</v>
      </c>
      <c r="BQ88" s="230">
        <v>7158800</v>
      </c>
      <c r="BR88" s="230">
        <v>-4022975</v>
      </c>
      <c r="BS88" s="229">
        <v>-0.56200000000000006</v>
      </c>
      <c r="BT88" s="230">
        <v>778083</v>
      </c>
      <c r="BU88" s="230">
        <v>1667502</v>
      </c>
      <c r="BV88" s="230">
        <v>-889419</v>
      </c>
      <c r="BW88" s="229">
        <v>-0.53339999999999999</v>
      </c>
      <c r="BX88" s="230">
        <v>8438100</v>
      </c>
      <c r="BY88" s="230">
        <v>8169150</v>
      </c>
      <c r="BZ88" s="230">
        <v>268950</v>
      </c>
      <c r="CA88" s="229">
        <v>3.2899999999999999E-2</v>
      </c>
      <c r="CB88" s="230">
        <v>6374225</v>
      </c>
      <c r="CC88" s="230">
        <v>6307400</v>
      </c>
      <c r="CD88" s="230">
        <v>66825</v>
      </c>
      <c r="CE88" s="229">
        <v>1.06E-2</v>
      </c>
      <c r="CF88" s="230">
        <v>2002275</v>
      </c>
      <c r="CG88" s="230">
        <v>1805375</v>
      </c>
      <c r="CH88" s="230">
        <v>196900</v>
      </c>
      <c r="CI88" s="229">
        <v>0.1091</v>
      </c>
      <c r="CJ88" s="230">
        <v>61600</v>
      </c>
      <c r="CK88" s="230">
        <v>56375</v>
      </c>
      <c r="CL88" s="230">
        <v>5225</v>
      </c>
      <c r="CM88" s="229">
        <v>9.2700000000000005E-2</v>
      </c>
      <c r="CN88" s="230">
        <v>971025</v>
      </c>
      <c r="CO88" s="230">
        <v>1046925</v>
      </c>
      <c r="CP88" s="230">
        <v>-75900</v>
      </c>
      <c r="CQ88" s="229">
        <v>-7.2499999999999995E-2</v>
      </c>
      <c r="CR88" s="230">
        <v>677600</v>
      </c>
      <c r="CS88" s="230">
        <v>689425</v>
      </c>
      <c r="CT88" s="230">
        <v>-11825</v>
      </c>
      <c r="CU88" s="229">
        <v>-1.72E-2</v>
      </c>
      <c r="CV88" s="230">
        <v>10086725</v>
      </c>
      <c r="CW88" s="230">
        <v>9905500</v>
      </c>
      <c r="CX88" s="230">
        <v>181225</v>
      </c>
      <c r="CY88" s="229">
        <v>1.83E-2</v>
      </c>
      <c r="CZ88" s="228">
        <v>42.85</v>
      </c>
      <c r="DA88" s="228">
        <v>40.36</v>
      </c>
      <c r="DB88" s="228">
        <v>2.4900000000000002</v>
      </c>
      <c r="DC88" s="228">
        <v>2.4900000000000002</v>
      </c>
      <c r="DD88" s="228">
        <v>33.590000000000003</v>
      </c>
      <c r="DE88" s="228">
        <v>33.67</v>
      </c>
      <c r="DF88" s="228">
        <v>9.26</v>
      </c>
      <c r="DG88" s="228">
        <v>-0.08</v>
      </c>
      <c r="DH88" s="228">
        <v>43.32</v>
      </c>
      <c r="DI88" s="228">
        <v>40.340000000000003</v>
      </c>
      <c r="DJ88" s="228">
        <v>2.98</v>
      </c>
      <c r="DK88" s="228">
        <v>2.98</v>
      </c>
      <c r="DL88" s="228">
        <v>40.700000000000003</v>
      </c>
      <c r="DM88" s="228">
        <v>40.479999999999997</v>
      </c>
      <c r="DN88" s="228">
        <v>0.22</v>
      </c>
      <c r="DO88" s="228">
        <v>0.22</v>
      </c>
      <c r="DP88" s="228">
        <v>0.7</v>
      </c>
      <c r="DQ88" s="228">
        <v>0.66</v>
      </c>
      <c r="DR88" s="228">
        <v>0.04</v>
      </c>
      <c r="DS88" s="229">
        <v>6.0600000000000001E-2</v>
      </c>
      <c r="DT88" s="231">
        <v>1900</v>
      </c>
      <c r="DU88" s="231">
        <v>1800</v>
      </c>
      <c r="DV88" s="228">
        <v>0.22</v>
      </c>
      <c r="DW88" s="228">
        <v>0.24</v>
      </c>
      <c r="DX88" s="228">
        <v>-0.02</v>
      </c>
      <c r="DY88" s="229">
        <v>-8.3299999999999999E-2</v>
      </c>
      <c r="DZ88" s="229">
        <v>0.24460000000000001</v>
      </c>
      <c r="EA88" s="230">
        <v>1861750</v>
      </c>
      <c r="EB88" s="229">
        <v>-1.5299999999999999E-2</v>
      </c>
      <c r="EC88" s="229">
        <v>0.24460000000000001</v>
      </c>
      <c r="ED88" s="228">
        <v>-29.27</v>
      </c>
      <c r="EE88" s="229">
        <v>-1.5699999999999999E-2</v>
      </c>
      <c r="EF88" s="230">
        <v>331453</v>
      </c>
      <c r="EG88" s="230">
        <v>810116</v>
      </c>
      <c r="EH88" s="229">
        <v>-0.59089999999999998</v>
      </c>
      <c r="EI88" s="229">
        <v>0.42599999999999999</v>
      </c>
      <c r="EJ88" s="231">
        <v>31212.720000000001</v>
      </c>
      <c r="EK88" s="231">
        <v>6403.65</v>
      </c>
      <c r="EL88" s="231">
        <v>22529.29</v>
      </c>
      <c r="EM88" s="231">
        <v>7744</v>
      </c>
      <c r="EN88" s="231">
        <v>60145.66</v>
      </c>
      <c r="EO88" s="231">
        <v>137186.29999999999</v>
      </c>
      <c r="EP88" s="231">
        <v>-77040.639999999999</v>
      </c>
      <c r="EQ88" s="229">
        <v>-0.56159999999999999</v>
      </c>
      <c r="ER88" s="231">
        <v>18266</v>
      </c>
      <c r="ES88" s="231">
        <v>11888</v>
      </c>
      <c r="ET88" s="231">
        <v>157085</v>
      </c>
      <c r="EU88" s="231">
        <v>21329205</v>
      </c>
      <c r="EV88" s="231">
        <v>187239</v>
      </c>
      <c r="EW88" s="231">
        <v>183934</v>
      </c>
      <c r="EX88" s="231">
        <v>3305</v>
      </c>
      <c r="EY88" s="229">
        <v>1.7999999999999999E-2</v>
      </c>
      <c r="EZ88" s="229">
        <v>0.47289999999999999</v>
      </c>
      <c r="FA88" s="227" t="s">
        <v>566</v>
      </c>
      <c r="FB88" s="161">
        <f t="shared" si="1"/>
        <v>2063875</v>
      </c>
    </row>
    <row r="89" spans="1:158" ht="17.25" thickBot="1" x14ac:dyDescent="0.3">
      <c r="A89" s="226">
        <v>46132</v>
      </c>
      <c r="B89" s="227" t="s">
        <v>172</v>
      </c>
      <c r="C89" s="227" t="s">
        <v>232</v>
      </c>
      <c r="D89" s="228">
        <v>700</v>
      </c>
      <c r="E89" s="231">
        <v>1357.3</v>
      </c>
      <c r="F89" s="231">
        <v>1351.6</v>
      </c>
      <c r="G89" s="228">
        <v>5.7</v>
      </c>
      <c r="H89" s="229">
        <v>4.1999999999999997E-3</v>
      </c>
      <c r="I89" s="231">
        <v>1356.2</v>
      </c>
      <c r="J89" s="231">
        <v>1346.8</v>
      </c>
      <c r="K89" s="228">
        <v>9.4</v>
      </c>
      <c r="L89" s="229">
        <v>7.0000000000000001E-3</v>
      </c>
      <c r="M89" s="231">
        <v>1357.3</v>
      </c>
      <c r="N89" s="231">
        <v>1351.6</v>
      </c>
      <c r="O89" s="228">
        <v>5.7</v>
      </c>
      <c r="P89" s="229">
        <v>4.1999999999999997E-3</v>
      </c>
      <c r="Q89" s="231">
        <v>1364.7</v>
      </c>
      <c r="R89" s="231">
        <v>1358.6</v>
      </c>
      <c r="S89" s="228">
        <v>6.1</v>
      </c>
      <c r="T89" s="229">
        <v>4.4999999999999997E-3</v>
      </c>
      <c r="U89" s="231">
        <v>1373.4</v>
      </c>
      <c r="V89" s="231">
        <v>1367.1</v>
      </c>
      <c r="W89" s="228">
        <v>6.3</v>
      </c>
      <c r="X89" s="229">
        <v>4.5999999999999999E-3</v>
      </c>
      <c r="Y89" s="228">
        <v>1.1000000000000001</v>
      </c>
      <c r="Z89" s="228">
        <v>4.8</v>
      </c>
      <c r="AA89" s="228">
        <v>-3.7</v>
      </c>
      <c r="AB89" s="229">
        <v>8.0000000000000004E-4</v>
      </c>
      <c r="AC89" s="228">
        <v>1.1000000000000001</v>
      </c>
      <c r="AD89" s="228">
        <v>4.8</v>
      </c>
      <c r="AE89" s="228">
        <v>-3.7</v>
      </c>
      <c r="AF89" s="229">
        <v>8.0000000000000004E-4</v>
      </c>
      <c r="AG89" s="228">
        <v>8.5</v>
      </c>
      <c r="AH89" s="228">
        <v>11.8</v>
      </c>
      <c r="AI89" s="228">
        <v>-3.3</v>
      </c>
      <c r="AJ89" s="229">
        <v>6.3E-3</v>
      </c>
      <c r="AK89" s="228">
        <v>17.2</v>
      </c>
      <c r="AL89" s="228">
        <v>20.3</v>
      </c>
      <c r="AM89" s="228">
        <v>-3.1</v>
      </c>
      <c r="AN89" s="229">
        <v>1.2699999999999999E-2</v>
      </c>
      <c r="AO89" s="231">
        <v>1364.21</v>
      </c>
      <c r="AP89" s="231">
        <v>1371.99</v>
      </c>
      <c r="AQ89" s="228">
        <v>0</v>
      </c>
      <c r="AR89" s="230">
        <v>23648800</v>
      </c>
      <c r="AS89" s="230">
        <v>18178300</v>
      </c>
      <c r="AT89" s="230">
        <v>5470500</v>
      </c>
      <c r="AU89" s="229">
        <v>0.3009</v>
      </c>
      <c r="AV89" s="230">
        <v>19849900</v>
      </c>
      <c r="AW89" s="230">
        <v>15512700</v>
      </c>
      <c r="AX89" s="230">
        <v>4337200</v>
      </c>
      <c r="AY89" s="229">
        <v>0.27960000000000002</v>
      </c>
      <c r="AZ89" s="230">
        <v>3233300</v>
      </c>
      <c r="BA89" s="230">
        <v>2506700</v>
      </c>
      <c r="BB89" s="230">
        <v>726600</v>
      </c>
      <c r="BC89" s="229">
        <v>0.28989999999999999</v>
      </c>
      <c r="BD89" s="230">
        <v>565600</v>
      </c>
      <c r="BE89" s="230">
        <v>158900</v>
      </c>
      <c r="BF89" s="230">
        <v>406700</v>
      </c>
      <c r="BG89" s="229">
        <v>2.5594999999999999</v>
      </c>
      <c r="BH89" s="230">
        <v>134738800</v>
      </c>
      <c r="BI89" s="230">
        <v>58716700</v>
      </c>
      <c r="BJ89" s="230">
        <v>76022100</v>
      </c>
      <c r="BK89" s="229">
        <v>1.2947</v>
      </c>
      <c r="BL89" s="230">
        <v>70381500</v>
      </c>
      <c r="BM89" s="230">
        <v>39828600</v>
      </c>
      <c r="BN89" s="230">
        <v>30552900</v>
      </c>
      <c r="BO89" s="229">
        <v>0.7671</v>
      </c>
      <c r="BP89" s="230">
        <v>228769100</v>
      </c>
      <c r="BQ89" s="230">
        <v>116723600</v>
      </c>
      <c r="BR89" s="230">
        <v>112045500</v>
      </c>
      <c r="BS89" s="229">
        <v>0.95989999999999998</v>
      </c>
      <c r="BT89" s="230">
        <v>22587556</v>
      </c>
      <c r="BU89" s="230">
        <v>18309513</v>
      </c>
      <c r="BV89" s="230">
        <v>4278043</v>
      </c>
      <c r="BW89" s="229">
        <v>0.23369999999999999</v>
      </c>
      <c r="BX89" s="230">
        <v>112693700</v>
      </c>
      <c r="BY89" s="230">
        <v>115859800</v>
      </c>
      <c r="BZ89" s="230">
        <v>-3166100</v>
      </c>
      <c r="CA89" s="229">
        <v>-2.7300000000000001E-2</v>
      </c>
      <c r="CB89" s="230">
        <v>80756900</v>
      </c>
      <c r="CC89" s="230">
        <v>85801100</v>
      </c>
      <c r="CD89" s="230">
        <v>-5044200</v>
      </c>
      <c r="CE89" s="229">
        <v>-5.8799999999999998E-2</v>
      </c>
      <c r="CF89" s="230">
        <v>27367200</v>
      </c>
      <c r="CG89" s="230">
        <v>25859400</v>
      </c>
      <c r="CH89" s="230">
        <v>1507800</v>
      </c>
      <c r="CI89" s="229">
        <v>5.8299999999999998E-2</v>
      </c>
      <c r="CJ89" s="230">
        <v>4569600</v>
      </c>
      <c r="CK89" s="230">
        <v>4199300</v>
      </c>
      <c r="CL89" s="230">
        <v>370300</v>
      </c>
      <c r="CM89" s="229">
        <v>8.8200000000000001E-2</v>
      </c>
      <c r="CN89" s="230">
        <v>36117900</v>
      </c>
      <c r="CO89" s="230">
        <v>30629200</v>
      </c>
      <c r="CP89" s="230">
        <v>5488700</v>
      </c>
      <c r="CQ89" s="229">
        <v>0.1792</v>
      </c>
      <c r="CR89" s="230">
        <v>24261300</v>
      </c>
      <c r="CS89" s="230">
        <v>25355400</v>
      </c>
      <c r="CT89" s="230">
        <v>-1094100</v>
      </c>
      <c r="CU89" s="229">
        <v>-4.3200000000000002E-2</v>
      </c>
      <c r="CV89" s="230">
        <v>173072900</v>
      </c>
      <c r="CW89" s="230">
        <v>171844400</v>
      </c>
      <c r="CX89" s="230">
        <v>1228500</v>
      </c>
      <c r="CY89" s="229">
        <v>7.1000000000000004E-3</v>
      </c>
      <c r="CZ89" s="228">
        <v>25.72</v>
      </c>
      <c r="DA89" s="228">
        <v>28.99</v>
      </c>
      <c r="DB89" s="228">
        <v>-3.27</v>
      </c>
      <c r="DC89" s="228">
        <v>-3.27</v>
      </c>
      <c r="DD89" s="228">
        <v>23.84</v>
      </c>
      <c r="DE89" s="228">
        <v>23.88</v>
      </c>
      <c r="DF89" s="228">
        <v>1.88</v>
      </c>
      <c r="DG89" s="228">
        <v>-0.04</v>
      </c>
      <c r="DH89" s="228">
        <v>25.24</v>
      </c>
      <c r="DI89" s="228">
        <v>28.26</v>
      </c>
      <c r="DJ89" s="228">
        <v>-3.02</v>
      </c>
      <c r="DK89" s="228">
        <v>-3.02</v>
      </c>
      <c r="DL89" s="228">
        <v>26.64</v>
      </c>
      <c r="DM89" s="228">
        <v>30.06</v>
      </c>
      <c r="DN89" s="228">
        <v>-3.42</v>
      </c>
      <c r="DO89" s="228">
        <v>-3.42</v>
      </c>
      <c r="DP89" s="228">
        <v>0.67</v>
      </c>
      <c r="DQ89" s="228">
        <v>0.83</v>
      </c>
      <c r="DR89" s="228">
        <v>-0.16</v>
      </c>
      <c r="DS89" s="229">
        <v>-0.1928</v>
      </c>
      <c r="DT89" s="231">
        <v>1400</v>
      </c>
      <c r="DU89" s="231">
        <v>1300</v>
      </c>
      <c r="DV89" s="228">
        <v>0.52</v>
      </c>
      <c r="DW89" s="228">
        <v>0.68</v>
      </c>
      <c r="DX89" s="228">
        <v>-0.16</v>
      </c>
      <c r="DY89" s="229">
        <v>-0.23530000000000001</v>
      </c>
      <c r="DZ89" s="229">
        <v>0.28339999999999999</v>
      </c>
      <c r="EA89" s="230">
        <v>30058700</v>
      </c>
      <c r="EB89" s="229">
        <v>5.4999999999999997E-3</v>
      </c>
      <c r="EC89" s="229">
        <v>0.28339999999999999</v>
      </c>
      <c r="ED89" s="228">
        <v>7.78</v>
      </c>
      <c r="EE89" s="229">
        <v>5.7000000000000002E-3</v>
      </c>
      <c r="EF89" s="230">
        <v>11055823</v>
      </c>
      <c r="EG89" s="230">
        <v>10779112</v>
      </c>
      <c r="EH89" s="229">
        <v>2.5700000000000001E-2</v>
      </c>
      <c r="EI89" s="229">
        <v>0.48949999999999999</v>
      </c>
      <c r="EJ89" s="231">
        <v>1889500.46</v>
      </c>
      <c r="EK89" s="231">
        <v>938569.32</v>
      </c>
      <c r="EL89" s="231">
        <v>322946.74</v>
      </c>
      <c r="EM89" s="231">
        <v>31188</v>
      </c>
      <c r="EN89" s="231">
        <v>3151016.52</v>
      </c>
      <c r="EO89" s="231">
        <v>1594004.49</v>
      </c>
      <c r="EP89" s="231">
        <v>1557012.03</v>
      </c>
      <c r="EQ89" s="229">
        <v>0.9768</v>
      </c>
      <c r="ER89" s="231">
        <v>492822</v>
      </c>
      <c r="ES89" s="231">
        <v>312884</v>
      </c>
      <c r="ET89" s="231">
        <v>1532352</v>
      </c>
      <c r="EU89" s="231">
        <v>668616020</v>
      </c>
      <c r="EV89" s="231">
        <v>2338059</v>
      </c>
      <c r="EW89" s="231">
        <v>2306893</v>
      </c>
      <c r="EX89" s="231">
        <v>31166</v>
      </c>
      <c r="EY89" s="229">
        <v>1.35E-2</v>
      </c>
      <c r="EZ89" s="229">
        <v>0.25890000000000002</v>
      </c>
      <c r="FA89" s="227" t="s">
        <v>693</v>
      </c>
      <c r="FB89" s="161">
        <f t="shared" si="1"/>
        <v>31936800</v>
      </c>
    </row>
    <row r="90" spans="1:158" ht="17.25" thickBot="1" x14ac:dyDescent="0.3">
      <c r="A90" s="226">
        <v>46132</v>
      </c>
      <c r="B90" s="227" t="s">
        <v>175</v>
      </c>
      <c r="C90" s="227" t="s">
        <v>472</v>
      </c>
      <c r="D90" s="228">
        <v>325</v>
      </c>
      <c r="E90" s="231">
        <v>1872.3</v>
      </c>
      <c r="F90" s="231">
        <v>1890.9</v>
      </c>
      <c r="G90" s="228">
        <v>-18.600000000000001</v>
      </c>
      <c r="H90" s="229">
        <v>-9.7999999999999997E-3</v>
      </c>
      <c r="I90" s="231">
        <v>1876.5</v>
      </c>
      <c r="J90" s="231">
        <v>1891.6</v>
      </c>
      <c r="K90" s="228">
        <v>-15.1</v>
      </c>
      <c r="L90" s="229">
        <v>-8.0000000000000002E-3</v>
      </c>
      <c r="M90" s="231">
        <v>1872.3</v>
      </c>
      <c r="N90" s="231">
        <v>1890.9</v>
      </c>
      <c r="O90" s="228">
        <v>-18.600000000000001</v>
      </c>
      <c r="P90" s="229">
        <v>-9.7999999999999997E-3</v>
      </c>
      <c r="Q90" s="231">
        <v>1880.7</v>
      </c>
      <c r="R90" s="231">
        <v>1900.3</v>
      </c>
      <c r="S90" s="228">
        <v>-19.600000000000001</v>
      </c>
      <c r="T90" s="229">
        <v>-1.03E-2</v>
      </c>
      <c r="U90" s="231">
        <v>1884.9</v>
      </c>
      <c r="V90" s="231">
        <v>1883.8</v>
      </c>
      <c r="W90" s="228">
        <v>1.1000000000000001</v>
      </c>
      <c r="X90" s="229">
        <v>5.9999999999999995E-4</v>
      </c>
      <c r="Y90" s="228">
        <v>-4.2</v>
      </c>
      <c r="Z90" s="228">
        <v>-0.7</v>
      </c>
      <c r="AA90" s="228">
        <v>-3.5</v>
      </c>
      <c r="AB90" s="229">
        <v>-2.2000000000000001E-3</v>
      </c>
      <c r="AC90" s="228">
        <v>-4.2</v>
      </c>
      <c r="AD90" s="228">
        <v>-0.7</v>
      </c>
      <c r="AE90" s="228">
        <v>-3.5</v>
      </c>
      <c r="AF90" s="229">
        <v>-2.2000000000000001E-3</v>
      </c>
      <c r="AG90" s="228">
        <v>4.2</v>
      </c>
      <c r="AH90" s="228">
        <v>8.6999999999999993</v>
      </c>
      <c r="AI90" s="228">
        <v>-4.5</v>
      </c>
      <c r="AJ90" s="229">
        <v>2.2000000000000001E-3</v>
      </c>
      <c r="AK90" s="228">
        <v>8.4</v>
      </c>
      <c r="AL90" s="228">
        <v>-7.8</v>
      </c>
      <c r="AM90" s="228">
        <v>16.2</v>
      </c>
      <c r="AN90" s="229">
        <v>4.4999999999999997E-3</v>
      </c>
      <c r="AO90" s="231">
        <v>1879.98</v>
      </c>
      <c r="AP90" s="231">
        <v>1888.54</v>
      </c>
      <c r="AQ90" s="228">
        <v>0</v>
      </c>
      <c r="AR90" s="230">
        <v>385450</v>
      </c>
      <c r="AS90" s="230">
        <v>746850</v>
      </c>
      <c r="AT90" s="230">
        <v>-361400</v>
      </c>
      <c r="AU90" s="229">
        <v>-0.4839</v>
      </c>
      <c r="AV90" s="230">
        <v>366275</v>
      </c>
      <c r="AW90" s="230">
        <v>713050</v>
      </c>
      <c r="AX90" s="230">
        <v>-346775</v>
      </c>
      <c r="AY90" s="229">
        <v>-0.48630000000000001</v>
      </c>
      <c r="AZ90" s="230">
        <v>18850</v>
      </c>
      <c r="BA90" s="230">
        <v>30875</v>
      </c>
      <c r="BB90" s="230">
        <v>-12025</v>
      </c>
      <c r="BC90" s="229">
        <v>-0.38950000000000001</v>
      </c>
      <c r="BD90" s="228">
        <v>325</v>
      </c>
      <c r="BE90" s="230">
        <v>2925</v>
      </c>
      <c r="BF90" s="230">
        <v>-2600</v>
      </c>
      <c r="BG90" s="229">
        <v>-0.88890000000000002</v>
      </c>
      <c r="BH90" s="230">
        <v>1042925</v>
      </c>
      <c r="BI90" s="230">
        <v>2501525</v>
      </c>
      <c r="BJ90" s="230">
        <v>-1458600</v>
      </c>
      <c r="BK90" s="229">
        <v>-0.58309999999999995</v>
      </c>
      <c r="BL90" s="230">
        <v>628875</v>
      </c>
      <c r="BM90" s="230">
        <v>1637350</v>
      </c>
      <c r="BN90" s="230">
        <v>-1008475</v>
      </c>
      <c r="BO90" s="229">
        <v>-0.6159</v>
      </c>
      <c r="BP90" s="230">
        <v>2057250</v>
      </c>
      <c r="BQ90" s="230">
        <v>4885725</v>
      </c>
      <c r="BR90" s="230">
        <v>-2828475</v>
      </c>
      <c r="BS90" s="229">
        <v>-0.57889999999999997</v>
      </c>
      <c r="BT90" s="230">
        <v>329236</v>
      </c>
      <c r="BU90" s="230">
        <v>436337</v>
      </c>
      <c r="BV90" s="230">
        <v>-107101</v>
      </c>
      <c r="BW90" s="229">
        <v>-0.2455</v>
      </c>
      <c r="BX90" s="230">
        <v>5506800</v>
      </c>
      <c r="BY90" s="230">
        <v>5574075</v>
      </c>
      <c r="BZ90" s="230">
        <v>-67275</v>
      </c>
      <c r="CA90" s="229">
        <v>-1.21E-2</v>
      </c>
      <c r="CB90" s="230">
        <v>5423925</v>
      </c>
      <c r="CC90" s="230">
        <v>5493800</v>
      </c>
      <c r="CD90" s="230">
        <v>-69875</v>
      </c>
      <c r="CE90" s="229">
        <v>-1.2699999999999999E-2</v>
      </c>
      <c r="CF90" s="230">
        <v>77675</v>
      </c>
      <c r="CG90" s="230">
        <v>75075</v>
      </c>
      <c r="CH90" s="230">
        <v>2600</v>
      </c>
      <c r="CI90" s="229">
        <v>3.4599999999999999E-2</v>
      </c>
      <c r="CJ90" s="230">
        <v>5200</v>
      </c>
      <c r="CK90" s="230">
        <v>5200</v>
      </c>
      <c r="CL90" s="228">
        <v>0</v>
      </c>
      <c r="CM90" s="229">
        <v>0</v>
      </c>
      <c r="CN90" s="230">
        <v>1461200</v>
      </c>
      <c r="CO90" s="230">
        <v>1501175</v>
      </c>
      <c r="CP90" s="230">
        <v>-39975</v>
      </c>
      <c r="CQ90" s="229">
        <v>-2.6599999999999999E-2</v>
      </c>
      <c r="CR90" s="230">
        <v>1202175</v>
      </c>
      <c r="CS90" s="230">
        <v>1327950</v>
      </c>
      <c r="CT90" s="230">
        <v>-125775</v>
      </c>
      <c r="CU90" s="229">
        <v>-9.4700000000000006E-2</v>
      </c>
      <c r="CV90" s="230">
        <v>8170175</v>
      </c>
      <c r="CW90" s="230">
        <v>8403200</v>
      </c>
      <c r="CX90" s="230">
        <v>-233025</v>
      </c>
      <c r="CY90" s="229">
        <v>-2.7699999999999999E-2</v>
      </c>
      <c r="CZ90" s="228">
        <v>27.53</v>
      </c>
      <c r="DA90" s="228">
        <v>24.67</v>
      </c>
      <c r="DB90" s="228">
        <v>2.86</v>
      </c>
      <c r="DC90" s="228">
        <v>2.86</v>
      </c>
      <c r="DD90" s="228">
        <v>27.13</v>
      </c>
      <c r="DE90" s="228">
        <v>27.17</v>
      </c>
      <c r="DF90" s="228">
        <v>0.4</v>
      </c>
      <c r="DG90" s="228">
        <v>-0.04</v>
      </c>
      <c r="DH90" s="228">
        <v>27.11</v>
      </c>
      <c r="DI90" s="228">
        <v>24.16</v>
      </c>
      <c r="DJ90" s="228">
        <v>2.95</v>
      </c>
      <c r="DK90" s="228">
        <v>2.95</v>
      </c>
      <c r="DL90" s="228">
        <v>28.22</v>
      </c>
      <c r="DM90" s="228">
        <v>25.44</v>
      </c>
      <c r="DN90" s="228">
        <v>2.78</v>
      </c>
      <c r="DO90" s="228">
        <v>2.78</v>
      </c>
      <c r="DP90" s="228">
        <v>0.82</v>
      </c>
      <c r="DQ90" s="228">
        <v>0.88</v>
      </c>
      <c r="DR90" s="228">
        <v>-0.06</v>
      </c>
      <c r="DS90" s="229">
        <v>-6.8199999999999997E-2</v>
      </c>
      <c r="DT90" s="231">
        <v>2000</v>
      </c>
      <c r="DU90" s="231">
        <v>1800</v>
      </c>
      <c r="DV90" s="228">
        <v>0.6</v>
      </c>
      <c r="DW90" s="228">
        <v>0.65</v>
      </c>
      <c r="DX90" s="228">
        <v>-0.05</v>
      </c>
      <c r="DY90" s="229">
        <v>-7.6899999999999996E-2</v>
      </c>
      <c r="DZ90" s="229">
        <v>1.4999999999999999E-2</v>
      </c>
      <c r="EA90" s="230">
        <v>80275</v>
      </c>
      <c r="EB90" s="229">
        <v>4.4999999999999997E-3</v>
      </c>
      <c r="EC90" s="229">
        <v>1.4999999999999999E-2</v>
      </c>
      <c r="ED90" s="228">
        <v>8.56</v>
      </c>
      <c r="EE90" s="229">
        <v>4.5999999999999999E-3</v>
      </c>
      <c r="EF90" s="230">
        <v>143125</v>
      </c>
      <c r="EG90" s="230">
        <v>180589</v>
      </c>
      <c r="EH90" s="229">
        <v>-0.20749999999999999</v>
      </c>
      <c r="EI90" s="229">
        <v>0.43469999999999998</v>
      </c>
      <c r="EJ90" s="231">
        <v>20307.990000000002</v>
      </c>
      <c r="EK90" s="231">
        <v>11604.76</v>
      </c>
      <c r="EL90" s="231">
        <v>7248</v>
      </c>
      <c r="EM90" s="231">
        <v>3331</v>
      </c>
      <c r="EN90" s="231">
        <v>39160.75</v>
      </c>
      <c r="EO90" s="231">
        <v>93115.43</v>
      </c>
      <c r="EP90" s="231">
        <v>-53954.68</v>
      </c>
      <c r="EQ90" s="229">
        <v>-0.57940000000000003</v>
      </c>
      <c r="ER90" s="231">
        <v>27857</v>
      </c>
      <c r="ES90" s="231">
        <v>21313</v>
      </c>
      <c r="ET90" s="231">
        <v>103111</v>
      </c>
      <c r="EU90" s="231">
        <v>27086521</v>
      </c>
      <c r="EV90" s="231">
        <v>152281</v>
      </c>
      <c r="EW90" s="231">
        <v>157606</v>
      </c>
      <c r="EX90" s="231">
        <v>-5325</v>
      </c>
      <c r="EY90" s="229">
        <v>-3.3799999999999997E-2</v>
      </c>
      <c r="EZ90" s="229">
        <v>0.30159999999999998</v>
      </c>
      <c r="FA90" s="227" t="s">
        <v>567</v>
      </c>
      <c r="FB90" s="161">
        <f t="shared" si="1"/>
        <v>82875</v>
      </c>
    </row>
    <row r="91" spans="1:158" ht="17.25" thickBot="1" x14ac:dyDescent="0.3">
      <c r="A91" s="226">
        <v>46132</v>
      </c>
      <c r="B91" s="227" t="s">
        <v>175</v>
      </c>
      <c r="C91" s="227" t="s">
        <v>233</v>
      </c>
      <c r="D91" s="228">
        <v>925</v>
      </c>
      <c r="E91" s="228">
        <v>559.20000000000005</v>
      </c>
      <c r="F91" s="228">
        <v>562.75</v>
      </c>
      <c r="G91" s="228">
        <v>-3.55</v>
      </c>
      <c r="H91" s="229">
        <v>-6.3E-3</v>
      </c>
      <c r="I91" s="228">
        <v>557.9</v>
      </c>
      <c r="J91" s="228">
        <v>562</v>
      </c>
      <c r="K91" s="228">
        <v>-4.0999999999999996</v>
      </c>
      <c r="L91" s="229">
        <v>-7.3000000000000001E-3</v>
      </c>
      <c r="M91" s="228">
        <v>559.20000000000005</v>
      </c>
      <c r="N91" s="228">
        <v>562.75</v>
      </c>
      <c r="O91" s="228">
        <v>-3.55</v>
      </c>
      <c r="P91" s="229">
        <v>-6.3E-3</v>
      </c>
      <c r="Q91" s="228">
        <v>561.9</v>
      </c>
      <c r="R91" s="228">
        <v>565.45000000000005</v>
      </c>
      <c r="S91" s="228">
        <v>-3.55</v>
      </c>
      <c r="T91" s="229">
        <v>-6.3E-3</v>
      </c>
      <c r="U91" s="228">
        <v>561.4</v>
      </c>
      <c r="V91" s="228">
        <v>567.54999999999995</v>
      </c>
      <c r="W91" s="228">
        <v>-6.15</v>
      </c>
      <c r="X91" s="229">
        <v>-1.0800000000000001E-2</v>
      </c>
      <c r="Y91" s="228">
        <v>1.3</v>
      </c>
      <c r="Z91" s="228">
        <v>0.75</v>
      </c>
      <c r="AA91" s="228">
        <v>0.55000000000000004</v>
      </c>
      <c r="AB91" s="229">
        <v>2.3E-3</v>
      </c>
      <c r="AC91" s="228">
        <v>1.3</v>
      </c>
      <c r="AD91" s="228">
        <v>0.75</v>
      </c>
      <c r="AE91" s="228">
        <v>0.55000000000000004</v>
      </c>
      <c r="AF91" s="229">
        <v>2.3E-3</v>
      </c>
      <c r="AG91" s="228">
        <v>4</v>
      </c>
      <c r="AH91" s="228">
        <v>3.45</v>
      </c>
      <c r="AI91" s="228">
        <v>0.55000000000000004</v>
      </c>
      <c r="AJ91" s="229">
        <v>7.1999999999999998E-3</v>
      </c>
      <c r="AK91" s="228">
        <v>3.5</v>
      </c>
      <c r="AL91" s="228">
        <v>5.55</v>
      </c>
      <c r="AM91" s="228">
        <v>-2.0499999999999998</v>
      </c>
      <c r="AN91" s="229">
        <v>6.3E-3</v>
      </c>
      <c r="AO91" s="228">
        <v>557.32000000000005</v>
      </c>
      <c r="AP91" s="228">
        <v>559.84</v>
      </c>
      <c r="AQ91" s="228">
        <v>0</v>
      </c>
      <c r="AR91" s="230">
        <v>2475300</v>
      </c>
      <c r="AS91" s="230">
        <v>3208825</v>
      </c>
      <c r="AT91" s="230">
        <v>-733525</v>
      </c>
      <c r="AU91" s="229">
        <v>-0.2286</v>
      </c>
      <c r="AV91" s="230">
        <v>2057200</v>
      </c>
      <c r="AW91" s="230">
        <v>2846225</v>
      </c>
      <c r="AX91" s="230">
        <v>-789025</v>
      </c>
      <c r="AY91" s="229">
        <v>-0.2772</v>
      </c>
      <c r="AZ91" s="230">
        <v>403300</v>
      </c>
      <c r="BA91" s="230">
        <v>349650</v>
      </c>
      <c r="BB91" s="230">
        <v>53650</v>
      </c>
      <c r="BC91" s="229">
        <v>0.15340000000000001</v>
      </c>
      <c r="BD91" s="230">
        <v>14800</v>
      </c>
      <c r="BE91" s="230">
        <v>12950</v>
      </c>
      <c r="BF91" s="230">
        <v>1850</v>
      </c>
      <c r="BG91" s="229">
        <v>0.1429</v>
      </c>
      <c r="BH91" s="230">
        <v>5506525</v>
      </c>
      <c r="BI91" s="230">
        <v>9655150</v>
      </c>
      <c r="BJ91" s="230">
        <v>-4148625</v>
      </c>
      <c r="BK91" s="229">
        <v>-0.42970000000000003</v>
      </c>
      <c r="BL91" s="230">
        <v>3639875</v>
      </c>
      <c r="BM91" s="230">
        <v>5344650</v>
      </c>
      <c r="BN91" s="230">
        <v>-1704775</v>
      </c>
      <c r="BO91" s="229">
        <v>-0.31900000000000001</v>
      </c>
      <c r="BP91" s="230">
        <v>11621700</v>
      </c>
      <c r="BQ91" s="230">
        <v>18208625</v>
      </c>
      <c r="BR91" s="230">
        <v>-6586925</v>
      </c>
      <c r="BS91" s="229">
        <v>-0.36170000000000002</v>
      </c>
      <c r="BT91" s="230">
        <v>1679578</v>
      </c>
      <c r="BU91" s="230">
        <v>4646397</v>
      </c>
      <c r="BV91" s="230">
        <v>-2966819</v>
      </c>
      <c r="BW91" s="229">
        <v>-0.63849999999999996</v>
      </c>
      <c r="BX91" s="230">
        <v>20669125</v>
      </c>
      <c r="BY91" s="230">
        <v>20245475</v>
      </c>
      <c r="BZ91" s="230">
        <v>423650</v>
      </c>
      <c r="CA91" s="229">
        <v>2.0899999999999998E-2</v>
      </c>
      <c r="CB91" s="230">
        <v>19945775</v>
      </c>
      <c r="CC91" s="230">
        <v>19761700</v>
      </c>
      <c r="CD91" s="230">
        <v>184075</v>
      </c>
      <c r="CE91" s="229">
        <v>9.2999999999999992E-3</v>
      </c>
      <c r="CF91" s="230">
        <v>684500</v>
      </c>
      <c r="CG91" s="230">
        <v>444925</v>
      </c>
      <c r="CH91" s="230">
        <v>239575</v>
      </c>
      <c r="CI91" s="229">
        <v>0.53849999999999998</v>
      </c>
      <c r="CJ91" s="230">
        <v>38850</v>
      </c>
      <c r="CK91" s="230">
        <v>38850</v>
      </c>
      <c r="CL91" s="228">
        <v>0</v>
      </c>
      <c r="CM91" s="229">
        <v>0</v>
      </c>
      <c r="CN91" s="230">
        <v>7001325</v>
      </c>
      <c r="CO91" s="230">
        <v>7217775</v>
      </c>
      <c r="CP91" s="230">
        <v>-216450</v>
      </c>
      <c r="CQ91" s="229">
        <v>-0.03</v>
      </c>
      <c r="CR91" s="230">
        <v>4584300</v>
      </c>
      <c r="CS91" s="230">
        <v>5129125</v>
      </c>
      <c r="CT91" s="230">
        <v>-544825</v>
      </c>
      <c r="CU91" s="229">
        <v>-0.1062</v>
      </c>
      <c r="CV91" s="230">
        <v>32254750</v>
      </c>
      <c r="CW91" s="230">
        <v>32592375</v>
      </c>
      <c r="CX91" s="230">
        <v>-337625</v>
      </c>
      <c r="CY91" s="229">
        <v>-1.04E-2</v>
      </c>
      <c r="CZ91" s="228">
        <v>32.840000000000003</v>
      </c>
      <c r="DA91" s="228">
        <v>30.07</v>
      </c>
      <c r="DB91" s="228">
        <v>2.77</v>
      </c>
      <c r="DC91" s="228">
        <v>2.77</v>
      </c>
      <c r="DD91" s="228">
        <v>28.84</v>
      </c>
      <c r="DE91" s="228">
        <v>28.9</v>
      </c>
      <c r="DF91" s="228">
        <v>4</v>
      </c>
      <c r="DG91" s="228">
        <v>-0.06</v>
      </c>
      <c r="DH91" s="228">
        <v>32.630000000000003</v>
      </c>
      <c r="DI91" s="228">
        <v>30.33</v>
      </c>
      <c r="DJ91" s="228">
        <v>2.2999999999999998</v>
      </c>
      <c r="DK91" s="228">
        <v>2.2999999999999998</v>
      </c>
      <c r="DL91" s="228">
        <v>33.14</v>
      </c>
      <c r="DM91" s="228">
        <v>29.62</v>
      </c>
      <c r="DN91" s="228">
        <v>3.52</v>
      </c>
      <c r="DO91" s="228">
        <v>3.52</v>
      </c>
      <c r="DP91" s="228">
        <v>0.65</v>
      </c>
      <c r="DQ91" s="228">
        <v>0.71</v>
      </c>
      <c r="DR91" s="228">
        <v>-0.06</v>
      </c>
      <c r="DS91" s="229">
        <v>-8.4500000000000006E-2</v>
      </c>
      <c r="DT91" s="228">
        <v>600</v>
      </c>
      <c r="DU91" s="228">
        <v>550</v>
      </c>
      <c r="DV91" s="228">
        <v>0.66</v>
      </c>
      <c r="DW91" s="228">
        <v>0.55000000000000004</v>
      </c>
      <c r="DX91" s="228">
        <v>0.11</v>
      </c>
      <c r="DY91" s="229">
        <v>0.2</v>
      </c>
      <c r="DZ91" s="229">
        <v>3.5000000000000003E-2</v>
      </c>
      <c r="EA91" s="230">
        <v>483775</v>
      </c>
      <c r="EB91" s="229">
        <v>4.7999999999999996E-3</v>
      </c>
      <c r="EC91" s="229">
        <v>3.5000000000000003E-2</v>
      </c>
      <c r="ED91" s="228">
        <v>2.52</v>
      </c>
      <c r="EE91" s="229">
        <v>4.4999999999999997E-3</v>
      </c>
      <c r="EF91" s="230">
        <v>932743</v>
      </c>
      <c r="EG91" s="230">
        <v>3389336</v>
      </c>
      <c r="EH91" s="229">
        <v>-0.7248</v>
      </c>
      <c r="EI91" s="229">
        <v>0.55530000000000002</v>
      </c>
      <c r="EJ91" s="231">
        <v>31989.56</v>
      </c>
      <c r="EK91" s="231">
        <v>20055.509999999998</v>
      </c>
      <c r="EL91" s="231">
        <v>13806.3</v>
      </c>
      <c r="EM91" s="231">
        <v>4938</v>
      </c>
      <c r="EN91" s="231">
        <v>65851.37</v>
      </c>
      <c r="EO91" s="231">
        <v>103916.47</v>
      </c>
      <c r="EP91" s="231">
        <v>-38065.1</v>
      </c>
      <c r="EQ91" s="229">
        <v>-0.36630000000000001</v>
      </c>
      <c r="ER91" s="231">
        <v>40861</v>
      </c>
      <c r="ES91" s="231">
        <v>24511</v>
      </c>
      <c r="ET91" s="231">
        <v>115601</v>
      </c>
      <c r="EU91" s="231">
        <v>58892926</v>
      </c>
      <c r="EV91" s="231">
        <v>180973</v>
      </c>
      <c r="EW91" s="231">
        <v>183530</v>
      </c>
      <c r="EX91" s="231">
        <v>-2557</v>
      </c>
      <c r="EY91" s="229">
        <v>-1.3899999999999999E-2</v>
      </c>
      <c r="EZ91" s="229">
        <v>0.54769999999999996</v>
      </c>
      <c r="FA91" s="227" t="s">
        <v>566</v>
      </c>
      <c r="FB91" s="161">
        <f t="shared" si="1"/>
        <v>723350</v>
      </c>
    </row>
    <row r="92" spans="1:158" ht="17.25" thickBot="1" x14ac:dyDescent="0.3">
      <c r="A92" s="226">
        <v>46132</v>
      </c>
      <c r="B92" s="227" t="s">
        <v>188</v>
      </c>
      <c r="C92" s="227" t="s">
        <v>234</v>
      </c>
      <c r="D92" s="228">
        <v>71475</v>
      </c>
      <c r="E92" s="228">
        <v>9.4499999999999993</v>
      </c>
      <c r="F92" s="228">
        <v>9.61</v>
      </c>
      <c r="G92" s="228">
        <v>-0.16</v>
      </c>
      <c r="H92" s="229">
        <v>-1.66E-2</v>
      </c>
      <c r="I92" s="228">
        <v>9.4700000000000006</v>
      </c>
      <c r="J92" s="228">
        <v>9.61</v>
      </c>
      <c r="K92" s="228">
        <v>-0.14000000000000001</v>
      </c>
      <c r="L92" s="229">
        <v>-1.46E-2</v>
      </c>
      <c r="M92" s="228">
        <v>9.4499999999999993</v>
      </c>
      <c r="N92" s="228">
        <v>9.61</v>
      </c>
      <c r="O92" s="228">
        <v>-0.16</v>
      </c>
      <c r="P92" s="229">
        <v>-1.66E-2</v>
      </c>
      <c r="Q92" s="228">
        <v>9.5</v>
      </c>
      <c r="R92" s="228">
        <v>9.67</v>
      </c>
      <c r="S92" s="228">
        <v>-0.17</v>
      </c>
      <c r="T92" s="229">
        <v>-1.7600000000000001E-2</v>
      </c>
      <c r="U92" s="228">
        <v>9.58</v>
      </c>
      <c r="V92" s="228">
        <v>9.74</v>
      </c>
      <c r="W92" s="228">
        <v>-0.16</v>
      </c>
      <c r="X92" s="229">
        <v>-1.6400000000000001E-2</v>
      </c>
      <c r="Y92" s="228">
        <v>-0.02</v>
      </c>
      <c r="Z92" s="228">
        <v>0</v>
      </c>
      <c r="AA92" s="228">
        <v>-0.02</v>
      </c>
      <c r="AB92" s="229">
        <v>-2.0999999999999999E-3</v>
      </c>
      <c r="AC92" s="228">
        <v>-0.02</v>
      </c>
      <c r="AD92" s="228">
        <v>0</v>
      </c>
      <c r="AE92" s="228">
        <v>-0.02</v>
      </c>
      <c r="AF92" s="229">
        <v>-2.0999999999999999E-3</v>
      </c>
      <c r="AG92" s="228">
        <v>0.03</v>
      </c>
      <c r="AH92" s="228">
        <v>0.06</v>
      </c>
      <c r="AI92" s="228">
        <v>-0.03</v>
      </c>
      <c r="AJ92" s="229">
        <v>3.2000000000000002E-3</v>
      </c>
      <c r="AK92" s="228">
        <v>0.11</v>
      </c>
      <c r="AL92" s="228">
        <v>0.13</v>
      </c>
      <c r="AM92" s="228">
        <v>-0.02</v>
      </c>
      <c r="AN92" s="229">
        <v>1.1599999999999999E-2</v>
      </c>
      <c r="AO92" s="228">
        <v>9.58</v>
      </c>
      <c r="AP92" s="228">
        <v>9.65</v>
      </c>
      <c r="AQ92" s="228">
        <v>0</v>
      </c>
      <c r="AR92" s="230">
        <v>1044321225</v>
      </c>
      <c r="AS92" s="230">
        <v>786296475</v>
      </c>
      <c r="AT92" s="230">
        <v>258024750</v>
      </c>
      <c r="AU92" s="229">
        <v>0.32819999999999999</v>
      </c>
      <c r="AV92" s="230">
        <v>648421200</v>
      </c>
      <c r="AW92" s="230">
        <v>521981925</v>
      </c>
      <c r="AX92" s="230">
        <v>126439275</v>
      </c>
      <c r="AY92" s="229">
        <v>0.2422</v>
      </c>
      <c r="AZ92" s="230">
        <v>383248950</v>
      </c>
      <c r="BA92" s="230">
        <v>253378875</v>
      </c>
      <c r="BB92" s="230">
        <v>129870075</v>
      </c>
      <c r="BC92" s="229">
        <v>0.51259999999999994</v>
      </c>
      <c r="BD92" s="230">
        <v>12651075</v>
      </c>
      <c r="BE92" s="230">
        <v>10935675</v>
      </c>
      <c r="BF92" s="230">
        <v>1715400</v>
      </c>
      <c r="BG92" s="229">
        <v>0.15690000000000001</v>
      </c>
      <c r="BH92" s="230">
        <v>806738325</v>
      </c>
      <c r="BI92" s="230">
        <v>858128850</v>
      </c>
      <c r="BJ92" s="230">
        <v>-51390525</v>
      </c>
      <c r="BK92" s="229">
        <v>-5.9900000000000002E-2</v>
      </c>
      <c r="BL92" s="230">
        <v>295406175</v>
      </c>
      <c r="BM92" s="230">
        <v>328642050</v>
      </c>
      <c r="BN92" s="230">
        <v>-33235875</v>
      </c>
      <c r="BO92" s="229">
        <v>-0.1011</v>
      </c>
      <c r="BP92" s="230">
        <v>2146465725</v>
      </c>
      <c r="BQ92" s="230">
        <v>1973067375</v>
      </c>
      <c r="BR92" s="230">
        <v>173398350</v>
      </c>
      <c r="BS92" s="229">
        <v>8.7900000000000006E-2</v>
      </c>
      <c r="BT92" s="230">
        <v>413395990</v>
      </c>
      <c r="BU92" s="230">
        <v>402607670</v>
      </c>
      <c r="BV92" s="230">
        <v>10788320</v>
      </c>
      <c r="BW92" s="229">
        <v>2.6800000000000001E-2</v>
      </c>
      <c r="BX92" s="230">
        <v>6612366675</v>
      </c>
      <c r="BY92" s="230">
        <v>6575557050</v>
      </c>
      <c r="BZ92" s="230">
        <v>36809625</v>
      </c>
      <c r="CA92" s="229">
        <v>5.5999999999999999E-3</v>
      </c>
      <c r="CB92" s="230">
        <v>5642879775</v>
      </c>
      <c r="CC92" s="230">
        <v>5935498425</v>
      </c>
      <c r="CD92" s="230">
        <v>-292618650</v>
      </c>
      <c r="CE92" s="229">
        <v>-4.9299999999999997E-2</v>
      </c>
      <c r="CF92" s="230">
        <v>918096375</v>
      </c>
      <c r="CG92" s="230">
        <v>593599875</v>
      </c>
      <c r="CH92" s="230">
        <v>324496500</v>
      </c>
      <c r="CI92" s="229">
        <v>0.54669999999999996</v>
      </c>
      <c r="CJ92" s="230">
        <v>51390525</v>
      </c>
      <c r="CK92" s="230">
        <v>46458750</v>
      </c>
      <c r="CL92" s="230">
        <v>4931775</v>
      </c>
      <c r="CM92" s="229">
        <v>0.1062</v>
      </c>
      <c r="CN92" s="230">
        <v>1483892475</v>
      </c>
      <c r="CO92" s="230">
        <v>1430071800</v>
      </c>
      <c r="CP92" s="230">
        <v>53820675</v>
      </c>
      <c r="CQ92" s="229">
        <v>3.7600000000000001E-2</v>
      </c>
      <c r="CR92" s="230">
        <v>770000175</v>
      </c>
      <c r="CS92" s="230">
        <v>750416025</v>
      </c>
      <c r="CT92" s="230">
        <v>19584150</v>
      </c>
      <c r="CU92" s="229">
        <v>2.6100000000000002E-2</v>
      </c>
      <c r="CV92" s="230">
        <v>8866259325</v>
      </c>
      <c r="CW92" s="230">
        <v>8756044875</v>
      </c>
      <c r="CX92" s="230">
        <v>110214450</v>
      </c>
      <c r="CY92" s="229">
        <v>1.26E-2</v>
      </c>
      <c r="CZ92" s="228">
        <v>55.75</v>
      </c>
      <c r="DA92" s="228">
        <v>51.61</v>
      </c>
      <c r="DB92" s="228">
        <v>4.1399999999999997</v>
      </c>
      <c r="DC92" s="228">
        <v>4.1399999999999997</v>
      </c>
      <c r="DD92" s="228">
        <v>64.53</v>
      </c>
      <c r="DE92" s="228">
        <v>64.650000000000006</v>
      </c>
      <c r="DF92" s="228">
        <v>-8.7799999999999994</v>
      </c>
      <c r="DG92" s="228">
        <v>-0.12</v>
      </c>
      <c r="DH92" s="228">
        <v>57.91</v>
      </c>
      <c r="DI92" s="228">
        <v>53.08</v>
      </c>
      <c r="DJ92" s="228">
        <v>4.83</v>
      </c>
      <c r="DK92" s="228">
        <v>4.83</v>
      </c>
      <c r="DL92" s="228">
        <v>49.83</v>
      </c>
      <c r="DM92" s="228">
        <v>47.79</v>
      </c>
      <c r="DN92" s="228">
        <v>2.04</v>
      </c>
      <c r="DO92" s="228">
        <v>2.04</v>
      </c>
      <c r="DP92" s="228">
        <v>0.52</v>
      </c>
      <c r="DQ92" s="228">
        <v>0.52</v>
      </c>
      <c r="DR92" s="228">
        <v>0</v>
      </c>
      <c r="DS92" s="229">
        <v>0</v>
      </c>
      <c r="DT92" s="228">
        <v>10</v>
      </c>
      <c r="DU92" s="228">
        <v>9</v>
      </c>
      <c r="DV92" s="228">
        <v>0.37</v>
      </c>
      <c r="DW92" s="228">
        <v>0.38</v>
      </c>
      <c r="DX92" s="228">
        <v>-0.01</v>
      </c>
      <c r="DY92" s="229">
        <v>-2.63E-2</v>
      </c>
      <c r="DZ92" s="229">
        <v>0.14660000000000001</v>
      </c>
      <c r="EA92" s="230">
        <v>640058625</v>
      </c>
      <c r="EB92" s="229">
        <v>5.3E-3</v>
      </c>
      <c r="EC92" s="229">
        <v>0.14660000000000001</v>
      </c>
      <c r="ED92" s="228">
        <v>7.0000000000000007E-2</v>
      </c>
      <c r="EE92" s="229">
        <v>7.3000000000000001E-3</v>
      </c>
      <c r="EF92" s="230">
        <v>122236379</v>
      </c>
      <c r="EG92" s="230">
        <v>122343752</v>
      </c>
      <c r="EH92" s="229">
        <v>-8.9999999999999998E-4</v>
      </c>
      <c r="EI92" s="229">
        <v>0.29570000000000002</v>
      </c>
      <c r="EJ92" s="231">
        <v>84575.77</v>
      </c>
      <c r="EK92" s="231">
        <v>28515.58</v>
      </c>
      <c r="EL92" s="231">
        <v>100314.28</v>
      </c>
      <c r="EM92" s="231">
        <v>7268</v>
      </c>
      <c r="EN92" s="231">
        <v>213405.63</v>
      </c>
      <c r="EO92" s="231">
        <v>198099.1</v>
      </c>
      <c r="EP92" s="231">
        <v>15306.53</v>
      </c>
      <c r="EQ92" s="229">
        <v>7.7299999999999994E-2</v>
      </c>
      <c r="ER92" s="231">
        <v>159549</v>
      </c>
      <c r="ES92" s="231">
        <v>70727</v>
      </c>
      <c r="ET92" s="231">
        <v>625395</v>
      </c>
      <c r="EU92" s="231">
        <v>12096038468</v>
      </c>
      <c r="EV92" s="231">
        <v>855671</v>
      </c>
      <c r="EW92" s="231">
        <v>854956</v>
      </c>
      <c r="EX92" s="228">
        <v>715</v>
      </c>
      <c r="EY92" s="229">
        <v>8.0000000000000004E-4</v>
      </c>
      <c r="EZ92" s="229">
        <v>0.73299999999999998</v>
      </c>
      <c r="FA92" s="227" t="s">
        <v>566</v>
      </c>
      <c r="FB92" s="161">
        <f t="shared" si="1"/>
        <v>969486900</v>
      </c>
    </row>
    <row r="93" spans="1:158" ht="17.25" thickBot="1" x14ac:dyDescent="0.3">
      <c r="A93" s="226">
        <v>46132</v>
      </c>
      <c r="B93" s="227" t="s">
        <v>172</v>
      </c>
      <c r="C93" s="227" t="s">
        <v>235</v>
      </c>
      <c r="D93" s="228">
        <v>9275</v>
      </c>
      <c r="E93" s="228">
        <v>67.599999999999994</v>
      </c>
      <c r="F93" s="228">
        <v>68.55</v>
      </c>
      <c r="G93" s="228">
        <v>-0.95</v>
      </c>
      <c r="H93" s="229">
        <v>-1.3899999999999999E-2</v>
      </c>
      <c r="I93" s="228">
        <v>67.5</v>
      </c>
      <c r="J93" s="228">
        <v>68.53</v>
      </c>
      <c r="K93" s="228">
        <v>-1.03</v>
      </c>
      <c r="L93" s="229">
        <v>-1.4999999999999999E-2</v>
      </c>
      <c r="M93" s="228">
        <v>67.599999999999994</v>
      </c>
      <c r="N93" s="228">
        <v>68.55</v>
      </c>
      <c r="O93" s="228">
        <v>-0.95</v>
      </c>
      <c r="P93" s="229">
        <v>-1.3899999999999999E-2</v>
      </c>
      <c r="Q93" s="228">
        <v>67.989999999999995</v>
      </c>
      <c r="R93" s="228">
        <v>68.94</v>
      </c>
      <c r="S93" s="228">
        <v>-0.95</v>
      </c>
      <c r="T93" s="229">
        <v>-1.38E-2</v>
      </c>
      <c r="U93" s="228">
        <v>68.28</v>
      </c>
      <c r="V93" s="228">
        <v>69.34</v>
      </c>
      <c r="W93" s="228">
        <v>-1.06</v>
      </c>
      <c r="X93" s="229">
        <v>-1.5299999999999999E-2</v>
      </c>
      <c r="Y93" s="228">
        <v>0.1</v>
      </c>
      <c r="Z93" s="228">
        <v>0.02</v>
      </c>
      <c r="AA93" s="228">
        <v>0.08</v>
      </c>
      <c r="AB93" s="229">
        <v>1.5E-3</v>
      </c>
      <c r="AC93" s="228">
        <v>0.1</v>
      </c>
      <c r="AD93" s="228">
        <v>0.02</v>
      </c>
      <c r="AE93" s="228">
        <v>0.08</v>
      </c>
      <c r="AF93" s="229">
        <v>1.5E-3</v>
      </c>
      <c r="AG93" s="228">
        <v>0.49</v>
      </c>
      <c r="AH93" s="228">
        <v>0.41</v>
      </c>
      <c r="AI93" s="228">
        <v>0.08</v>
      </c>
      <c r="AJ93" s="229">
        <v>7.3000000000000001E-3</v>
      </c>
      <c r="AK93" s="228">
        <v>0.78</v>
      </c>
      <c r="AL93" s="228">
        <v>0.81</v>
      </c>
      <c r="AM93" s="228">
        <v>-0.03</v>
      </c>
      <c r="AN93" s="229">
        <v>1.1599999999999999E-2</v>
      </c>
      <c r="AO93" s="228">
        <v>67.900000000000006</v>
      </c>
      <c r="AP93" s="228">
        <v>68.2</v>
      </c>
      <c r="AQ93" s="228">
        <v>0</v>
      </c>
      <c r="AR93" s="230">
        <v>90143725</v>
      </c>
      <c r="AS93" s="230">
        <v>70221025</v>
      </c>
      <c r="AT93" s="230">
        <v>19922700</v>
      </c>
      <c r="AU93" s="229">
        <v>0.28370000000000001</v>
      </c>
      <c r="AV93" s="230">
        <v>60816175</v>
      </c>
      <c r="AW93" s="230">
        <v>47246850</v>
      </c>
      <c r="AX93" s="230">
        <v>13569325</v>
      </c>
      <c r="AY93" s="229">
        <v>0.28720000000000001</v>
      </c>
      <c r="AZ93" s="230">
        <v>27825000</v>
      </c>
      <c r="BA93" s="230">
        <v>9200800</v>
      </c>
      <c r="BB93" s="230">
        <v>18624200</v>
      </c>
      <c r="BC93" s="229">
        <v>2.0242</v>
      </c>
      <c r="BD93" s="230">
        <v>1502550</v>
      </c>
      <c r="BE93" s="230">
        <v>13773375</v>
      </c>
      <c r="BF93" s="230">
        <v>-12270825</v>
      </c>
      <c r="BG93" s="229">
        <v>-0.89090000000000003</v>
      </c>
      <c r="BH93" s="230">
        <v>60788350</v>
      </c>
      <c r="BI93" s="230">
        <v>77372050</v>
      </c>
      <c r="BJ93" s="230">
        <v>-16583700</v>
      </c>
      <c r="BK93" s="229">
        <v>-0.21429999999999999</v>
      </c>
      <c r="BL93" s="230">
        <v>52079125</v>
      </c>
      <c r="BM93" s="230">
        <v>68041400</v>
      </c>
      <c r="BN93" s="230">
        <v>-15962275</v>
      </c>
      <c r="BO93" s="229">
        <v>-0.2346</v>
      </c>
      <c r="BP93" s="230">
        <v>203011200</v>
      </c>
      <c r="BQ93" s="230">
        <v>215634475</v>
      </c>
      <c r="BR93" s="230">
        <v>-12623275</v>
      </c>
      <c r="BS93" s="229">
        <v>-5.8500000000000003E-2</v>
      </c>
      <c r="BT93" s="230">
        <v>16871691</v>
      </c>
      <c r="BU93" s="230">
        <v>17556404</v>
      </c>
      <c r="BV93" s="230">
        <v>-684713</v>
      </c>
      <c r="BW93" s="229">
        <v>-3.9E-2</v>
      </c>
      <c r="BX93" s="230">
        <v>407024100</v>
      </c>
      <c r="BY93" s="230">
        <v>407478575</v>
      </c>
      <c r="BZ93" s="230">
        <v>-454475</v>
      </c>
      <c r="CA93" s="229">
        <v>-1.1000000000000001E-3</v>
      </c>
      <c r="CB93" s="230">
        <v>311797675</v>
      </c>
      <c r="CC93" s="230">
        <v>335894125</v>
      </c>
      <c r="CD93" s="230">
        <v>-24096450</v>
      </c>
      <c r="CE93" s="229">
        <v>-7.17E-2</v>
      </c>
      <c r="CF93" s="230">
        <v>68588625</v>
      </c>
      <c r="CG93" s="230">
        <v>45484600</v>
      </c>
      <c r="CH93" s="230">
        <v>23104025</v>
      </c>
      <c r="CI93" s="229">
        <v>0.50800000000000001</v>
      </c>
      <c r="CJ93" s="230">
        <v>26637800</v>
      </c>
      <c r="CK93" s="230">
        <v>26099850</v>
      </c>
      <c r="CL93" s="230">
        <v>537950</v>
      </c>
      <c r="CM93" s="229">
        <v>2.06E-2</v>
      </c>
      <c r="CN93" s="230">
        <v>126344050</v>
      </c>
      <c r="CO93" s="230">
        <v>126075075</v>
      </c>
      <c r="CP93" s="230">
        <v>268975</v>
      </c>
      <c r="CQ93" s="229">
        <v>2.0999999999999999E-3</v>
      </c>
      <c r="CR93" s="230">
        <v>114787400</v>
      </c>
      <c r="CS93" s="230">
        <v>117449325</v>
      </c>
      <c r="CT93" s="230">
        <v>-2661925</v>
      </c>
      <c r="CU93" s="229">
        <v>-2.2700000000000001E-2</v>
      </c>
      <c r="CV93" s="230">
        <v>648155550</v>
      </c>
      <c r="CW93" s="230">
        <v>651002975</v>
      </c>
      <c r="CX93" s="230">
        <v>-2847425</v>
      </c>
      <c r="CY93" s="229">
        <v>-4.4000000000000003E-3</v>
      </c>
      <c r="CZ93" s="228">
        <v>48.98</v>
      </c>
      <c r="DA93" s="228">
        <v>42.45</v>
      </c>
      <c r="DB93" s="228">
        <v>6.53</v>
      </c>
      <c r="DC93" s="228">
        <v>6.53</v>
      </c>
      <c r="DD93" s="228">
        <v>41.52</v>
      </c>
      <c r="DE93" s="228">
        <v>41.58</v>
      </c>
      <c r="DF93" s="228">
        <v>7.46</v>
      </c>
      <c r="DG93" s="228">
        <v>-0.06</v>
      </c>
      <c r="DH93" s="228">
        <v>45.4</v>
      </c>
      <c r="DI93" s="228">
        <v>39.07</v>
      </c>
      <c r="DJ93" s="228">
        <v>6.33</v>
      </c>
      <c r="DK93" s="228">
        <v>6.33</v>
      </c>
      <c r="DL93" s="228">
        <v>53.16</v>
      </c>
      <c r="DM93" s="228">
        <v>46.29</v>
      </c>
      <c r="DN93" s="228">
        <v>6.87</v>
      </c>
      <c r="DO93" s="228">
        <v>6.87</v>
      </c>
      <c r="DP93" s="228">
        <v>0.91</v>
      </c>
      <c r="DQ93" s="228">
        <v>0.93</v>
      </c>
      <c r="DR93" s="228">
        <v>-0.02</v>
      </c>
      <c r="DS93" s="229">
        <v>-2.1499999999999998E-2</v>
      </c>
      <c r="DT93" s="228">
        <v>65</v>
      </c>
      <c r="DU93" s="228">
        <v>60</v>
      </c>
      <c r="DV93" s="228">
        <v>0.86</v>
      </c>
      <c r="DW93" s="228">
        <v>0.88</v>
      </c>
      <c r="DX93" s="228">
        <v>-0.02</v>
      </c>
      <c r="DY93" s="229">
        <v>-2.2700000000000001E-2</v>
      </c>
      <c r="DZ93" s="229">
        <v>0.23400000000000001</v>
      </c>
      <c r="EA93" s="230">
        <v>71584450</v>
      </c>
      <c r="EB93" s="229">
        <v>5.7999999999999996E-3</v>
      </c>
      <c r="EC93" s="229">
        <v>0.23400000000000001</v>
      </c>
      <c r="ED93" s="228">
        <v>0.3</v>
      </c>
      <c r="EE93" s="229">
        <v>4.4000000000000003E-3</v>
      </c>
      <c r="EF93" s="230">
        <v>6652042</v>
      </c>
      <c r="EG93" s="230">
        <v>6983103</v>
      </c>
      <c r="EH93" s="229">
        <v>-4.7399999999999998E-2</v>
      </c>
      <c r="EI93" s="229">
        <v>0.39429999999999998</v>
      </c>
      <c r="EJ93" s="231">
        <v>43493.24</v>
      </c>
      <c r="EK93" s="231">
        <v>33461.15</v>
      </c>
      <c r="EL93" s="231">
        <v>61300.37</v>
      </c>
      <c r="EM93" s="231">
        <v>6593</v>
      </c>
      <c r="EN93" s="231">
        <v>138254.76</v>
      </c>
      <c r="EO93" s="231">
        <v>148391.41</v>
      </c>
      <c r="EP93" s="231">
        <v>-10136.65</v>
      </c>
      <c r="EQ93" s="229">
        <v>-6.83E-2</v>
      </c>
      <c r="ER93" s="231">
        <v>86769</v>
      </c>
      <c r="ES93" s="231">
        <v>73385</v>
      </c>
      <c r="ET93" s="231">
        <v>275597</v>
      </c>
      <c r="EU93" s="231">
        <v>1101871266</v>
      </c>
      <c r="EV93" s="231">
        <v>435752</v>
      </c>
      <c r="EW93" s="231">
        <v>441195</v>
      </c>
      <c r="EX93" s="231">
        <v>-5443</v>
      </c>
      <c r="EY93" s="229">
        <v>-1.23E-2</v>
      </c>
      <c r="EZ93" s="229">
        <v>0.58819999999999995</v>
      </c>
      <c r="FA93" s="227" t="s">
        <v>567</v>
      </c>
      <c r="FB93" s="161">
        <f t="shared" si="1"/>
        <v>95226425</v>
      </c>
    </row>
    <row r="94" spans="1:158" ht="17.25" thickBot="1" x14ac:dyDescent="0.3">
      <c r="A94" s="226">
        <v>46132</v>
      </c>
      <c r="B94" s="227" t="s">
        <v>161</v>
      </c>
      <c r="C94" s="227" t="s">
        <v>514</v>
      </c>
      <c r="D94" s="228">
        <v>3750</v>
      </c>
      <c r="E94" s="228">
        <v>124.98</v>
      </c>
      <c r="F94" s="228">
        <v>135.82</v>
      </c>
      <c r="G94" s="228">
        <v>-10.84</v>
      </c>
      <c r="H94" s="229">
        <v>-7.9799999999999996E-2</v>
      </c>
      <c r="I94" s="228">
        <v>124.99</v>
      </c>
      <c r="J94" s="228">
        <v>135.81</v>
      </c>
      <c r="K94" s="228">
        <v>-10.82</v>
      </c>
      <c r="L94" s="229">
        <v>-7.9699999999999993E-2</v>
      </c>
      <c r="M94" s="228">
        <v>124.98</v>
      </c>
      <c r="N94" s="228">
        <v>135.82</v>
      </c>
      <c r="O94" s="228">
        <v>-10.84</v>
      </c>
      <c r="P94" s="229">
        <v>-7.9799999999999996E-2</v>
      </c>
      <c r="Q94" s="228">
        <v>124.79</v>
      </c>
      <c r="R94" s="228">
        <v>135.72</v>
      </c>
      <c r="S94" s="228">
        <v>-10.93</v>
      </c>
      <c r="T94" s="229">
        <v>-8.0500000000000002E-2</v>
      </c>
      <c r="U94" s="228">
        <v>124.93</v>
      </c>
      <c r="V94" s="228">
        <v>135.87</v>
      </c>
      <c r="W94" s="228">
        <v>-10.94</v>
      </c>
      <c r="X94" s="229">
        <v>-8.0500000000000002E-2</v>
      </c>
      <c r="Y94" s="228">
        <v>-0.01</v>
      </c>
      <c r="Z94" s="228">
        <v>0.01</v>
      </c>
      <c r="AA94" s="228">
        <v>-0.02</v>
      </c>
      <c r="AB94" s="229">
        <v>-1E-4</v>
      </c>
      <c r="AC94" s="228">
        <v>-0.01</v>
      </c>
      <c r="AD94" s="228">
        <v>0.01</v>
      </c>
      <c r="AE94" s="228">
        <v>-0.02</v>
      </c>
      <c r="AF94" s="229">
        <v>-1E-4</v>
      </c>
      <c r="AG94" s="228">
        <v>-0.2</v>
      </c>
      <c r="AH94" s="228">
        <v>-0.09</v>
      </c>
      <c r="AI94" s="228">
        <v>-0.11</v>
      </c>
      <c r="AJ94" s="229">
        <v>-1.6000000000000001E-3</v>
      </c>
      <c r="AK94" s="228">
        <v>-0.06</v>
      </c>
      <c r="AL94" s="228">
        <v>0.06</v>
      </c>
      <c r="AM94" s="228">
        <v>-0.12</v>
      </c>
      <c r="AN94" s="229">
        <v>-5.0000000000000001E-4</v>
      </c>
      <c r="AO94" s="228">
        <v>126.71</v>
      </c>
      <c r="AP94" s="228">
        <v>126.37</v>
      </c>
      <c r="AQ94" s="228">
        <v>0</v>
      </c>
      <c r="AR94" s="230">
        <v>51423750</v>
      </c>
      <c r="AS94" s="230">
        <v>8610000</v>
      </c>
      <c r="AT94" s="230">
        <v>42813750</v>
      </c>
      <c r="AU94" s="229">
        <v>4.9725999999999999</v>
      </c>
      <c r="AV94" s="230">
        <v>38651250</v>
      </c>
      <c r="AW94" s="230">
        <v>6390000</v>
      </c>
      <c r="AX94" s="230">
        <v>32261250</v>
      </c>
      <c r="AY94" s="229">
        <v>5.0487000000000002</v>
      </c>
      <c r="AZ94" s="230">
        <v>11115000</v>
      </c>
      <c r="BA94" s="230">
        <v>1852500</v>
      </c>
      <c r="BB94" s="230">
        <v>9262500</v>
      </c>
      <c r="BC94" s="229">
        <v>5</v>
      </c>
      <c r="BD94" s="230">
        <v>1657500</v>
      </c>
      <c r="BE94" s="230">
        <v>367500</v>
      </c>
      <c r="BF94" s="230">
        <v>1290000</v>
      </c>
      <c r="BG94" s="229">
        <v>3.5102000000000002</v>
      </c>
      <c r="BH94" s="230">
        <v>116591250</v>
      </c>
      <c r="BI94" s="230">
        <v>39652500</v>
      </c>
      <c r="BJ94" s="230">
        <v>76938750</v>
      </c>
      <c r="BK94" s="229">
        <v>1.9402999999999999</v>
      </c>
      <c r="BL94" s="230">
        <v>124053750</v>
      </c>
      <c r="BM94" s="230">
        <v>17415000</v>
      </c>
      <c r="BN94" s="230">
        <v>106638750</v>
      </c>
      <c r="BO94" s="229">
        <v>6.1234000000000002</v>
      </c>
      <c r="BP94" s="230">
        <v>292068750</v>
      </c>
      <c r="BQ94" s="230">
        <v>65677500</v>
      </c>
      <c r="BR94" s="230">
        <v>226391250</v>
      </c>
      <c r="BS94" s="229">
        <v>3.4470000000000001</v>
      </c>
      <c r="BT94" s="230">
        <v>38948416</v>
      </c>
      <c r="BU94" s="230">
        <v>5458012</v>
      </c>
      <c r="BV94" s="230">
        <v>33490404</v>
      </c>
      <c r="BW94" s="229">
        <v>6.1360000000000001</v>
      </c>
      <c r="BX94" s="230">
        <v>81033750</v>
      </c>
      <c r="BY94" s="230">
        <v>70672500</v>
      </c>
      <c r="BZ94" s="230">
        <v>10361250</v>
      </c>
      <c r="CA94" s="229">
        <v>0.14660000000000001</v>
      </c>
      <c r="CB94" s="230">
        <v>64440000</v>
      </c>
      <c r="CC94" s="230">
        <v>61901250</v>
      </c>
      <c r="CD94" s="230">
        <v>2538750</v>
      </c>
      <c r="CE94" s="229">
        <v>4.1000000000000002E-2</v>
      </c>
      <c r="CF94" s="230">
        <v>14505000</v>
      </c>
      <c r="CG94" s="230">
        <v>7770000</v>
      </c>
      <c r="CH94" s="230">
        <v>6735000</v>
      </c>
      <c r="CI94" s="229">
        <v>0.86680000000000001</v>
      </c>
      <c r="CJ94" s="230">
        <v>2088750</v>
      </c>
      <c r="CK94" s="230">
        <v>1001250</v>
      </c>
      <c r="CL94" s="230">
        <v>1087500</v>
      </c>
      <c r="CM94" s="229">
        <v>1.0861000000000001</v>
      </c>
      <c r="CN94" s="230">
        <v>53426250</v>
      </c>
      <c r="CO94" s="230">
        <v>35103750</v>
      </c>
      <c r="CP94" s="230">
        <v>18322500</v>
      </c>
      <c r="CQ94" s="229">
        <v>0.52200000000000002</v>
      </c>
      <c r="CR94" s="230">
        <v>42176250</v>
      </c>
      <c r="CS94" s="230">
        <v>32677500</v>
      </c>
      <c r="CT94" s="230">
        <v>9498750</v>
      </c>
      <c r="CU94" s="229">
        <v>0.29070000000000001</v>
      </c>
      <c r="CV94" s="230">
        <v>176636250</v>
      </c>
      <c r="CW94" s="230">
        <v>138453750</v>
      </c>
      <c r="CX94" s="230">
        <v>38182500</v>
      </c>
      <c r="CY94" s="229">
        <v>0.27579999999999999</v>
      </c>
      <c r="CZ94" s="228">
        <v>47.28</v>
      </c>
      <c r="DA94" s="228">
        <v>34.590000000000003</v>
      </c>
      <c r="DB94" s="228">
        <v>12.69</v>
      </c>
      <c r="DC94" s="228">
        <v>12.69</v>
      </c>
      <c r="DD94" s="228">
        <v>52.72</v>
      </c>
      <c r="DE94" s="228">
        <v>51.64</v>
      </c>
      <c r="DF94" s="228">
        <v>-5.44</v>
      </c>
      <c r="DG94" s="228">
        <v>1.08</v>
      </c>
      <c r="DH94" s="228">
        <v>46.88</v>
      </c>
      <c r="DI94" s="228">
        <v>33.21</v>
      </c>
      <c r="DJ94" s="228">
        <v>13.67</v>
      </c>
      <c r="DK94" s="228">
        <v>13.67</v>
      </c>
      <c r="DL94" s="228">
        <v>47.65</v>
      </c>
      <c r="DM94" s="228">
        <v>37.75</v>
      </c>
      <c r="DN94" s="228">
        <v>9.9</v>
      </c>
      <c r="DO94" s="228">
        <v>9.9</v>
      </c>
      <c r="DP94" s="228">
        <v>0.79</v>
      </c>
      <c r="DQ94" s="228">
        <v>0.93</v>
      </c>
      <c r="DR94" s="228">
        <v>-0.14000000000000001</v>
      </c>
      <c r="DS94" s="229">
        <v>-0.15049999999999999</v>
      </c>
      <c r="DT94" s="228">
        <v>130</v>
      </c>
      <c r="DU94" s="228">
        <v>125</v>
      </c>
      <c r="DV94" s="228">
        <v>1.06</v>
      </c>
      <c r="DW94" s="228">
        <v>0.44</v>
      </c>
      <c r="DX94" s="228">
        <v>0.62</v>
      </c>
      <c r="DY94" s="229">
        <v>1.4091</v>
      </c>
      <c r="DZ94" s="229">
        <v>0.20480000000000001</v>
      </c>
      <c r="EA94" s="230">
        <v>8771250</v>
      </c>
      <c r="EB94" s="229">
        <v>-1.5E-3</v>
      </c>
      <c r="EC94" s="229">
        <v>0.20480000000000001</v>
      </c>
      <c r="ED94" s="228">
        <v>-0.34</v>
      </c>
      <c r="EE94" s="229">
        <v>-2.7000000000000001E-3</v>
      </c>
      <c r="EF94" s="230">
        <v>15866025</v>
      </c>
      <c r="EG94" s="230">
        <v>2505152</v>
      </c>
      <c r="EH94" s="229">
        <v>5.3334000000000001</v>
      </c>
      <c r="EI94" s="229">
        <v>0.40739999999999998</v>
      </c>
      <c r="EJ94" s="231">
        <v>156825.54</v>
      </c>
      <c r="EK94" s="231">
        <v>157366.21</v>
      </c>
      <c r="EL94" s="231">
        <v>65117.68</v>
      </c>
      <c r="EM94" s="231">
        <v>2101</v>
      </c>
      <c r="EN94" s="231">
        <v>379309.43</v>
      </c>
      <c r="EO94" s="231">
        <v>90744.55</v>
      </c>
      <c r="EP94" s="231">
        <v>288564.88</v>
      </c>
      <c r="EQ94" s="229">
        <v>3.18</v>
      </c>
      <c r="ER94" s="231">
        <v>70412</v>
      </c>
      <c r="ES94" s="231">
        <v>52774</v>
      </c>
      <c r="ET94" s="231">
        <v>101247</v>
      </c>
      <c r="EU94" s="231">
        <v>133395043</v>
      </c>
      <c r="EV94" s="231">
        <v>224433</v>
      </c>
      <c r="EW94" s="231">
        <v>183710</v>
      </c>
      <c r="EX94" s="231">
        <v>40723</v>
      </c>
      <c r="EY94" s="229">
        <v>0.22170000000000001</v>
      </c>
      <c r="EZ94" s="229">
        <v>1.3242</v>
      </c>
      <c r="FA94" s="227" t="s">
        <v>566</v>
      </c>
      <c r="FB94" s="161">
        <f t="shared" si="1"/>
        <v>16593750</v>
      </c>
    </row>
    <row r="95" spans="1:158" ht="17.25" thickBot="1" x14ac:dyDescent="0.3">
      <c r="A95" s="226">
        <v>46132</v>
      </c>
      <c r="B95" s="227" t="s">
        <v>206</v>
      </c>
      <c r="C95" s="227" t="s">
        <v>501</v>
      </c>
      <c r="D95" s="228">
        <v>1000</v>
      </c>
      <c r="E95" s="228">
        <v>657.95</v>
      </c>
      <c r="F95" s="228">
        <v>659.55</v>
      </c>
      <c r="G95" s="228">
        <v>-1.6</v>
      </c>
      <c r="H95" s="229">
        <v>-2.3999999999999998E-3</v>
      </c>
      <c r="I95" s="228">
        <v>659.5</v>
      </c>
      <c r="J95" s="228">
        <v>659.3</v>
      </c>
      <c r="K95" s="228">
        <v>0.2</v>
      </c>
      <c r="L95" s="229">
        <v>2.9999999999999997E-4</v>
      </c>
      <c r="M95" s="228">
        <v>657.95</v>
      </c>
      <c r="N95" s="228">
        <v>659.55</v>
      </c>
      <c r="O95" s="228">
        <v>-1.6</v>
      </c>
      <c r="P95" s="229">
        <v>-2.3999999999999998E-3</v>
      </c>
      <c r="Q95" s="228">
        <v>660.15</v>
      </c>
      <c r="R95" s="228">
        <v>663.05</v>
      </c>
      <c r="S95" s="228">
        <v>-2.9</v>
      </c>
      <c r="T95" s="229">
        <v>-4.4000000000000003E-3</v>
      </c>
      <c r="U95" s="228">
        <v>663.35</v>
      </c>
      <c r="V95" s="228">
        <v>667.3</v>
      </c>
      <c r="W95" s="228">
        <v>-3.95</v>
      </c>
      <c r="X95" s="229">
        <v>-5.8999999999999999E-3</v>
      </c>
      <c r="Y95" s="228">
        <v>-1.55</v>
      </c>
      <c r="Z95" s="228">
        <v>0.25</v>
      </c>
      <c r="AA95" s="228">
        <v>-1.8</v>
      </c>
      <c r="AB95" s="229">
        <v>-2.3999999999999998E-3</v>
      </c>
      <c r="AC95" s="228">
        <v>-1.55</v>
      </c>
      <c r="AD95" s="228">
        <v>0.25</v>
      </c>
      <c r="AE95" s="228">
        <v>-1.8</v>
      </c>
      <c r="AF95" s="229">
        <v>-2.3999999999999998E-3</v>
      </c>
      <c r="AG95" s="228">
        <v>0.65</v>
      </c>
      <c r="AH95" s="228">
        <v>3.75</v>
      </c>
      <c r="AI95" s="228">
        <v>-3.1</v>
      </c>
      <c r="AJ95" s="229">
        <v>1E-3</v>
      </c>
      <c r="AK95" s="228">
        <v>3.85</v>
      </c>
      <c r="AL95" s="228">
        <v>8</v>
      </c>
      <c r="AM95" s="228">
        <v>-4.1500000000000004</v>
      </c>
      <c r="AN95" s="229">
        <v>5.7999999999999996E-3</v>
      </c>
      <c r="AO95" s="228">
        <v>660.32</v>
      </c>
      <c r="AP95" s="228">
        <v>662.91</v>
      </c>
      <c r="AQ95" s="228">
        <v>0</v>
      </c>
      <c r="AR95" s="230">
        <v>3369000</v>
      </c>
      <c r="AS95" s="230">
        <v>6223000</v>
      </c>
      <c r="AT95" s="230">
        <v>-2854000</v>
      </c>
      <c r="AU95" s="229">
        <v>-0.45860000000000001</v>
      </c>
      <c r="AV95" s="230">
        <v>2918000</v>
      </c>
      <c r="AW95" s="230">
        <v>4505000</v>
      </c>
      <c r="AX95" s="230">
        <v>-1587000</v>
      </c>
      <c r="AY95" s="229">
        <v>-0.3523</v>
      </c>
      <c r="AZ95" s="230">
        <v>391000</v>
      </c>
      <c r="BA95" s="230">
        <v>291000</v>
      </c>
      <c r="BB95" s="230">
        <v>100000</v>
      </c>
      <c r="BC95" s="229">
        <v>0.34360000000000002</v>
      </c>
      <c r="BD95" s="230">
        <v>60000</v>
      </c>
      <c r="BE95" s="230">
        <v>1427000</v>
      </c>
      <c r="BF95" s="230">
        <v>-1367000</v>
      </c>
      <c r="BG95" s="229">
        <v>-0.95799999999999996</v>
      </c>
      <c r="BH95" s="230">
        <v>4598000</v>
      </c>
      <c r="BI95" s="230">
        <v>5300000</v>
      </c>
      <c r="BJ95" s="230">
        <v>-702000</v>
      </c>
      <c r="BK95" s="229">
        <v>-0.13250000000000001</v>
      </c>
      <c r="BL95" s="230">
        <v>3371000</v>
      </c>
      <c r="BM95" s="230">
        <v>3603000</v>
      </c>
      <c r="BN95" s="230">
        <v>-232000</v>
      </c>
      <c r="BO95" s="229">
        <v>-6.4399999999999999E-2</v>
      </c>
      <c r="BP95" s="230">
        <v>11338000</v>
      </c>
      <c r="BQ95" s="230">
        <v>15126000</v>
      </c>
      <c r="BR95" s="230">
        <v>-3788000</v>
      </c>
      <c r="BS95" s="229">
        <v>-0.25040000000000001</v>
      </c>
      <c r="BT95" s="230">
        <v>2809856</v>
      </c>
      <c r="BU95" s="230">
        <v>2783985</v>
      </c>
      <c r="BV95" s="230">
        <v>25871</v>
      </c>
      <c r="BW95" s="229">
        <v>9.2999999999999992E-3</v>
      </c>
      <c r="BX95" s="230">
        <v>21784000</v>
      </c>
      <c r="BY95" s="230">
        <v>22153000</v>
      </c>
      <c r="BZ95" s="230">
        <v>-369000</v>
      </c>
      <c r="CA95" s="229">
        <v>-1.67E-2</v>
      </c>
      <c r="CB95" s="230">
        <v>19398000</v>
      </c>
      <c r="CC95" s="230">
        <v>19927000</v>
      </c>
      <c r="CD95" s="230">
        <v>-529000</v>
      </c>
      <c r="CE95" s="229">
        <v>-2.6499999999999999E-2</v>
      </c>
      <c r="CF95" s="230">
        <v>1012000</v>
      </c>
      <c r="CG95" s="230">
        <v>852000</v>
      </c>
      <c r="CH95" s="230">
        <v>160000</v>
      </c>
      <c r="CI95" s="229">
        <v>0.18779999999999999</v>
      </c>
      <c r="CJ95" s="230">
        <v>1374000</v>
      </c>
      <c r="CK95" s="230">
        <v>1374000</v>
      </c>
      <c r="CL95" s="228">
        <v>0</v>
      </c>
      <c r="CM95" s="229">
        <v>0</v>
      </c>
      <c r="CN95" s="230">
        <v>6077000</v>
      </c>
      <c r="CO95" s="230">
        <v>6080000</v>
      </c>
      <c r="CP95" s="230">
        <v>-3000</v>
      </c>
      <c r="CQ95" s="229">
        <v>-5.0000000000000001E-4</v>
      </c>
      <c r="CR95" s="230">
        <v>5957000</v>
      </c>
      <c r="CS95" s="230">
        <v>5885000</v>
      </c>
      <c r="CT95" s="230">
        <v>72000</v>
      </c>
      <c r="CU95" s="229">
        <v>1.2200000000000001E-2</v>
      </c>
      <c r="CV95" s="230">
        <v>33818000</v>
      </c>
      <c r="CW95" s="230">
        <v>34118000</v>
      </c>
      <c r="CX95" s="230">
        <v>-300000</v>
      </c>
      <c r="CY95" s="229">
        <v>-8.8000000000000005E-3</v>
      </c>
      <c r="CZ95" s="228">
        <v>33.17</v>
      </c>
      <c r="DA95" s="228">
        <v>30.1</v>
      </c>
      <c r="DB95" s="228">
        <v>3.07</v>
      </c>
      <c r="DC95" s="228">
        <v>3.07</v>
      </c>
      <c r="DD95" s="228">
        <v>35.090000000000003</v>
      </c>
      <c r="DE95" s="228">
        <v>35.18</v>
      </c>
      <c r="DF95" s="228">
        <v>-1.92</v>
      </c>
      <c r="DG95" s="228">
        <v>-0.09</v>
      </c>
      <c r="DH95" s="228">
        <v>30.79</v>
      </c>
      <c r="DI95" s="228">
        <v>28.25</v>
      </c>
      <c r="DJ95" s="228">
        <v>2.54</v>
      </c>
      <c r="DK95" s="228">
        <v>2.54</v>
      </c>
      <c r="DL95" s="228">
        <v>36.42</v>
      </c>
      <c r="DM95" s="228">
        <v>32.840000000000003</v>
      </c>
      <c r="DN95" s="228">
        <v>3.58</v>
      </c>
      <c r="DO95" s="228">
        <v>3.58</v>
      </c>
      <c r="DP95" s="228">
        <v>0.98</v>
      </c>
      <c r="DQ95" s="228">
        <v>0.97</v>
      </c>
      <c r="DR95" s="228">
        <v>0.01</v>
      </c>
      <c r="DS95" s="229">
        <v>1.03E-2</v>
      </c>
      <c r="DT95" s="228">
        <v>700</v>
      </c>
      <c r="DU95" s="228">
        <v>600</v>
      </c>
      <c r="DV95" s="228">
        <v>0.73</v>
      </c>
      <c r="DW95" s="228">
        <v>0.68</v>
      </c>
      <c r="DX95" s="228">
        <v>0.05</v>
      </c>
      <c r="DY95" s="229">
        <v>7.3499999999999996E-2</v>
      </c>
      <c r="DZ95" s="229">
        <v>0.1095</v>
      </c>
      <c r="EA95" s="230">
        <v>2226000</v>
      </c>
      <c r="EB95" s="229">
        <v>3.3E-3</v>
      </c>
      <c r="EC95" s="229">
        <v>0.1095</v>
      </c>
      <c r="ED95" s="228">
        <v>2.59</v>
      </c>
      <c r="EE95" s="229">
        <v>3.8999999999999998E-3</v>
      </c>
      <c r="EF95" s="230">
        <v>1521467</v>
      </c>
      <c r="EG95" s="230">
        <v>1765215</v>
      </c>
      <c r="EH95" s="229">
        <v>-0.1381</v>
      </c>
      <c r="EI95" s="229">
        <v>0.54149999999999998</v>
      </c>
      <c r="EJ95" s="231">
        <v>31506.93</v>
      </c>
      <c r="EK95" s="231">
        <v>21853.52</v>
      </c>
      <c r="EL95" s="231">
        <v>22260.53</v>
      </c>
      <c r="EM95" s="231">
        <v>3816</v>
      </c>
      <c r="EN95" s="231">
        <v>75620.98</v>
      </c>
      <c r="EO95" s="231">
        <v>100267.65</v>
      </c>
      <c r="EP95" s="231">
        <v>-24646.67</v>
      </c>
      <c r="EQ95" s="229">
        <v>-0.24579999999999999</v>
      </c>
      <c r="ER95" s="231">
        <v>39312</v>
      </c>
      <c r="ES95" s="231">
        <v>37366</v>
      </c>
      <c r="ET95" s="231">
        <v>143424</v>
      </c>
      <c r="EU95" s="231">
        <v>123332004</v>
      </c>
      <c r="EV95" s="231">
        <v>220103</v>
      </c>
      <c r="EW95" s="231">
        <v>222288</v>
      </c>
      <c r="EX95" s="231">
        <v>-2185</v>
      </c>
      <c r="EY95" s="229">
        <v>-9.7999999999999997E-3</v>
      </c>
      <c r="EZ95" s="229">
        <v>0.2742</v>
      </c>
      <c r="FA95" s="227" t="s">
        <v>567</v>
      </c>
      <c r="FB95" s="161">
        <f t="shared" si="1"/>
        <v>2386000</v>
      </c>
    </row>
    <row r="96" spans="1:158" ht="17.25" thickBot="1" x14ac:dyDescent="0.3">
      <c r="A96" s="226">
        <v>46132</v>
      </c>
      <c r="B96" s="227" t="s">
        <v>172</v>
      </c>
      <c r="C96" s="227" t="s">
        <v>577</v>
      </c>
      <c r="D96" s="228">
        <v>1000</v>
      </c>
      <c r="E96" s="228">
        <v>931.2</v>
      </c>
      <c r="F96" s="228">
        <v>942.25</v>
      </c>
      <c r="G96" s="228">
        <v>-11.05</v>
      </c>
      <c r="H96" s="229">
        <v>-1.17E-2</v>
      </c>
      <c r="I96" s="228">
        <v>928.3</v>
      </c>
      <c r="J96" s="228">
        <v>939.45</v>
      </c>
      <c r="K96" s="228">
        <v>-11.15</v>
      </c>
      <c r="L96" s="229">
        <v>-1.1900000000000001E-2</v>
      </c>
      <c r="M96" s="228">
        <v>931.2</v>
      </c>
      <c r="N96" s="228">
        <v>942.25</v>
      </c>
      <c r="O96" s="228">
        <v>-11.05</v>
      </c>
      <c r="P96" s="229">
        <v>-1.17E-2</v>
      </c>
      <c r="Q96" s="228">
        <v>933.25</v>
      </c>
      <c r="R96" s="228">
        <v>944.05</v>
      </c>
      <c r="S96" s="228">
        <v>-10.8</v>
      </c>
      <c r="T96" s="229">
        <v>-1.14E-2</v>
      </c>
      <c r="U96" s="228">
        <v>930.45</v>
      </c>
      <c r="V96" s="228">
        <v>941</v>
      </c>
      <c r="W96" s="228">
        <v>-10.55</v>
      </c>
      <c r="X96" s="229">
        <v>-1.12E-2</v>
      </c>
      <c r="Y96" s="228">
        <v>2.9</v>
      </c>
      <c r="Z96" s="228">
        <v>2.8</v>
      </c>
      <c r="AA96" s="228">
        <v>0.1</v>
      </c>
      <c r="AB96" s="229">
        <v>3.0999999999999999E-3</v>
      </c>
      <c r="AC96" s="228">
        <v>2.9</v>
      </c>
      <c r="AD96" s="228">
        <v>2.8</v>
      </c>
      <c r="AE96" s="228">
        <v>0.1</v>
      </c>
      <c r="AF96" s="229">
        <v>3.0999999999999999E-3</v>
      </c>
      <c r="AG96" s="228">
        <v>4.95</v>
      </c>
      <c r="AH96" s="228">
        <v>4.5999999999999996</v>
      </c>
      <c r="AI96" s="228">
        <v>0.35</v>
      </c>
      <c r="AJ96" s="229">
        <v>5.3E-3</v>
      </c>
      <c r="AK96" s="228">
        <v>2.15</v>
      </c>
      <c r="AL96" s="228">
        <v>1.55</v>
      </c>
      <c r="AM96" s="228">
        <v>0.6</v>
      </c>
      <c r="AN96" s="229">
        <v>2.3E-3</v>
      </c>
      <c r="AO96" s="228">
        <v>943.22</v>
      </c>
      <c r="AP96" s="228">
        <v>947.12</v>
      </c>
      <c r="AQ96" s="228">
        <v>0</v>
      </c>
      <c r="AR96" s="230">
        <v>3723000</v>
      </c>
      <c r="AS96" s="230">
        <v>2230000</v>
      </c>
      <c r="AT96" s="230">
        <v>1493000</v>
      </c>
      <c r="AU96" s="229">
        <v>0.66949999999999998</v>
      </c>
      <c r="AV96" s="230">
        <v>3140000</v>
      </c>
      <c r="AW96" s="230">
        <v>2028000</v>
      </c>
      <c r="AX96" s="230">
        <v>1112000</v>
      </c>
      <c r="AY96" s="229">
        <v>0.54830000000000001</v>
      </c>
      <c r="AZ96" s="230">
        <v>537000</v>
      </c>
      <c r="BA96" s="230">
        <v>194000</v>
      </c>
      <c r="BB96" s="230">
        <v>343000</v>
      </c>
      <c r="BC96" s="229">
        <v>1.768</v>
      </c>
      <c r="BD96" s="230">
        <v>46000</v>
      </c>
      <c r="BE96" s="230">
        <v>8000</v>
      </c>
      <c r="BF96" s="230">
        <v>38000</v>
      </c>
      <c r="BG96" s="229">
        <v>4.75</v>
      </c>
      <c r="BH96" s="230">
        <v>9906000</v>
      </c>
      <c r="BI96" s="230">
        <v>5650000</v>
      </c>
      <c r="BJ96" s="230">
        <v>4256000</v>
      </c>
      <c r="BK96" s="229">
        <v>0.75329999999999997</v>
      </c>
      <c r="BL96" s="230">
        <v>3285000</v>
      </c>
      <c r="BM96" s="230">
        <v>1986000</v>
      </c>
      <c r="BN96" s="230">
        <v>1299000</v>
      </c>
      <c r="BO96" s="229">
        <v>0.65410000000000001</v>
      </c>
      <c r="BP96" s="230">
        <v>16914000</v>
      </c>
      <c r="BQ96" s="230">
        <v>9866000</v>
      </c>
      <c r="BR96" s="230">
        <v>7048000</v>
      </c>
      <c r="BS96" s="229">
        <v>0.71440000000000003</v>
      </c>
      <c r="BT96" s="230">
        <v>2601045</v>
      </c>
      <c r="BU96" s="230">
        <v>2255731</v>
      </c>
      <c r="BV96" s="230">
        <v>345314</v>
      </c>
      <c r="BW96" s="229">
        <v>0.15310000000000001</v>
      </c>
      <c r="BX96" s="230">
        <v>10487000</v>
      </c>
      <c r="BY96" s="230">
        <v>9863000</v>
      </c>
      <c r="BZ96" s="230">
        <v>624000</v>
      </c>
      <c r="CA96" s="229">
        <v>6.3299999999999995E-2</v>
      </c>
      <c r="CB96" s="230">
        <v>9793000</v>
      </c>
      <c r="CC96" s="230">
        <v>9370000</v>
      </c>
      <c r="CD96" s="230">
        <v>423000</v>
      </c>
      <c r="CE96" s="229">
        <v>4.5100000000000001E-2</v>
      </c>
      <c r="CF96" s="230">
        <v>611000</v>
      </c>
      <c r="CG96" s="230">
        <v>414000</v>
      </c>
      <c r="CH96" s="230">
        <v>197000</v>
      </c>
      <c r="CI96" s="229">
        <v>0.4758</v>
      </c>
      <c r="CJ96" s="230">
        <v>83000</v>
      </c>
      <c r="CK96" s="230">
        <v>79000</v>
      </c>
      <c r="CL96" s="230">
        <v>4000</v>
      </c>
      <c r="CM96" s="229">
        <v>5.0599999999999999E-2</v>
      </c>
      <c r="CN96" s="230">
        <v>7230000</v>
      </c>
      <c r="CO96" s="230">
        <v>6358000</v>
      </c>
      <c r="CP96" s="230">
        <v>872000</v>
      </c>
      <c r="CQ96" s="229">
        <v>0.13719999999999999</v>
      </c>
      <c r="CR96" s="230">
        <v>3617000</v>
      </c>
      <c r="CS96" s="230">
        <v>3393000</v>
      </c>
      <c r="CT96" s="230">
        <v>224000</v>
      </c>
      <c r="CU96" s="229">
        <v>6.6000000000000003E-2</v>
      </c>
      <c r="CV96" s="230">
        <v>21334000</v>
      </c>
      <c r="CW96" s="230">
        <v>19614000</v>
      </c>
      <c r="CX96" s="230">
        <v>1720000</v>
      </c>
      <c r="CY96" s="229">
        <v>8.77E-2</v>
      </c>
      <c r="CZ96" s="228">
        <v>43.54</v>
      </c>
      <c r="DA96" s="228">
        <v>38.6</v>
      </c>
      <c r="DB96" s="228">
        <v>4.9400000000000004</v>
      </c>
      <c r="DC96" s="228">
        <v>4.9400000000000004</v>
      </c>
      <c r="DD96" s="228">
        <v>41.73</v>
      </c>
      <c r="DE96" s="228">
        <v>41.8</v>
      </c>
      <c r="DF96" s="228">
        <v>1.81</v>
      </c>
      <c r="DG96" s="228">
        <v>-7.0000000000000007E-2</v>
      </c>
      <c r="DH96" s="228">
        <v>43.46</v>
      </c>
      <c r="DI96" s="228">
        <v>38.57</v>
      </c>
      <c r="DJ96" s="228">
        <v>4.8899999999999997</v>
      </c>
      <c r="DK96" s="228">
        <v>4.8899999999999997</v>
      </c>
      <c r="DL96" s="228">
        <v>43.79</v>
      </c>
      <c r="DM96" s="228">
        <v>38.68</v>
      </c>
      <c r="DN96" s="228">
        <v>5.1100000000000003</v>
      </c>
      <c r="DO96" s="228">
        <v>5.1100000000000003</v>
      </c>
      <c r="DP96" s="228">
        <v>0.5</v>
      </c>
      <c r="DQ96" s="228">
        <v>0.53</v>
      </c>
      <c r="DR96" s="228">
        <v>-0.03</v>
      </c>
      <c r="DS96" s="229">
        <v>-5.6599999999999998E-2</v>
      </c>
      <c r="DT96" s="231">
        <v>1000</v>
      </c>
      <c r="DU96" s="228">
        <v>900</v>
      </c>
      <c r="DV96" s="228">
        <v>0.33</v>
      </c>
      <c r="DW96" s="228">
        <v>0.35</v>
      </c>
      <c r="DX96" s="228">
        <v>-0.02</v>
      </c>
      <c r="DY96" s="229">
        <v>-5.7099999999999998E-2</v>
      </c>
      <c r="DZ96" s="229">
        <v>6.6199999999999995E-2</v>
      </c>
      <c r="EA96" s="230">
        <v>493000</v>
      </c>
      <c r="EB96" s="229">
        <v>2.2000000000000001E-3</v>
      </c>
      <c r="EC96" s="229">
        <v>6.6199999999999995E-2</v>
      </c>
      <c r="ED96" s="228">
        <v>3.9</v>
      </c>
      <c r="EE96" s="229">
        <v>4.1000000000000003E-3</v>
      </c>
      <c r="EF96" s="230">
        <v>1028219</v>
      </c>
      <c r="EG96" s="230">
        <v>1020605</v>
      </c>
      <c r="EH96" s="229">
        <v>7.4999999999999997E-3</v>
      </c>
      <c r="EI96" s="229">
        <v>0.39529999999999998</v>
      </c>
      <c r="EJ96" s="231">
        <v>97941.57</v>
      </c>
      <c r="EK96" s="231">
        <v>30788.65</v>
      </c>
      <c r="EL96" s="231">
        <v>35137.86</v>
      </c>
      <c r="EM96" s="231">
        <v>3427</v>
      </c>
      <c r="EN96" s="231">
        <v>163868.07999999999</v>
      </c>
      <c r="EO96" s="231">
        <v>96026.45</v>
      </c>
      <c r="EP96" s="231">
        <v>67841.63</v>
      </c>
      <c r="EQ96" s="229">
        <v>0.70650000000000002</v>
      </c>
      <c r="ER96" s="231">
        <v>70757</v>
      </c>
      <c r="ES96" s="231">
        <v>32428</v>
      </c>
      <c r="ET96" s="231">
        <v>97667</v>
      </c>
      <c r="EU96" s="231">
        <v>52862157</v>
      </c>
      <c r="EV96" s="231">
        <v>200851</v>
      </c>
      <c r="EW96" s="231">
        <v>185634</v>
      </c>
      <c r="EX96" s="231">
        <v>15217</v>
      </c>
      <c r="EY96" s="229">
        <v>8.2000000000000003E-2</v>
      </c>
      <c r="EZ96" s="229">
        <v>0.40360000000000001</v>
      </c>
      <c r="FA96" s="227" t="s">
        <v>566</v>
      </c>
      <c r="FB96" s="161">
        <f t="shared" si="1"/>
        <v>694000</v>
      </c>
    </row>
    <row r="97" spans="1:158" ht="17.25" thickBot="1" x14ac:dyDescent="0.3">
      <c r="A97" s="226">
        <v>46132</v>
      </c>
      <c r="B97" s="227" t="s">
        <v>181</v>
      </c>
      <c r="C97" s="227" t="s">
        <v>686</v>
      </c>
      <c r="D97" s="228">
        <v>1</v>
      </c>
      <c r="E97" s="228">
        <v>18.79</v>
      </c>
      <c r="F97" s="228">
        <v>17.2</v>
      </c>
      <c r="G97" s="228">
        <v>1.59</v>
      </c>
      <c r="H97" s="229">
        <v>9.2399999999999996E-2</v>
      </c>
      <c r="I97" s="228">
        <v>18.79</v>
      </c>
      <c r="J97" s="228">
        <v>17.2</v>
      </c>
      <c r="K97" s="228">
        <v>1.59</v>
      </c>
      <c r="L97" s="229">
        <v>9.2399999999999996E-2</v>
      </c>
      <c r="M97" s="228">
        <v>0</v>
      </c>
      <c r="N97" s="228">
        <v>0</v>
      </c>
      <c r="O97" s="228">
        <v>0</v>
      </c>
      <c r="P97" s="229">
        <v>0</v>
      </c>
      <c r="Q97" s="228">
        <v>0</v>
      </c>
      <c r="R97" s="228">
        <v>0</v>
      </c>
      <c r="S97" s="228">
        <v>0</v>
      </c>
      <c r="T97" s="229">
        <v>0</v>
      </c>
      <c r="U97" s="228">
        <v>0</v>
      </c>
      <c r="V97" s="228">
        <v>0</v>
      </c>
      <c r="W97" s="228">
        <v>0</v>
      </c>
      <c r="X97" s="229">
        <v>0</v>
      </c>
      <c r="Y97" s="228">
        <v>0</v>
      </c>
      <c r="Z97" s="228">
        <v>0</v>
      </c>
      <c r="AA97" s="228">
        <v>0</v>
      </c>
      <c r="AB97" s="229">
        <v>0</v>
      </c>
      <c r="AC97" s="228">
        <v>0</v>
      </c>
      <c r="AD97" s="228">
        <v>0</v>
      </c>
      <c r="AE97" s="228">
        <v>0</v>
      </c>
      <c r="AF97" s="229">
        <v>0</v>
      </c>
      <c r="AG97" s="228">
        <v>0</v>
      </c>
      <c r="AH97" s="228">
        <v>0</v>
      </c>
      <c r="AI97" s="228">
        <v>0</v>
      </c>
      <c r="AJ97" s="229">
        <v>0</v>
      </c>
      <c r="AK97" s="228">
        <v>0</v>
      </c>
      <c r="AL97" s="228">
        <v>0</v>
      </c>
      <c r="AM97" s="228">
        <v>0</v>
      </c>
      <c r="AN97" s="229">
        <v>0</v>
      </c>
      <c r="AO97" s="228">
        <v>0</v>
      </c>
      <c r="AP97" s="228">
        <v>0</v>
      </c>
      <c r="AQ97" s="228">
        <v>0</v>
      </c>
      <c r="AR97" s="228">
        <v>0</v>
      </c>
      <c r="AS97" s="228">
        <v>0</v>
      </c>
      <c r="AT97" s="228">
        <v>0</v>
      </c>
      <c r="AU97" s="229">
        <v>0</v>
      </c>
      <c r="AV97" s="228">
        <v>0</v>
      </c>
      <c r="AW97" s="228">
        <v>0</v>
      </c>
      <c r="AX97" s="228">
        <v>0</v>
      </c>
      <c r="AY97" s="229">
        <v>0</v>
      </c>
      <c r="AZ97" s="228">
        <v>0</v>
      </c>
      <c r="BA97" s="228">
        <v>0</v>
      </c>
      <c r="BB97" s="228">
        <v>0</v>
      </c>
      <c r="BC97" s="229">
        <v>0</v>
      </c>
      <c r="BD97" s="228">
        <v>0</v>
      </c>
      <c r="BE97" s="228">
        <v>0</v>
      </c>
      <c r="BF97" s="228">
        <v>0</v>
      </c>
      <c r="BG97" s="229">
        <v>0</v>
      </c>
      <c r="BH97" s="228">
        <v>0</v>
      </c>
      <c r="BI97" s="228">
        <v>0</v>
      </c>
      <c r="BJ97" s="228">
        <v>0</v>
      </c>
      <c r="BK97" s="229">
        <v>0</v>
      </c>
      <c r="BL97" s="228">
        <v>0</v>
      </c>
      <c r="BM97" s="228">
        <v>0</v>
      </c>
      <c r="BN97" s="228">
        <v>0</v>
      </c>
      <c r="BO97" s="229">
        <v>0</v>
      </c>
      <c r="BP97" s="228">
        <v>0</v>
      </c>
      <c r="BQ97" s="228">
        <v>0</v>
      </c>
      <c r="BR97" s="228">
        <v>0</v>
      </c>
      <c r="BS97" s="229">
        <v>0</v>
      </c>
      <c r="BT97" s="228">
        <v>0</v>
      </c>
      <c r="BU97" s="228">
        <v>0</v>
      </c>
      <c r="BV97" s="228">
        <v>0</v>
      </c>
      <c r="BW97" s="229">
        <v>0</v>
      </c>
      <c r="BX97" s="228">
        <v>0</v>
      </c>
      <c r="BY97" s="228">
        <v>0</v>
      </c>
      <c r="BZ97" s="228">
        <v>0</v>
      </c>
      <c r="CA97" s="229">
        <v>0</v>
      </c>
      <c r="CB97" s="228">
        <v>0</v>
      </c>
      <c r="CC97" s="228">
        <v>0</v>
      </c>
      <c r="CD97" s="228">
        <v>0</v>
      </c>
      <c r="CE97" s="229">
        <v>0</v>
      </c>
      <c r="CF97" s="228">
        <v>0</v>
      </c>
      <c r="CG97" s="228">
        <v>0</v>
      </c>
      <c r="CH97" s="228">
        <v>0</v>
      </c>
      <c r="CI97" s="229">
        <v>0</v>
      </c>
      <c r="CJ97" s="228">
        <v>0</v>
      </c>
      <c r="CK97" s="228">
        <v>0</v>
      </c>
      <c r="CL97" s="228">
        <v>0</v>
      </c>
      <c r="CM97" s="229">
        <v>0</v>
      </c>
      <c r="CN97" s="228">
        <v>0</v>
      </c>
      <c r="CO97" s="228">
        <v>0</v>
      </c>
      <c r="CP97" s="228">
        <v>0</v>
      </c>
      <c r="CQ97" s="229">
        <v>0</v>
      </c>
      <c r="CR97" s="228">
        <v>0</v>
      </c>
      <c r="CS97" s="228">
        <v>0</v>
      </c>
      <c r="CT97" s="228">
        <v>0</v>
      </c>
      <c r="CU97" s="229">
        <v>0</v>
      </c>
      <c r="CV97" s="228">
        <v>0</v>
      </c>
      <c r="CW97" s="228">
        <v>0</v>
      </c>
      <c r="CX97" s="228">
        <v>0</v>
      </c>
      <c r="CY97" s="229">
        <v>0</v>
      </c>
      <c r="CZ97" s="228">
        <v>0</v>
      </c>
      <c r="DA97" s="228">
        <v>0</v>
      </c>
      <c r="DB97" s="228">
        <v>0</v>
      </c>
      <c r="DC97" s="228">
        <v>0</v>
      </c>
      <c r="DD97" s="228">
        <v>0</v>
      </c>
      <c r="DE97" s="228">
        <v>0</v>
      </c>
      <c r="DF97" s="228">
        <v>0</v>
      </c>
      <c r="DG97" s="228">
        <v>0</v>
      </c>
      <c r="DH97" s="228">
        <v>0</v>
      </c>
      <c r="DI97" s="228">
        <v>0</v>
      </c>
      <c r="DJ97" s="228">
        <v>0</v>
      </c>
      <c r="DK97" s="228">
        <v>0</v>
      </c>
      <c r="DL97" s="228">
        <v>0</v>
      </c>
      <c r="DM97" s="228">
        <v>0</v>
      </c>
      <c r="DN97" s="228">
        <v>0</v>
      </c>
      <c r="DO97" s="228">
        <v>0</v>
      </c>
      <c r="DP97" s="228">
        <v>0</v>
      </c>
      <c r="DQ97" s="228">
        <v>0</v>
      </c>
      <c r="DR97" s="228">
        <v>0</v>
      </c>
      <c r="DS97" s="229">
        <v>0</v>
      </c>
      <c r="DT97" s="228">
        <v>0</v>
      </c>
      <c r="DU97" s="228">
        <v>0</v>
      </c>
      <c r="DV97" s="228">
        <v>0</v>
      </c>
      <c r="DW97" s="228">
        <v>0</v>
      </c>
      <c r="DX97" s="228">
        <v>0</v>
      </c>
      <c r="DY97" s="229">
        <v>0</v>
      </c>
      <c r="DZ97" s="229">
        <v>0</v>
      </c>
      <c r="EA97" s="228">
        <v>0</v>
      </c>
      <c r="EB97" s="229">
        <v>0</v>
      </c>
      <c r="EC97" s="229">
        <v>0</v>
      </c>
      <c r="ED97" s="228">
        <v>0</v>
      </c>
      <c r="EE97" s="229">
        <v>0</v>
      </c>
      <c r="EF97" s="228">
        <v>0</v>
      </c>
      <c r="EG97" s="228">
        <v>0</v>
      </c>
      <c r="EH97" s="229">
        <v>0</v>
      </c>
      <c r="EI97" s="229">
        <v>0</v>
      </c>
      <c r="EJ97" s="228">
        <v>0</v>
      </c>
      <c r="EK97" s="228">
        <v>0</v>
      </c>
      <c r="EL97" s="228">
        <v>0</v>
      </c>
      <c r="EM97" s="228">
        <v>0</v>
      </c>
      <c r="EN97" s="228">
        <v>0</v>
      </c>
      <c r="EO97" s="228">
        <v>0</v>
      </c>
      <c r="EP97" s="228">
        <v>0</v>
      </c>
      <c r="EQ97" s="229">
        <v>0</v>
      </c>
      <c r="ER97" s="228">
        <v>0</v>
      </c>
      <c r="ES97" s="228">
        <v>0</v>
      </c>
      <c r="ET97" s="228">
        <v>0</v>
      </c>
      <c r="EU97" s="228">
        <v>0</v>
      </c>
      <c r="EV97" s="228">
        <v>0</v>
      </c>
      <c r="EW97" s="228">
        <v>0</v>
      </c>
      <c r="EX97" s="228">
        <v>0</v>
      </c>
      <c r="EY97" s="229">
        <v>0</v>
      </c>
      <c r="EZ97" s="229">
        <v>0</v>
      </c>
      <c r="FA97" s="227" t="s">
        <v>237</v>
      </c>
      <c r="FB97" s="161">
        <f t="shared" si="1"/>
        <v>0</v>
      </c>
    </row>
    <row r="98" spans="1:158" ht="17.25" thickBot="1" x14ac:dyDescent="0.3">
      <c r="A98" s="226">
        <v>46132</v>
      </c>
      <c r="B98" s="227" t="s">
        <v>215</v>
      </c>
      <c r="C98" s="227" t="s">
        <v>238</v>
      </c>
      <c r="D98" s="228">
        <v>150</v>
      </c>
      <c r="E98" s="231">
        <v>4672.3</v>
      </c>
      <c r="F98" s="231">
        <v>4647.8999999999996</v>
      </c>
      <c r="G98" s="228">
        <v>24.4</v>
      </c>
      <c r="H98" s="229">
        <v>5.1999999999999998E-3</v>
      </c>
      <c r="I98" s="231">
        <v>4678.2</v>
      </c>
      <c r="J98" s="231">
        <v>4638.3999999999996</v>
      </c>
      <c r="K98" s="228">
        <v>39.799999999999997</v>
      </c>
      <c r="L98" s="229">
        <v>8.6E-3</v>
      </c>
      <c r="M98" s="231">
        <v>4672.3</v>
      </c>
      <c r="N98" s="231">
        <v>4647.8999999999996</v>
      </c>
      <c r="O98" s="228">
        <v>24.4</v>
      </c>
      <c r="P98" s="229">
        <v>5.1999999999999998E-3</v>
      </c>
      <c r="Q98" s="231">
        <v>4684.8999999999996</v>
      </c>
      <c r="R98" s="231">
        <v>4656.2</v>
      </c>
      <c r="S98" s="228">
        <v>28.7</v>
      </c>
      <c r="T98" s="229">
        <v>6.1999999999999998E-3</v>
      </c>
      <c r="U98" s="231">
        <v>4697</v>
      </c>
      <c r="V98" s="231">
        <v>4670.8</v>
      </c>
      <c r="W98" s="228">
        <v>26.2</v>
      </c>
      <c r="X98" s="229">
        <v>5.5999999999999999E-3</v>
      </c>
      <c r="Y98" s="228">
        <v>-5.9</v>
      </c>
      <c r="Z98" s="228">
        <v>9.5</v>
      </c>
      <c r="AA98" s="228">
        <v>-15.4</v>
      </c>
      <c r="AB98" s="229">
        <v>-1.2999999999999999E-3</v>
      </c>
      <c r="AC98" s="228">
        <v>-5.9</v>
      </c>
      <c r="AD98" s="228">
        <v>9.5</v>
      </c>
      <c r="AE98" s="228">
        <v>-15.4</v>
      </c>
      <c r="AF98" s="229">
        <v>-1.2999999999999999E-3</v>
      </c>
      <c r="AG98" s="228">
        <v>6.7</v>
      </c>
      <c r="AH98" s="228">
        <v>17.8</v>
      </c>
      <c r="AI98" s="228">
        <v>-11.1</v>
      </c>
      <c r="AJ98" s="229">
        <v>1.4E-3</v>
      </c>
      <c r="AK98" s="228">
        <v>18.8</v>
      </c>
      <c r="AL98" s="228">
        <v>32.4</v>
      </c>
      <c r="AM98" s="228">
        <v>-13.6</v>
      </c>
      <c r="AN98" s="229">
        <v>4.0000000000000001E-3</v>
      </c>
      <c r="AO98" s="231">
        <v>4649.66</v>
      </c>
      <c r="AP98" s="231">
        <v>4663.2700000000004</v>
      </c>
      <c r="AQ98" s="228">
        <v>0</v>
      </c>
      <c r="AR98" s="230">
        <v>1230300</v>
      </c>
      <c r="AS98" s="230">
        <v>883800</v>
      </c>
      <c r="AT98" s="230">
        <v>346500</v>
      </c>
      <c r="AU98" s="229">
        <v>0.3921</v>
      </c>
      <c r="AV98" s="230">
        <v>1055700</v>
      </c>
      <c r="AW98" s="230">
        <v>789900</v>
      </c>
      <c r="AX98" s="230">
        <v>265800</v>
      </c>
      <c r="AY98" s="229">
        <v>0.33650000000000002</v>
      </c>
      <c r="AZ98" s="230">
        <v>160800</v>
      </c>
      <c r="BA98" s="230">
        <v>85650</v>
      </c>
      <c r="BB98" s="230">
        <v>75150</v>
      </c>
      <c r="BC98" s="229">
        <v>0.87739999999999996</v>
      </c>
      <c r="BD98" s="230">
        <v>13800</v>
      </c>
      <c r="BE98" s="230">
        <v>8250</v>
      </c>
      <c r="BF98" s="230">
        <v>5550</v>
      </c>
      <c r="BG98" s="229">
        <v>0.67269999999999996</v>
      </c>
      <c r="BH98" s="230">
        <v>5281500</v>
      </c>
      <c r="BI98" s="230">
        <v>4264350</v>
      </c>
      <c r="BJ98" s="230">
        <v>1017150</v>
      </c>
      <c r="BK98" s="229">
        <v>0.23849999999999999</v>
      </c>
      <c r="BL98" s="230">
        <v>5079000</v>
      </c>
      <c r="BM98" s="230">
        <v>3794850</v>
      </c>
      <c r="BN98" s="230">
        <v>1284150</v>
      </c>
      <c r="BO98" s="229">
        <v>0.33839999999999998</v>
      </c>
      <c r="BP98" s="230">
        <v>11590800</v>
      </c>
      <c r="BQ98" s="230">
        <v>8943000</v>
      </c>
      <c r="BR98" s="230">
        <v>2647800</v>
      </c>
      <c r="BS98" s="229">
        <v>0.29609999999999997</v>
      </c>
      <c r="BT98" s="230">
        <v>1085104</v>
      </c>
      <c r="BU98" s="230">
        <v>794960</v>
      </c>
      <c r="BV98" s="230">
        <v>290144</v>
      </c>
      <c r="BW98" s="229">
        <v>0.36499999999999999</v>
      </c>
      <c r="BX98" s="230">
        <v>6962400</v>
      </c>
      <c r="BY98" s="230">
        <v>7012500</v>
      </c>
      <c r="BZ98" s="230">
        <v>-50100</v>
      </c>
      <c r="CA98" s="229">
        <v>-7.1000000000000004E-3</v>
      </c>
      <c r="CB98" s="230">
        <v>6579750</v>
      </c>
      <c r="CC98" s="230">
        <v>6667800</v>
      </c>
      <c r="CD98" s="230">
        <v>-88050</v>
      </c>
      <c r="CE98" s="229">
        <v>-1.32E-2</v>
      </c>
      <c r="CF98" s="230">
        <v>334650</v>
      </c>
      <c r="CG98" s="230">
        <v>296400</v>
      </c>
      <c r="CH98" s="230">
        <v>38250</v>
      </c>
      <c r="CI98" s="229">
        <v>0.129</v>
      </c>
      <c r="CJ98" s="230">
        <v>48000</v>
      </c>
      <c r="CK98" s="230">
        <v>48300</v>
      </c>
      <c r="CL98" s="228">
        <v>-300</v>
      </c>
      <c r="CM98" s="229">
        <v>-6.1999999999999998E-3</v>
      </c>
      <c r="CN98" s="230">
        <v>6291300</v>
      </c>
      <c r="CO98" s="230">
        <v>6302100</v>
      </c>
      <c r="CP98" s="230">
        <v>-10800</v>
      </c>
      <c r="CQ98" s="229">
        <v>-1.6999999999999999E-3</v>
      </c>
      <c r="CR98" s="230">
        <v>4628250</v>
      </c>
      <c r="CS98" s="230">
        <v>4357800</v>
      </c>
      <c r="CT98" s="230">
        <v>270450</v>
      </c>
      <c r="CU98" s="229">
        <v>6.2100000000000002E-2</v>
      </c>
      <c r="CV98" s="230">
        <v>17881950</v>
      </c>
      <c r="CW98" s="230">
        <v>17672400</v>
      </c>
      <c r="CX98" s="230">
        <v>209550</v>
      </c>
      <c r="CY98" s="229">
        <v>1.1900000000000001E-2</v>
      </c>
      <c r="CZ98" s="228">
        <v>41.35</v>
      </c>
      <c r="DA98" s="228">
        <v>38.86</v>
      </c>
      <c r="DB98" s="228">
        <v>2.4900000000000002</v>
      </c>
      <c r="DC98" s="228">
        <v>2.4900000000000002</v>
      </c>
      <c r="DD98" s="228">
        <v>40.159999999999997</v>
      </c>
      <c r="DE98" s="228">
        <v>40.24</v>
      </c>
      <c r="DF98" s="228">
        <v>1.19</v>
      </c>
      <c r="DG98" s="228">
        <v>-0.08</v>
      </c>
      <c r="DH98" s="228">
        <v>37.32</v>
      </c>
      <c r="DI98" s="228">
        <v>34.979999999999997</v>
      </c>
      <c r="DJ98" s="228">
        <v>2.34</v>
      </c>
      <c r="DK98" s="228">
        <v>2.34</v>
      </c>
      <c r="DL98" s="228">
        <v>45.53</v>
      </c>
      <c r="DM98" s="228">
        <v>43.22</v>
      </c>
      <c r="DN98" s="228">
        <v>2.31</v>
      </c>
      <c r="DO98" s="228">
        <v>2.31</v>
      </c>
      <c r="DP98" s="228">
        <v>0.74</v>
      </c>
      <c r="DQ98" s="228">
        <v>0.69</v>
      </c>
      <c r="DR98" s="228">
        <v>0.05</v>
      </c>
      <c r="DS98" s="229">
        <v>7.2499999999999995E-2</v>
      </c>
      <c r="DT98" s="231">
        <v>4700</v>
      </c>
      <c r="DU98" s="231">
        <v>4700</v>
      </c>
      <c r="DV98" s="228">
        <v>0.96</v>
      </c>
      <c r="DW98" s="228">
        <v>0.89</v>
      </c>
      <c r="DX98" s="228">
        <v>7.0000000000000007E-2</v>
      </c>
      <c r="DY98" s="229">
        <v>7.8700000000000006E-2</v>
      </c>
      <c r="DZ98" s="229">
        <v>5.5E-2</v>
      </c>
      <c r="EA98" s="230">
        <v>344700</v>
      </c>
      <c r="EB98" s="229">
        <v>2.7000000000000001E-3</v>
      </c>
      <c r="EC98" s="229">
        <v>5.5E-2</v>
      </c>
      <c r="ED98" s="228">
        <v>13.61</v>
      </c>
      <c r="EE98" s="229">
        <v>2.8999999999999998E-3</v>
      </c>
      <c r="EF98" s="230">
        <v>535349</v>
      </c>
      <c r="EG98" s="230">
        <v>338886</v>
      </c>
      <c r="EH98" s="229">
        <v>0.57969999999999999</v>
      </c>
      <c r="EI98" s="229">
        <v>0.49340000000000001</v>
      </c>
      <c r="EJ98" s="231">
        <v>257291.55</v>
      </c>
      <c r="EK98" s="231">
        <v>229827.36</v>
      </c>
      <c r="EL98" s="231">
        <v>57230.54</v>
      </c>
      <c r="EM98" s="231">
        <v>9454</v>
      </c>
      <c r="EN98" s="231">
        <v>544349.44999999995</v>
      </c>
      <c r="EO98" s="231">
        <v>415519.49</v>
      </c>
      <c r="EP98" s="231">
        <v>128829.96</v>
      </c>
      <c r="EQ98" s="229">
        <v>0.31</v>
      </c>
      <c r="ER98" s="231">
        <v>296480</v>
      </c>
      <c r="ES98" s="231">
        <v>199372</v>
      </c>
      <c r="ET98" s="231">
        <v>325358</v>
      </c>
      <c r="EU98" s="231">
        <v>33878797</v>
      </c>
      <c r="EV98" s="231">
        <v>821211</v>
      </c>
      <c r="EW98" s="231">
        <v>809518</v>
      </c>
      <c r="EX98" s="231">
        <v>11693</v>
      </c>
      <c r="EY98" s="229">
        <v>1.44E-2</v>
      </c>
      <c r="EZ98" s="229">
        <v>0.52780000000000005</v>
      </c>
      <c r="FA98" s="227" t="s">
        <v>693</v>
      </c>
      <c r="FB98" s="161">
        <f t="shared" si="1"/>
        <v>382650</v>
      </c>
    </row>
    <row r="99" spans="1:158" ht="17.25" thickBot="1" x14ac:dyDescent="0.3">
      <c r="A99" s="226">
        <v>46132</v>
      </c>
      <c r="B99" s="227" t="s">
        <v>172</v>
      </c>
      <c r="C99" s="227" t="s">
        <v>239</v>
      </c>
      <c r="D99" s="228">
        <v>700</v>
      </c>
      <c r="E99" s="228">
        <v>850.2</v>
      </c>
      <c r="F99" s="228">
        <v>852.35</v>
      </c>
      <c r="G99" s="228">
        <v>-2.15</v>
      </c>
      <c r="H99" s="229">
        <v>-2.5000000000000001E-3</v>
      </c>
      <c r="I99" s="228">
        <v>851.95</v>
      </c>
      <c r="J99" s="228">
        <v>853.9</v>
      </c>
      <c r="K99" s="228">
        <v>-1.95</v>
      </c>
      <c r="L99" s="229">
        <v>-2.3E-3</v>
      </c>
      <c r="M99" s="228">
        <v>850.2</v>
      </c>
      <c r="N99" s="228">
        <v>852.35</v>
      </c>
      <c r="O99" s="228">
        <v>-2.15</v>
      </c>
      <c r="P99" s="229">
        <v>-2.5000000000000001E-3</v>
      </c>
      <c r="Q99" s="228">
        <v>854.7</v>
      </c>
      <c r="R99" s="228">
        <v>857.05</v>
      </c>
      <c r="S99" s="228">
        <v>-2.35</v>
      </c>
      <c r="T99" s="229">
        <v>-2.7000000000000001E-3</v>
      </c>
      <c r="U99" s="228">
        <v>856.2</v>
      </c>
      <c r="V99" s="228">
        <v>857.55</v>
      </c>
      <c r="W99" s="228">
        <v>-1.35</v>
      </c>
      <c r="X99" s="229">
        <v>-1.6000000000000001E-3</v>
      </c>
      <c r="Y99" s="228">
        <v>-1.75</v>
      </c>
      <c r="Z99" s="228">
        <v>-1.55</v>
      </c>
      <c r="AA99" s="228">
        <v>-0.2</v>
      </c>
      <c r="AB99" s="229">
        <v>-2.0999999999999999E-3</v>
      </c>
      <c r="AC99" s="228">
        <v>-1.75</v>
      </c>
      <c r="AD99" s="228">
        <v>-1.55</v>
      </c>
      <c r="AE99" s="228">
        <v>-0.2</v>
      </c>
      <c r="AF99" s="229">
        <v>-2.0999999999999999E-3</v>
      </c>
      <c r="AG99" s="228">
        <v>2.75</v>
      </c>
      <c r="AH99" s="228">
        <v>3.15</v>
      </c>
      <c r="AI99" s="228">
        <v>-0.4</v>
      </c>
      <c r="AJ99" s="229">
        <v>3.2000000000000002E-3</v>
      </c>
      <c r="AK99" s="228">
        <v>4.25</v>
      </c>
      <c r="AL99" s="228">
        <v>3.65</v>
      </c>
      <c r="AM99" s="228">
        <v>0.6</v>
      </c>
      <c r="AN99" s="229">
        <v>5.0000000000000001E-3</v>
      </c>
      <c r="AO99" s="228">
        <v>849.52</v>
      </c>
      <c r="AP99" s="228">
        <v>855.76</v>
      </c>
      <c r="AQ99" s="228">
        <v>0</v>
      </c>
      <c r="AR99" s="230">
        <v>4349100</v>
      </c>
      <c r="AS99" s="230">
        <v>3688300</v>
      </c>
      <c r="AT99" s="230">
        <v>660800</v>
      </c>
      <c r="AU99" s="229">
        <v>0.1792</v>
      </c>
      <c r="AV99" s="230">
        <v>3573500</v>
      </c>
      <c r="AW99" s="230">
        <v>3108000</v>
      </c>
      <c r="AX99" s="230">
        <v>465500</v>
      </c>
      <c r="AY99" s="229">
        <v>0.14979999999999999</v>
      </c>
      <c r="AZ99" s="230">
        <v>728700</v>
      </c>
      <c r="BA99" s="230">
        <v>541100</v>
      </c>
      <c r="BB99" s="230">
        <v>187600</v>
      </c>
      <c r="BC99" s="229">
        <v>0.34670000000000001</v>
      </c>
      <c r="BD99" s="230">
        <v>46900</v>
      </c>
      <c r="BE99" s="230">
        <v>39200</v>
      </c>
      <c r="BF99" s="230">
        <v>7700</v>
      </c>
      <c r="BG99" s="229">
        <v>0.19639999999999999</v>
      </c>
      <c r="BH99" s="230">
        <v>6716500</v>
      </c>
      <c r="BI99" s="230">
        <v>8372700</v>
      </c>
      <c r="BJ99" s="230">
        <v>-1656200</v>
      </c>
      <c r="BK99" s="229">
        <v>-0.1978</v>
      </c>
      <c r="BL99" s="230">
        <v>5062400</v>
      </c>
      <c r="BM99" s="230">
        <v>4853100</v>
      </c>
      <c r="BN99" s="230">
        <v>209300</v>
      </c>
      <c r="BO99" s="229">
        <v>4.3099999999999999E-2</v>
      </c>
      <c r="BP99" s="230">
        <v>16128000</v>
      </c>
      <c r="BQ99" s="230">
        <v>16914100</v>
      </c>
      <c r="BR99" s="230">
        <v>-786100</v>
      </c>
      <c r="BS99" s="229">
        <v>-4.65E-2</v>
      </c>
      <c r="BT99" s="230">
        <v>2490621</v>
      </c>
      <c r="BU99" s="230">
        <v>1900991</v>
      </c>
      <c r="BV99" s="230">
        <v>589630</v>
      </c>
      <c r="BW99" s="229">
        <v>0.31019999999999998</v>
      </c>
      <c r="BX99" s="230">
        <v>37796500</v>
      </c>
      <c r="BY99" s="230">
        <v>38583300</v>
      </c>
      <c r="BZ99" s="230">
        <v>-786800</v>
      </c>
      <c r="CA99" s="229">
        <v>-2.0400000000000001E-2</v>
      </c>
      <c r="CB99" s="230">
        <v>34233500</v>
      </c>
      <c r="CC99" s="230">
        <v>35397600</v>
      </c>
      <c r="CD99" s="230">
        <v>-1164100</v>
      </c>
      <c r="CE99" s="229">
        <v>-3.2899999999999999E-2</v>
      </c>
      <c r="CF99" s="230">
        <v>3158400</v>
      </c>
      <c r="CG99" s="230">
        <v>2790900</v>
      </c>
      <c r="CH99" s="230">
        <v>367500</v>
      </c>
      <c r="CI99" s="229">
        <v>0.13170000000000001</v>
      </c>
      <c r="CJ99" s="230">
        <v>404600</v>
      </c>
      <c r="CK99" s="230">
        <v>394800</v>
      </c>
      <c r="CL99" s="230">
        <v>9800</v>
      </c>
      <c r="CM99" s="229">
        <v>2.4799999999999999E-2</v>
      </c>
      <c r="CN99" s="230">
        <v>7840700</v>
      </c>
      <c r="CO99" s="230">
        <v>7996100</v>
      </c>
      <c r="CP99" s="230">
        <v>-155400</v>
      </c>
      <c r="CQ99" s="229">
        <v>-1.9400000000000001E-2</v>
      </c>
      <c r="CR99" s="230">
        <v>6057800</v>
      </c>
      <c r="CS99" s="230">
        <v>6124300</v>
      </c>
      <c r="CT99" s="230">
        <v>-66500</v>
      </c>
      <c r="CU99" s="229">
        <v>-1.09E-2</v>
      </c>
      <c r="CV99" s="230">
        <v>51695000</v>
      </c>
      <c r="CW99" s="230">
        <v>52703700</v>
      </c>
      <c r="CX99" s="230">
        <v>-1008700</v>
      </c>
      <c r="CY99" s="229">
        <v>-1.9099999999999999E-2</v>
      </c>
      <c r="CZ99" s="228">
        <v>43.52</v>
      </c>
      <c r="DA99" s="228">
        <v>39.17</v>
      </c>
      <c r="DB99" s="228">
        <v>4.3499999999999996</v>
      </c>
      <c r="DC99" s="228">
        <v>4.3499999999999996</v>
      </c>
      <c r="DD99" s="228">
        <v>43.26</v>
      </c>
      <c r="DE99" s="228">
        <v>43.37</v>
      </c>
      <c r="DF99" s="228">
        <v>0.26</v>
      </c>
      <c r="DG99" s="228">
        <v>-0.11</v>
      </c>
      <c r="DH99" s="228">
        <v>41.86</v>
      </c>
      <c r="DI99" s="228">
        <v>37.69</v>
      </c>
      <c r="DJ99" s="228">
        <v>4.17</v>
      </c>
      <c r="DK99" s="228">
        <v>4.17</v>
      </c>
      <c r="DL99" s="228">
        <v>45.74</v>
      </c>
      <c r="DM99" s="228">
        <v>41.73</v>
      </c>
      <c r="DN99" s="228">
        <v>4.01</v>
      </c>
      <c r="DO99" s="228">
        <v>4.01</v>
      </c>
      <c r="DP99" s="228">
        <v>0.77</v>
      </c>
      <c r="DQ99" s="228">
        <v>0.77</v>
      </c>
      <c r="DR99" s="228">
        <v>0</v>
      </c>
      <c r="DS99" s="229">
        <v>0</v>
      </c>
      <c r="DT99" s="228">
        <v>900</v>
      </c>
      <c r="DU99" s="228">
        <v>800</v>
      </c>
      <c r="DV99" s="228">
        <v>0.75</v>
      </c>
      <c r="DW99" s="228">
        <v>0.57999999999999996</v>
      </c>
      <c r="DX99" s="228">
        <v>0.17</v>
      </c>
      <c r="DY99" s="229">
        <v>0.29310000000000003</v>
      </c>
      <c r="DZ99" s="229">
        <v>9.4299999999999995E-2</v>
      </c>
      <c r="EA99" s="230">
        <v>3185700</v>
      </c>
      <c r="EB99" s="229">
        <v>5.3E-3</v>
      </c>
      <c r="EC99" s="229">
        <v>9.4299999999999995E-2</v>
      </c>
      <c r="ED99" s="228">
        <v>6.24</v>
      </c>
      <c r="EE99" s="229">
        <v>7.3000000000000001E-3</v>
      </c>
      <c r="EF99" s="230">
        <v>1234051</v>
      </c>
      <c r="EG99" s="230">
        <v>828447</v>
      </c>
      <c r="EH99" s="229">
        <v>0.48959999999999998</v>
      </c>
      <c r="EI99" s="229">
        <v>0.4955</v>
      </c>
      <c r="EJ99" s="231">
        <v>59500.22</v>
      </c>
      <c r="EK99" s="231">
        <v>42270.01</v>
      </c>
      <c r="EL99" s="231">
        <v>36994.68</v>
      </c>
      <c r="EM99" s="231">
        <v>6300</v>
      </c>
      <c r="EN99" s="231">
        <v>138764.91</v>
      </c>
      <c r="EO99" s="231">
        <v>146026.14000000001</v>
      </c>
      <c r="EP99" s="231">
        <v>-7261.23</v>
      </c>
      <c r="EQ99" s="229">
        <v>-4.9700000000000001E-2</v>
      </c>
      <c r="ER99" s="231">
        <v>67078</v>
      </c>
      <c r="ES99" s="231">
        <v>48677</v>
      </c>
      <c r="ET99" s="231">
        <v>321512</v>
      </c>
      <c r="EU99" s="231">
        <v>93808799</v>
      </c>
      <c r="EV99" s="231">
        <v>437268</v>
      </c>
      <c r="EW99" s="231">
        <v>446354</v>
      </c>
      <c r="EX99" s="231">
        <v>-9086</v>
      </c>
      <c r="EY99" s="229">
        <v>-2.0400000000000001E-2</v>
      </c>
      <c r="EZ99" s="229">
        <v>0.55110000000000003</v>
      </c>
      <c r="FA99" s="227" t="s">
        <v>567</v>
      </c>
      <c r="FB99" s="161">
        <f t="shared" si="1"/>
        <v>3563000</v>
      </c>
    </row>
    <row r="100" spans="1:158" ht="17.25" thickBot="1" x14ac:dyDescent="0.3">
      <c r="A100" s="226">
        <v>46132</v>
      </c>
      <c r="B100" s="227" t="s">
        <v>188</v>
      </c>
      <c r="C100" s="227" t="s">
        <v>473</v>
      </c>
      <c r="D100" s="228">
        <v>1700</v>
      </c>
      <c r="E100" s="228">
        <v>406.95</v>
      </c>
      <c r="F100" s="228">
        <v>413.35</v>
      </c>
      <c r="G100" s="228">
        <v>-6.4</v>
      </c>
      <c r="H100" s="229">
        <v>-1.55E-2</v>
      </c>
      <c r="I100" s="228">
        <v>405.8</v>
      </c>
      <c r="J100" s="228">
        <v>412.25</v>
      </c>
      <c r="K100" s="228">
        <v>-6.45</v>
      </c>
      <c r="L100" s="229">
        <v>-1.5599999999999999E-2</v>
      </c>
      <c r="M100" s="228">
        <v>406.95</v>
      </c>
      <c r="N100" s="228">
        <v>413.35</v>
      </c>
      <c r="O100" s="228">
        <v>-6.4</v>
      </c>
      <c r="P100" s="229">
        <v>-1.55E-2</v>
      </c>
      <c r="Q100" s="228">
        <v>409.15</v>
      </c>
      <c r="R100" s="228">
        <v>415.6</v>
      </c>
      <c r="S100" s="228">
        <v>-6.45</v>
      </c>
      <c r="T100" s="229">
        <v>-1.55E-2</v>
      </c>
      <c r="U100" s="228">
        <v>411.45</v>
      </c>
      <c r="V100" s="228">
        <v>418</v>
      </c>
      <c r="W100" s="228">
        <v>-6.55</v>
      </c>
      <c r="X100" s="229">
        <v>-1.5699999999999999E-2</v>
      </c>
      <c r="Y100" s="228">
        <v>1.1499999999999999</v>
      </c>
      <c r="Z100" s="228">
        <v>1.1000000000000001</v>
      </c>
      <c r="AA100" s="228">
        <v>0.05</v>
      </c>
      <c r="AB100" s="229">
        <v>2.8E-3</v>
      </c>
      <c r="AC100" s="228">
        <v>1.1499999999999999</v>
      </c>
      <c r="AD100" s="228">
        <v>1.1000000000000001</v>
      </c>
      <c r="AE100" s="228">
        <v>0.05</v>
      </c>
      <c r="AF100" s="229">
        <v>2.8E-3</v>
      </c>
      <c r="AG100" s="228">
        <v>3.35</v>
      </c>
      <c r="AH100" s="228">
        <v>3.35</v>
      </c>
      <c r="AI100" s="228">
        <v>0</v>
      </c>
      <c r="AJ100" s="229">
        <v>8.3000000000000001E-3</v>
      </c>
      <c r="AK100" s="228">
        <v>5.65</v>
      </c>
      <c r="AL100" s="228">
        <v>5.75</v>
      </c>
      <c r="AM100" s="228">
        <v>-0.1</v>
      </c>
      <c r="AN100" s="229">
        <v>1.3899999999999999E-2</v>
      </c>
      <c r="AO100" s="228">
        <v>407.41</v>
      </c>
      <c r="AP100" s="228">
        <v>409.05</v>
      </c>
      <c r="AQ100" s="228">
        <v>0</v>
      </c>
      <c r="AR100" s="230">
        <v>13538800</v>
      </c>
      <c r="AS100" s="230">
        <v>19789700</v>
      </c>
      <c r="AT100" s="230">
        <v>-6250900</v>
      </c>
      <c r="AU100" s="229">
        <v>-0.31590000000000001</v>
      </c>
      <c r="AV100" s="230">
        <v>8484700</v>
      </c>
      <c r="AW100" s="230">
        <v>15039900</v>
      </c>
      <c r="AX100" s="230">
        <v>-6555200</v>
      </c>
      <c r="AY100" s="229">
        <v>-0.43590000000000001</v>
      </c>
      <c r="AZ100" s="230">
        <v>4958900</v>
      </c>
      <c r="BA100" s="230">
        <v>2359600</v>
      </c>
      <c r="BB100" s="230">
        <v>2599300</v>
      </c>
      <c r="BC100" s="229">
        <v>1.1015999999999999</v>
      </c>
      <c r="BD100" s="230">
        <v>95200</v>
      </c>
      <c r="BE100" s="230">
        <v>2390200</v>
      </c>
      <c r="BF100" s="230">
        <v>-2295000</v>
      </c>
      <c r="BG100" s="229">
        <v>-0.96020000000000005</v>
      </c>
      <c r="BH100" s="230">
        <v>20583600</v>
      </c>
      <c r="BI100" s="230">
        <v>35292000</v>
      </c>
      <c r="BJ100" s="230">
        <v>-14708400</v>
      </c>
      <c r="BK100" s="229">
        <v>-0.4168</v>
      </c>
      <c r="BL100" s="230">
        <v>8041000</v>
      </c>
      <c r="BM100" s="230">
        <v>18424600</v>
      </c>
      <c r="BN100" s="230">
        <v>-10383600</v>
      </c>
      <c r="BO100" s="229">
        <v>-0.56359999999999999</v>
      </c>
      <c r="BP100" s="230">
        <v>42163400</v>
      </c>
      <c r="BQ100" s="230">
        <v>73506300</v>
      </c>
      <c r="BR100" s="230">
        <v>-31342900</v>
      </c>
      <c r="BS100" s="229">
        <v>-0.4264</v>
      </c>
      <c r="BT100" s="230">
        <v>8981644</v>
      </c>
      <c r="BU100" s="230">
        <v>10739860</v>
      </c>
      <c r="BV100" s="230">
        <v>-1758216</v>
      </c>
      <c r="BW100" s="229">
        <v>-0.16370000000000001</v>
      </c>
      <c r="BX100" s="230">
        <v>75100900</v>
      </c>
      <c r="BY100" s="230">
        <v>73004800</v>
      </c>
      <c r="BZ100" s="230">
        <v>2096100</v>
      </c>
      <c r="CA100" s="229">
        <v>2.87E-2</v>
      </c>
      <c r="CB100" s="230">
        <v>64271900</v>
      </c>
      <c r="CC100" s="230">
        <v>66490400</v>
      </c>
      <c r="CD100" s="230">
        <v>-2218500</v>
      </c>
      <c r="CE100" s="229">
        <v>-3.3399999999999999E-2</v>
      </c>
      <c r="CF100" s="230">
        <v>8122600</v>
      </c>
      <c r="CG100" s="230">
        <v>3853900</v>
      </c>
      <c r="CH100" s="230">
        <v>4268700</v>
      </c>
      <c r="CI100" s="229">
        <v>1.1075999999999999</v>
      </c>
      <c r="CJ100" s="230">
        <v>2706400</v>
      </c>
      <c r="CK100" s="230">
        <v>2660500</v>
      </c>
      <c r="CL100" s="230">
        <v>45900</v>
      </c>
      <c r="CM100" s="229">
        <v>1.7299999999999999E-2</v>
      </c>
      <c r="CN100" s="230">
        <v>26644100</v>
      </c>
      <c r="CO100" s="230">
        <v>25369100</v>
      </c>
      <c r="CP100" s="230">
        <v>1275000</v>
      </c>
      <c r="CQ100" s="229">
        <v>5.0299999999999997E-2</v>
      </c>
      <c r="CR100" s="230">
        <v>14196700</v>
      </c>
      <c r="CS100" s="230">
        <v>14703300</v>
      </c>
      <c r="CT100" s="230">
        <v>-506600</v>
      </c>
      <c r="CU100" s="229">
        <v>-3.4500000000000003E-2</v>
      </c>
      <c r="CV100" s="230">
        <v>115941700</v>
      </c>
      <c r="CW100" s="230">
        <v>113077200</v>
      </c>
      <c r="CX100" s="230">
        <v>2864500</v>
      </c>
      <c r="CY100" s="229">
        <v>2.53E-2</v>
      </c>
      <c r="CZ100" s="228">
        <v>35.119999999999997</v>
      </c>
      <c r="DA100" s="228">
        <v>31.37</v>
      </c>
      <c r="DB100" s="228">
        <v>3.75</v>
      </c>
      <c r="DC100" s="228">
        <v>3.75</v>
      </c>
      <c r="DD100" s="228">
        <v>37.72</v>
      </c>
      <c r="DE100" s="228">
        <v>37.75</v>
      </c>
      <c r="DF100" s="228">
        <v>-2.6</v>
      </c>
      <c r="DG100" s="228">
        <v>-0.03</v>
      </c>
      <c r="DH100" s="228">
        <v>35.369999999999997</v>
      </c>
      <c r="DI100" s="228">
        <v>31.12</v>
      </c>
      <c r="DJ100" s="228">
        <v>4.25</v>
      </c>
      <c r="DK100" s="228">
        <v>4.25</v>
      </c>
      <c r="DL100" s="228">
        <v>34.479999999999997</v>
      </c>
      <c r="DM100" s="228">
        <v>31.85</v>
      </c>
      <c r="DN100" s="228">
        <v>2.63</v>
      </c>
      <c r="DO100" s="228">
        <v>2.63</v>
      </c>
      <c r="DP100" s="228">
        <v>0.53</v>
      </c>
      <c r="DQ100" s="228">
        <v>0.57999999999999996</v>
      </c>
      <c r="DR100" s="228">
        <v>-0.05</v>
      </c>
      <c r="DS100" s="229">
        <v>-8.6199999999999999E-2</v>
      </c>
      <c r="DT100" s="228">
        <v>430</v>
      </c>
      <c r="DU100" s="228">
        <v>430</v>
      </c>
      <c r="DV100" s="228">
        <v>0.39</v>
      </c>
      <c r="DW100" s="228">
        <v>0.52</v>
      </c>
      <c r="DX100" s="228">
        <v>-0.13</v>
      </c>
      <c r="DY100" s="229">
        <v>-0.25</v>
      </c>
      <c r="DZ100" s="229">
        <v>0.14419999999999999</v>
      </c>
      <c r="EA100" s="230">
        <v>6514400</v>
      </c>
      <c r="EB100" s="229">
        <v>5.4000000000000003E-3</v>
      </c>
      <c r="EC100" s="229">
        <v>0.14419999999999999</v>
      </c>
      <c r="ED100" s="228">
        <v>1.64</v>
      </c>
      <c r="EE100" s="229">
        <v>4.0000000000000001E-3</v>
      </c>
      <c r="EF100" s="230">
        <v>6026866</v>
      </c>
      <c r="EG100" s="230">
        <v>7250849</v>
      </c>
      <c r="EH100" s="229">
        <v>-0.16880000000000001</v>
      </c>
      <c r="EI100" s="229">
        <v>0.67100000000000004</v>
      </c>
      <c r="EJ100" s="231">
        <v>89536.98</v>
      </c>
      <c r="EK100" s="231">
        <v>32887.18</v>
      </c>
      <c r="EL100" s="231">
        <v>55244.71</v>
      </c>
      <c r="EM100" s="231">
        <v>8280</v>
      </c>
      <c r="EN100" s="231">
        <v>177668.87</v>
      </c>
      <c r="EO100" s="231">
        <v>311093.56</v>
      </c>
      <c r="EP100" s="231">
        <v>-133424.69</v>
      </c>
      <c r="EQ100" s="229">
        <v>-0.4289</v>
      </c>
      <c r="ER100" s="231">
        <v>117629</v>
      </c>
      <c r="ES100" s="231">
        <v>58527</v>
      </c>
      <c r="ET100" s="231">
        <v>305924</v>
      </c>
      <c r="EU100" s="231">
        <v>193625858</v>
      </c>
      <c r="EV100" s="231">
        <v>482080</v>
      </c>
      <c r="EW100" s="231">
        <v>475403</v>
      </c>
      <c r="EX100" s="231">
        <v>6677</v>
      </c>
      <c r="EY100" s="229">
        <v>1.4E-2</v>
      </c>
      <c r="EZ100" s="229">
        <v>0.5988</v>
      </c>
      <c r="FA100" s="227" t="s">
        <v>566</v>
      </c>
      <c r="FB100" s="161">
        <f t="shared" si="1"/>
        <v>10829000</v>
      </c>
    </row>
    <row r="101" spans="1:158" ht="17.25" thickBot="1" x14ac:dyDescent="0.3">
      <c r="A101" s="226">
        <v>46132</v>
      </c>
      <c r="B101" s="227" t="s">
        <v>221</v>
      </c>
      <c r="C101" s="227" t="s">
        <v>240</v>
      </c>
      <c r="D101" s="228">
        <v>400</v>
      </c>
      <c r="E101" s="231">
        <v>1309.3</v>
      </c>
      <c r="F101" s="231">
        <v>1321</v>
      </c>
      <c r="G101" s="228">
        <v>-11.7</v>
      </c>
      <c r="H101" s="229">
        <v>-8.8999999999999999E-3</v>
      </c>
      <c r="I101" s="231">
        <v>1312.6</v>
      </c>
      <c r="J101" s="231">
        <v>1318.7</v>
      </c>
      <c r="K101" s="228">
        <v>-6.1</v>
      </c>
      <c r="L101" s="229">
        <v>-4.5999999999999999E-3</v>
      </c>
      <c r="M101" s="231">
        <v>1309.3</v>
      </c>
      <c r="N101" s="231">
        <v>1321</v>
      </c>
      <c r="O101" s="228">
        <v>-11.7</v>
      </c>
      <c r="P101" s="229">
        <v>-8.8999999999999999E-3</v>
      </c>
      <c r="Q101" s="231">
        <v>1307.9000000000001</v>
      </c>
      <c r="R101" s="231">
        <v>1319.1</v>
      </c>
      <c r="S101" s="228">
        <v>-11.2</v>
      </c>
      <c r="T101" s="229">
        <v>-8.5000000000000006E-3</v>
      </c>
      <c r="U101" s="231">
        <v>1302.5999999999999</v>
      </c>
      <c r="V101" s="231">
        <v>1311.7</v>
      </c>
      <c r="W101" s="228">
        <v>-9.1</v>
      </c>
      <c r="X101" s="229">
        <v>-6.8999999999999999E-3</v>
      </c>
      <c r="Y101" s="228">
        <v>-3.3</v>
      </c>
      <c r="Z101" s="228">
        <v>2.2999999999999998</v>
      </c>
      <c r="AA101" s="228">
        <v>-5.6</v>
      </c>
      <c r="AB101" s="229">
        <v>-2.5000000000000001E-3</v>
      </c>
      <c r="AC101" s="228">
        <v>-3.3</v>
      </c>
      <c r="AD101" s="228">
        <v>2.2999999999999998</v>
      </c>
      <c r="AE101" s="228">
        <v>-5.6</v>
      </c>
      <c r="AF101" s="229">
        <v>-2.5000000000000001E-3</v>
      </c>
      <c r="AG101" s="228">
        <v>-4.7</v>
      </c>
      <c r="AH101" s="228">
        <v>0.4</v>
      </c>
      <c r="AI101" s="228">
        <v>-5.0999999999999996</v>
      </c>
      <c r="AJ101" s="229">
        <v>-3.5999999999999999E-3</v>
      </c>
      <c r="AK101" s="228">
        <v>-10</v>
      </c>
      <c r="AL101" s="228">
        <v>-7</v>
      </c>
      <c r="AM101" s="228">
        <v>-3</v>
      </c>
      <c r="AN101" s="229">
        <v>-7.6E-3</v>
      </c>
      <c r="AO101" s="231">
        <v>1313.53</v>
      </c>
      <c r="AP101" s="231">
        <v>1311.83</v>
      </c>
      <c r="AQ101" s="228">
        <v>0</v>
      </c>
      <c r="AR101" s="230">
        <v>8458000</v>
      </c>
      <c r="AS101" s="230">
        <v>11066800</v>
      </c>
      <c r="AT101" s="230">
        <v>-2608800</v>
      </c>
      <c r="AU101" s="229">
        <v>-0.23569999999999999</v>
      </c>
      <c r="AV101" s="230">
        <v>6893600</v>
      </c>
      <c r="AW101" s="230">
        <v>9677600</v>
      </c>
      <c r="AX101" s="230">
        <v>-2784000</v>
      </c>
      <c r="AY101" s="229">
        <v>-0.28770000000000001</v>
      </c>
      <c r="AZ101" s="230">
        <v>1359200</v>
      </c>
      <c r="BA101" s="230">
        <v>1233200</v>
      </c>
      <c r="BB101" s="230">
        <v>126000</v>
      </c>
      <c r="BC101" s="229">
        <v>0.1022</v>
      </c>
      <c r="BD101" s="230">
        <v>205200</v>
      </c>
      <c r="BE101" s="230">
        <v>156000</v>
      </c>
      <c r="BF101" s="230">
        <v>49200</v>
      </c>
      <c r="BG101" s="229">
        <v>0.31540000000000001</v>
      </c>
      <c r="BH101" s="230">
        <v>15445200</v>
      </c>
      <c r="BI101" s="230">
        <v>18127200</v>
      </c>
      <c r="BJ101" s="230">
        <v>-2682000</v>
      </c>
      <c r="BK101" s="229">
        <v>-0.14799999999999999</v>
      </c>
      <c r="BL101" s="230">
        <v>8981200</v>
      </c>
      <c r="BM101" s="230">
        <v>13291600</v>
      </c>
      <c r="BN101" s="230">
        <v>-4310400</v>
      </c>
      <c r="BO101" s="229">
        <v>-0.32429999999999998</v>
      </c>
      <c r="BP101" s="230">
        <v>32884400</v>
      </c>
      <c r="BQ101" s="230">
        <v>42485600</v>
      </c>
      <c r="BR101" s="230">
        <v>-9601200</v>
      </c>
      <c r="BS101" s="229">
        <v>-0.22600000000000001</v>
      </c>
      <c r="BT101" s="230">
        <v>7326848</v>
      </c>
      <c r="BU101" s="230">
        <v>12443945</v>
      </c>
      <c r="BV101" s="230">
        <v>-5117097</v>
      </c>
      <c r="BW101" s="229">
        <v>-0.41120000000000001</v>
      </c>
      <c r="BX101" s="230">
        <v>80037600</v>
      </c>
      <c r="BY101" s="230">
        <v>79619200</v>
      </c>
      <c r="BZ101" s="230">
        <v>418400</v>
      </c>
      <c r="CA101" s="229">
        <v>5.3E-3</v>
      </c>
      <c r="CB101" s="230">
        <v>74802800</v>
      </c>
      <c r="CC101" s="230">
        <v>75030800</v>
      </c>
      <c r="CD101" s="230">
        <v>-228000</v>
      </c>
      <c r="CE101" s="229">
        <v>-3.0000000000000001E-3</v>
      </c>
      <c r="CF101" s="230">
        <v>4226400</v>
      </c>
      <c r="CG101" s="230">
        <v>3689600</v>
      </c>
      <c r="CH101" s="230">
        <v>536800</v>
      </c>
      <c r="CI101" s="229">
        <v>0.14549999999999999</v>
      </c>
      <c r="CJ101" s="230">
        <v>1008400</v>
      </c>
      <c r="CK101" s="230">
        <v>898800</v>
      </c>
      <c r="CL101" s="230">
        <v>109600</v>
      </c>
      <c r="CM101" s="229">
        <v>0.12189999999999999</v>
      </c>
      <c r="CN101" s="230">
        <v>28860400</v>
      </c>
      <c r="CO101" s="230">
        <v>28466400</v>
      </c>
      <c r="CP101" s="230">
        <v>394000</v>
      </c>
      <c r="CQ101" s="229">
        <v>1.38E-2</v>
      </c>
      <c r="CR101" s="230">
        <v>20484000</v>
      </c>
      <c r="CS101" s="230">
        <v>20294800</v>
      </c>
      <c r="CT101" s="230">
        <v>189200</v>
      </c>
      <c r="CU101" s="229">
        <v>9.2999999999999992E-3</v>
      </c>
      <c r="CV101" s="230">
        <v>129382000</v>
      </c>
      <c r="CW101" s="230">
        <v>128380400</v>
      </c>
      <c r="CX101" s="230">
        <v>1001600</v>
      </c>
      <c r="CY101" s="229">
        <v>7.7999999999999996E-3</v>
      </c>
      <c r="CZ101" s="228">
        <v>39.44</v>
      </c>
      <c r="DA101" s="228">
        <v>34.840000000000003</v>
      </c>
      <c r="DB101" s="228">
        <v>4.5999999999999996</v>
      </c>
      <c r="DC101" s="228">
        <v>4.5999999999999996</v>
      </c>
      <c r="DD101" s="228">
        <v>30.88</v>
      </c>
      <c r="DE101" s="228">
        <v>30.95</v>
      </c>
      <c r="DF101" s="228">
        <v>8.56</v>
      </c>
      <c r="DG101" s="228">
        <v>-7.0000000000000007E-2</v>
      </c>
      <c r="DH101" s="228">
        <v>38.44</v>
      </c>
      <c r="DI101" s="228">
        <v>33.47</v>
      </c>
      <c r="DJ101" s="228">
        <v>4.97</v>
      </c>
      <c r="DK101" s="228">
        <v>4.97</v>
      </c>
      <c r="DL101" s="228">
        <v>41.17</v>
      </c>
      <c r="DM101" s="228">
        <v>36.72</v>
      </c>
      <c r="DN101" s="228">
        <v>4.45</v>
      </c>
      <c r="DO101" s="228">
        <v>4.45</v>
      </c>
      <c r="DP101" s="228">
        <v>0.71</v>
      </c>
      <c r="DQ101" s="228">
        <v>0.71</v>
      </c>
      <c r="DR101" s="228">
        <v>0</v>
      </c>
      <c r="DS101" s="229">
        <v>0</v>
      </c>
      <c r="DT101" s="231">
        <v>1340</v>
      </c>
      <c r="DU101" s="231">
        <v>1280</v>
      </c>
      <c r="DV101" s="228">
        <v>0.57999999999999996</v>
      </c>
      <c r="DW101" s="228">
        <v>0.73</v>
      </c>
      <c r="DX101" s="228">
        <v>-0.15</v>
      </c>
      <c r="DY101" s="229">
        <v>-0.20549999999999999</v>
      </c>
      <c r="DZ101" s="229">
        <v>6.54E-2</v>
      </c>
      <c r="EA101" s="230">
        <v>4588400</v>
      </c>
      <c r="EB101" s="229">
        <v>-1.1000000000000001E-3</v>
      </c>
      <c r="EC101" s="229">
        <v>6.54E-2</v>
      </c>
      <c r="ED101" s="228">
        <v>-1.7</v>
      </c>
      <c r="EE101" s="229">
        <v>-1.2999999999999999E-3</v>
      </c>
      <c r="EF101" s="230">
        <v>3845951</v>
      </c>
      <c r="EG101" s="230">
        <v>7412894</v>
      </c>
      <c r="EH101" s="229">
        <v>-0.48120000000000002</v>
      </c>
      <c r="EI101" s="229">
        <v>0.52490000000000003</v>
      </c>
      <c r="EJ101" s="231">
        <v>212675.25</v>
      </c>
      <c r="EK101" s="231">
        <v>115999.44</v>
      </c>
      <c r="EL101" s="231">
        <v>111058.52</v>
      </c>
      <c r="EM101" s="231">
        <v>33495</v>
      </c>
      <c r="EN101" s="231">
        <v>439733.21</v>
      </c>
      <c r="EO101" s="231">
        <v>567210.93000000005</v>
      </c>
      <c r="EP101" s="231">
        <v>-127477.72</v>
      </c>
      <c r="EQ101" s="229">
        <v>-0.22470000000000001</v>
      </c>
      <c r="ER101" s="231">
        <v>392415</v>
      </c>
      <c r="ES101" s="231">
        <v>262160</v>
      </c>
      <c r="ET101" s="231">
        <v>1047806</v>
      </c>
      <c r="EU101" s="231">
        <v>475237614</v>
      </c>
      <c r="EV101" s="231">
        <v>1702380</v>
      </c>
      <c r="EW101" s="231">
        <v>1698272</v>
      </c>
      <c r="EX101" s="231">
        <v>4108</v>
      </c>
      <c r="EY101" s="229">
        <v>2.3999999999999998E-3</v>
      </c>
      <c r="EZ101" s="229">
        <v>0.2722</v>
      </c>
      <c r="FA101" s="227" t="s">
        <v>566</v>
      </c>
      <c r="FB101" s="161">
        <f t="shared" si="1"/>
        <v>5234800</v>
      </c>
    </row>
    <row r="102" spans="1:158" ht="17.25" thickBot="1" x14ac:dyDescent="0.3">
      <c r="A102" s="226">
        <v>46132</v>
      </c>
      <c r="B102" s="227" t="s">
        <v>161</v>
      </c>
      <c r="C102" s="227" t="s">
        <v>667</v>
      </c>
      <c r="D102" s="228">
        <v>3575</v>
      </c>
      <c r="E102" s="228">
        <v>97.14</v>
      </c>
      <c r="F102" s="228">
        <v>97.82</v>
      </c>
      <c r="G102" s="228">
        <v>-0.68</v>
      </c>
      <c r="H102" s="229">
        <v>-7.0000000000000001E-3</v>
      </c>
      <c r="I102" s="228">
        <v>97.35</v>
      </c>
      <c r="J102" s="228">
        <v>97.9</v>
      </c>
      <c r="K102" s="228">
        <v>-0.55000000000000004</v>
      </c>
      <c r="L102" s="229">
        <v>-5.5999999999999999E-3</v>
      </c>
      <c r="M102" s="228">
        <v>97.14</v>
      </c>
      <c r="N102" s="228">
        <v>97.82</v>
      </c>
      <c r="O102" s="228">
        <v>-0.68</v>
      </c>
      <c r="P102" s="229">
        <v>-7.0000000000000001E-3</v>
      </c>
      <c r="Q102" s="228">
        <v>97.72</v>
      </c>
      <c r="R102" s="228">
        <v>98.22</v>
      </c>
      <c r="S102" s="228">
        <v>-0.5</v>
      </c>
      <c r="T102" s="229">
        <v>-5.1000000000000004E-3</v>
      </c>
      <c r="U102" s="228">
        <v>98.25</v>
      </c>
      <c r="V102" s="228">
        <v>98.83</v>
      </c>
      <c r="W102" s="228">
        <v>-0.57999999999999996</v>
      </c>
      <c r="X102" s="229">
        <v>-5.8999999999999999E-3</v>
      </c>
      <c r="Y102" s="228">
        <v>-0.21</v>
      </c>
      <c r="Z102" s="228">
        <v>-0.08</v>
      </c>
      <c r="AA102" s="228">
        <v>-0.13</v>
      </c>
      <c r="AB102" s="229">
        <v>-2.2000000000000001E-3</v>
      </c>
      <c r="AC102" s="228">
        <v>-0.21</v>
      </c>
      <c r="AD102" s="228">
        <v>-0.08</v>
      </c>
      <c r="AE102" s="228">
        <v>-0.13</v>
      </c>
      <c r="AF102" s="229">
        <v>-2.2000000000000001E-3</v>
      </c>
      <c r="AG102" s="228">
        <v>0.37</v>
      </c>
      <c r="AH102" s="228">
        <v>0.32</v>
      </c>
      <c r="AI102" s="228">
        <v>0.05</v>
      </c>
      <c r="AJ102" s="229">
        <v>3.8E-3</v>
      </c>
      <c r="AK102" s="228">
        <v>0.9</v>
      </c>
      <c r="AL102" s="228">
        <v>0.93</v>
      </c>
      <c r="AM102" s="228">
        <v>-0.03</v>
      </c>
      <c r="AN102" s="229">
        <v>9.1999999999999998E-3</v>
      </c>
      <c r="AO102" s="228">
        <v>97.74</v>
      </c>
      <c r="AP102" s="228">
        <v>98.33</v>
      </c>
      <c r="AQ102" s="228">
        <v>0</v>
      </c>
      <c r="AR102" s="230">
        <v>16502200</v>
      </c>
      <c r="AS102" s="230">
        <v>34248500</v>
      </c>
      <c r="AT102" s="230">
        <v>-17746300</v>
      </c>
      <c r="AU102" s="229">
        <v>-0.51819999999999999</v>
      </c>
      <c r="AV102" s="230">
        <v>11404250</v>
      </c>
      <c r="AW102" s="230">
        <v>29518775</v>
      </c>
      <c r="AX102" s="230">
        <v>-18114525</v>
      </c>
      <c r="AY102" s="229">
        <v>-0.61370000000000002</v>
      </c>
      <c r="AZ102" s="230">
        <v>4869150</v>
      </c>
      <c r="BA102" s="230">
        <v>4375800</v>
      </c>
      <c r="BB102" s="230">
        <v>493350</v>
      </c>
      <c r="BC102" s="229">
        <v>0.11269999999999999</v>
      </c>
      <c r="BD102" s="230">
        <v>228800</v>
      </c>
      <c r="BE102" s="230">
        <v>353925</v>
      </c>
      <c r="BF102" s="230">
        <v>-125125</v>
      </c>
      <c r="BG102" s="229">
        <v>-0.35349999999999998</v>
      </c>
      <c r="BH102" s="230">
        <v>20999550</v>
      </c>
      <c r="BI102" s="230">
        <v>57310825</v>
      </c>
      <c r="BJ102" s="230">
        <v>-36311275</v>
      </c>
      <c r="BK102" s="229">
        <v>-0.63360000000000005</v>
      </c>
      <c r="BL102" s="230">
        <v>6660225</v>
      </c>
      <c r="BM102" s="230">
        <v>20116525</v>
      </c>
      <c r="BN102" s="230">
        <v>-13456300</v>
      </c>
      <c r="BO102" s="229">
        <v>-0.66890000000000005</v>
      </c>
      <c r="BP102" s="230">
        <v>44161975</v>
      </c>
      <c r="BQ102" s="230">
        <v>111675850</v>
      </c>
      <c r="BR102" s="230">
        <v>-67513875</v>
      </c>
      <c r="BS102" s="229">
        <v>-0.60460000000000003</v>
      </c>
      <c r="BT102" s="230">
        <v>16743342</v>
      </c>
      <c r="BU102" s="230">
        <v>49566096</v>
      </c>
      <c r="BV102" s="230">
        <v>-32822754</v>
      </c>
      <c r="BW102" s="229">
        <v>-0.66220000000000001</v>
      </c>
      <c r="BX102" s="230">
        <v>98580625</v>
      </c>
      <c r="BY102" s="230">
        <v>100010625</v>
      </c>
      <c r="BZ102" s="230">
        <v>-1430000</v>
      </c>
      <c r="CA102" s="229">
        <v>-1.43E-2</v>
      </c>
      <c r="CB102" s="230">
        <v>86389875</v>
      </c>
      <c r="CC102" s="230">
        <v>90175800</v>
      </c>
      <c r="CD102" s="230">
        <v>-3785925</v>
      </c>
      <c r="CE102" s="229">
        <v>-4.2000000000000003E-2</v>
      </c>
      <c r="CF102" s="230">
        <v>11432850</v>
      </c>
      <c r="CG102" s="230">
        <v>9216350</v>
      </c>
      <c r="CH102" s="230">
        <v>2216500</v>
      </c>
      <c r="CI102" s="229">
        <v>0.24049999999999999</v>
      </c>
      <c r="CJ102" s="230">
        <v>757900</v>
      </c>
      <c r="CK102" s="230">
        <v>618475</v>
      </c>
      <c r="CL102" s="230">
        <v>139425</v>
      </c>
      <c r="CM102" s="229">
        <v>0.22539999999999999</v>
      </c>
      <c r="CN102" s="230">
        <v>28381925</v>
      </c>
      <c r="CO102" s="230">
        <v>27977950</v>
      </c>
      <c r="CP102" s="230">
        <v>403975</v>
      </c>
      <c r="CQ102" s="229">
        <v>1.44E-2</v>
      </c>
      <c r="CR102" s="230">
        <v>23194600</v>
      </c>
      <c r="CS102" s="230">
        <v>23073050</v>
      </c>
      <c r="CT102" s="230">
        <v>121550</v>
      </c>
      <c r="CU102" s="229">
        <v>5.3E-3</v>
      </c>
      <c r="CV102" s="230">
        <v>150157150</v>
      </c>
      <c r="CW102" s="230">
        <v>151061625</v>
      </c>
      <c r="CX102" s="230">
        <v>-904475</v>
      </c>
      <c r="CY102" s="229">
        <v>-6.0000000000000001E-3</v>
      </c>
      <c r="CZ102" s="228">
        <v>52.78</v>
      </c>
      <c r="DA102" s="228">
        <v>52.46</v>
      </c>
      <c r="DB102" s="228">
        <v>0.32</v>
      </c>
      <c r="DC102" s="228">
        <v>0.32</v>
      </c>
      <c r="DD102" s="228">
        <v>54.06</v>
      </c>
      <c r="DE102" s="228">
        <v>54.19</v>
      </c>
      <c r="DF102" s="228">
        <v>-1.28</v>
      </c>
      <c r="DG102" s="228">
        <v>-0.13</v>
      </c>
      <c r="DH102" s="228">
        <v>52.4</v>
      </c>
      <c r="DI102" s="228">
        <v>51.26</v>
      </c>
      <c r="DJ102" s="228">
        <v>1.1399999999999999</v>
      </c>
      <c r="DK102" s="228">
        <v>1.1399999999999999</v>
      </c>
      <c r="DL102" s="228">
        <v>54</v>
      </c>
      <c r="DM102" s="228">
        <v>55.88</v>
      </c>
      <c r="DN102" s="228">
        <v>-1.88</v>
      </c>
      <c r="DO102" s="228">
        <v>-1.88</v>
      </c>
      <c r="DP102" s="228">
        <v>0.82</v>
      </c>
      <c r="DQ102" s="228">
        <v>0.82</v>
      </c>
      <c r="DR102" s="228">
        <v>0</v>
      </c>
      <c r="DS102" s="229">
        <v>0</v>
      </c>
      <c r="DT102" s="228">
        <v>100</v>
      </c>
      <c r="DU102" s="228">
        <v>90</v>
      </c>
      <c r="DV102" s="228">
        <v>0.32</v>
      </c>
      <c r="DW102" s="228">
        <v>0.35</v>
      </c>
      <c r="DX102" s="228">
        <v>-0.03</v>
      </c>
      <c r="DY102" s="229">
        <v>-8.5699999999999998E-2</v>
      </c>
      <c r="DZ102" s="229">
        <v>0.1237</v>
      </c>
      <c r="EA102" s="230">
        <v>9834825</v>
      </c>
      <c r="EB102" s="229">
        <v>6.0000000000000001E-3</v>
      </c>
      <c r="EC102" s="229">
        <v>0.1237</v>
      </c>
      <c r="ED102" s="228">
        <v>0.59</v>
      </c>
      <c r="EE102" s="229">
        <v>6.0000000000000001E-3</v>
      </c>
      <c r="EF102" s="230">
        <v>5579159</v>
      </c>
      <c r="EG102" s="230">
        <v>26054836</v>
      </c>
      <c r="EH102" s="229">
        <v>-0.78590000000000004</v>
      </c>
      <c r="EI102" s="229">
        <v>0.3332</v>
      </c>
      <c r="EJ102" s="231">
        <v>21683.29</v>
      </c>
      <c r="EK102" s="231">
        <v>6420.19</v>
      </c>
      <c r="EL102" s="231">
        <v>16161.56</v>
      </c>
      <c r="EM102" s="231">
        <v>7586</v>
      </c>
      <c r="EN102" s="231">
        <v>44265.04</v>
      </c>
      <c r="EO102" s="231">
        <v>112560.05</v>
      </c>
      <c r="EP102" s="231">
        <v>-68295.009999999995</v>
      </c>
      <c r="EQ102" s="229">
        <v>-0.60670000000000002</v>
      </c>
      <c r="ER102" s="231">
        <v>26669</v>
      </c>
      <c r="ES102" s="231">
        <v>20421</v>
      </c>
      <c r="ET102" s="231">
        <v>95836</v>
      </c>
      <c r="EU102" s="231">
        <v>144708707</v>
      </c>
      <c r="EV102" s="231">
        <v>142926</v>
      </c>
      <c r="EW102" s="231">
        <v>144306</v>
      </c>
      <c r="EX102" s="231">
        <v>-1380</v>
      </c>
      <c r="EY102" s="229">
        <v>-9.5999999999999992E-3</v>
      </c>
      <c r="EZ102" s="229">
        <v>1.0377000000000001</v>
      </c>
      <c r="FA102" s="227" t="s">
        <v>567</v>
      </c>
      <c r="FB102" s="161">
        <f t="shared" si="1"/>
        <v>12190750</v>
      </c>
    </row>
    <row r="103" spans="1:158" ht="17.25" thickBot="1" x14ac:dyDescent="0.3">
      <c r="A103" s="226">
        <v>46132</v>
      </c>
      <c r="B103" s="227" t="s">
        <v>193</v>
      </c>
      <c r="C103" s="227" t="s">
        <v>241</v>
      </c>
      <c r="D103" s="228">
        <v>4875</v>
      </c>
      <c r="E103" s="228">
        <v>146.69</v>
      </c>
      <c r="F103" s="228">
        <v>146.21</v>
      </c>
      <c r="G103" s="228">
        <v>0.48</v>
      </c>
      <c r="H103" s="229">
        <v>3.3E-3</v>
      </c>
      <c r="I103" s="228">
        <v>146.87</v>
      </c>
      <c r="J103" s="228">
        <v>145.88</v>
      </c>
      <c r="K103" s="228">
        <v>0.99</v>
      </c>
      <c r="L103" s="229">
        <v>6.7999999999999996E-3</v>
      </c>
      <c r="M103" s="228">
        <v>146.69</v>
      </c>
      <c r="N103" s="228">
        <v>146.21</v>
      </c>
      <c r="O103" s="228">
        <v>0.48</v>
      </c>
      <c r="P103" s="229">
        <v>3.3E-3</v>
      </c>
      <c r="Q103" s="228">
        <v>147.81</v>
      </c>
      <c r="R103" s="228">
        <v>147.03</v>
      </c>
      <c r="S103" s="228">
        <v>0.78</v>
      </c>
      <c r="T103" s="229">
        <v>5.3E-3</v>
      </c>
      <c r="U103" s="228">
        <v>148.30000000000001</v>
      </c>
      <c r="V103" s="228">
        <v>147.93</v>
      </c>
      <c r="W103" s="228">
        <v>0.37</v>
      </c>
      <c r="X103" s="229">
        <v>2.5000000000000001E-3</v>
      </c>
      <c r="Y103" s="228">
        <v>-0.18</v>
      </c>
      <c r="Z103" s="228">
        <v>0.33</v>
      </c>
      <c r="AA103" s="228">
        <v>-0.51</v>
      </c>
      <c r="AB103" s="229">
        <v>-1.1999999999999999E-3</v>
      </c>
      <c r="AC103" s="228">
        <v>-0.18</v>
      </c>
      <c r="AD103" s="228">
        <v>0.33</v>
      </c>
      <c r="AE103" s="228">
        <v>-0.51</v>
      </c>
      <c r="AF103" s="229">
        <v>-1.1999999999999999E-3</v>
      </c>
      <c r="AG103" s="228">
        <v>0.94</v>
      </c>
      <c r="AH103" s="228">
        <v>1.1499999999999999</v>
      </c>
      <c r="AI103" s="228">
        <v>-0.21</v>
      </c>
      <c r="AJ103" s="229">
        <v>6.4000000000000003E-3</v>
      </c>
      <c r="AK103" s="228">
        <v>1.43</v>
      </c>
      <c r="AL103" s="228">
        <v>2.0499999999999998</v>
      </c>
      <c r="AM103" s="228">
        <v>-0.62</v>
      </c>
      <c r="AN103" s="229">
        <v>9.7000000000000003E-3</v>
      </c>
      <c r="AO103" s="228">
        <v>146.59</v>
      </c>
      <c r="AP103" s="228">
        <v>147.62</v>
      </c>
      <c r="AQ103" s="228">
        <v>0</v>
      </c>
      <c r="AR103" s="230">
        <v>23185500</v>
      </c>
      <c r="AS103" s="230">
        <v>13435500</v>
      </c>
      <c r="AT103" s="230">
        <v>9750000</v>
      </c>
      <c r="AU103" s="229">
        <v>0.72570000000000001</v>
      </c>
      <c r="AV103" s="230">
        <v>16779750</v>
      </c>
      <c r="AW103" s="230">
        <v>10710375</v>
      </c>
      <c r="AX103" s="230">
        <v>6069375</v>
      </c>
      <c r="AY103" s="229">
        <v>0.56669999999999998</v>
      </c>
      <c r="AZ103" s="230">
        <v>5962125</v>
      </c>
      <c r="BA103" s="230">
        <v>2525250</v>
      </c>
      <c r="BB103" s="230">
        <v>3436875</v>
      </c>
      <c r="BC103" s="229">
        <v>1.361</v>
      </c>
      <c r="BD103" s="230">
        <v>443625</v>
      </c>
      <c r="BE103" s="230">
        <v>199875</v>
      </c>
      <c r="BF103" s="230">
        <v>243750</v>
      </c>
      <c r="BG103" s="229">
        <v>1.2195</v>
      </c>
      <c r="BH103" s="230">
        <v>55828500</v>
      </c>
      <c r="BI103" s="230">
        <v>35265750</v>
      </c>
      <c r="BJ103" s="230">
        <v>20562750</v>
      </c>
      <c r="BK103" s="229">
        <v>0.58309999999999995</v>
      </c>
      <c r="BL103" s="230">
        <v>37064625</v>
      </c>
      <c r="BM103" s="230">
        <v>21016125</v>
      </c>
      <c r="BN103" s="230">
        <v>16048500</v>
      </c>
      <c r="BO103" s="229">
        <v>0.76359999999999995</v>
      </c>
      <c r="BP103" s="230">
        <v>116078625</v>
      </c>
      <c r="BQ103" s="230">
        <v>69717375</v>
      </c>
      <c r="BR103" s="230">
        <v>46361250</v>
      </c>
      <c r="BS103" s="229">
        <v>0.66500000000000004</v>
      </c>
      <c r="BT103" s="230">
        <v>15312272</v>
      </c>
      <c r="BU103" s="230">
        <v>12371010</v>
      </c>
      <c r="BV103" s="230">
        <v>2941262</v>
      </c>
      <c r="BW103" s="229">
        <v>0.23780000000000001</v>
      </c>
      <c r="BX103" s="230">
        <v>103993500</v>
      </c>
      <c r="BY103" s="230">
        <v>102482250</v>
      </c>
      <c r="BZ103" s="230">
        <v>1511250</v>
      </c>
      <c r="CA103" s="229">
        <v>1.47E-2</v>
      </c>
      <c r="CB103" s="230">
        <v>90562875</v>
      </c>
      <c r="CC103" s="230">
        <v>91459875</v>
      </c>
      <c r="CD103" s="230">
        <v>-897000</v>
      </c>
      <c r="CE103" s="229">
        <v>-9.7999999999999997E-3</v>
      </c>
      <c r="CF103" s="230">
        <v>7751250</v>
      </c>
      <c r="CG103" s="230">
        <v>5460000</v>
      </c>
      <c r="CH103" s="230">
        <v>2291250</v>
      </c>
      <c r="CI103" s="229">
        <v>0.41959999999999997</v>
      </c>
      <c r="CJ103" s="230">
        <v>5679375</v>
      </c>
      <c r="CK103" s="230">
        <v>5562375</v>
      </c>
      <c r="CL103" s="230">
        <v>117000</v>
      </c>
      <c r="CM103" s="229">
        <v>2.1000000000000001E-2</v>
      </c>
      <c r="CN103" s="230">
        <v>69917250</v>
      </c>
      <c r="CO103" s="230">
        <v>64652250</v>
      </c>
      <c r="CP103" s="230">
        <v>5265000</v>
      </c>
      <c r="CQ103" s="229">
        <v>8.14E-2</v>
      </c>
      <c r="CR103" s="230">
        <v>49798125</v>
      </c>
      <c r="CS103" s="230">
        <v>47326500</v>
      </c>
      <c r="CT103" s="230">
        <v>2471625</v>
      </c>
      <c r="CU103" s="229">
        <v>5.2200000000000003E-2</v>
      </c>
      <c r="CV103" s="230">
        <v>223708875</v>
      </c>
      <c r="CW103" s="230">
        <v>214461000</v>
      </c>
      <c r="CX103" s="230">
        <v>9247875</v>
      </c>
      <c r="CY103" s="229">
        <v>4.3099999999999999E-2</v>
      </c>
      <c r="CZ103" s="228">
        <v>37.28</v>
      </c>
      <c r="DA103" s="228">
        <v>34.14</v>
      </c>
      <c r="DB103" s="228">
        <v>3.14</v>
      </c>
      <c r="DC103" s="228">
        <v>3.14</v>
      </c>
      <c r="DD103" s="228">
        <v>34.03</v>
      </c>
      <c r="DE103" s="228">
        <v>34.11</v>
      </c>
      <c r="DF103" s="228">
        <v>3.25</v>
      </c>
      <c r="DG103" s="228">
        <v>-0.08</v>
      </c>
      <c r="DH103" s="228">
        <v>36.270000000000003</v>
      </c>
      <c r="DI103" s="228">
        <v>32.92</v>
      </c>
      <c r="DJ103" s="228">
        <v>3.35</v>
      </c>
      <c r="DK103" s="228">
        <v>3.35</v>
      </c>
      <c r="DL103" s="228">
        <v>38.79</v>
      </c>
      <c r="DM103" s="228">
        <v>36.18</v>
      </c>
      <c r="DN103" s="228">
        <v>2.61</v>
      </c>
      <c r="DO103" s="228">
        <v>2.61</v>
      </c>
      <c r="DP103" s="228">
        <v>0.71</v>
      </c>
      <c r="DQ103" s="228">
        <v>0.73</v>
      </c>
      <c r="DR103" s="228">
        <v>-0.02</v>
      </c>
      <c r="DS103" s="229">
        <v>-2.7400000000000001E-2</v>
      </c>
      <c r="DT103" s="228">
        <v>150</v>
      </c>
      <c r="DU103" s="228">
        <v>140</v>
      </c>
      <c r="DV103" s="228">
        <v>0.66</v>
      </c>
      <c r="DW103" s="228">
        <v>0.6</v>
      </c>
      <c r="DX103" s="228">
        <v>0.06</v>
      </c>
      <c r="DY103" s="229">
        <v>0.1</v>
      </c>
      <c r="DZ103" s="229">
        <v>0.12909999999999999</v>
      </c>
      <c r="EA103" s="230">
        <v>11022375</v>
      </c>
      <c r="EB103" s="229">
        <v>7.6E-3</v>
      </c>
      <c r="EC103" s="229">
        <v>0.12909999999999999</v>
      </c>
      <c r="ED103" s="228">
        <v>1.03</v>
      </c>
      <c r="EE103" s="229">
        <v>7.0000000000000001E-3</v>
      </c>
      <c r="EF103" s="230">
        <v>6873939</v>
      </c>
      <c r="EG103" s="230">
        <v>6337224</v>
      </c>
      <c r="EH103" s="229">
        <v>8.4699999999999998E-2</v>
      </c>
      <c r="EI103" s="229">
        <v>0.44890000000000002</v>
      </c>
      <c r="EJ103" s="231">
        <v>86060.36</v>
      </c>
      <c r="EK103" s="231">
        <v>52925.3</v>
      </c>
      <c r="EL103" s="231">
        <v>34056.44</v>
      </c>
      <c r="EM103" s="231">
        <v>3615</v>
      </c>
      <c r="EN103" s="231">
        <v>173042.1</v>
      </c>
      <c r="EO103" s="231">
        <v>103524.18</v>
      </c>
      <c r="EP103" s="231">
        <v>69517.919999999998</v>
      </c>
      <c r="EQ103" s="229">
        <v>0.67149999999999999</v>
      </c>
      <c r="ER103" s="231">
        <v>106947</v>
      </c>
      <c r="ES103" s="231">
        <v>69966</v>
      </c>
      <c r="ET103" s="231">
        <v>152726</v>
      </c>
      <c r="EU103" s="231">
        <v>684903861</v>
      </c>
      <c r="EV103" s="231">
        <v>329639</v>
      </c>
      <c r="EW103" s="231">
        <v>315113</v>
      </c>
      <c r="EX103" s="231">
        <v>14526</v>
      </c>
      <c r="EY103" s="229">
        <v>4.6100000000000002E-2</v>
      </c>
      <c r="EZ103" s="229">
        <v>0.3266</v>
      </c>
      <c r="FA103" s="227" t="s">
        <v>555</v>
      </c>
      <c r="FB103" s="161">
        <f t="shared" si="1"/>
        <v>13430625</v>
      </c>
    </row>
    <row r="104" spans="1:158" ht="17.25" thickBot="1" x14ac:dyDescent="0.3">
      <c r="A104" s="226">
        <v>46132</v>
      </c>
      <c r="B104" s="227" t="s">
        <v>175</v>
      </c>
      <c r="C104" s="227" t="s">
        <v>663</v>
      </c>
      <c r="D104" s="228">
        <v>3450</v>
      </c>
      <c r="E104" s="228">
        <v>130.34</v>
      </c>
      <c r="F104" s="228">
        <v>133.36000000000001</v>
      </c>
      <c r="G104" s="228">
        <v>-3.02</v>
      </c>
      <c r="H104" s="229">
        <v>-2.2599999999999999E-2</v>
      </c>
      <c r="I104" s="228">
        <v>130.13999999999999</v>
      </c>
      <c r="J104" s="228">
        <v>133.01</v>
      </c>
      <c r="K104" s="228">
        <v>-2.87</v>
      </c>
      <c r="L104" s="229">
        <v>-2.1600000000000001E-2</v>
      </c>
      <c r="M104" s="228">
        <v>130.34</v>
      </c>
      <c r="N104" s="228">
        <v>133.36000000000001</v>
      </c>
      <c r="O104" s="228">
        <v>-3.02</v>
      </c>
      <c r="P104" s="229">
        <v>-2.2599999999999999E-2</v>
      </c>
      <c r="Q104" s="228">
        <v>128.38999999999999</v>
      </c>
      <c r="R104" s="228">
        <v>131.13</v>
      </c>
      <c r="S104" s="228">
        <v>-2.74</v>
      </c>
      <c r="T104" s="229">
        <v>-2.0899999999999998E-2</v>
      </c>
      <c r="U104" s="228">
        <v>127.65</v>
      </c>
      <c r="V104" s="228">
        <v>129.97</v>
      </c>
      <c r="W104" s="228">
        <v>-2.3199999999999998</v>
      </c>
      <c r="X104" s="229">
        <v>-1.7899999999999999E-2</v>
      </c>
      <c r="Y104" s="228">
        <v>0.2</v>
      </c>
      <c r="Z104" s="228">
        <v>0.35</v>
      </c>
      <c r="AA104" s="228">
        <v>-0.15</v>
      </c>
      <c r="AB104" s="229">
        <v>1.5E-3</v>
      </c>
      <c r="AC104" s="228">
        <v>0.2</v>
      </c>
      <c r="AD104" s="228">
        <v>0.35</v>
      </c>
      <c r="AE104" s="228">
        <v>-0.15</v>
      </c>
      <c r="AF104" s="229">
        <v>1.5E-3</v>
      </c>
      <c r="AG104" s="228">
        <v>-1.75</v>
      </c>
      <c r="AH104" s="228">
        <v>-1.88</v>
      </c>
      <c r="AI104" s="228">
        <v>0.13</v>
      </c>
      <c r="AJ104" s="229">
        <v>-1.34E-2</v>
      </c>
      <c r="AK104" s="228">
        <v>-2.4900000000000002</v>
      </c>
      <c r="AL104" s="228">
        <v>-3.04</v>
      </c>
      <c r="AM104" s="228">
        <v>0.55000000000000004</v>
      </c>
      <c r="AN104" s="229">
        <v>-1.9099999999999999E-2</v>
      </c>
      <c r="AO104" s="228">
        <v>131.4</v>
      </c>
      <c r="AP104" s="228">
        <v>129.32</v>
      </c>
      <c r="AQ104" s="228">
        <v>0</v>
      </c>
      <c r="AR104" s="230">
        <v>13041000</v>
      </c>
      <c r="AS104" s="230">
        <v>24743400</v>
      </c>
      <c r="AT104" s="230">
        <v>-11702400</v>
      </c>
      <c r="AU104" s="229">
        <v>-0.47299999999999998</v>
      </c>
      <c r="AV104" s="230">
        <v>8107500</v>
      </c>
      <c r="AW104" s="230">
        <v>17736450</v>
      </c>
      <c r="AX104" s="230">
        <v>-9628950</v>
      </c>
      <c r="AY104" s="229">
        <v>-0.54290000000000005</v>
      </c>
      <c r="AZ104" s="230">
        <v>4284900</v>
      </c>
      <c r="BA104" s="230">
        <v>6096150</v>
      </c>
      <c r="BB104" s="230">
        <v>-1811250</v>
      </c>
      <c r="BC104" s="229">
        <v>-0.29709999999999998</v>
      </c>
      <c r="BD104" s="230">
        <v>648600</v>
      </c>
      <c r="BE104" s="230">
        <v>910800</v>
      </c>
      <c r="BF104" s="230">
        <v>-262200</v>
      </c>
      <c r="BG104" s="229">
        <v>-0.28789999999999999</v>
      </c>
      <c r="BH104" s="230">
        <v>14714250</v>
      </c>
      <c r="BI104" s="230">
        <v>51536100</v>
      </c>
      <c r="BJ104" s="230">
        <v>-36821850</v>
      </c>
      <c r="BK104" s="229">
        <v>-0.71450000000000002</v>
      </c>
      <c r="BL104" s="230">
        <v>5513100</v>
      </c>
      <c r="BM104" s="230">
        <v>16673850</v>
      </c>
      <c r="BN104" s="230">
        <v>-11160750</v>
      </c>
      <c r="BO104" s="229">
        <v>-0.6694</v>
      </c>
      <c r="BP104" s="230">
        <v>33268350</v>
      </c>
      <c r="BQ104" s="230">
        <v>92953350</v>
      </c>
      <c r="BR104" s="230">
        <v>-59685000</v>
      </c>
      <c r="BS104" s="229">
        <v>-0.6421</v>
      </c>
      <c r="BT104" s="230">
        <v>10290021</v>
      </c>
      <c r="BU104" s="230">
        <v>17993401</v>
      </c>
      <c r="BV104" s="230">
        <v>-7703380</v>
      </c>
      <c r="BW104" s="229">
        <v>-0.42809999999999998</v>
      </c>
      <c r="BX104" s="230">
        <v>60171450</v>
      </c>
      <c r="BY104" s="230">
        <v>57973800</v>
      </c>
      <c r="BZ104" s="230">
        <v>2197650</v>
      </c>
      <c r="CA104" s="229">
        <v>3.7900000000000003E-2</v>
      </c>
      <c r="CB104" s="230">
        <v>42959400</v>
      </c>
      <c r="CC104" s="230">
        <v>42438450</v>
      </c>
      <c r="CD104" s="230">
        <v>520950</v>
      </c>
      <c r="CE104" s="229">
        <v>1.23E-2</v>
      </c>
      <c r="CF104" s="230">
        <v>14210550</v>
      </c>
      <c r="CG104" s="230">
        <v>12940950</v>
      </c>
      <c r="CH104" s="230">
        <v>1269600</v>
      </c>
      <c r="CI104" s="229">
        <v>9.8100000000000007E-2</v>
      </c>
      <c r="CJ104" s="230">
        <v>3001500</v>
      </c>
      <c r="CK104" s="230">
        <v>2594400</v>
      </c>
      <c r="CL104" s="230">
        <v>407100</v>
      </c>
      <c r="CM104" s="229">
        <v>0.15690000000000001</v>
      </c>
      <c r="CN104" s="230">
        <v>25240200</v>
      </c>
      <c r="CO104" s="230">
        <v>24960750</v>
      </c>
      <c r="CP104" s="230">
        <v>279450</v>
      </c>
      <c r="CQ104" s="229">
        <v>1.12E-2</v>
      </c>
      <c r="CR104" s="230">
        <v>19616700</v>
      </c>
      <c r="CS104" s="230">
        <v>19706400</v>
      </c>
      <c r="CT104" s="230">
        <v>-89700</v>
      </c>
      <c r="CU104" s="229">
        <v>-4.5999999999999999E-3</v>
      </c>
      <c r="CV104" s="230">
        <v>105028350</v>
      </c>
      <c r="CW104" s="230">
        <v>102640950</v>
      </c>
      <c r="CX104" s="230">
        <v>2387400</v>
      </c>
      <c r="CY104" s="229">
        <v>2.3300000000000001E-2</v>
      </c>
      <c r="CZ104" s="228">
        <v>47.03</v>
      </c>
      <c r="DA104" s="228">
        <v>41.7</v>
      </c>
      <c r="DB104" s="228">
        <v>5.33</v>
      </c>
      <c r="DC104" s="228">
        <v>5.33</v>
      </c>
      <c r="DD104" s="228">
        <v>48.66</v>
      </c>
      <c r="DE104" s="228">
        <v>48.69</v>
      </c>
      <c r="DF104" s="228">
        <v>-1.63</v>
      </c>
      <c r="DG104" s="228">
        <v>-0.03</v>
      </c>
      <c r="DH104" s="228">
        <v>46.86</v>
      </c>
      <c r="DI104" s="228">
        <v>40.909999999999997</v>
      </c>
      <c r="DJ104" s="228">
        <v>5.95</v>
      </c>
      <c r="DK104" s="228">
        <v>5.95</v>
      </c>
      <c r="DL104" s="228">
        <v>47.5</v>
      </c>
      <c r="DM104" s="228">
        <v>44.15</v>
      </c>
      <c r="DN104" s="228">
        <v>3.35</v>
      </c>
      <c r="DO104" s="228">
        <v>3.35</v>
      </c>
      <c r="DP104" s="228">
        <v>0.78</v>
      </c>
      <c r="DQ104" s="228">
        <v>0.79</v>
      </c>
      <c r="DR104" s="228">
        <v>-0.01</v>
      </c>
      <c r="DS104" s="229">
        <v>-1.2699999999999999E-2</v>
      </c>
      <c r="DT104" s="228">
        <v>140</v>
      </c>
      <c r="DU104" s="228">
        <v>120</v>
      </c>
      <c r="DV104" s="228">
        <v>0.37</v>
      </c>
      <c r="DW104" s="228">
        <v>0.32</v>
      </c>
      <c r="DX104" s="228">
        <v>0.05</v>
      </c>
      <c r="DY104" s="229">
        <v>0.15620000000000001</v>
      </c>
      <c r="DZ104" s="229">
        <v>0.28610000000000002</v>
      </c>
      <c r="EA104" s="230">
        <v>15535350</v>
      </c>
      <c r="EB104" s="229">
        <v>-1.4999999999999999E-2</v>
      </c>
      <c r="EC104" s="229">
        <v>0.28610000000000002</v>
      </c>
      <c r="ED104" s="228">
        <v>-2.08</v>
      </c>
      <c r="EE104" s="229">
        <v>-1.5800000000000002E-2</v>
      </c>
      <c r="EF104" s="230">
        <v>4118106</v>
      </c>
      <c r="EG104" s="230">
        <v>5447035</v>
      </c>
      <c r="EH104" s="229">
        <v>-0.24399999999999999</v>
      </c>
      <c r="EI104" s="229">
        <v>0.4002</v>
      </c>
      <c r="EJ104" s="231">
        <v>20408.11</v>
      </c>
      <c r="EK104" s="231">
        <v>7169.09</v>
      </c>
      <c r="EL104" s="231">
        <v>17027.88</v>
      </c>
      <c r="EM104" s="231">
        <v>5090</v>
      </c>
      <c r="EN104" s="231">
        <v>44605.08</v>
      </c>
      <c r="EO104" s="231">
        <v>125717.06</v>
      </c>
      <c r="EP104" s="231">
        <v>-81111.98</v>
      </c>
      <c r="EQ104" s="229">
        <v>-0.6452</v>
      </c>
      <c r="ER104" s="231">
        <v>32953</v>
      </c>
      <c r="ES104" s="231">
        <v>24008</v>
      </c>
      <c r="ET104" s="231">
        <v>78070</v>
      </c>
      <c r="EU104" s="231">
        <v>119011160</v>
      </c>
      <c r="EV104" s="231">
        <v>135031</v>
      </c>
      <c r="EW104" s="231">
        <v>133631</v>
      </c>
      <c r="EX104" s="231">
        <v>1400</v>
      </c>
      <c r="EY104" s="229">
        <v>1.0500000000000001E-2</v>
      </c>
      <c r="EZ104" s="229">
        <v>0.88249999999999995</v>
      </c>
      <c r="FA104" s="227" t="s">
        <v>566</v>
      </c>
      <c r="FB104" s="161">
        <f t="shared" si="1"/>
        <v>17212050</v>
      </c>
    </row>
    <row r="105" spans="1:158" ht="17.25" thickBot="1" x14ac:dyDescent="0.3">
      <c r="A105" s="226">
        <v>46132</v>
      </c>
      <c r="B105" s="227" t="s">
        <v>215</v>
      </c>
      <c r="C105" s="227" t="s">
        <v>591</v>
      </c>
      <c r="D105" s="228">
        <v>4250</v>
      </c>
      <c r="E105" s="228">
        <v>103.09</v>
      </c>
      <c r="F105" s="228">
        <v>104.84</v>
      </c>
      <c r="G105" s="228">
        <v>-1.75</v>
      </c>
      <c r="H105" s="229">
        <v>-1.67E-2</v>
      </c>
      <c r="I105" s="228">
        <v>103.02</v>
      </c>
      <c r="J105" s="228">
        <v>104.84</v>
      </c>
      <c r="K105" s="228">
        <v>-1.82</v>
      </c>
      <c r="L105" s="229">
        <v>-1.7399999999999999E-2</v>
      </c>
      <c r="M105" s="228">
        <v>103.09</v>
      </c>
      <c r="N105" s="228">
        <v>104.84</v>
      </c>
      <c r="O105" s="228">
        <v>-1.75</v>
      </c>
      <c r="P105" s="229">
        <v>-1.67E-2</v>
      </c>
      <c r="Q105" s="228">
        <v>102.13</v>
      </c>
      <c r="R105" s="228">
        <v>103.8</v>
      </c>
      <c r="S105" s="228">
        <v>-1.67</v>
      </c>
      <c r="T105" s="229">
        <v>-1.61E-2</v>
      </c>
      <c r="U105" s="228">
        <v>102.11</v>
      </c>
      <c r="V105" s="228">
        <v>103.4</v>
      </c>
      <c r="W105" s="228">
        <v>-1.29</v>
      </c>
      <c r="X105" s="229">
        <v>-1.2500000000000001E-2</v>
      </c>
      <c r="Y105" s="228">
        <v>7.0000000000000007E-2</v>
      </c>
      <c r="Z105" s="228">
        <v>0</v>
      </c>
      <c r="AA105" s="228">
        <v>7.0000000000000007E-2</v>
      </c>
      <c r="AB105" s="229">
        <v>6.9999999999999999E-4</v>
      </c>
      <c r="AC105" s="228">
        <v>7.0000000000000007E-2</v>
      </c>
      <c r="AD105" s="228">
        <v>0</v>
      </c>
      <c r="AE105" s="228">
        <v>7.0000000000000007E-2</v>
      </c>
      <c r="AF105" s="229">
        <v>6.9999999999999999E-4</v>
      </c>
      <c r="AG105" s="228">
        <v>-0.89</v>
      </c>
      <c r="AH105" s="228">
        <v>-1.04</v>
      </c>
      <c r="AI105" s="228">
        <v>0.15</v>
      </c>
      <c r="AJ105" s="229">
        <v>-8.6E-3</v>
      </c>
      <c r="AK105" s="228">
        <v>-0.91</v>
      </c>
      <c r="AL105" s="228">
        <v>-1.44</v>
      </c>
      <c r="AM105" s="228">
        <v>0.53</v>
      </c>
      <c r="AN105" s="229">
        <v>-8.8000000000000005E-3</v>
      </c>
      <c r="AO105" s="228">
        <v>103.5</v>
      </c>
      <c r="AP105" s="228">
        <v>102.56</v>
      </c>
      <c r="AQ105" s="228">
        <v>0</v>
      </c>
      <c r="AR105" s="230">
        <v>11317750</v>
      </c>
      <c r="AS105" s="230">
        <v>18228250</v>
      </c>
      <c r="AT105" s="230">
        <v>-6910500</v>
      </c>
      <c r="AU105" s="229">
        <v>-0.37909999999999999</v>
      </c>
      <c r="AV105" s="230">
        <v>7008250</v>
      </c>
      <c r="AW105" s="230">
        <v>13183500</v>
      </c>
      <c r="AX105" s="230">
        <v>-6175250</v>
      </c>
      <c r="AY105" s="229">
        <v>-0.46839999999999998</v>
      </c>
      <c r="AZ105" s="230">
        <v>3876000</v>
      </c>
      <c r="BA105" s="230">
        <v>3969500</v>
      </c>
      <c r="BB105" s="230">
        <v>-93500</v>
      </c>
      <c r="BC105" s="229">
        <v>-2.3599999999999999E-2</v>
      </c>
      <c r="BD105" s="230">
        <v>433500</v>
      </c>
      <c r="BE105" s="230">
        <v>1075250</v>
      </c>
      <c r="BF105" s="230">
        <v>-641750</v>
      </c>
      <c r="BG105" s="229">
        <v>-0.5968</v>
      </c>
      <c r="BH105" s="230">
        <v>29639500</v>
      </c>
      <c r="BI105" s="230">
        <v>73686500</v>
      </c>
      <c r="BJ105" s="230">
        <v>-44047000</v>
      </c>
      <c r="BK105" s="229">
        <v>-0.5978</v>
      </c>
      <c r="BL105" s="230">
        <v>12979500</v>
      </c>
      <c r="BM105" s="230">
        <v>28844750</v>
      </c>
      <c r="BN105" s="230">
        <v>-15865250</v>
      </c>
      <c r="BO105" s="229">
        <v>-0.55000000000000004</v>
      </c>
      <c r="BP105" s="230">
        <v>53936750</v>
      </c>
      <c r="BQ105" s="230">
        <v>120759500</v>
      </c>
      <c r="BR105" s="230">
        <v>-66822750</v>
      </c>
      <c r="BS105" s="229">
        <v>-0.5534</v>
      </c>
      <c r="BT105" s="230">
        <v>16911077</v>
      </c>
      <c r="BU105" s="230">
        <v>35294190</v>
      </c>
      <c r="BV105" s="230">
        <v>-18383113</v>
      </c>
      <c r="BW105" s="229">
        <v>-0.52090000000000003</v>
      </c>
      <c r="BX105" s="230">
        <v>61166000</v>
      </c>
      <c r="BY105" s="230">
        <v>59262000</v>
      </c>
      <c r="BZ105" s="230">
        <v>1904000</v>
      </c>
      <c r="CA105" s="229">
        <v>3.2099999999999997E-2</v>
      </c>
      <c r="CB105" s="230">
        <v>45445250</v>
      </c>
      <c r="CC105" s="230">
        <v>45283750</v>
      </c>
      <c r="CD105" s="230">
        <v>161500</v>
      </c>
      <c r="CE105" s="229">
        <v>3.5999999999999999E-3</v>
      </c>
      <c r="CF105" s="230">
        <v>13668000</v>
      </c>
      <c r="CG105" s="230">
        <v>12027500</v>
      </c>
      <c r="CH105" s="230">
        <v>1640500</v>
      </c>
      <c r="CI105" s="229">
        <v>0.13639999999999999</v>
      </c>
      <c r="CJ105" s="230">
        <v>2052750</v>
      </c>
      <c r="CK105" s="230">
        <v>1950750</v>
      </c>
      <c r="CL105" s="230">
        <v>102000</v>
      </c>
      <c r="CM105" s="229">
        <v>5.2299999999999999E-2</v>
      </c>
      <c r="CN105" s="230">
        <v>42300250</v>
      </c>
      <c r="CO105" s="230">
        <v>42334250</v>
      </c>
      <c r="CP105" s="230">
        <v>-34000</v>
      </c>
      <c r="CQ105" s="229">
        <v>-8.0000000000000004E-4</v>
      </c>
      <c r="CR105" s="230">
        <v>29427000</v>
      </c>
      <c r="CS105" s="230">
        <v>30285500</v>
      </c>
      <c r="CT105" s="230">
        <v>-858500</v>
      </c>
      <c r="CU105" s="229">
        <v>-2.8299999999999999E-2</v>
      </c>
      <c r="CV105" s="230">
        <v>132893250</v>
      </c>
      <c r="CW105" s="230">
        <v>131881750</v>
      </c>
      <c r="CX105" s="230">
        <v>1011500</v>
      </c>
      <c r="CY105" s="229">
        <v>7.7000000000000002E-3</v>
      </c>
      <c r="CZ105" s="228">
        <v>41.68</v>
      </c>
      <c r="DA105" s="228">
        <v>38.06</v>
      </c>
      <c r="DB105" s="228">
        <v>3.62</v>
      </c>
      <c r="DC105" s="228">
        <v>3.62</v>
      </c>
      <c r="DD105" s="228">
        <v>45.73</v>
      </c>
      <c r="DE105" s="228">
        <v>45.78</v>
      </c>
      <c r="DF105" s="228">
        <v>-4.05</v>
      </c>
      <c r="DG105" s="228">
        <v>-0.05</v>
      </c>
      <c r="DH105" s="228">
        <v>41.53</v>
      </c>
      <c r="DI105" s="228">
        <v>37.24</v>
      </c>
      <c r="DJ105" s="228">
        <v>4.29</v>
      </c>
      <c r="DK105" s="228">
        <v>4.29</v>
      </c>
      <c r="DL105" s="228">
        <v>42</v>
      </c>
      <c r="DM105" s="228">
        <v>40.17</v>
      </c>
      <c r="DN105" s="228">
        <v>1.83</v>
      </c>
      <c r="DO105" s="228">
        <v>1.83</v>
      </c>
      <c r="DP105" s="228">
        <v>0.7</v>
      </c>
      <c r="DQ105" s="228">
        <v>0.72</v>
      </c>
      <c r="DR105" s="228">
        <v>-0.02</v>
      </c>
      <c r="DS105" s="229">
        <v>-2.7799999999999998E-2</v>
      </c>
      <c r="DT105" s="228">
        <v>110</v>
      </c>
      <c r="DU105" s="228">
        <v>85</v>
      </c>
      <c r="DV105" s="228">
        <v>0.44</v>
      </c>
      <c r="DW105" s="228">
        <v>0.39</v>
      </c>
      <c r="DX105" s="228">
        <v>0.05</v>
      </c>
      <c r="DY105" s="229">
        <v>0.12820000000000001</v>
      </c>
      <c r="DZ105" s="229">
        <v>0.25700000000000001</v>
      </c>
      <c r="EA105" s="230">
        <v>13978250</v>
      </c>
      <c r="EB105" s="229">
        <v>-9.2999999999999992E-3</v>
      </c>
      <c r="EC105" s="229">
        <v>0.25700000000000001</v>
      </c>
      <c r="ED105" s="228">
        <v>-0.94</v>
      </c>
      <c r="EE105" s="229">
        <v>-9.1000000000000004E-3</v>
      </c>
      <c r="EF105" s="230">
        <v>5052908</v>
      </c>
      <c r="EG105" s="230">
        <v>8283457</v>
      </c>
      <c r="EH105" s="229">
        <v>-0.39</v>
      </c>
      <c r="EI105" s="229">
        <v>0.29880000000000001</v>
      </c>
      <c r="EJ105" s="231">
        <v>32557.89</v>
      </c>
      <c r="EK105" s="231">
        <v>13083.85</v>
      </c>
      <c r="EL105" s="231">
        <v>11671.26</v>
      </c>
      <c r="EM105" s="231">
        <v>3396</v>
      </c>
      <c r="EN105" s="231">
        <v>57313</v>
      </c>
      <c r="EO105" s="231">
        <v>129742.47</v>
      </c>
      <c r="EP105" s="231">
        <v>-72429.47</v>
      </c>
      <c r="EQ105" s="229">
        <v>-0.55830000000000002</v>
      </c>
      <c r="ER105" s="231">
        <v>45009</v>
      </c>
      <c r="ES105" s="231">
        <v>28609</v>
      </c>
      <c r="ET105" s="231">
        <v>62905</v>
      </c>
      <c r="EU105" s="231">
        <v>267310350</v>
      </c>
      <c r="EV105" s="231">
        <v>136523</v>
      </c>
      <c r="EW105" s="231">
        <v>136458</v>
      </c>
      <c r="EX105" s="228">
        <v>65</v>
      </c>
      <c r="EY105" s="229">
        <v>5.0000000000000001E-4</v>
      </c>
      <c r="EZ105" s="229">
        <v>0.49709999999999999</v>
      </c>
      <c r="FA105" s="227" t="s">
        <v>566</v>
      </c>
      <c r="FB105" s="161">
        <f t="shared" si="1"/>
        <v>15720750</v>
      </c>
    </row>
    <row r="106" spans="1:158" ht="17.25" thickBot="1" x14ac:dyDescent="0.3">
      <c r="A106" s="226">
        <v>46132</v>
      </c>
      <c r="B106" s="227" t="s">
        <v>168</v>
      </c>
      <c r="C106" s="227" t="s">
        <v>242</v>
      </c>
      <c r="D106" s="228">
        <v>1600</v>
      </c>
      <c r="E106" s="228">
        <v>305.25</v>
      </c>
      <c r="F106" s="228">
        <v>307.5</v>
      </c>
      <c r="G106" s="228">
        <v>-2.25</v>
      </c>
      <c r="H106" s="229">
        <v>-7.3000000000000001E-3</v>
      </c>
      <c r="I106" s="228">
        <v>305</v>
      </c>
      <c r="J106" s="228">
        <v>306.8</v>
      </c>
      <c r="K106" s="228">
        <v>-1.8</v>
      </c>
      <c r="L106" s="229">
        <v>-5.8999999999999999E-3</v>
      </c>
      <c r="M106" s="228">
        <v>305.25</v>
      </c>
      <c r="N106" s="228">
        <v>307.5</v>
      </c>
      <c r="O106" s="228">
        <v>-2.25</v>
      </c>
      <c r="P106" s="229">
        <v>-7.3000000000000001E-3</v>
      </c>
      <c r="Q106" s="228">
        <v>307.05</v>
      </c>
      <c r="R106" s="228">
        <v>309.25</v>
      </c>
      <c r="S106" s="228">
        <v>-2.2000000000000002</v>
      </c>
      <c r="T106" s="229">
        <v>-7.1000000000000004E-3</v>
      </c>
      <c r="U106" s="228">
        <v>309</v>
      </c>
      <c r="V106" s="228">
        <v>311.14999999999998</v>
      </c>
      <c r="W106" s="228">
        <v>-2.15</v>
      </c>
      <c r="X106" s="229">
        <v>-6.8999999999999999E-3</v>
      </c>
      <c r="Y106" s="228">
        <v>0.25</v>
      </c>
      <c r="Z106" s="228">
        <v>0.7</v>
      </c>
      <c r="AA106" s="228">
        <v>-0.45</v>
      </c>
      <c r="AB106" s="229">
        <v>8.0000000000000004E-4</v>
      </c>
      <c r="AC106" s="228">
        <v>0.25</v>
      </c>
      <c r="AD106" s="228">
        <v>0.7</v>
      </c>
      <c r="AE106" s="228">
        <v>-0.45</v>
      </c>
      <c r="AF106" s="229">
        <v>8.0000000000000004E-4</v>
      </c>
      <c r="AG106" s="228">
        <v>2.0499999999999998</v>
      </c>
      <c r="AH106" s="228">
        <v>2.4500000000000002</v>
      </c>
      <c r="AI106" s="228">
        <v>-0.4</v>
      </c>
      <c r="AJ106" s="229">
        <v>6.7000000000000002E-3</v>
      </c>
      <c r="AK106" s="228">
        <v>4</v>
      </c>
      <c r="AL106" s="228">
        <v>4.3499999999999996</v>
      </c>
      <c r="AM106" s="228">
        <v>-0.35</v>
      </c>
      <c r="AN106" s="229">
        <v>1.3100000000000001E-2</v>
      </c>
      <c r="AO106" s="228">
        <v>306.37</v>
      </c>
      <c r="AP106" s="228">
        <v>308.11</v>
      </c>
      <c r="AQ106" s="228">
        <v>0</v>
      </c>
      <c r="AR106" s="230">
        <v>11292800</v>
      </c>
      <c r="AS106" s="230">
        <v>33737600</v>
      </c>
      <c r="AT106" s="230">
        <v>-22444800</v>
      </c>
      <c r="AU106" s="229">
        <v>-0.6653</v>
      </c>
      <c r="AV106" s="230">
        <v>6776000</v>
      </c>
      <c r="AW106" s="230">
        <v>25648000</v>
      </c>
      <c r="AX106" s="230">
        <v>-18872000</v>
      </c>
      <c r="AY106" s="229">
        <v>-0.73580000000000001</v>
      </c>
      <c r="AZ106" s="230">
        <v>3961600</v>
      </c>
      <c r="BA106" s="230">
        <v>5473600</v>
      </c>
      <c r="BB106" s="230">
        <v>-1512000</v>
      </c>
      <c r="BC106" s="229">
        <v>-0.2762</v>
      </c>
      <c r="BD106" s="230">
        <v>555200</v>
      </c>
      <c r="BE106" s="230">
        <v>2616000</v>
      </c>
      <c r="BF106" s="230">
        <v>-2060800</v>
      </c>
      <c r="BG106" s="229">
        <v>-0.78779999999999994</v>
      </c>
      <c r="BH106" s="230">
        <v>83636800</v>
      </c>
      <c r="BI106" s="230">
        <v>285123200</v>
      </c>
      <c r="BJ106" s="230">
        <v>-201486400</v>
      </c>
      <c r="BK106" s="229">
        <v>-0.70669999999999999</v>
      </c>
      <c r="BL106" s="230">
        <v>28390400</v>
      </c>
      <c r="BM106" s="230">
        <v>122124800</v>
      </c>
      <c r="BN106" s="230">
        <v>-93734400</v>
      </c>
      <c r="BO106" s="229">
        <v>-0.76749999999999996</v>
      </c>
      <c r="BP106" s="230">
        <v>123320000</v>
      </c>
      <c r="BQ106" s="230">
        <v>440985600</v>
      </c>
      <c r="BR106" s="230">
        <v>-317665600</v>
      </c>
      <c r="BS106" s="229">
        <v>-0.72040000000000004</v>
      </c>
      <c r="BT106" s="230">
        <v>14180107</v>
      </c>
      <c r="BU106" s="230">
        <v>36660208</v>
      </c>
      <c r="BV106" s="230">
        <v>-22480101</v>
      </c>
      <c r="BW106" s="229">
        <v>-0.61319999999999997</v>
      </c>
      <c r="BX106" s="230">
        <v>166196800</v>
      </c>
      <c r="BY106" s="230">
        <v>165144000</v>
      </c>
      <c r="BZ106" s="230">
        <v>1052800</v>
      </c>
      <c r="CA106" s="229">
        <v>6.4000000000000003E-3</v>
      </c>
      <c r="CB106" s="230">
        <v>142227200</v>
      </c>
      <c r="CC106" s="230">
        <v>143740800</v>
      </c>
      <c r="CD106" s="230">
        <v>-1513600</v>
      </c>
      <c r="CE106" s="229">
        <v>-1.0500000000000001E-2</v>
      </c>
      <c r="CF106" s="230">
        <v>19222400</v>
      </c>
      <c r="CG106" s="230">
        <v>17001600</v>
      </c>
      <c r="CH106" s="230">
        <v>2220800</v>
      </c>
      <c r="CI106" s="229">
        <v>0.13059999999999999</v>
      </c>
      <c r="CJ106" s="230">
        <v>4747200</v>
      </c>
      <c r="CK106" s="230">
        <v>4401600</v>
      </c>
      <c r="CL106" s="230">
        <v>345600</v>
      </c>
      <c r="CM106" s="229">
        <v>7.85E-2</v>
      </c>
      <c r="CN106" s="230">
        <v>116665600</v>
      </c>
      <c r="CO106" s="230">
        <v>114555200</v>
      </c>
      <c r="CP106" s="230">
        <v>2110400</v>
      </c>
      <c r="CQ106" s="229">
        <v>1.84E-2</v>
      </c>
      <c r="CR106" s="230">
        <v>56326400</v>
      </c>
      <c r="CS106" s="230">
        <v>57020800</v>
      </c>
      <c r="CT106" s="230">
        <v>-694400</v>
      </c>
      <c r="CU106" s="229">
        <v>-1.2200000000000001E-2</v>
      </c>
      <c r="CV106" s="230">
        <v>339188800</v>
      </c>
      <c r="CW106" s="230">
        <v>336720000</v>
      </c>
      <c r="CX106" s="230">
        <v>2468800</v>
      </c>
      <c r="CY106" s="229">
        <v>7.3000000000000001E-3</v>
      </c>
      <c r="CZ106" s="228">
        <v>23.45</v>
      </c>
      <c r="DA106" s="228">
        <v>20.91</v>
      </c>
      <c r="DB106" s="228">
        <v>2.54</v>
      </c>
      <c r="DC106" s="228">
        <v>2.54</v>
      </c>
      <c r="DD106" s="228">
        <v>24.42</v>
      </c>
      <c r="DE106" s="228">
        <v>24.47</v>
      </c>
      <c r="DF106" s="228">
        <v>-0.97</v>
      </c>
      <c r="DG106" s="228">
        <v>-0.05</v>
      </c>
      <c r="DH106" s="228">
        <v>23.96</v>
      </c>
      <c r="DI106" s="228">
        <v>20.54</v>
      </c>
      <c r="DJ106" s="228">
        <v>3.42</v>
      </c>
      <c r="DK106" s="228">
        <v>3.42</v>
      </c>
      <c r="DL106" s="228">
        <v>21.94</v>
      </c>
      <c r="DM106" s="228">
        <v>21.78</v>
      </c>
      <c r="DN106" s="228">
        <v>0.16</v>
      </c>
      <c r="DO106" s="228">
        <v>0.16</v>
      </c>
      <c r="DP106" s="228">
        <v>0.48</v>
      </c>
      <c r="DQ106" s="228">
        <v>0.5</v>
      </c>
      <c r="DR106" s="228">
        <v>-0.02</v>
      </c>
      <c r="DS106" s="229">
        <v>-0.04</v>
      </c>
      <c r="DT106" s="228">
        <v>300</v>
      </c>
      <c r="DU106" s="228">
        <v>300</v>
      </c>
      <c r="DV106" s="228">
        <v>0.34</v>
      </c>
      <c r="DW106" s="228">
        <v>0.43</v>
      </c>
      <c r="DX106" s="228">
        <v>-0.09</v>
      </c>
      <c r="DY106" s="229">
        <v>-0.20930000000000001</v>
      </c>
      <c r="DZ106" s="229">
        <v>0.14419999999999999</v>
      </c>
      <c r="EA106" s="230">
        <v>21403200</v>
      </c>
      <c r="EB106" s="229">
        <v>5.8999999999999999E-3</v>
      </c>
      <c r="EC106" s="229">
        <v>0.14419999999999999</v>
      </c>
      <c r="ED106" s="228">
        <v>1.74</v>
      </c>
      <c r="EE106" s="229">
        <v>5.7000000000000002E-3</v>
      </c>
      <c r="EF106" s="230">
        <v>8996378</v>
      </c>
      <c r="EG106" s="230">
        <v>17476483</v>
      </c>
      <c r="EH106" s="229">
        <v>-0.48520000000000002</v>
      </c>
      <c r="EI106" s="229">
        <v>0.63439999999999996</v>
      </c>
      <c r="EJ106" s="231">
        <v>266194.64</v>
      </c>
      <c r="EK106" s="231">
        <v>86210.47</v>
      </c>
      <c r="EL106" s="231">
        <v>34686.629999999997</v>
      </c>
      <c r="EM106" s="231">
        <v>11253</v>
      </c>
      <c r="EN106" s="231">
        <v>387091.74</v>
      </c>
      <c r="EO106" s="231">
        <v>1375552.93</v>
      </c>
      <c r="EP106" s="231">
        <v>-988461.19</v>
      </c>
      <c r="EQ106" s="229">
        <v>-0.71860000000000002</v>
      </c>
      <c r="ER106" s="231">
        <v>368358</v>
      </c>
      <c r="ES106" s="231">
        <v>168443</v>
      </c>
      <c r="ET106" s="231">
        <v>507840</v>
      </c>
      <c r="EU106" s="231">
        <v>1317896781</v>
      </c>
      <c r="EV106" s="231">
        <v>1044641</v>
      </c>
      <c r="EW106" s="231">
        <v>1040129</v>
      </c>
      <c r="EX106" s="231">
        <v>4512</v>
      </c>
      <c r="EY106" s="229">
        <v>4.3E-3</v>
      </c>
      <c r="EZ106" s="229">
        <v>0.25740000000000002</v>
      </c>
      <c r="FA106" s="227" t="s">
        <v>566</v>
      </c>
      <c r="FB106" s="161">
        <f t="shared" si="1"/>
        <v>23969600</v>
      </c>
    </row>
    <row r="107" spans="1:158" ht="17.25" thickBot="1" x14ac:dyDescent="0.3">
      <c r="A107" s="226">
        <v>46132</v>
      </c>
      <c r="B107" s="227" t="s">
        <v>227</v>
      </c>
      <c r="C107" s="227" t="s">
        <v>243</v>
      </c>
      <c r="D107" s="228">
        <v>625</v>
      </c>
      <c r="E107" s="231">
        <v>1287</v>
      </c>
      <c r="F107" s="231">
        <v>1271.4000000000001</v>
      </c>
      <c r="G107" s="228">
        <v>15.6</v>
      </c>
      <c r="H107" s="229">
        <v>1.23E-2</v>
      </c>
      <c r="I107" s="231">
        <v>1287.7</v>
      </c>
      <c r="J107" s="231">
        <v>1270</v>
      </c>
      <c r="K107" s="228">
        <v>17.7</v>
      </c>
      <c r="L107" s="229">
        <v>1.3899999999999999E-2</v>
      </c>
      <c r="M107" s="231">
        <v>1287</v>
      </c>
      <c r="N107" s="231">
        <v>1271.4000000000001</v>
      </c>
      <c r="O107" s="228">
        <v>15.6</v>
      </c>
      <c r="P107" s="229">
        <v>1.23E-2</v>
      </c>
      <c r="Q107" s="231">
        <v>1293.5</v>
      </c>
      <c r="R107" s="231">
        <v>1277.2</v>
      </c>
      <c r="S107" s="228">
        <v>16.3</v>
      </c>
      <c r="T107" s="229">
        <v>1.2800000000000001E-2</v>
      </c>
      <c r="U107" s="231">
        <v>1300.8</v>
      </c>
      <c r="V107" s="231">
        <v>1284.3</v>
      </c>
      <c r="W107" s="228">
        <v>16.5</v>
      </c>
      <c r="X107" s="229">
        <v>1.2800000000000001E-2</v>
      </c>
      <c r="Y107" s="228">
        <v>-0.7</v>
      </c>
      <c r="Z107" s="228">
        <v>1.4</v>
      </c>
      <c r="AA107" s="228">
        <v>-2.1</v>
      </c>
      <c r="AB107" s="229">
        <v>-5.0000000000000001E-4</v>
      </c>
      <c r="AC107" s="228">
        <v>-0.7</v>
      </c>
      <c r="AD107" s="228">
        <v>1.4</v>
      </c>
      <c r="AE107" s="228">
        <v>-2.1</v>
      </c>
      <c r="AF107" s="229">
        <v>-5.0000000000000001E-4</v>
      </c>
      <c r="AG107" s="228">
        <v>5.8</v>
      </c>
      <c r="AH107" s="228">
        <v>7.2</v>
      </c>
      <c r="AI107" s="228">
        <v>-1.4</v>
      </c>
      <c r="AJ107" s="229">
        <v>4.4999999999999997E-3</v>
      </c>
      <c r="AK107" s="228">
        <v>13.1</v>
      </c>
      <c r="AL107" s="228">
        <v>14.3</v>
      </c>
      <c r="AM107" s="228">
        <v>-1.2</v>
      </c>
      <c r="AN107" s="229">
        <v>1.0200000000000001E-2</v>
      </c>
      <c r="AO107" s="231">
        <v>1282.6600000000001</v>
      </c>
      <c r="AP107" s="231">
        <v>1291.82</v>
      </c>
      <c r="AQ107" s="228">
        <v>0</v>
      </c>
      <c r="AR107" s="230">
        <v>2896875</v>
      </c>
      <c r="AS107" s="230">
        <v>3737500</v>
      </c>
      <c r="AT107" s="230">
        <v>-840625</v>
      </c>
      <c r="AU107" s="229">
        <v>-0.22489999999999999</v>
      </c>
      <c r="AV107" s="230">
        <v>2490000</v>
      </c>
      <c r="AW107" s="230">
        <v>3385625</v>
      </c>
      <c r="AX107" s="230">
        <v>-895625</v>
      </c>
      <c r="AY107" s="229">
        <v>-0.26450000000000001</v>
      </c>
      <c r="AZ107" s="230">
        <v>390625</v>
      </c>
      <c r="BA107" s="230">
        <v>331875</v>
      </c>
      <c r="BB107" s="230">
        <v>58750</v>
      </c>
      <c r="BC107" s="229">
        <v>0.17699999999999999</v>
      </c>
      <c r="BD107" s="230">
        <v>16250</v>
      </c>
      <c r="BE107" s="230">
        <v>20000</v>
      </c>
      <c r="BF107" s="230">
        <v>-3750</v>
      </c>
      <c r="BG107" s="229">
        <v>-0.1875</v>
      </c>
      <c r="BH107" s="230">
        <v>9269375</v>
      </c>
      <c r="BI107" s="230">
        <v>13189375</v>
      </c>
      <c r="BJ107" s="230">
        <v>-3920000</v>
      </c>
      <c r="BK107" s="229">
        <v>-0.29720000000000002</v>
      </c>
      <c r="BL107" s="230">
        <v>4847500</v>
      </c>
      <c r="BM107" s="230">
        <v>7981875</v>
      </c>
      <c r="BN107" s="230">
        <v>-3134375</v>
      </c>
      <c r="BO107" s="229">
        <v>-0.39269999999999999</v>
      </c>
      <c r="BP107" s="230">
        <v>17013750</v>
      </c>
      <c r="BQ107" s="230">
        <v>24908750</v>
      </c>
      <c r="BR107" s="230">
        <v>-7895000</v>
      </c>
      <c r="BS107" s="229">
        <v>-0.317</v>
      </c>
      <c r="BT107" s="230">
        <v>1918805</v>
      </c>
      <c r="BU107" s="230">
        <v>2982761</v>
      </c>
      <c r="BV107" s="230">
        <v>-1063956</v>
      </c>
      <c r="BW107" s="229">
        <v>-0.35670000000000002</v>
      </c>
      <c r="BX107" s="230">
        <v>12942500</v>
      </c>
      <c r="BY107" s="230">
        <v>12635000</v>
      </c>
      <c r="BZ107" s="230">
        <v>307500</v>
      </c>
      <c r="CA107" s="229">
        <v>2.4299999999999999E-2</v>
      </c>
      <c r="CB107" s="230">
        <v>11239375</v>
      </c>
      <c r="CC107" s="230">
        <v>11075625</v>
      </c>
      <c r="CD107" s="230">
        <v>163750</v>
      </c>
      <c r="CE107" s="229">
        <v>1.4800000000000001E-2</v>
      </c>
      <c r="CF107" s="230">
        <v>1676875</v>
      </c>
      <c r="CG107" s="230">
        <v>1533125</v>
      </c>
      <c r="CH107" s="230">
        <v>143750</v>
      </c>
      <c r="CI107" s="229">
        <v>9.3799999999999994E-2</v>
      </c>
      <c r="CJ107" s="230">
        <v>26250</v>
      </c>
      <c r="CK107" s="230">
        <v>26250</v>
      </c>
      <c r="CL107" s="228">
        <v>0</v>
      </c>
      <c r="CM107" s="229">
        <v>0</v>
      </c>
      <c r="CN107" s="230">
        <v>3879375</v>
      </c>
      <c r="CO107" s="230">
        <v>3788125</v>
      </c>
      <c r="CP107" s="230">
        <v>91250</v>
      </c>
      <c r="CQ107" s="229">
        <v>2.41E-2</v>
      </c>
      <c r="CR107" s="230">
        <v>4523750</v>
      </c>
      <c r="CS107" s="230">
        <v>4120000</v>
      </c>
      <c r="CT107" s="230">
        <v>403750</v>
      </c>
      <c r="CU107" s="229">
        <v>9.8000000000000004E-2</v>
      </c>
      <c r="CV107" s="230">
        <v>21345625</v>
      </c>
      <c r="CW107" s="230">
        <v>20543125</v>
      </c>
      <c r="CX107" s="230">
        <v>802500</v>
      </c>
      <c r="CY107" s="229">
        <v>3.9100000000000003E-2</v>
      </c>
      <c r="CZ107" s="228">
        <v>33.4</v>
      </c>
      <c r="DA107" s="228">
        <v>31.22</v>
      </c>
      <c r="DB107" s="228">
        <v>2.1800000000000002</v>
      </c>
      <c r="DC107" s="228">
        <v>2.1800000000000002</v>
      </c>
      <c r="DD107" s="228">
        <v>38.020000000000003</v>
      </c>
      <c r="DE107" s="228">
        <v>38.07</v>
      </c>
      <c r="DF107" s="228">
        <v>-4.62</v>
      </c>
      <c r="DG107" s="228">
        <v>-0.05</v>
      </c>
      <c r="DH107" s="228">
        <v>32.450000000000003</v>
      </c>
      <c r="DI107" s="228">
        <v>29.88</v>
      </c>
      <c r="DJ107" s="228">
        <v>2.57</v>
      </c>
      <c r="DK107" s="228">
        <v>2.57</v>
      </c>
      <c r="DL107" s="228">
        <v>35.22</v>
      </c>
      <c r="DM107" s="228">
        <v>33.42</v>
      </c>
      <c r="DN107" s="228">
        <v>1.8</v>
      </c>
      <c r="DO107" s="228">
        <v>1.8</v>
      </c>
      <c r="DP107" s="228">
        <v>1.17</v>
      </c>
      <c r="DQ107" s="228">
        <v>1.0900000000000001</v>
      </c>
      <c r="DR107" s="228">
        <v>0.08</v>
      </c>
      <c r="DS107" s="229">
        <v>7.3400000000000007E-2</v>
      </c>
      <c r="DT107" s="231">
        <v>1300</v>
      </c>
      <c r="DU107" s="231">
        <v>1200</v>
      </c>
      <c r="DV107" s="228">
        <v>0.52</v>
      </c>
      <c r="DW107" s="228">
        <v>0.61</v>
      </c>
      <c r="DX107" s="228">
        <v>-0.09</v>
      </c>
      <c r="DY107" s="229">
        <v>-0.14749999999999999</v>
      </c>
      <c r="DZ107" s="229">
        <v>0.13159999999999999</v>
      </c>
      <c r="EA107" s="230">
        <v>1559375</v>
      </c>
      <c r="EB107" s="229">
        <v>5.1000000000000004E-3</v>
      </c>
      <c r="EC107" s="229">
        <v>0.13159999999999999</v>
      </c>
      <c r="ED107" s="228">
        <v>9.16</v>
      </c>
      <c r="EE107" s="229">
        <v>7.1000000000000004E-3</v>
      </c>
      <c r="EF107" s="230">
        <v>853743</v>
      </c>
      <c r="EG107" s="230">
        <v>1297934</v>
      </c>
      <c r="EH107" s="229">
        <v>-0.3422</v>
      </c>
      <c r="EI107" s="229">
        <v>0.44490000000000002</v>
      </c>
      <c r="EJ107" s="231">
        <v>122609.26</v>
      </c>
      <c r="EK107" s="231">
        <v>60295.040000000001</v>
      </c>
      <c r="EL107" s="231">
        <v>37195.18</v>
      </c>
      <c r="EM107" s="231">
        <v>4118</v>
      </c>
      <c r="EN107" s="231">
        <v>220099.48</v>
      </c>
      <c r="EO107" s="231">
        <v>316371.64</v>
      </c>
      <c r="EP107" s="231">
        <v>-96272.16</v>
      </c>
      <c r="EQ107" s="229">
        <v>-0.30430000000000001</v>
      </c>
      <c r="ER107" s="231">
        <v>49202</v>
      </c>
      <c r="ES107" s="231">
        <v>53397</v>
      </c>
      <c r="ET107" s="231">
        <v>166683</v>
      </c>
      <c r="EU107" s="231">
        <v>45844541</v>
      </c>
      <c r="EV107" s="231">
        <v>269282</v>
      </c>
      <c r="EW107" s="231">
        <v>256606</v>
      </c>
      <c r="EX107" s="231">
        <v>12676</v>
      </c>
      <c r="EY107" s="229">
        <v>4.9399999999999999E-2</v>
      </c>
      <c r="EZ107" s="229">
        <v>0.46560000000000001</v>
      </c>
      <c r="FA107" s="227" t="s">
        <v>555</v>
      </c>
      <c r="FB107" s="161">
        <f t="shared" si="1"/>
        <v>1703125</v>
      </c>
    </row>
    <row r="108" spans="1:158" ht="17.25" thickBot="1" x14ac:dyDescent="0.3">
      <c r="A108" s="226">
        <v>46132</v>
      </c>
      <c r="B108" s="227" t="s">
        <v>175</v>
      </c>
      <c r="C108" s="227" t="s">
        <v>569</v>
      </c>
      <c r="D108" s="228">
        <v>2350</v>
      </c>
      <c r="E108" s="228">
        <v>236.9</v>
      </c>
      <c r="F108" s="228">
        <v>244.6</v>
      </c>
      <c r="G108" s="228">
        <v>-7.7</v>
      </c>
      <c r="H108" s="229">
        <v>-3.15E-2</v>
      </c>
      <c r="I108" s="228">
        <v>237.15</v>
      </c>
      <c r="J108" s="228">
        <v>243.86</v>
      </c>
      <c r="K108" s="228">
        <v>-6.71</v>
      </c>
      <c r="L108" s="229">
        <v>-2.75E-2</v>
      </c>
      <c r="M108" s="228">
        <v>236.9</v>
      </c>
      <c r="N108" s="228">
        <v>244.6</v>
      </c>
      <c r="O108" s="228">
        <v>-7.7</v>
      </c>
      <c r="P108" s="229">
        <v>-3.15E-2</v>
      </c>
      <c r="Q108" s="228">
        <v>238.17</v>
      </c>
      <c r="R108" s="228">
        <v>245.81</v>
      </c>
      <c r="S108" s="228">
        <v>-7.64</v>
      </c>
      <c r="T108" s="229">
        <v>-3.1099999999999999E-2</v>
      </c>
      <c r="U108" s="228">
        <v>239.35</v>
      </c>
      <c r="V108" s="228">
        <v>247.57</v>
      </c>
      <c r="W108" s="228">
        <v>-8.2200000000000006</v>
      </c>
      <c r="X108" s="229">
        <v>-3.32E-2</v>
      </c>
      <c r="Y108" s="228">
        <v>-0.25</v>
      </c>
      <c r="Z108" s="228">
        <v>0.74</v>
      </c>
      <c r="AA108" s="228">
        <v>-0.99</v>
      </c>
      <c r="AB108" s="229">
        <v>-1.1000000000000001E-3</v>
      </c>
      <c r="AC108" s="228">
        <v>-0.25</v>
      </c>
      <c r="AD108" s="228">
        <v>0.74</v>
      </c>
      <c r="AE108" s="228">
        <v>-0.99</v>
      </c>
      <c r="AF108" s="229">
        <v>-1.1000000000000001E-3</v>
      </c>
      <c r="AG108" s="228">
        <v>1.02</v>
      </c>
      <c r="AH108" s="228">
        <v>1.95</v>
      </c>
      <c r="AI108" s="228">
        <v>-0.93</v>
      </c>
      <c r="AJ108" s="229">
        <v>4.3E-3</v>
      </c>
      <c r="AK108" s="228">
        <v>2.2000000000000002</v>
      </c>
      <c r="AL108" s="228">
        <v>3.71</v>
      </c>
      <c r="AM108" s="228">
        <v>-1.51</v>
      </c>
      <c r="AN108" s="229">
        <v>9.2999999999999992E-3</v>
      </c>
      <c r="AO108" s="228">
        <v>237.51</v>
      </c>
      <c r="AP108" s="228">
        <v>238.96</v>
      </c>
      <c r="AQ108" s="228">
        <v>0</v>
      </c>
      <c r="AR108" s="230">
        <v>41973350</v>
      </c>
      <c r="AS108" s="230">
        <v>43778150</v>
      </c>
      <c r="AT108" s="230">
        <v>-1804800</v>
      </c>
      <c r="AU108" s="229">
        <v>-4.1200000000000001E-2</v>
      </c>
      <c r="AV108" s="230">
        <v>30056500</v>
      </c>
      <c r="AW108" s="230">
        <v>30893100</v>
      </c>
      <c r="AX108" s="230">
        <v>-836600</v>
      </c>
      <c r="AY108" s="229">
        <v>-2.7099999999999999E-2</v>
      </c>
      <c r="AZ108" s="230">
        <v>10349400</v>
      </c>
      <c r="BA108" s="230">
        <v>10570300</v>
      </c>
      <c r="BB108" s="230">
        <v>-220900</v>
      </c>
      <c r="BC108" s="229">
        <v>-2.0899999999999998E-2</v>
      </c>
      <c r="BD108" s="230">
        <v>1567450</v>
      </c>
      <c r="BE108" s="230">
        <v>2314750</v>
      </c>
      <c r="BF108" s="230">
        <v>-747300</v>
      </c>
      <c r="BG108" s="229">
        <v>-0.32279999999999998</v>
      </c>
      <c r="BH108" s="230">
        <v>155356150</v>
      </c>
      <c r="BI108" s="230">
        <v>126477000</v>
      </c>
      <c r="BJ108" s="230">
        <v>28879150</v>
      </c>
      <c r="BK108" s="229">
        <v>0.2283</v>
      </c>
      <c r="BL108" s="230">
        <v>84776250</v>
      </c>
      <c r="BM108" s="230">
        <v>42448050</v>
      </c>
      <c r="BN108" s="230">
        <v>42328200</v>
      </c>
      <c r="BO108" s="229">
        <v>0.99719999999999998</v>
      </c>
      <c r="BP108" s="230">
        <v>282105750</v>
      </c>
      <c r="BQ108" s="230">
        <v>212703200</v>
      </c>
      <c r="BR108" s="230">
        <v>69402550</v>
      </c>
      <c r="BS108" s="229">
        <v>0.32629999999999998</v>
      </c>
      <c r="BT108" s="230">
        <v>40674852</v>
      </c>
      <c r="BU108" s="230">
        <v>54250757</v>
      </c>
      <c r="BV108" s="230">
        <v>-13575905</v>
      </c>
      <c r="BW108" s="229">
        <v>-0.25019999999999998</v>
      </c>
      <c r="BX108" s="230">
        <v>169536050</v>
      </c>
      <c r="BY108" s="230">
        <v>169855650</v>
      </c>
      <c r="BZ108" s="230">
        <v>-319600</v>
      </c>
      <c r="CA108" s="229">
        <v>-1.9E-3</v>
      </c>
      <c r="CB108" s="230">
        <v>126065750</v>
      </c>
      <c r="CC108" s="230">
        <v>132995900</v>
      </c>
      <c r="CD108" s="230">
        <v>-6930150</v>
      </c>
      <c r="CE108" s="229">
        <v>-5.21E-2</v>
      </c>
      <c r="CF108" s="230">
        <v>36495500</v>
      </c>
      <c r="CG108" s="230">
        <v>30862550</v>
      </c>
      <c r="CH108" s="230">
        <v>5632950</v>
      </c>
      <c r="CI108" s="229">
        <v>0.1825</v>
      </c>
      <c r="CJ108" s="230">
        <v>6974800</v>
      </c>
      <c r="CK108" s="230">
        <v>5997200</v>
      </c>
      <c r="CL108" s="230">
        <v>977600</v>
      </c>
      <c r="CM108" s="229">
        <v>0.16300000000000001</v>
      </c>
      <c r="CN108" s="230">
        <v>73876950</v>
      </c>
      <c r="CO108" s="230">
        <v>69118200</v>
      </c>
      <c r="CP108" s="230">
        <v>4758750</v>
      </c>
      <c r="CQ108" s="229">
        <v>6.88E-2</v>
      </c>
      <c r="CR108" s="230">
        <v>47171550</v>
      </c>
      <c r="CS108" s="230">
        <v>46475950</v>
      </c>
      <c r="CT108" s="230">
        <v>695600</v>
      </c>
      <c r="CU108" s="229">
        <v>1.4999999999999999E-2</v>
      </c>
      <c r="CV108" s="230">
        <v>290584550</v>
      </c>
      <c r="CW108" s="230">
        <v>285449800</v>
      </c>
      <c r="CX108" s="230">
        <v>5134750</v>
      </c>
      <c r="CY108" s="229">
        <v>1.7999999999999999E-2</v>
      </c>
      <c r="CZ108" s="228">
        <v>39.840000000000003</v>
      </c>
      <c r="DA108" s="228">
        <v>40.93</v>
      </c>
      <c r="DB108" s="228">
        <v>-1.0900000000000001</v>
      </c>
      <c r="DC108" s="228">
        <v>-1.0900000000000001</v>
      </c>
      <c r="DD108" s="228">
        <v>37.549999999999997</v>
      </c>
      <c r="DE108" s="228">
        <v>37.39</v>
      </c>
      <c r="DF108" s="228">
        <v>2.29</v>
      </c>
      <c r="DG108" s="228">
        <v>0.16</v>
      </c>
      <c r="DH108" s="228">
        <v>39.35</v>
      </c>
      <c r="DI108" s="228">
        <v>41.02</v>
      </c>
      <c r="DJ108" s="228">
        <v>-1.67</v>
      </c>
      <c r="DK108" s="228">
        <v>-1.67</v>
      </c>
      <c r="DL108" s="228">
        <v>40.72</v>
      </c>
      <c r="DM108" s="228">
        <v>40.65</v>
      </c>
      <c r="DN108" s="228">
        <v>7.0000000000000007E-2</v>
      </c>
      <c r="DO108" s="228">
        <v>7.0000000000000007E-2</v>
      </c>
      <c r="DP108" s="228">
        <v>0.64</v>
      </c>
      <c r="DQ108" s="228">
        <v>0.67</v>
      </c>
      <c r="DR108" s="228">
        <v>-0.03</v>
      </c>
      <c r="DS108" s="229">
        <v>-4.48E-2</v>
      </c>
      <c r="DT108" s="228">
        <v>250</v>
      </c>
      <c r="DU108" s="228">
        <v>240</v>
      </c>
      <c r="DV108" s="228">
        <v>0.55000000000000004</v>
      </c>
      <c r="DW108" s="228">
        <v>0.34</v>
      </c>
      <c r="DX108" s="228">
        <v>0.21</v>
      </c>
      <c r="DY108" s="229">
        <v>0.61760000000000004</v>
      </c>
      <c r="DZ108" s="229">
        <v>0.25640000000000002</v>
      </c>
      <c r="EA108" s="230">
        <v>36859750</v>
      </c>
      <c r="EB108" s="229">
        <v>5.4000000000000003E-3</v>
      </c>
      <c r="EC108" s="229">
        <v>0.25640000000000002</v>
      </c>
      <c r="ED108" s="228">
        <v>1.45</v>
      </c>
      <c r="EE108" s="229">
        <v>6.1000000000000004E-3</v>
      </c>
      <c r="EF108" s="230">
        <v>17324397</v>
      </c>
      <c r="EG108" s="230">
        <v>33884357</v>
      </c>
      <c r="EH108" s="229">
        <v>-0.48870000000000002</v>
      </c>
      <c r="EI108" s="229">
        <v>0.4259</v>
      </c>
      <c r="EJ108" s="231">
        <v>392223.94</v>
      </c>
      <c r="EK108" s="231">
        <v>199906.43</v>
      </c>
      <c r="EL108" s="231">
        <v>99883.69</v>
      </c>
      <c r="EM108" s="231">
        <v>10372</v>
      </c>
      <c r="EN108" s="231">
        <v>692014.06</v>
      </c>
      <c r="EO108" s="231">
        <v>535169.44999999995</v>
      </c>
      <c r="EP108" s="231">
        <v>156844.60999999999</v>
      </c>
      <c r="EQ108" s="229">
        <v>0.29310000000000003</v>
      </c>
      <c r="ER108" s="231">
        <v>187071</v>
      </c>
      <c r="ES108" s="231">
        <v>114201</v>
      </c>
      <c r="ET108" s="231">
        <v>402265</v>
      </c>
      <c r="EU108" s="231">
        <v>490240515</v>
      </c>
      <c r="EV108" s="231">
        <v>703538</v>
      </c>
      <c r="EW108" s="231">
        <v>705234</v>
      </c>
      <c r="EX108" s="231">
        <v>-1696</v>
      </c>
      <c r="EY108" s="229">
        <v>-2.3999999999999998E-3</v>
      </c>
      <c r="EZ108" s="229">
        <v>0.5927</v>
      </c>
      <c r="FA108" s="227" t="s">
        <v>567</v>
      </c>
      <c r="FB108" s="161">
        <f t="shared" si="1"/>
        <v>43470300</v>
      </c>
    </row>
    <row r="109" spans="1:158" ht="17.25" thickBot="1" x14ac:dyDescent="0.3">
      <c r="A109" s="226">
        <v>46132</v>
      </c>
      <c r="B109" s="227" t="s">
        <v>161</v>
      </c>
      <c r="C109" s="227" t="s">
        <v>579</v>
      </c>
      <c r="D109" s="228">
        <v>1000</v>
      </c>
      <c r="E109" s="228">
        <v>542.95000000000005</v>
      </c>
      <c r="F109" s="228">
        <v>538.1</v>
      </c>
      <c r="G109" s="228">
        <v>4.8499999999999996</v>
      </c>
      <c r="H109" s="229">
        <v>8.9999999999999993E-3</v>
      </c>
      <c r="I109" s="228">
        <v>543.04999999999995</v>
      </c>
      <c r="J109" s="228">
        <v>538.04999999999995</v>
      </c>
      <c r="K109" s="228">
        <v>5</v>
      </c>
      <c r="L109" s="229">
        <v>9.2999999999999992E-3</v>
      </c>
      <c r="M109" s="228">
        <v>542.95000000000005</v>
      </c>
      <c r="N109" s="228">
        <v>538.1</v>
      </c>
      <c r="O109" s="228">
        <v>4.8499999999999996</v>
      </c>
      <c r="P109" s="229">
        <v>8.9999999999999993E-3</v>
      </c>
      <c r="Q109" s="228">
        <v>545.54999999999995</v>
      </c>
      <c r="R109" s="228">
        <v>541.5</v>
      </c>
      <c r="S109" s="228">
        <v>4.05</v>
      </c>
      <c r="T109" s="229">
        <v>7.4999999999999997E-3</v>
      </c>
      <c r="U109" s="228">
        <v>546.1</v>
      </c>
      <c r="V109" s="228">
        <v>541</v>
      </c>
      <c r="W109" s="228">
        <v>5.0999999999999996</v>
      </c>
      <c r="X109" s="229">
        <v>9.4000000000000004E-3</v>
      </c>
      <c r="Y109" s="228">
        <v>-0.1</v>
      </c>
      <c r="Z109" s="228">
        <v>0.05</v>
      </c>
      <c r="AA109" s="228">
        <v>-0.15</v>
      </c>
      <c r="AB109" s="229">
        <v>-2.0000000000000001E-4</v>
      </c>
      <c r="AC109" s="228">
        <v>-0.1</v>
      </c>
      <c r="AD109" s="228">
        <v>0.05</v>
      </c>
      <c r="AE109" s="228">
        <v>-0.15</v>
      </c>
      <c r="AF109" s="229">
        <v>-2.0000000000000001E-4</v>
      </c>
      <c r="AG109" s="228">
        <v>2.5</v>
      </c>
      <c r="AH109" s="228">
        <v>3.45</v>
      </c>
      <c r="AI109" s="228">
        <v>-0.95</v>
      </c>
      <c r="AJ109" s="229">
        <v>4.5999999999999999E-3</v>
      </c>
      <c r="AK109" s="228">
        <v>3.05</v>
      </c>
      <c r="AL109" s="228">
        <v>2.95</v>
      </c>
      <c r="AM109" s="228">
        <v>0.1</v>
      </c>
      <c r="AN109" s="229">
        <v>5.5999999999999999E-3</v>
      </c>
      <c r="AO109" s="228">
        <v>542.29</v>
      </c>
      <c r="AP109" s="228">
        <v>545.91</v>
      </c>
      <c r="AQ109" s="228">
        <v>0</v>
      </c>
      <c r="AR109" s="230">
        <v>5311000</v>
      </c>
      <c r="AS109" s="230">
        <v>3646000</v>
      </c>
      <c r="AT109" s="230">
        <v>1665000</v>
      </c>
      <c r="AU109" s="229">
        <v>0.45669999999999999</v>
      </c>
      <c r="AV109" s="230">
        <v>3991000</v>
      </c>
      <c r="AW109" s="230">
        <v>3251000</v>
      </c>
      <c r="AX109" s="230">
        <v>740000</v>
      </c>
      <c r="AY109" s="229">
        <v>0.2276</v>
      </c>
      <c r="AZ109" s="230">
        <v>1294000</v>
      </c>
      <c r="BA109" s="230">
        <v>380000</v>
      </c>
      <c r="BB109" s="230">
        <v>914000</v>
      </c>
      <c r="BC109" s="229">
        <v>2.4053</v>
      </c>
      <c r="BD109" s="230">
        <v>26000</v>
      </c>
      <c r="BE109" s="230">
        <v>15000</v>
      </c>
      <c r="BF109" s="230">
        <v>11000</v>
      </c>
      <c r="BG109" s="229">
        <v>0.73329999999999995</v>
      </c>
      <c r="BH109" s="230">
        <v>17686000</v>
      </c>
      <c r="BI109" s="230">
        <v>8100000</v>
      </c>
      <c r="BJ109" s="230">
        <v>9586000</v>
      </c>
      <c r="BK109" s="229">
        <v>1.1835</v>
      </c>
      <c r="BL109" s="230">
        <v>5485000</v>
      </c>
      <c r="BM109" s="230">
        <v>4313000</v>
      </c>
      <c r="BN109" s="230">
        <v>1172000</v>
      </c>
      <c r="BO109" s="229">
        <v>0.2717</v>
      </c>
      <c r="BP109" s="230">
        <v>28482000</v>
      </c>
      <c r="BQ109" s="230">
        <v>16059000</v>
      </c>
      <c r="BR109" s="230">
        <v>12423000</v>
      </c>
      <c r="BS109" s="229">
        <v>0.77359999999999995</v>
      </c>
      <c r="BT109" s="230">
        <v>6065785</v>
      </c>
      <c r="BU109" s="230">
        <v>3744802</v>
      </c>
      <c r="BV109" s="230">
        <v>2320983</v>
      </c>
      <c r="BW109" s="229">
        <v>0.61980000000000002</v>
      </c>
      <c r="BX109" s="230">
        <v>27282000</v>
      </c>
      <c r="BY109" s="230">
        <v>26884000</v>
      </c>
      <c r="BZ109" s="230">
        <v>398000</v>
      </c>
      <c r="CA109" s="229">
        <v>1.4800000000000001E-2</v>
      </c>
      <c r="CB109" s="230">
        <v>25965000</v>
      </c>
      <c r="CC109" s="230">
        <v>26080000</v>
      </c>
      <c r="CD109" s="230">
        <v>-115000</v>
      </c>
      <c r="CE109" s="229">
        <v>-4.4000000000000003E-3</v>
      </c>
      <c r="CF109" s="230">
        <v>1281000</v>
      </c>
      <c r="CG109" s="230">
        <v>772000</v>
      </c>
      <c r="CH109" s="230">
        <v>509000</v>
      </c>
      <c r="CI109" s="229">
        <v>0.6593</v>
      </c>
      <c r="CJ109" s="230">
        <v>36000</v>
      </c>
      <c r="CK109" s="230">
        <v>32000</v>
      </c>
      <c r="CL109" s="230">
        <v>4000</v>
      </c>
      <c r="CM109" s="229">
        <v>0.125</v>
      </c>
      <c r="CN109" s="230">
        <v>7257000</v>
      </c>
      <c r="CO109" s="230">
        <v>6911000</v>
      </c>
      <c r="CP109" s="230">
        <v>346000</v>
      </c>
      <c r="CQ109" s="229">
        <v>5.0099999999999999E-2</v>
      </c>
      <c r="CR109" s="230">
        <v>4698000</v>
      </c>
      <c r="CS109" s="230">
        <v>4748000</v>
      </c>
      <c r="CT109" s="230">
        <v>-50000</v>
      </c>
      <c r="CU109" s="229">
        <v>-1.0500000000000001E-2</v>
      </c>
      <c r="CV109" s="230">
        <v>39237000</v>
      </c>
      <c r="CW109" s="230">
        <v>38543000</v>
      </c>
      <c r="CX109" s="230">
        <v>694000</v>
      </c>
      <c r="CY109" s="229">
        <v>1.7999999999999999E-2</v>
      </c>
      <c r="CZ109" s="228">
        <v>35.21</v>
      </c>
      <c r="DA109" s="228">
        <v>33.96</v>
      </c>
      <c r="DB109" s="228">
        <v>1.25</v>
      </c>
      <c r="DC109" s="228">
        <v>1.25</v>
      </c>
      <c r="DD109" s="228">
        <v>42.81</v>
      </c>
      <c r="DE109" s="228">
        <v>42.9</v>
      </c>
      <c r="DF109" s="228">
        <v>-7.6</v>
      </c>
      <c r="DG109" s="228">
        <v>-0.09</v>
      </c>
      <c r="DH109" s="228">
        <v>34.29</v>
      </c>
      <c r="DI109" s="228">
        <v>32.840000000000003</v>
      </c>
      <c r="DJ109" s="228">
        <v>1.45</v>
      </c>
      <c r="DK109" s="228">
        <v>1.45</v>
      </c>
      <c r="DL109" s="228">
        <v>38.19</v>
      </c>
      <c r="DM109" s="228">
        <v>36.07</v>
      </c>
      <c r="DN109" s="228">
        <v>2.12</v>
      </c>
      <c r="DO109" s="228">
        <v>2.12</v>
      </c>
      <c r="DP109" s="228">
        <v>0.65</v>
      </c>
      <c r="DQ109" s="228">
        <v>0.69</v>
      </c>
      <c r="DR109" s="228">
        <v>-0.04</v>
      </c>
      <c r="DS109" s="229">
        <v>-5.8000000000000003E-2</v>
      </c>
      <c r="DT109" s="228">
        <v>530</v>
      </c>
      <c r="DU109" s="228">
        <v>530</v>
      </c>
      <c r="DV109" s="228">
        <v>0.31</v>
      </c>
      <c r="DW109" s="228">
        <v>0.53</v>
      </c>
      <c r="DX109" s="228">
        <v>-0.22</v>
      </c>
      <c r="DY109" s="229">
        <v>-0.41510000000000002</v>
      </c>
      <c r="DZ109" s="229">
        <v>4.8300000000000003E-2</v>
      </c>
      <c r="EA109" s="230">
        <v>804000</v>
      </c>
      <c r="EB109" s="229">
        <v>4.7999999999999996E-3</v>
      </c>
      <c r="EC109" s="229">
        <v>4.8300000000000003E-2</v>
      </c>
      <c r="ED109" s="228">
        <v>3.62</v>
      </c>
      <c r="EE109" s="229">
        <v>6.7000000000000002E-3</v>
      </c>
      <c r="EF109" s="230">
        <v>2635145</v>
      </c>
      <c r="EG109" s="230">
        <v>1922637</v>
      </c>
      <c r="EH109" s="229">
        <v>0.37059999999999998</v>
      </c>
      <c r="EI109" s="229">
        <v>0.43440000000000001</v>
      </c>
      <c r="EJ109" s="231">
        <v>99181.68</v>
      </c>
      <c r="EK109" s="231">
        <v>28874.28</v>
      </c>
      <c r="EL109" s="231">
        <v>28849.15</v>
      </c>
      <c r="EM109" s="231">
        <v>6211</v>
      </c>
      <c r="EN109" s="231">
        <v>156905.10999999999</v>
      </c>
      <c r="EO109" s="231">
        <v>87135.2</v>
      </c>
      <c r="EP109" s="231">
        <v>69769.91</v>
      </c>
      <c r="EQ109" s="229">
        <v>0.80069999999999997</v>
      </c>
      <c r="ER109" s="231">
        <v>38696</v>
      </c>
      <c r="ES109" s="231">
        <v>23622</v>
      </c>
      <c r="ET109" s="231">
        <v>148162</v>
      </c>
      <c r="EU109" s="231">
        <v>75294901</v>
      </c>
      <c r="EV109" s="231">
        <v>210480</v>
      </c>
      <c r="EW109" s="231">
        <v>205040</v>
      </c>
      <c r="EX109" s="231">
        <v>5440</v>
      </c>
      <c r="EY109" s="229">
        <v>2.6499999999999999E-2</v>
      </c>
      <c r="EZ109" s="229">
        <v>0.52110000000000001</v>
      </c>
      <c r="FA109" s="227" t="s">
        <v>555</v>
      </c>
      <c r="FB109" s="161">
        <f t="shared" si="1"/>
        <v>1317000</v>
      </c>
    </row>
    <row r="110" spans="1:158" ht="17.25" thickBot="1" x14ac:dyDescent="0.3">
      <c r="A110" s="226">
        <v>46132</v>
      </c>
      <c r="B110" s="227" t="s">
        <v>227</v>
      </c>
      <c r="C110" s="227" t="s">
        <v>244</v>
      </c>
      <c r="D110" s="228">
        <v>675</v>
      </c>
      <c r="E110" s="231">
        <v>1273.2</v>
      </c>
      <c r="F110" s="231">
        <v>1240.2</v>
      </c>
      <c r="G110" s="228">
        <v>33</v>
      </c>
      <c r="H110" s="229">
        <v>2.6599999999999999E-2</v>
      </c>
      <c r="I110" s="231">
        <v>1274.5</v>
      </c>
      <c r="J110" s="231">
        <v>1240.3</v>
      </c>
      <c r="K110" s="228">
        <v>34.200000000000003</v>
      </c>
      <c r="L110" s="229">
        <v>2.76E-2</v>
      </c>
      <c r="M110" s="231">
        <v>1273.2</v>
      </c>
      <c r="N110" s="231">
        <v>1240.2</v>
      </c>
      <c r="O110" s="228">
        <v>33</v>
      </c>
      <c r="P110" s="229">
        <v>2.6599999999999999E-2</v>
      </c>
      <c r="Q110" s="231">
        <v>1280.0999999999999</v>
      </c>
      <c r="R110" s="231">
        <v>1247.5999999999999</v>
      </c>
      <c r="S110" s="228">
        <v>32.5</v>
      </c>
      <c r="T110" s="229">
        <v>2.6100000000000002E-2</v>
      </c>
      <c r="U110" s="231">
        <v>1287.8</v>
      </c>
      <c r="V110" s="231">
        <v>1254.4000000000001</v>
      </c>
      <c r="W110" s="228">
        <v>33.4</v>
      </c>
      <c r="X110" s="229">
        <v>2.6599999999999999E-2</v>
      </c>
      <c r="Y110" s="228">
        <v>-1.3</v>
      </c>
      <c r="Z110" s="228">
        <v>-0.1</v>
      </c>
      <c r="AA110" s="228">
        <v>-1.2</v>
      </c>
      <c r="AB110" s="229">
        <v>-1E-3</v>
      </c>
      <c r="AC110" s="228">
        <v>-1.3</v>
      </c>
      <c r="AD110" s="228">
        <v>-0.1</v>
      </c>
      <c r="AE110" s="228">
        <v>-1.2</v>
      </c>
      <c r="AF110" s="229">
        <v>-1E-3</v>
      </c>
      <c r="AG110" s="228">
        <v>5.6</v>
      </c>
      <c r="AH110" s="228">
        <v>7.3</v>
      </c>
      <c r="AI110" s="228">
        <v>-1.7</v>
      </c>
      <c r="AJ110" s="229">
        <v>4.4000000000000003E-3</v>
      </c>
      <c r="AK110" s="228">
        <v>13.3</v>
      </c>
      <c r="AL110" s="228">
        <v>14.1</v>
      </c>
      <c r="AM110" s="228">
        <v>-0.8</v>
      </c>
      <c r="AN110" s="229">
        <v>1.04E-2</v>
      </c>
      <c r="AO110" s="231">
        <v>1264.77</v>
      </c>
      <c r="AP110" s="231">
        <v>1268.8599999999999</v>
      </c>
      <c r="AQ110" s="228">
        <v>0</v>
      </c>
      <c r="AR110" s="230">
        <v>5772600</v>
      </c>
      <c r="AS110" s="230">
        <v>5396625</v>
      </c>
      <c r="AT110" s="230">
        <v>375975</v>
      </c>
      <c r="AU110" s="229">
        <v>6.9699999999999998E-2</v>
      </c>
      <c r="AV110" s="230">
        <v>4812075</v>
      </c>
      <c r="AW110" s="230">
        <v>3809025</v>
      </c>
      <c r="AX110" s="230">
        <v>1003050</v>
      </c>
      <c r="AY110" s="229">
        <v>0.26329999999999998</v>
      </c>
      <c r="AZ110" s="230">
        <v>909225</v>
      </c>
      <c r="BA110" s="230">
        <v>1577475</v>
      </c>
      <c r="BB110" s="230">
        <v>-668250</v>
      </c>
      <c r="BC110" s="229">
        <v>-0.42359999999999998</v>
      </c>
      <c r="BD110" s="230">
        <v>51300</v>
      </c>
      <c r="BE110" s="230">
        <v>10125</v>
      </c>
      <c r="BF110" s="230">
        <v>41175</v>
      </c>
      <c r="BG110" s="229">
        <v>4.0667</v>
      </c>
      <c r="BH110" s="230">
        <v>17338725</v>
      </c>
      <c r="BI110" s="230">
        <v>10752075</v>
      </c>
      <c r="BJ110" s="230">
        <v>6586650</v>
      </c>
      <c r="BK110" s="229">
        <v>0.61260000000000003</v>
      </c>
      <c r="BL110" s="230">
        <v>7853625</v>
      </c>
      <c r="BM110" s="230">
        <v>5339250</v>
      </c>
      <c r="BN110" s="230">
        <v>2514375</v>
      </c>
      <c r="BO110" s="229">
        <v>0.47089999999999999</v>
      </c>
      <c r="BP110" s="230">
        <v>30964950</v>
      </c>
      <c r="BQ110" s="230">
        <v>21487950</v>
      </c>
      <c r="BR110" s="230">
        <v>9477000</v>
      </c>
      <c r="BS110" s="229">
        <v>0.441</v>
      </c>
      <c r="BT110" s="230">
        <v>4675187</v>
      </c>
      <c r="BU110" s="230">
        <v>1941439</v>
      </c>
      <c r="BV110" s="230">
        <v>2733748</v>
      </c>
      <c r="BW110" s="229">
        <v>1.4080999999999999</v>
      </c>
      <c r="BX110" s="230">
        <v>49087350</v>
      </c>
      <c r="BY110" s="230">
        <v>49965525</v>
      </c>
      <c r="BZ110" s="230">
        <v>-878175</v>
      </c>
      <c r="CA110" s="229">
        <v>-1.7600000000000001E-2</v>
      </c>
      <c r="CB110" s="230">
        <v>42260400</v>
      </c>
      <c r="CC110" s="230">
        <v>43573950</v>
      </c>
      <c r="CD110" s="230">
        <v>-1313550</v>
      </c>
      <c r="CE110" s="229">
        <v>-3.0099999999999998E-2</v>
      </c>
      <c r="CF110" s="230">
        <v>6706800</v>
      </c>
      <c r="CG110" s="230">
        <v>6291675</v>
      </c>
      <c r="CH110" s="230">
        <v>415125</v>
      </c>
      <c r="CI110" s="229">
        <v>6.6000000000000003E-2</v>
      </c>
      <c r="CJ110" s="230">
        <v>120150</v>
      </c>
      <c r="CK110" s="230">
        <v>99900</v>
      </c>
      <c r="CL110" s="230">
        <v>20250</v>
      </c>
      <c r="CM110" s="229">
        <v>0.20269999999999999</v>
      </c>
      <c r="CN110" s="230">
        <v>6041925</v>
      </c>
      <c r="CO110" s="230">
        <v>5775300</v>
      </c>
      <c r="CP110" s="230">
        <v>266625</v>
      </c>
      <c r="CQ110" s="229">
        <v>4.6199999999999998E-2</v>
      </c>
      <c r="CR110" s="230">
        <v>6450975</v>
      </c>
      <c r="CS110" s="230">
        <v>5556600</v>
      </c>
      <c r="CT110" s="230">
        <v>894375</v>
      </c>
      <c r="CU110" s="229">
        <v>0.161</v>
      </c>
      <c r="CV110" s="230">
        <v>61580250</v>
      </c>
      <c r="CW110" s="230">
        <v>61297425</v>
      </c>
      <c r="CX110" s="230">
        <v>282825</v>
      </c>
      <c r="CY110" s="229">
        <v>4.5999999999999999E-3</v>
      </c>
      <c r="CZ110" s="228">
        <v>31.32</v>
      </c>
      <c r="DA110" s="228">
        <v>27.63</v>
      </c>
      <c r="DB110" s="228">
        <v>3.69</v>
      </c>
      <c r="DC110" s="228">
        <v>3.69</v>
      </c>
      <c r="DD110" s="228">
        <v>32.19</v>
      </c>
      <c r="DE110" s="228">
        <v>32.08</v>
      </c>
      <c r="DF110" s="228">
        <v>-0.87</v>
      </c>
      <c r="DG110" s="228">
        <v>0.11</v>
      </c>
      <c r="DH110" s="228">
        <v>30.36</v>
      </c>
      <c r="DI110" s="228">
        <v>26.39</v>
      </c>
      <c r="DJ110" s="228">
        <v>3.97</v>
      </c>
      <c r="DK110" s="228">
        <v>3.97</v>
      </c>
      <c r="DL110" s="228">
        <v>33.44</v>
      </c>
      <c r="DM110" s="228">
        <v>30.12</v>
      </c>
      <c r="DN110" s="228">
        <v>3.32</v>
      </c>
      <c r="DO110" s="228">
        <v>3.32</v>
      </c>
      <c r="DP110" s="228">
        <v>1.07</v>
      </c>
      <c r="DQ110" s="228">
        <v>0.96</v>
      </c>
      <c r="DR110" s="228">
        <v>0.11</v>
      </c>
      <c r="DS110" s="229">
        <v>0.11459999999999999</v>
      </c>
      <c r="DT110" s="231">
        <v>1350</v>
      </c>
      <c r="DU110" s="231">
        <v>1100</v>
      </c>
      <c r="DV110" s="228">
        <v>0.45</v>
      </c>
      <c r="DW110" s="228">
        <v>0.5</v>
      </c>
      <c r="DX110" s="228">
        <v>-0.05</v>
      </c>
      <c r="DY110" s="229">
        <v>-0.1</v>
      </c>
      <c r="DZ110" s="229">
        <v>0.1391</v>
      </c>
      <c r="EA110" s="230">
        <v>6391575</v>
      </c>
      <c r="EB110" s="229">
        <v>5.4000000000000003E-3</v>
      </c>
      <c r="EC110" s="229">
        <v>0.1391</v>
      </c>
      <c r="ED110" s="228">
        <v>4.09</v>
      </c>
      <c r="EE110" s="229">
        <v>3.2000000000000002E-3</v>
      </c>
      <c r="EF110" s="230">
        <v>2996176</v>
      </c>
      <c r="EG110" s="230">
        <v>890179</v>
      </c>
      <c r="EH110" s="229">
        <v>2.3658000000000001</v>
      </c>
      <c r="EI110" s="229">
        <v>0.64090000000000003</v>
      </c>
      <c r="EJ110" s="231">
        <v>226003.02</v>
      </c>
      <c r="EK110" s="231">
        <v>95972.62</v>
      </c>
      <c r="EL110" s="231">
        <v>73055.820000000007</v>
      </c>
      <c r="EM110" s="231">
        <v>5177</v>
      </c>
      <c r="EN110" s="231">
        <v>395031.46</v>
      </c>
      <c r="EO110" s="231">
        <v>266808.99</v>
      </c>
      <c r="EP110" s="231">
        <v>128222.47</v>
      </c>
      <c r="EQ110" s="229">
        <v>0.48060000000000003</v>
      </c>
      <c r="ER110" s="231">
        <v>75508</v>
      </c>
      <c r="ES110" s="231">
        <v>73858</v>
      </c>
      <c r="ET110" s="231">
        <v>625460</v>
      </c>
      <c r="EU110" s="231">
        <v>133242960</v>
      </c>
      <c r="EV110" s="231">
        <v>774826</v>
      </c>
      <c r="EW110" s="231">
        <v>754071</v>
      </c>
      <c r="EX110" s="231">
        <v>20755</v>
      </c>
      <c r="EY110" s="229">
        <v>2.75E-2</v>
      </c>
      <c r="EZ110" s="229">
        <v>0.4622</v>
      </c>
      <c r="FA110" s="227" t="s">
        <v>693</v>
      </c>
      <c r="FB110" s="161">
        <f t="shared" si="1"/>
        <v>6826950</v>
      </c>
    </row>
    <row r="111" spans="1:158" ht="17.25" thickBot="1" x14ac:dyDescent="0.3">
      <c r="A111" s="226">
        <v>46132</v>
      </c>
      <c r="B111" s="227" t="s">
        <v>168</v>
      </c>
      <c r="C111" s="227" t="s">
        <v>245</v>
      </c>
      <c r="D111" s="228">
        <v>1250</v>
      </c>
      <c r="E111" s="228">
        <v>454.35</v>
      </c>
      <c r="F111" s="228">
        <v>458.8</v>
      </c>
      <c r="G111" s="228">
        <v>-4.45</v>
      </c>
      <c r="H111" s="229">
        <v>-9.7000000000000003E-3</v>
      </c>
      <c r="I111" s="228">
        <v>456.15</v>
      </c>
      <c r="J111" s="228">
        <v>458.95</v>
      </c>
      <c r="K111" s="228">
        <v>-2.8</v>
      </c>
      <c r="L111" s="229">
        <v>-6.1000000000000004E-3</v>
      </c>
      <c r="M111" s="228">
        <v>454.35</v>
      </c>
      <c r="N111" s="228">
        <v>458.8</v>
      </c>
      <c r="O111" s="228">
        <v>-4.45</v>
      </c>
      <c r="P111" s="229">
        <v>-9.7000000000000003E-3</v>
      </c>
      <c r="Q111" s="228">
        <v>441.1</v>
      </c>
      <c r="R111" s="228">
        <v>446.15</v>
      </c>
      <c r="S111" s="228">
        <v>-5.05</v>
      </c>
      <c r="T111" s="229">
        <v>-1.1299999999999999E-2</v>
      </c>
      <c r="U111" s="228">
        <v>433.15</v>
      </c>
      <c r="V111" s="228">
        <v>436.85</v>
      </c>
      <c r="W111" s="228">
        <v>-3.7</v>
      </c>
      <c r="X111" s="229">
        <v>-8.5000000000000006E-3</v>
      </c>
      <c r="Y111" s="228">
        <v>-1.8</v>
      </c>
      <c r="Z111" s="228">
        <v>-0.15</v>
      </c>
      <c r="AA111" s="228">
        <v>-1.65</v>
      </c>
      <c r="AB111" s="229">
        <v>-3.8999999999999998E-3</v>
      </c>
      <c r="AC111" s="228">
        <v>-1.8</v>
      </c>
      <c r="AD111" s="228">
        <v>-0.15</v>
      </c>
      <c r="AE111" s="228">
        <v>-1.65</v>
      </c>
      <c r="AF111" s="229">
        <v>-3.8999999999999998E-3</v>
      </c>
      <c r="AG111" s="228">
        <v>-15.05</v>
      </c>
      <c r="AH111" s="228">
        <v>-12.8</v>
      </c>
      <c r="AI111" s="228">
        <v>-2.25</v>
      </c>
      <c r="AJ111" s="229">
        <v>-3.3000000000000002E-2</v>
      </c>
      <c r="AK111" s="228">
        <v>-23</v>
      </c>
      <c r="AL111" s="228">
        <v>-22.1</v>
      </c>
      <c r="AM111" s="228">
        <v>-0.9</v>
      </c>
      <c r="AN111" s="229">
        <v>-5.04E-2</v>
      </c>
      <c r="AO111" s="228">
        <v>455.77</v>
      </c>
      <c r="AP111" s="228">
        <v>442.69</v>
      </c>
      <c r="AQ111" s="228">
        <v>0</v>
      </c>
      <c r="AR111" s="230">
        <v>8310000</v>
      </c>
      <c r="AS111" s="230">
        <v>9136250</v>
      </c>
      <c r="AT111" s="230">
        <v>-826250</v>
      </c>
      <c r="AU111" s="229">
        <v>-9.0399999999999994E-2</v>
      </c>
      <c r="AV111" s="230">
        <v>5543750</v>
      </c>
      <c r="AW111" s="230">
        <v>6611250</v>
      </c>
      <c r="AX111" s="230">
        <v>-1067500</v>
      </c>
      <c r="AY111" s="229">
        <v>-0.1615</v>
      </c>
      <c r="AZ111" s="230">
        <v>2577500</v>
      </c>
      <c r="BA111" s="230">
        <v>2271250</v>
      </c>
      <c r="BB111" s="230">
        <v>306250</v>
      </c>
      <c r="BC111" s="229">
        <v>0.1348</v>
      </c>
      <c r="BD111" s="230">
        <v>188750</v>
      </c>
      <c r="BE111" s="230">
        <v>253750</v>
      </c>
      <c r="BF111" s="230">
        <v>-65000</v>
      </c>
      <c r="BG111" s="229">
        <v>-0.25619999999999998</v>
      </c>
      <c r="BH111" s="230">
        <v>14993750</v>
      </c>
      <c r="BI111" s="230">
        <v>21892500</v>
      </c>
      <c r="BJ111" s="230">
        <v>-6898750</v>
      </c>
      <c r="BK111" s="229">
        <v>-0.31509999999999999</v>
      </c>
      <c r="BL111" s="230">
        <v>5826250</v>
      </c>
      <c r="BM111" s="230">
        <v>8592500</v>
      </c>
      <c r="BN111" s="230">
        <v>-2766250</v>
      </c>
      <c r="BO111" s="229">
        <v>-0.32190000000000002</v>
      </c>
      <c r="BP111" s="230">
        <v>29130000</v>
      </c>
      <c r="BQ111" s="230">
        <v>39621250</v>
      </c>
      <c r="BR111" s="230">
        <v>-10491250</v>
      </c>
      <c r="BS111" s="229">
        <v>-0.26479999999999998</v>
      </c>
      <c r="BT111" s="230">
        <v>1564257</v>
      </c>
      <c r="BU111" s="230">
        <v>2866144</v>
      </c>
      <c r="BV111" s="230">
        <v>-1301887</v>
      </c>
      <c r="BW111" s="229">
        <v>-0.45419999999999999</v>
      </c>
      <c r="BX111" s="230">
        <v>52495000</v>
      </c>
      <c r="BY111" s="230">
        <v>51273750</v>
      </c>
      <c r="BZ111" s="230">
        <v>1221250</v>
      </c>
      <c r="CA111" s="229">
        <v>2.3800000000000002E-2</v>
      </c>
      <c r="CB111" s="230">
        <v>36787500</v>
      </c>
      <c r="CC111" s="230">
        <v>36798750</v>
      </c>
      <c r="CD111" s="230">
        <v>-11250</v>
      </c>
      <c r="CE111" s="229">
        <v>-2.9999999999999997E-4</v>
      </c>
      <c r="CF111" s="230">
        <v>15022500</v>
      </c>
      <c r="CG111" s="230">
        <v>13838750</v>
      </c>
      <c r="CH111" s="230">
        <v>1183750</v>
      </c>
      <c r="CI111" s="229">
        <v>8.5500000000000007E-2</v>
      </c>
      <c r="CJ111" s="230">
        <v>685000</v>
      </c>
      <c r="CK111" s="230">
        <v>636250</v>
      </c>
      <c r="CL111" s="230">
        <v>48750</v>
      </c>
      <c r="CM111" s="229">
        <v>7.6600000000000001E-2</v>
      </c>
      <c r="CN111" s="230">
        <v>15482500</v>
      </c>
      <c r="CO111" s="230">
        <v>15147500</v>
      </c>
      <c r="CP111" s="230">
        <v>335000</v>
      </c>
      <c r="CQ111" s="229">
        <v>2.2100000000000002E-2</v>
      </c>
      <c r="CR111" s="230">
        <v>9597500</v>
      </c>
      <c r="CS111" s="230">
        <v>9751250</v>
      </c>
      <c r="CT111" s="230">
        <v>-153750</v>
      </c>
      <c r="CU111" s="229">
        <v>-1.5800000000000002E-2</v>
      </c>
      <c r="CV111" s="230">
        <v>77575000</v>
      </c>
      <c r="CW111" s="230">
        <v>76172500</v>
      </c>
      <c r="CX111" s="230">
        <v>1402500</v>
      </c>
      <c r="CY111" s="229">
        <v>1.84E-2</v>
      </c>
      <c r="CZ111" s="228">
        <v>38.36</v>
      </c>
      <c r="DA111" s="228">
        <v>34.49</v>
      </c>
      <c r="DB111" s="228">
        <v>3.87</v>
      </c>
      <c r="DC111" s="228">
        <v>3.87</v>
      </c>
      <c r="DD111" s="228">
        <v>38.03</v>
      </c>
      <c r="DE111" s="228">
        <v>38.11</v>
      </c>
      <c r="DF111" s="228">
        <v>0.33</v>
      </c>
      <c r="DG111" s="228">
        <v>-0.08</v>
      </c>
      <c r="DH111" s="228">
        <v>37.74</v>
      </c>
      <c r="DI111" s="228">
        <v>33.81</v>
      </c>
      <c r="DJ111" s="228">
        <v>3.93</v>
      </c>
      <c r="DK111" s="228">
        <v>3.93</v>
      </c>
      <c r="DL111" s="228">
        <v>39.950000000000003</v>
      </c>
      <c r="DM111" s="228">
        <v>36.200000000000003</v>
      </c>
      <c r="DN111" s="228">
        <v>3.75</v>
      </c>
      <c r="DO111" s="228">
        <v>3.75</v>
      </c>
      <c r="DP111" s="228">
        <v>0.62</v>
      </c>
      <c r="DQ111" s="228">
        <v>0.64</v>
      </c>
      <c r="DR111" s="228">
        <v>-0.02</v>
      </c>
      <c r="DS111" s="229">
        <v>-3.1300000000000001E-2</v>
      </c>
      <c r="DT111" s="228">
        <v>500</v>
      </c>
      <c r="DU111" s="228">
        <v>400</v>
      </c>
      <c r="DV111" s="228">
        <v>0.39</v>
      </c>
      <c r="DW111" s="228">
        <v>0.39</v>
      </c>
      <c r="DX111" s="228">
        <v>0</v>
      </c>
      <c r="DY111" s="229">
        <v>0</v>
      </c>
      <c r="DZ111" s="229">
        <v>0.29920000000000002</v>
      </c>
      <c r="EA111" s="230">
        <v>14475000</v>
      </c>
      <c r="EB111" s="229">
        <v>-2.92E-2</v>
      </c>
      <c r="EC111" s="229">
        <v>0.29920000000000002</v>
      </c>
      <c r="ED111" s="228">
        <v>-13.08</v>
      </c>
      <c r="EE111" s="229">
        <v>-2.87E-2</v>
      </c>
      <c r="EF111" s="230">
        <v>444484</v>
      </c>
      <c r="EG111" s="230">
        <v>754300</v>
      </c>
      <c r="EH111" s="229">
        <v>-0.41070000000000001</v>
      </c>
      <c r="EI111" s="229">
        <v>0.28420000000000001</v>
      </c>
      <c r="EJ111" s="231">
        <v>71766.92</v>
      </c>
      <c r="EK111" s="231">
        <v>26121.39</v>
      </c>
      <c r="EL111" s="231">
        <v>37498.620000000003</v>
      </c>
      <c r="EM111" s="231">
        <v>7451</v>
      </c>
      <c r="EN111" s="231">
        <v>135386.93</v>
      </c>
      <c r="EO111" s="231">
        <v>185442.87</v>
      </c>
      <c r="EP111" s="231">
        <v>-50055.94</v>
      </c>
      <c r="EQ111" s="229">
        <v>-0.26989999999999997</v>
      </c>
      <c r="ER111" s="231">
        <v>72881</v>
      </c>
      <c r="ES111" s="231">
        <v>41501</v>
      </c>
      <c r="ET111" s="231">
        <v>236375</v>
      </c>
      <c r="EU111" s="231">
        <v>58777851</v>
      </c>
      <c r="EV111" s="231">
        <v>350757</v>
      </c>
      <c r="EW111" s="231">
        <v>346878</v>
      </c>
      <c r="EX111" s="231">
        <v>3879</v>
      </c>
      <c r="EY111" s="229">
        <v>1.12E-2</v>
      </c>
      <c r="EZ111" s="229">
        <v>1.3198000000000001</v>
      </c>
      <c r="FA111" s="227" t="s">
        <v>566</v>
      </c>
      <c r="FB111" s="161">
        <f t="shared" si="1"/>
        <v>15707500</v>
      </c>
    </row>
    <row r="112" spans="1:158" ht="17.25" thickBot="1" x14ac:dyDescent="0.3">
      <c r="A112" s="226">
        <v>46132</v>
      </c>
      <c r="B112" s="227" t="s">
        <v>168</v>
      </c>
      <c r="C112" s="227" t="s">
        <v>581</v>
      </c>
      <c r="D112" s="228">
        <v>1175</v>
      </c>
      <c r="E112" s="228">
        <v>417.2</v>
      </c>
      <c r="F112" s="228">
        <v>427.95</v>
      </c>
      <c r="G112" s="228">
        <v>-10.75</v>
      </c>
      <c r="H112" s="229">
        <v>-2.5100000000000001E-2</v>
      </c>
      <c r="I112" s="228">
        <v>417.5</v>
      </c>
      <c r="J112" s="228">
        <v>426.85</v>
      </c>
      <c r="K112" s="228">
        <v>-9.35</v>
      </c>
      <c r="L112" s="229">
        <v>-2.1899999999999999E-2</v>
      </c>
      <c r="M112" s="228">
        <v>417.2</v>
      </c>
      <c r="N112" s="228">
        <v>427.95</v>
      </c>
      <c r="O112" s="228">
        <v>-10.75</v>
      </c>
      <c r="P112" s="229">
        <v>-2.5100000000000001E-2</v>
      </c>
      <c r="Q112" s="228">
        <v>419.85</v>
      </c>
      <c r="R112" s="228">
        <v>429.8</v>
      </c>
      <c r="S112" s="228">
        <v>-9.9499999999999993</v>
      </c>
      <c r="T112" s="229">
        <v>-2.3199999999999998E-2</v>
      </c>
      <c r="U112" s="228">
        <v>422</v>
      </c>
      <c r="V112" s="228">
        <v>432.6</v>
      </c>
      <c r="W112" s="228">
        <v>-10.6</v>
      </c>
      <c r="X112" s="229">
        <v>-2.4500000000000001E-2</v>
      </c>
      <c r="Y112" s="228">
        <v>-0.3</v>
      </c>
      <c r="Z112" s="228">
        <v>1.1000000000000001</v>
      </c>
      <c r="AA112" s="228">
        <v>-1.4</v>
      </c>
      <c r="AB112" s="229">
        <v>-6.9999999999999999E-4</v>
      </c>
      <c r="AC112" s="228">
        <v>-0.3</v>
      </c>
      <c r="AD112" s="228">
        <v>1.1000000000000001</v>
      </c>
      <c r="AE112" s="228">
        <v>-1.4</v>
      </c>
      <c r="AF112" s="229">
        <v>-6.9999999999999999E-4</v>
      </c>
      <c r="AG112" s="228">
        <v>2.35</v>
      </c>
      <c r="AH112" s="228">
        <v>2.95</v>
      </c>
      <c r="AI112" s="228">
        <v>-0.6</v>
      </c>
      <c r="AJ112" s="229">
        <v>5.5999999999999999E-3</v>
      </c>
      <c r="AK112" s="228">
        <v>4.5</v>
      </c>
      <c r="AL112" s="228">
        <v>5.75</v>
      </c>
      <c r="AM112" s="228">
        <v>-1.25</v>
      </c>
      <c r="AN112" s="229">
        <v>1.0800000000000001E-2</v>
      </c>
      <c r="AO112" s="228">
        <v>420.15</v>
      </c>
      <c r="AP112" s="228">
        <v>422.77</v>
      </c>
      <c r="AQ112" s="228">
        <v>0</v>
      </c>
      <c r="AR112" s="230">
        <v>3354625</v>
      </c>
      <c r="AS112" s="230">
        <v>17582700</v>
      </c>
      <c r="AT112" s="230">
        <v>-14228075</v>
      </c>
      <c r="AU112" s="229">
        <v>-0.80920000000000003</v>
      </c>
      <c r="AV112" s="230">
        <v>2648450</v>
      </c>
      <c r="AW112" s="230">
        <v>15135175</v>
      </c>
      <c r="AX112" s="230">
        <v>-12486725</v>
      </c>
      <c r="AY112" s="229">
        <v>-0.82499999999999996</v>
      </c>
      <c r="AZ112" s="230">
        <v>538150</v>
      </c>
      <c r="BA112" s="230">
        <v>2217225</v>
      </c>
      <c r="BB112" s="230">
        <v>-1679075</v>
      </c>
      <c r="BC112" s="229">
        <v>-0.75729999999999997</v>
      </c>
      <c r="BD112" s="230">
        <v>168025</v>
      </c>
      <c r="BE112" s="230">
        <v>230300</v>
      </c>
      <c r="BF112" s="230">
        <v>-62275</v>
      </c>
      <c r="BG112" s="229">
        <v>-0.27039999999999997</v>
      </c>
      <c r="BH112" s="230">
        <v>17855300</v>
      </c>
      <c r="BI112" s="230">
        <v>75230550</v>
      </c>
      <c r="BJ112" s="230">
        <v>-57375250</v>
      </c>
      <c r="BK112" s="229">
        <v>-0.76270000000000004</v>
      </c>
      <c r="BL112" s="230">
        <v>8152150</v>
      </c>
      <c r="BM112" s="230">
        <v>55222650</v>
      </c>
      <c r="BN112" s="230">
        <v>-47070500</v>
      </c>
      <c r="BO112" s="229">
        <v>-0.85240000000000005</v>
      </c>
      <c r="BP112" s="230">
        <v>29362075</v>
      </c>
      <c r="BQ112" s="230">
        <v>148035900</v>
      </c>
      <c r="BR112" s="230">
        <v>-118673825</v>
      </c>
      <c r="BS112" s="229">
        <v>-0.80169999999999997</v>
      </c>
      <c r="BT112" s="230">
        <v>4871878</v>
      </c>
      <c r="BU112" s="230">
        <v>17746306</v>
      </c>
      <c r="BV112" s="230">
        <v>-12874428</v>
      </c>
      <c r="BW112" s="229">
        <v>-0.72550000000000003</v>
      </c>
      <c r="BX112" s="230">
        <v>26706575</v>
      </c>
      <c r="BY112" s="230">
        <v>26277700</v>
      </c>
      <c r="BZ112" s="230">
        <v>428875</v>
      </c>
      <c r="CA112" s="229">
        <v>1.6299999999999999E-2</v>
      </c>
      <c r="CB112" s="230">
        <v>24651500</v>
      </c>
      <c r="CC112" s="230">
        <v>24541050</v>
      </c>
      <c r="CD112" s="230">
        <v>110450</v>
      </c>
      <c r="CE112" s="229">
        <v>4.4999999999999997E-3</v>
      </c>
      <c r="CF112" s="230">
        <v>1818900</v>
      </c>
      <c r="CG112" s="230">
        <v>1608575</v>
      </c>
      <c r="CH112" s="230">
        <v>210325</v>
      </c>
      <c r="CI112" s="229">
        <v>0.1308</v>
      </c>
      <c r="CJ112" s="230">
        <v>236175</v>
      </c>
      <c r="CK112" s="230">
        <v>128075</v>
      </c>
      <c r="CL112" s="230">
        <v>108100</v>
      </c>
      <c r="CM112" s="229">
        <v>0.84399999999999997</v>
      </c>
      <c r="CN112" s="230">
        <v>15834300</v>
      </c>
      <c r="CO112" s="230">
        <v>13987200</v>
      </c>
      <c r="CP112" s="230">
        <v>1847100</v>
      </c>
      <c r="CQ112" s="229">
        <v>0.1321</v>
      </c>
      <c r="CR112" s="230">
        <v>7195700</v>
      </c>
      <c r="CS112" s="230">
        <v>7438925</v>
      </c>
      <c r="CT112" s="230">
        <v>-243225</v>
      </c>
      <c r="CU112" s="229">
        <v>-3.27E-2</v>
      </c>
      <c r="CV112" s="230">
        <v>49736575</v>
      </c>
      <c r="CW112" s="230">
        <v>47703825</v>
      </c>
      <c r="CX112" s="230">
        <v>2032750</v>
      </c>
      <c r="CY112" s="229">
        <v>4.2599999999999999E-2</v>
      </c>
      <c r="CZ112" s="228">
        <v>47.69</v>
      </c>
      <c r="DA112" s="228">
        <v>41.1</v>
      </c>
      <c r="DB112" s="228">
        <v>6.59</v>
      </c>
      <c r="DC112" s="228">
        <v>6.59</v>
      </c>
      <c r="DD112" s="228">
        <v>52.41</v>
      </c>
      <c r="DE112" s="228">
        <v>52.46</v>
      </c>
      <c r="DF112" s="228">
        <v>-4.72</v>
      </c>
      <c r="DG112" s="228">
        <v>-0.05</v>
      </c>
      <c r="DH112" s="228">
        <v>47.75</v>
      </c>
      <c r="DI112" s="228">
        <v>40.15</v>
      </c>
      <c r="DJ112" s="228">
        <v>7.6</v>
      </c>
      <c r="DK112" s="228">
        <v>7.6</v>
      </c>
      <c r="DL112" s="228">
        <v>47.57</v>
      </c>
      <c r="DM112" s="228">
        <v>42.38</v>
      </c>
      <c r="DN112" s="228">
        <v>5.19</v>
      </c>
      <c r="DO112" s="228">
        <v>5.19</v>
      </c>
      <c r="DP112" s="228">
        <v>0.45</v>
      </c>
      <c r="DQ112" s="228">
        <v>0.53</v>
      </c>
      <c r="DR112" s="228">
        <v>-0.08</v>
      </c>
      <c r="DS112" s="229">
        <v>-0.15090000000000001</v>
      </c>
      <c r="DT112" s="228">
        <v>450</v>
      </c>
      <c r="DU112" s="228">
        <v>420</v>
      </c>
      <c r="DV112" s="228">
        <v>0.46</v>
      </c>
      <c r="DW112" s="228">
        <v>0.73</v>
      </c>
      <c r="DX112" s="228">
        <v>-0.27</v>
      </c>
      <c r="DY112" s="229">
        <v>-0.36990000000000001</v>
      </c>
      <c r="DZ112" s="229">
        <v>7.6999999999999999E-2</v>
      </c>
      <c r="EA112" s="230">
        <v>1736650</v>
      </c>
      <c r="EB112" s="229">
        <v>6.4000000000000003E-3</v>
      </c>
      <c r="EC112" s="229">
        <v>7.6999999999999999E-2</v>
      </c>
      <c r="ED112" s="228">
        <v>2.62</v>
      </c>
      <c r="EE112" s="229">
        <v>6.1999999999999998E-3</v>
      </c>
      <c r="EF112" s="230">
        <v>1781822</v>
      </c>
      <c r="EG112" s="230">
        <v>4303003</v>
      </c>
      <c r="EH112" s="229">
        <v>-0.58589999999999998</v>
      </c>
      <c r="EI112" s="229">
        <v>0.36570000000000003</v>
      </c>
      <c r="EJ112" s="231">
        <v>79639.179999999993</v>
      </c>
      <c r="EK112" s="231">
        <v>34071.85</v>
      </c>
      <c r="EL112" s="231">
        <v>14119.48</v>
      </c>
      <c r="EM112" s="231">
        <v>5522</v>
      </c>
      <c r="EN112" s="231">
        <v>127830.51</v>
      </c>
      <c r="EO112" s="231">
        <v>646237.17000000004</v>
      </c>
      <c r="EP112" s="231">
        <v>-518406.66</v>
      </c>
      <c r="EQ112" s="229">
        <v>-0.80220000000000002</v>
      </c>
      <c r="ER112" s="231">
        <v>70034</v>
      </c>
      <c r="ES112" s="231">
        <v>29517</v>
      </c>
      <c r="ET112" s="231">
        <v>111479</v>
      </c>
      <c r="EU112" s="231">
        <v>57686748</v>
      </c>
      <c r="EV112" s="231">
        <v>211030</v>
      </c>
      <c r="EW112" s="231">
        <v>204940</v>
      </c>
      <c r="EX112" s="231">
        <v>6090</v>
      </c>
      <c r="EY112" s="229">
        <v>2.9700000000000001E-2</v>
      </c>
      <c r="EZ112" s="229">
        <v>0.86219999999999997</v>
      </c>
      <c r="FA112" s="227" t="s">
        <v>566</v>
      </c>
      <c r="FB112" s="161">
        <f t="shared" si="1"/>
        <v>2055075</v>
      </c>
    </row>
    <row r="113" spans="1:158" ht="17.25" thickBot="1" x14ac:dyDescent="0.3">
      <c r="A113" s="226">
        <v>46132</v>
      </c>
      <c r="B113" s="227" t="s">
        <v>184</v>
      </c>
      <c r="C113" s="227" t="s">
        <v>674</v>
      </c>
      <c r="D113" s="228">
        <v>100</v>
      </c>
      <c r="E113" s="231">
        <v>4206.2</v>
      </c>
      <c r="F113" s="231">
        <v>4208.7</v>
      </c>
      <c r="G113" s="228">
        <v>-2.5</v>
      </c>
      <c r="H113" s="229">
        <v>-5.9999999999999995E-4</v>
      </c>
      <c r="I113" s="231">
        <v>4222.6000000000004</v>
      </c>
      <c r="J113" s="231">
        <v>4214.3999999999996</v>
      </c>
      <c r="K113" s="228">
        <v>8.1999999999999993</v>
      </c>
      <c r="L113" s="229">
        <v>1.9E-3</v>
      </c>
      <c r="M113" s="231">
        <v>4206.2</v>
      </c>
      <c r="N113" s="231">
        <v>4208.7</v>
      </c>
      <c r="O113" s="228">
        <v>-2.5</v>
      </c>
      <c r="P113" s="229">
        <v>-5.9999999999999995E-4</v>
      </c>
      <c r="Q113" s="231">
        <v>4176.5</v>
      </c>
      <c r="R113" s="231">
        <v>4173.1000000000004</v>
      </c>
      <c r="S113" s="228">
        <v>3.4</v>
      </c>
      <c r="T113" s="229">
        <v>8.0000000000000004E-4</v>
      </c>
      <c r="U113" s="231">
        <v>4149</v>
      </c>
      <c r="V113" s="231">
        <v>4157.1000000000004</v>
      </c>
      <c r="W113" s="228">
        <v>-8.1</v>
      </c>
      <c r="X113" s="229">
        <v>-1.9E-3</v>
      </c>
      <c r="Y113" s="228">
        <v>-16.399999999999999</v>
      </c>
      <c r="Z113" s="228">
        <v>-5.7</v>
      </c>
      <c r="AA113" s="228">
        <v>-10.7</v>
      </c>
      <c r="AB113" s="229">
        <v>-3.8999999999999998E-3</v>
      </c>
      <c r="AC113" s="228">
        <v>-16.399999999999999</v>
      </c>
      <c r="AD113" s="228">
        <v>-5.7</v>
      </c>
      <c r="AE113" s="228">
        <v>-10.7</v>
      </c>
      <c r="AF113" s="229">
        <v>-3.8999999999999998E-3</v>
      </c>
      <c r="AG113" s="228">
        <v>-46.1</v>
      </c>
      <c r="AH113" s="228">
        <v>-41.3</v>
      </c>
      <c r="AI113" s="228">
        <v>-4.8</v>
      </c>
      <c r="AJ113" s="229">
        <v>-1.09E-2</v>
      </c>
      <c r="AK113" s="228">
        <v>-73.599999999999994</v>
      </c>
      <c r="AL113" s="228">
        <v>-57.3</v>
      </c>
      <c r="AM113" s="228">
        <v>-16.3</v>
      </c>
      <c r="AN113" s="229">
        <v>-1.7399999999999999E-2</v>
      </c>
      <c r="AO113" s="231">
        <v>4187.62</v>
      </c>
      <c r="AP113" s="231">
        <v>4165.2</v>
      </c>
      <c r="AQ113" s="228">
        <v>0</v>
      </c>
      <c r="AR113" s="230">
        <v>1190200</v>
      </c>
      <c r="AS113" s="230">
        <v>711200</v>
      </c>
      <c r="AT113" s="230">
        <v>479000</v>
      </c>
      <c r="AU113" s="229">
        <v>0.67349999999999999</v>
      </c>
      <c r="AV113" s="230">
        <v>911700</v>
      </c>
      <c r="AW113" s="230">
        <v>537800</v>
      </c>
      <c r="AX113" s="230">
        <v>373900</v>
      </c>
      <c r="AY113" s="229">
        <v>0.69520000000000004</v>
      </c>
      <c r="AZ113" s="230">
        <v>265000</v>
      </c>
      <c r="BA113" s="230">
        <v>154400</v>
      </c>
      <c r="BB113" s="230">
        <v>110600</v>
      </c>
      <c r="BC113" s="229">
        <v>0.71630000000000005</v>
      </c>
      <c r="BD113" s="230">
        <v>13500</v>
      </c>
      <c r="BE113" s="230">
        <v>19000</v>
      </c>
      <c r="BF113" s="230">
        <v>-5500</v>
      </c>
      <c r="BG113" s="229">
        <v>-0.28949999999999998</v>
      </c>
      <c r="BH113" s="230">
        <v>3021900</v>
      </c>
      <c r="BI113" s="230">
        <v>2470300</v>
      </c>
      <c r="BJ113" s="230">
        <v>551600</v>
      </c>
      <c r="BK113" s="229">
        <v>0.2233</v>
      </c>
      <c r="BL113" s="230">
        <v>2198400</v>
      </c>
      <c r="BM113" s="230">
        <v>1596700</v>
      </c>
      <c r="BN113" s="230">
        <v>601700</v>
      </c>
      <c r="BO113" s="229">
        <v>0.37680000000000002</v>
      </c>
      <c r="BP113" s="230">
        <v>6410500</v>
      </c>
      <c r="BQ113" s="230">
        <v>4778200</v>
      </c>
      <c r="BR113" s="230">
        <v>1632300</v>
      </c>
      <c r="BS113" s="229">
        <v>0.34160000000000001</v>
      </c>
      <c r="BT113" s="230">
        <v>1514932</v>
      </c>
      <c r="BU113" s="230">
        <v>1287216</v>
      </c>
      <c r="BV113" s="230">
        <v>227716</v>
      </c>
      <c r="BW113" s="229">
        <v>0.1769</v>
      </c>
      <c r="BX113" s="230">
        <v>3455500</v>
      </c>
      <c r="BY113" s="230">
        <v>3419800</v>
      </c>
      <c r="BZ113" s="230">
        <v>35700</v>
      </c>
      <c r="CA113" s="229">
        <v>1.04E-2</v>
      </c>
      <c r="CB113" s="230">
        <v>2792000</v>
      </c>
      <c r="CC113" s="230">
        <v>2875800</v>
      </c>
      <c r="CD113" s="230">
        <v>-83800</v>
      </c>
      <c r="CE113" s="229">
        <v>-2.9100000000000001E-2</v>
      </c>
      <c r="CF113" s="230">
        <v>597300</v>
      </c>
      <c r="CG113" s="230">
        <v>485200</v>
      </c>
      <c r="CH113" s="230">
        <v>112100</v>
      </c>
      <c r="CI113" s="229">
        <v>0.23100000000000001</v>
      </c>
      <c r="CJ113" s="230">
        <v>66200</v>
      </c>
      <c r="CK113" s="230">
        <v>58800</v>
      </c>
      <c r="CL113" s="230">
        <v>7400</v>
      </c>
      <c r="CM113" s="229">
        <v>0.12590000000000001</v>
      </c>
      <c r="CN113" s="230">
        <v>1479000</v>
      </c>
      <c r="CO113" s="230">
        <v>1513300</v>
      </c>
      <c r="CP113" s="230">
        <v>-34300</v>
      </c>
      <c r="CQ113" s="229">
        <v>-2.2700000000000001E-2</v>
      </c>
      <c r="CR113" s="230">
        <v>1227400</v>
      </c>
      <c r="CS113" s="230">
        <v>1208000</v>
      </c>
      <c r="CT113" s="230">
        <v>19400</v>
      </c>
      <c r="CU113" s="229">
        <v>1.61E-2</v>
      </c>
      <c r="CV113" s="230">
        <v>6161900</v>
      </c>
      <c r="CW113" s="230">
        <v>6141100</v>
      </c>
      <c r="CX113" s="230">
        <v>20800</v>
      </c>
      <c r="CY113" s="229">
        <v>3.3999999999999998E-3</v>
      </c>
      <c r="CZ113" s="228">
        <v>49.62</v>
      </c>
      <c r="DA113" s="228">
        <v>48.16</v>
      </c>
      <c r="DB113" s="228">
        <v>1.46</v>
      </c>
      <c r="DC113" s="228">
        <v>1.46</v>
      </c>
      <c r="DD113" s="228">
        <v>60.99</v>
      </c>
      <c r="DE113" s="228">
        <v>61.15</v>
      </c>
      <c r="DF113" s="228">
        <v>-11.37</v>
      </c>
      <c r="DG113" s="228">
        <v>-0.16</v>
      </c>
      <c r="DH113" s="228">
        <v>46.77</v>
      </c>
      <c r="DI113" s="228">
        <v>44.41</v>
      </c>
      <c r="DJ113" s="228">
        <v>2.36</v>
      </c>
      <c r="DK113" s="228">
        <v>2.36</v>
      </c>
      <c r="DL113" s="228">
        <v>53.54</v>
      </c>
      <c r="DM113" s="228">
        <v>53.97</v>
      </c>
      <c r="DN113" s="228">
        <v>-0.43</v>
      </c>
      <c r="DO113" s="228">
        <v>-0.43</v>
      </c>
      <c r="DP113" s="228">
        <v>0.83</v>
      </c>
      <c r="DQ113" s="228">
        <v>0.8</v>
      </c>
      <c r="DR113" s="228">
        <v>0.03</v>
      </c>
      <c r="DS113" s="229">
        <v>3.7499999999999999E-2</v>
      </c>
      <c r="DT113" s="231">
        <v>4500</v>
      </c>
      <c r="DU113" s="231">
        <v>4000</v>
      </c>
      <c r="DV113" s="228">
        <v>0.73</v>
      </c>
      <c r="DW113" s="228">
        <v>0.65</v>
      </c>
      <c r="DX113" s="228">
        <v>0.08</v>
      </c>
      <c r="DY113" s="229">
        <v>0.1231</v>
      </c>
      <c r="DZ113" s="229">
        <v>0.192</v>
      </c>
      <c r="EA113" s="230">
        <v>544000</v>
      </c>
      <c r="EB113" s="229">
        <v>-7.1000000000000004E-3</v>
      </c>
      <c r="EC113" s="229">
        <v>0.192</v>
      </c>
      <c r="ED113" s="228">
        <v>-22.42</v>
      </c>
      <c r="EE113" s="229">
        <v>-5.4000000000000003E-3</v>
      </c>
      <c r="EF113" s="230">
        <v>292234</v>
      </c>
      <c r="EG113" s="230">
        <v>269383</v>
      </c>
      <c r="EH113" s="229">
        <v>8.48E-2</v>
      </c>
      <c r="EI113" s="229">
        <v>0.19289999999999999</v>
      </c>
      <c r="EJ113" s="231">
        <v>132587.29</v>
      </c>
      <c r="EK113" s="231">
        <v>88261.8</v>
      </c>
      <c r="EL113" s="231">
        <v>49776.89</v>
      </c>
      <c r="EM113" s="231">
        <v>9696</v>
      </c>
      <c r="EN113" s="231">
        <v>270625.98</v>
      </c>
      <c r="EO113" s="231">
        <v>200934.08</v>
      </c>
      <c r="EP113" s="231">
        <v>69691.899999999994</v>
      </c>
      <c r="EQ113" s="229">
        <v>0.3468</v>
      </c>
      <c r="ER113" s="231">
        <v>60123</v>
      </c>
      <c r="ES113" s="231">
        <v>45898</v>
      </c>
      <c r="ET113" s="231">
        <v>145130</v>
      </c>
      <c r="EU113" s="231">
        <v>4679418</v>
      </c>
      <c r="EV113" s="231">
        <v>251151</v>
      </c>
      <c r="EW113" s="231">
        <v>250007</v>
      </c>
      <c r="EX113" s="231">
        <v>1144</v>
      </c>
      <c r="EY113" s="229">
        <v>4.5999999999999999E-3</v>
      </c>
      <c r="EZ113" s="229">
        <v>1.3168</v>
      </c>
      <c r="FA113" s="227" t="s">
        <v>566</v>
      </c>
      <c r="FB113" s="161">
        <f t="shared" si="1"/>
        <v>663500</v>
      </c>
    </row>
    <row r="114" spans="1:158" ht="17.25" thickBot="1" x14ac:dyDescent="0.3">
      <c r="A114" s="226">
        <v>46132</v>
      </c>
      <c r="B114" s="227" t="s">
        <v>161</v>
      </c>
      <c r="C114" s="227" t="s">
        <v>609</v>
      </c>
      <c r="D114" s="228">
        <v>175</v>
      </c>
      <c r="E114" s="231">
        <v>4878</v>
      </c>
      <c r="F114" s="231">
        <v>4823.5</v>
      </c>
      <c r="G114" s="228">
        <v>54.5</v>
      </c>
      <c r="H114" s="229">
        <v>1.1299999999999999E-2</v>
      </c>
      <c r="I114" s="231">
        <v>4880.6000000000004</v>
      </c>
      <c r="J114" s="231">
        <v>4839.3</v>
      </c>
      <c r="K114" s="228">
        <v>41.3</v>
      </c>
      <c r="L114" s="229">
        <v>8.5000000000000006E-3</v>
      </c>
      <c r="M114" s="231">
        <v>4878</v>
      </c>
      <c r="N114" s="231">
        <v>4823.5</v>
      </c>
      <c r="O114" s="228">
        <v>54.5</v>
      </c>
      <c r="P114" s="229">
        <v>1.1299999999999999E-2</v>
      </c>
      <c r="Q114" s="231">
        <v>4803.7</v>
      </c>
      <c r="R114" s="231">
        <v>4732.8</v>
      </c>
      <c r="S114" s="228">
        <v>70.900000000000006</v>
      </c>
      <c r="T114" s="229">
        <v>1.4999999999999999E-2</v>
      </c>
      <c r="U114" s="231">
        <v>4766.8</v>
      </c>
      <c r="V114" s="231">
        <v>4719</v>
      </c>
      <c r="W114" s="228">
        <v>47.8</v>
      </c>
      <c r="X114" s="229">
        <v>1.01E-2</v>
      </c>
      <c r="Y114" s="228">
        <v>-2.6</v>
      </c>
      <c r="Z114" s="228">
        <v>-15.8</v>
      </c>
      <c r="AA114" s="228">
        <v>13.2</v>
      </c>
      <c r="AB114" s="229">
        <v>-5.0000000000000001E-4</v>
      </c>
      <c r="AC114" s="228">
        <v>-2.6</v>
      </c>
      <c r="AD114" s="228">
        <v>-15.8</v>
      </c>
      <c r="AE114" s="228">
        <v>13.2</v>
      </c>
      <c r="AF114" s="229">
        <v>-5.0000000000000001E-4</v>
      </c>
      <c r="AG114" s="228">
        <v>-76.900000000000006</v>
      </c>
      <c r="AH114" s="228">
        <v>-106.5</v>
      </c>
      <c r="AI114" s="228">
        <v>29.6</v>
      </c>
      <c r="AJ114" s="229">
        <v>-1.5800000000000002E-2</v>
      </c>
      <c r="AK114" s="228">
        <v>-113.8</v>
      </c>
      <c r="AL114" s="228">
        <v>-120.3</v>
      </c>
      <c r="AM114" s="228">
        <v>6.5</v>
      </c>
      <c r="AN114" s="229">
        <v>-2.3300000000000001E-2</v>
      </c>
      <c r="AO114" s="231">
        <v>4888.84</v>
      </c>
      <c r="AP114" s="231">
        <v>4821.28</v>
      </c>
      <c r="AQ114" s="228">
        <v>0</v>
      </c>
      <c r="AR114" s="230">
        <v>705425</v>
      </c>
      <c r="AS114" s="230">
        <v>772275</v>
      </c>
      <c r="AT114" s="230">
        <v>-66850</v>
      </c>
      <c r="AU114" s="229">
        <v>-8.6599999999999996E-2</v>
      </c>
      <c r="AV114" s="230">
        <v>479675</v>
      </c>
      <c r="AW114" s="230">
        <v>585025</v>
      </c>
      <c r="AX114" s="230">
        <v>-105350</v>
      </c>
      <c r="AY114" s="229">
        <v>-0.18010000000000001</v>
      </c>
      <c r="AZ114" s="230">
        <v>221550</v>
      </c>
      <c r="BA114" s="230">
        <v>181300</v>
      </c>
      <c r="BB114" s="230">
        <v>40250</v>
      </c>
      <c r="BC114" s="229">
        <v>0.222</v>
      </c>
      <c r="BD114" s="230">
        <v>4200</v>
      </c>
      <c r="BE114" s="230">
        <v>5950</v>
      </c>
      <c r="BF114" s="230">
        <v>-1750</v>
      </c>
      <c r="BG114" s="229">
        <v>-0.29409999999999997</v>
      </c>
      <c r="BH114" s="230">
        <v>1325275</v>
      </c>
      <c r="BI114" s="230">
        <v>3695300</v>
      </c>
      <c r="BJ114" s="230">
        <v>-2370025</v>
      </c>
      <c r="BK114" s="229">
        <v>-0.64139999999999997</v>
      </c>
      <c r="BL114" s="230">
        <v>507150</v>
      </c>
      <c r="BM114" s="230">
        <v>1045625</v>
      </c>
      <c r="BN114" s="230">
        <v>-538475</v>
      </c>
      <c r="BO114" s="229">
        <v>-0.51500000000000001</v>
      </c>
      <c r="BP114" s="230">
        <v>2537850</v>
      </c>
      <c r="BQ114" s="230">
        <v>5513200</v>
      </c>
      <c r="BR114" s="230">
        <v>-2975350</v>
      </c>
      <c r="BS114" s="229">
        <v>-0.53969999999999996</v>
      </c>
      <c r="BT114" s="230">
        <v>374329</v>
      </c>
      <c r="BU114" s="230">
        <v>513070</v>
      </c>
      <c r="BV114" s="230">
        <v>-138741</v>
      </c>
      <c r="BW114" s="229">
        <v>-0.27039999999999997</v>
      </c>
      <c r="BX114" s="230">
        <v>2365825</v>
      </c>
      <c r="BY114" s="230">
        <v>2330475</v>
      </c>
      <c r="BZ114" s="230">
        <v>35350</v>
      </c>
      <c r="CA114" s="229">
        <v>1.52E-2</v>
      </c>
      <c r="CB114" s="230">
        <v>1741075</v>
      </c>
      <c r="CC114" s="230">
        <v>1837325</v>
      </c>
      <c r="CD114" s="230">
        <v>-96250</v>
      </c>
      <c r="CE114" s="229">
        <v>-5.2400000000000002E-2</v>
      </c>
      <c r="CF114" s="230">
        <v>618800</v>
      </c>
      <c r="CG114" s="230">
        <v>489125</v>
      </c>
      <c r="CH114" s="230">
        <v>129675</v>
      </c>
      <c r="CI114" s="229">
        <v>0.2651</v>
      </c>
      <c r="CJ114" s="230">
        <v>5950</v>
      </c>
      <c r="CK114" s="230">
        <v>4025</v>
      </c>
      <c r="CL114" s="230">
        <v>1925</v>
      </c>
      <c r="CM114" s="229">
        <v>0.4783</v>
      </c>
      <c r="CN114" s="230">
        <v>674625</v>
      </c>
      <c r="CO114" s="230">
        <v>694575</v>
      </c>
      <c r="CP114" s="230">
        <v>-19950</v>
      </c>
      <c r="CQ114" s="229">
        <v>-2.87E-2</v>
      </c>
      <c r="CR114" s="230">
        <v>491225</v>
      </c>
      <c r="CS114" s="230">
        <v>483875</v>
      </c>
      <c r="CT114" s="230">
        <v>7350</v>
      </c>
      <c r="CU114" s="229">
        <v>1.52E-2</v>
      </c>
      <c r="CV114" s="230">
        <v>3531675</v>
      </c>
      <c r="CW114" s="230">
        <v>3508925</v>
      </c>
      <c r="CX114" s="230">
        <v>22750</v>
      </c>
      <c r="CY114" s="229">
        <v>6.4999999999999997E-3</v>
      </c>
      <c r="CZ114" s="228">
        <v>39.57</v>
      </c>
      <c r="DA114" s="228">
        <v>37.26</v>
      </c>
      <c r="DB114" s="228">
        <v>2.31</v>
      </c>
      <c r="DC114" s="228">
        <v>2.31</v>
      </c>
      <c r="DD114" s="228">
        <v>46.54</v>
      </c>
      <c r="DE114" s="228">
        <v>46.63</v>
      </c>
      <c r="DF114" s="228">
        <v>-6.97</v>
      </c>
      <c r="DG114" s="228">
        <v>-0.09</v>
      </c>
      <c r="DH114" s="228">
        <v>38.369999999999997</v>
      </c>
      <c r="DI114" s="228">
        <v>36.229999999999997</v>
      </c>
      <c r="DJ114" s="228">
        <v>2.14</v>
      </c>
      <c r="DK114" s="228">
        <v>2.14</v>
      </c>
      <c r="DL114" s="228">
        <v>42.7</v>
      </c>
      <c r="DM114" s="228">
        <v>40.92</v>
      </c>
      <c r="DN114" s="228">
        <v>1.78</v>
      </c>
      <c r="DO114" s="228">
        <v>1.78</v>
      </c>
      <c r="DP114" s="228">
        <v>0.73</v>
      </c>
      <c r="DQ114" s="228">
        <v>0.7</v>
      </c>
      <c r="DR114" s="228">
        <v>0.03</v>
      </c>
      <c r="DS114" s="229">
        <v>4.2900000000000001E-2</v>
      </c>
      <c r="DT114" s="231">
        <v>5000</v>
      </c>
      <c r="DU114" s="231">
        <v>4500</v>
      </c>
      <c r="DV114" s="228">
        <v>0.38</v>
      </c>
      <c r="DW114" s="228">
        <v>0.28000000000000003</v>
      </c>
      <c r="DX114" s="228">
        <v>0.1</v>
      </c>
      <c r="DY114" s="229">
        <v>0.35709999999999997</v>
      </c>
      <c r="DZ114" s="229">
        <v>0.2641</v>
      </c>
      <c r="EA114" s="230">
        <v>493150</v>
      </c>
      <c r="EB114" s="229">
        <v>-1.52E-2</v>
      </c>
      <c r="EC114" s="229">
        <v>0.2641</v>
      </c>
      <c r="ED114" s="228">
        <v>-67.56</v>
      </c>
      <c r="EE114" s="229">
        <v>-1.38E-2</v>
      </c>
      <c r="EF114" s="230">
        <v>141765</v>
      </c>
      <c r="EG114" s="230">
        <v>170840</v>
      </c>
      <c r="EH114" s="229">
        <v>-0.17019999999999999</v>
      </c>
      <c r="EI114" s="229">
        <v>0.37869999999999998</v>
      </c>
      <c r="EJ114" s="231">
        <v>67095.78</v>
      </c>
      <c r="EK114" s="231">
        <v>23939.77</v>
      </c>
      <c r="EL114" s="231">
        <v>34332.449999999997</v>
      </c>
      <c r="EM114" s="231">
        <v>3655</v>
      </c>
      <c r="EN114" s="231">
        <v>125368</v>
      </c>
      <c r="EO114" s="231">
        <v>269657.34000000003</v>
      </c>
      <c r="EP114" s="231">
        <v>-144289.34</v>
      </c>
      <c r="EQ114" s="229">
        <v>-0.53510000000000002</v>
      </c>
      <c r="ER114" s="231">
        <v>31446</v>
      </c>
      <c r="ES114" s="231">
        <v>21517</v>
      </c>
      <c r="ET114" s="231">
        <v>114939</v>
      </c>
      <c r="EU114" s="231">
        <v>9320940</v>
      </c>
      <c r="EV114" s="231">
        <v>167902</v>
      </c>
      <c r="EW114" s="231">
        <v>165151</v>
      </c>
      <c r="EX114" s="231">
        <v>2751</v>
      </c>
      <c r="EY114" s="229">
        <v>1.67E-2</v>
      </c>
      <c r="EZ114" s="229">
        <v>0.37890000000000001</v>
      </c>
      <c r="FA114" s="227" t="s">
        <v>555</v>
      </c>
      <c r="FB114" s="161">
        <f t="shared" si="1"/>
        <v>624750</v>
      </c>
    </row>
    <row r="115" spans="1:158" ht="17.25" thickBot="1" x14ac:dyDescent="0.3">
      <c r="A115" s="226">
        <v>46132</v>
      </c>
      <c r="B115" s="227" t="s">
        <v>175</v>
      </c>
      <c r="C115" s="227" t="s">
        <v>681</v>
      </c>
      <c r="D115" s="228">
        <v>500</v>
      </c>
      <c r="E115" s="228">
        <v>973.05</v>
      </c>
      <c r="F115" s="228">
        <v>977.6</v>
      </c>
      <c r="G115" s="228">
        <v>-4.55</v>
      </c>
      <c r="H115" s="229">
        <v>-4.7000000000000002E-3</v>
      </c>
      <c r="I115" s="228">
        <v>975.1</v>
      </c>
      <c r="J115" s="228">
        <v>976</v>
      </c>
      <c r="K115" s="228">
        <v>-0.9</v>
      </c>
      <c r="L115" s="229">
        <v>-8.9999999999999998E-4</v>
      </c>
      <c r="M115" s="228">
        <v>973.05</v>
      </c>
      <c r="N115" s="228">
        <v>977.6</v>
      </c>
      <c r="O115" s="228">
        <v>-4.55</v>
      </c>
      <c r="P115" s="229">
        <v>-4.7000000000000002E-3</v>
      </c>
      <c r="Q115" s="228">
        <v>954.2</v>
      </c>
      <c r="R115" s="228">
        <v>957.5</v>
      </c>
      <c r="S115" s="228">
        <v>-3.3</v>
      </c>
      <c r="T115" s="229">
        <v>-3.3999999999999998E-3</v>
      </c>
      <c r="U115" s="228">
        <v>945.05</v>
      </c>
      <c r="V115" s="228">
        <v>947.7</v>
      </c>
      <c r="W115" s="228">
        <v>-2.65</v>
      </c>
      <c r="X115" s="229">
        <v>-2.8E-3</v>
      </c>
      <c r="Y115" s="228">
        <v>-2.0499999999999998</v>
      </c>
      <c r="Z115" s="228">
        <v>1.6</v>
      </c>
      <c r="AA115" s="228">
        <v>-3.65</v>
      </c>
      <c r="AB115" s="229">
        <v>-2.0999999999999999E-3</v>
      </c>
      <c r="AC115" s="228">
        <v>-2.0499999999999998</v>
      </c>
      <c r="AD115" s="228">
        <v>1.6</v>
      </c>
      <c r="AE115" s="228">
        <v>-3.65</v>
      </c>
      <c r="AF115" s="229">
        <v>-2.0999999999999999E-3</v>
      </c>
      <c r="AG115" s="228">
        <v>-20.9</v>
      </c>
      <c r="AH115" s="228">
        <v>-18.5</v>
      </c>
      <c r="AI115" s="228">
        <v>-2.4</v>
      </c>
      <c r="AJ115" s="229">
        <v>-2.1399999999999999E-2</v>
      </c>
      <c r="AK115" s="228">
        <v>-30.05</v>
      </c>
      <c r="AL115" s="228">
        <v>-28.3</v>
      </c>
      <c r="AM115" s="228">
        <v>-1.75</v>
      </c>
      <c r="AN115" s="229">
        <v>-3.0800000000000001E-2</v>
      </c>
      <c r="AO115" s="228">
        <v>974.69</v>
      </c>
      <c r="AP115" s="228">
        <v>955.15</v>
      </c>
      <c r="AQ115" s="228">
        <v>0</v>
      </c>
      <c r="AR115" s="230">
        <v>1983500</v>
      </c>
      <c r="AS115" s="230">
        <v>1804500</v>
      </c>
      <c r="AT115" s="230">
        <v>179000</v>
      </c>
      <c r="AU115" s="229">
        <v>9.9199999999999997E-2</v>
      </c>
      <c r="AV115" s="230">
        <v>1474500</v>
      </c>
      <c r="AW115" s="230">
        <v>1344500</v>
      </c>
      <c r="AX115" s="230">
        <v>130000</v>
      </c>
      <c r="AY115" s="229">
        <v>9.6699999999999994E-2</v>
      </c>
      <c r="AZ115" s="230">
        <v>496000</v>
      </c>
      <c r="BA115" s="230">
        <v>424500</v>
      </c>
      <c r="BB115" s="230">
        <v>71500</v>
      </c>
      <c r="BC115" s="229">
        <v>0.16839999999999999</v>
      </c>
      <c r="BD115" s="230">
        <v>13000</v>
      </c>
      <c r="BE115" s="230">
        <v>35500</v>
      </c>
      <c r="BF115" s="230">
        <v>-22500</v>
      </c>
      <c r="BG115" s="229">
        <v>-0.63380000000000003</v>
      </c>
      <c r="BH115" s="230">
        <v>3321500</v>
      </c>
      <c r="BI115" s="230">
        <v>6310000</v>
      </c>
      <c r="BJ115" s="230">
        <v>-2988500</v>
      </c>
      <c r="BK115" s="229">
        <v>-0.47360000000000002</v>
      </c>
      <c r="BL115" s="230">
        <v>1046000</v>
      </c>
      <c r="BM115" s="230">
        <v>1611500</v>
      </c>
      <c r="BN115" s="230">
        <v>-565500</v>
      </c>
      <c r="BO115" s="229">
        <v>-0.35089999999999999</v>
      </c>
      <c r="BP115" s="230">
        <v>6351000</v>
      </c>
      <c r="BQ115" s="230">
        <v>9726000</v>
      </c>
      <c r="BR115" s="230">
        <v>-3375000</v>
      </c>
      <c r="BS115" s="229">
        <v>-0.34699999999999998</v>
      </c>
      <c r="BT115" s="230">
        <v>1298284</v>
      </c>
      <c r="BU115" s="230">
        <v>2169365</v>
      </c>
      <c r="BV115" s="230">
        <v>-871081</v>
      </c>
      <c r="BW115" s="229">
        <v>-0.40150000000000002</v>
      </c>
      <c r="BX115" s="230">
        <v>3971000</v>
      </c>
      <c r="BY115" s="230">
        <v>3644500</v>
      </c>
      <c r="BZ115" s="230">
        <v>326500</v>
      </c>
      <c r="CA115" s="229">
        <v>8.9599999999999999E-2</v>
      </c>
      <c r="CB115" s="230">
        <v>3093500</v>
      </c>
      <c r="CC115" s="230">
        <v>2943500</v>
      </c>
      <c r="CD115" s="230">
        <v>150000</v>
      </c>
      <c r="CE115" s="229">
        <v>5.0999999999999997E-2</v>
      </c>
      <c r="CF115" s="230">
        <v>804000</v>
      </c>
      <c r="CG115" s="230">
        <v>630000</v>
      </c>
      <c r="CH115" s="230">
        <v>174000</v>
      </c>
      <c r="CI115" s="229">
        <v>0.2762</v>
      </c>
      <c r="CJ115" s="230">
        <v>73500</v>
      </c>
      <c r="CK115" s="230">
        <v>71000</v>
      </c>
      <c r="CL115" s="230">
        <v>2500</v>
      </c>
      <c r="CM115" s="229">
        <v>3.5200000000000002E-2</v>
      </c>
      <c r="CN115" s="230">
        <v>2297500</v>
      </c>
      <c r="CO115" s="230">
        <v>2499000</v>
      </c>
      <c r="CP115" s="230">
        <v>-201500</v>
      </c>
      <c r="CQ115" s="229">
        <v>-8.0600000000000005E-2</v>
      </c>
      <c r="CR115" s="230">
        <v>1283500</v>
      </c>
      <c r="CS115" s="230">
        <v>1249000</v>
      </c>
      <c r="CT115" s="230">
        <v>34500</v>
      </c>
      <c r="CU115" s="229">
        <v>2.76E-2</v>
      </c>
      <c r="CV115" s="230">
        <v>7552000</v>
      </c>
      <c r="CW115" s="230">
        <v>7392500</v>
      </c>
      <c r="CX115" s="230">
        <v>159500</v>
      </c>
      <c r="CY115" s="229">
        <v>2.1600000000000001E-2</v>
      </c>
      <c r="CZ115" s="228">
        <v>40.92</v>
      </c>
      <c r="DA115" s="228">
        <v>38.229999999999997</v>
      </c>
      <c r="DB115" s="228">
        <v>2.69</v>
      </c>
      <c r="DC115" s="228">
        <v>2.69</v>
      </c>
      <c r="DD115" s="228">
        <v>50.23</v>
      </c>
      <c r="DE115" s="228">
        <v>50.35</v>
      </c>
      <c r="DF115" s="228">
        <v>-9.31</v>
      </c>
      <c r="DG115" s="228">
        <v>-0.12</v>
      </c>
      <c r="DH115" s="228">
        <v>40.4</v>
      </c>
      <c r="DI115" s="228">
        <v>37.76</v>
      </c>
      <c r="DJ115" s="228">
        <v>2.64</v>
      </c>
      <c r="DK115" s="228">
        <v>2.64</v>
      </c>
      <c r="DL115" s="228">
        <v>42.59</v>
      </c>
      <c r="DM115" s="228">
        <v>40.07</v>
      </c>
      <c r="DN115" s="228">
        <v>2.52</v>
      </c>
      <c r="DO115" s="228">
        <v>2.52</v>
      </c>
      <c r="DP115" s="228">
        <v>0.56000000000000005</v>
      </c>
      <c r="DQ115" s="228">
        <v>0.5</v>
      </c>
      <c r="DR115" s="228">
        <v>0.06</v>
      </c>
      <c r="DS115" s="229">
        <v>0.12</v>
      </c>
      <c r="DT115" s="231">
        <v>1020</v>
      </c>
      <c r="DU115" s="228">
        <v>920</v>
      </c>
      <c r="DV115" s="228">
        <v>0.31</v>
      </c>
      <c r="DW115" s="228">
        <v>0.26</v>
      </c>
      <c r="DX115" s="228">
        <v>0.05</v>
      </c>
      <c r="DY115" s="229">
        <v>0.1923</v>
      </c>
      <c r="DZ115" s="229">
        <v>0.221</v>
      </c>
      <c r="EA115" s="230">
        <v>701000</v>
      </c>
      <c r="EB115" s="229">
        <v>-1.9400000000000001E-2</v>
      </c>
      <c r="EC115" s="229">
        <v>0.221</v>
      </c>
      <c r="ED115" s="228">
        <v>-19.54</v>
      </c>
      <c r="EE115" s="229">
        <v>-0.02</v>
      </c>
      <c r="EF115" s="230">
        <v>455698</v>
      </c>
      <c r="EG115" s="230">
        <v>876764</v>
      </c>
      <c r="EH115" s="229">
        <v>-0.4803</v>
      </c>
      <c r="EI115" s="229">
        <v>0.35099999999999998</v>
      </c>
      <c r="EJ115" s="231">
        <v>33687.269999999997</v>
      </c>
      <c r="EK115" s="231">
        <v>10062.969999999999</v>
      </c>
      <c r="EL115" s="231">
        <v>19232.28</v>
      </c>
      <c r="EM115" s="231">
        <v>3176</v>
      </c>
      <c r="EN115" s="231">
        <v>62982.52</v>
      </c>
      <c r="EO115" s="231">
        <v>96397.58</v>
      </c>
      <c r="EP115" s="231">
        <v>-33415.06</v>
      </c>
      <c r="EQ115" s="229">
        <v>-0.34660000000000002</v>
      </c>
      <c r="ER115" s="231">
        <v>22709</v>
      </c>
      <c r="ES115" s="231">
        <v>11821</v>
      </c>
      <c r="ET115" s="231">
        <v>38468</v>
      </c>
      <c r="EU115" s="231">
        <v>19953342</v>
      </c>
      <c r="EV115" s="231">
        <v>72997</v>
      </c>
      <c r="EW115" s="231">
        <v>71653</v>
      </c>
      <c r="EX115" s="231">
        <v>1344</v>
      </c>
      <c r="EY115" s="229">
        <v>1.8800000000000001E-2</v>
      </c>
      <c r="EZ115" s="229">
        <v>0.3785</v>
      </c>
      <c r="FA115" s="227" t="s">
        <v>566</v>
      </c>
      <c r="FB115" s="161">
        <f t="shared" si="1"/>
        <v>877500</v>
      </c>
    </row>
    <row r="116" spans="1:158" ht="17.25" thickBot="1" x14ac:dyDescent="0.3">
      <c r="A116" s="226">
        <v>46132</v>
      </c>
      <c r="B116" s="227" t="s">
        <v>172</v>
      </c>
      <c r="C116" s="227" t="s">
        <v>246</v>
      </c>
      <c r="D116" s="228">
        <v>2000</v>
      </c>
      <c r="E116" s="228">
        <v>378.9</v>
      </c>
      <c r="F116" s="228">
        <v>383.6</v>
      </c>
      <c r="G116" s="228">
        <v>-4.7</v>
      </c>
      <c r="H116" s="229">
        <v>-1.23E-2</v>
      </c>
      <c r="I116" s="228">
        <v>379.2</v>
      </c>
      <c r="J116" s="228">
        <v>383.6</v>
      </c>
      <c r="K116" s="228">
        <v>-4.4000000000000004</v>
      </c>
      <c r="L116" s="229">
        <v>-1.15E-2</v>
      </c>
      <c r="M116" s="228">
        <v>378.9</v>
      </c>
      <c r="N116" s="228">
        <v>383.6</v>
      </c>
      <c r="O116" s="228">
        <v>-4.7</v>
      </c>
      <c r="P116" s="229">
        <v>-1.23E-2</v>
      </c>
      <c r="Q116" s="228">
        <v>381.15</v>
      </c>
      <c r="R116" s="228">
        <v>385.35</v>
      </c>
      <c r="S116" s="228">
        <v>-4.2</v>
      </c>
      <c r="T116" s="229">
        <v>-1.09E-2</v>
      </c>
      <c r="U116" s="228">
        <v>383.45</v>
      </c>
      <c r="V116" s="228">
        <v>388.45</v>
      </c>
      <c r="W116" s="228">
        <v>-5</v>
      </c>
      <c r="X116" s="229">
        <v>-1.29E-2</v>
      </c>
      <c r="Y116" s="228">
        <v>-0.3</v>
      </c>
      <c r="Z116" s="228">
        <v>0</v>
      </c>
      <c r="AA116" s="228">
        <v>-0.3</v>
      </c>
      <c r="AB116" s="229">
        <v>-8.0000000000000004E-4</v>
      </c>
      <c r="AC116" s="228">
        <v>-0.3</v>
      </c>
      <c r="AD116" s="228">
        <v>0</v>
      </c>
      <c r="AE116" s="228">
        <v>-0.3</v>
      </c>
      <c r="AF116" s="229">
        <v>-8.0000000000000004E-4</v>
      </c>
      <c r="AG116" s="228">
        <v>1.95</v>
      </c>
      <c r="AH116" s="228">
        <v>1.75</v>
      </c>
      <c r="AI116" s="228">
        <v>0.2</v>
      </c>
      <c r="AJ116" s="229">
        <v>5.1000000000000004E-3</v>
      </c>
      <c r="AK116" s="228">
        <v>4.25</v>
      </c>
      <c r="AL116" s="228">
        <v>4.8499999999999996</v>
      </c>
      <c r="AM116" s="228">
        <v>-0.6</v>
      </c>
      <c r="AN116" s="229">
        <v>1.12E-2</v>
      </c>
      <c r="AO116" s="228">
        <v>381.71</v>
      </c>
      <c r="AP116" s="228">
        <v>383.38</v>
      </c>
      <c r="AQ116" s="228">
        <v>0</v>
      </c>
      <c r="AR116" s="230">
        <v>21316000</v>
      </c>
      <c r="AS116" s="230">
        <v>23902000</v>
      </c>
      <c r="AT116" s="230">
        <v>-2586000</v>
      </c>
      <c r="AU116" s="229">
        <v>-0.1082</v>
      </c>
      <c r="AV116" s="230">
        <v>15322000</v>
      </c>
      <c r="AW116" s="230">
        <v>17592000</v>
      </c>
      <c r="AX116" s="230">
        <v>-2270000</v>
      </c>
      <c r="AY116" s="229">
        <v>-0.129</v>
      </c>
      <c r="AZ116" s="230">
        <v>3072000</v>
      </c>
      <c r="BA116" s="230">
        <v>2172000</v>
      </c>
      <c r="BB116" s="230">
        <v>900000</v>
      </c>
      <c r="BC116" s="229">
        <v>0.41439999999999999</v>
      </c>
      <c r="BD116" s="230">
        <v>2922000</v>
      </c>
      <c r="BE116" s="230">
        <v>4138000</v>
      </c>
      <c r="BF116" s="230">
        <v>-1216000</v>
      </c>
      <c r="BG116" s="229">
        <v>-0.29389999999999999</v>
      </c>
      <c r="BH116" s="230">
        <v>29372000</v>
      </c>
      <c r="BI116" s="230">
        <v>28040000</v>
      </c>
      <c r="BJ116" s="230">
        <v>1332000</v>
      </c>
      <c r="BK116" s="229">
        <v>4.7500000000000001E-2</v>
      </c>
      <c r="BL116" s="230">
        <v>16040000</v>
      </c>
      <c r="BM116" s="230">
        <v>17038000</v>
      </c>
      <c r="BN116" s="230">
        <v>-998000</v>
      </c>
      <c r="BO116" s="229">
        <v>-5.8599999999999999E-2</v>
      </c>
      <c r="BP116" s="230">
        <v>66728000</v>
      </c>
      <c r="BQ116" s="230">
        <v>68980000</v>
      </c>
      <c r="BR116" s="230">
        <v>-2252000</v>
      </c>
      <c r="BS116" s="229">
        <v>-3.2599999999999997E-2</v>
      </c>
      <c r="BT116" s="230">
        <v>11454357</v>
      </c>
      <c r="BU116" s="230">
        <v>11976142</v>
      </c>
      <c r="BV116" s="230">
        <v>-521785</v>
      </c>
      <c r="BW116" s="229">
        <v>-4.36E-2</v>
      </c>
      <c r="BX116" s="230">
        <v>215510000</v>
      </c>
      <c r="BY116" s="230">
        <v>217516000</v>
      </c>
      <c r="BZ116" s="230">
        <v>-2006000</v>
      </c>
      <c r="CA116" s="229">
        <v>-9.1999999999999998E-3</v>
      </c>
      <c r="CB116" s="230">
        <v>164620000</v>
      </c>
      <c r="CC116" s="230">
        <v>171224000</v>
      </c>
      <c r="CD116" s="230">
        <v>-6604000</v>
      </c>
      <c r="CE116" s="229">
        <v>-3.8600000000000002E-2</v>
      </c>
      <c r="CF116" s="230">
        <v>35602000</v>
      </c>
      <c r="CG116" s="230">
        <v>33820000</v>
      </c>
      <c r="CH116" s="230">
        <v>1782000</v>
      </c>
      <c r="CI116" s="229">
        <v>5.2699999999999997E-2</v>
      </c>
      <c r="CJ116" s="230">
        <v>15288000</v>
      </c>
      <c r="CK116" s="230">
        <v>12472000</v>
      </c>
      <c r="CL116" s="230">
        <v>2816000</v>
      </c>
      <c r="CM116" s="229">
        <v>0.2258</v>
      </c>
      <c r="CN116" s="230">
        <v>32790000</v>
      </c>
      <c r="CO116" s="230">
        <v>30824000</v>
      </c>
      <c r="CP116" s="230">
        <v>1966000</v>
      </c>
      <c r="CQ116" s="229">
        <v>6.3799999999999996E-2</v>
      </c>
      <c r="CR116" s="230">
        <v>27782000</v>
      </c>
      <c r="CS116" s="230">
        <v>27720000</v>
      </c>
      <c r="CT116" s="230">
        <v>62000</v>
      </c>
      <c r="CU116" s="229">
        <v>2.2000000000000001E-3</v>
      </c>
      <c r="CV116" s="230">
        <v>276082000</v>
      </c>
      <c r="CW116" s="230">
        <v>276060000</v>
      </c>
      <c r="CX116" s="230">
        <v>22000</v>
      </c>
      <c r="CY116" s="229">
        <v>1E-4</v>
      </c>
      <c r="CZ116" s="228">
        <v>28.35</v>
      </c>
      <c r="DA116" s="228">
        <v>27.3</v>
      </c>
      <c r="DB116" s="228">
        <v>1.05</v>
      </c>
      <c r="DC116" s="228">
        <v>1.05</v>
      </c>
      <c r="DD116" s="228">
        <v>27.33</v>
      </c>
      <c r="DE116" s="228">
        <v>27.35</v>
      </c>
      <c r="DF116" s="228">
        <v>1.02</v>
      </c>
      <c r="DG116" s="228">
        <v>-0.02</v>
      </c>
      <c r="DH116" s="228">
        <v>28.34</v>
      </c>
      <c r="DI116" s="228">
        <v>26.74</v>
      </c>
      <c r="DJ116" s="228">
        <v>1.6</v>
      </c>
      <c r="DK116" s="228">
        <v>1.6</v>
      </c>
      <c r="DL116" s="228">
        <v>28.38</v>
      </c>
      <c r="DM116" s="228">
        <v>28.23</v>
      </c>
      <c r="DN116" s="228">
        <v>0.15</v>
      </c>
      <c r="DO116" s="228">
        <v>0.15</v>
      </c>
      <c r="DP116" s="228">
        <v>0.85</v>
      </c>
      <c r="DQ116" s="228">
        <v>0.9</v>
      </c>
      <c r="DR116" s="228">
        <v>-0.05</v>
      </c>
      <c r="DS116" s="229">
        <v>-5.5599999999999997E-2</v>
      </c>
      <c r="DT116" s="228">
        <v>370</v>
      </c>
      <c r="DU116" s="228">
        <v>335</v>
      </c>
      <c r="DV116" s="228">
        <v>0.55000000000000004</v>
      </c>
      <c r="DW116" s="228">
        <v>0.61</v>
      </c>
      <c r="DX116" s="228">
        <v>-0.06</v>
      </c>
      <c r="DY116" s="229">
        <v>-9.8400000000000001E-2</v>
      </c>
      <c r="DZ116" s="229">
        <v>0.2361</v>
      </c>
      <c r="EA116" s="230">
        <v>46292000</v>
      </c>
      <c r="EB116" s="229">
        <v>5.8999999999999999E-3</v>
      </c>
      <c r="EC116" s="229">
        <v>0.2361</v>
      </c>
      <c r="ED116" s="228">
        <v>1.67</v>
      </c>
      <c r="EE116" s="229">
        <v>4.4000000000000003E-3</v>
      </c>
      <c r="EF116" s="230">
        <v>6982653</v>
      </c>
      <c r="EG116" s="230">
        <v>8135992</v>
      </c>
      <c r="EH116" s="229">
        <v>-0.14180000000000001</v>
      </c>
      <c r="EI116" s="229">
        <v>0.60960000000000003</v>
      </c>
      <c r="EJ116" s="231">
        <v>115897.78</v>
      </c>
      <c r="EK116" s="231">
        <v>61292.68</v>
      </c>
      <c r="EL116" s="231">
        <v>81570.34</v>
      </c>
      <c r="EM116" s="231">
        <v>12856</v>
      </c>
      <c r="EN116" s="231">
        <v>258760.8</v>
      </c>
      <c r="EO116" s="231">
        <v>267418.45</v>
      </c>
      <c r="EP116" s="231">
        <v>-8657.65</v>
      </c>
      <c r="EQ116" s="229">
        <v>-3.2399999999999998E-2</v>
      </c>
      <c r="ER116" s="231">
        <v>127480</v>
      </c>
      <c r="ES116" s="231">
        <v>99673</v>
      </c>
      <c r="ET116" s="231">
        <v>818064</v>
      </c>
      <c r="EU116" s="231">
        <v>882793124</v>
      </c>
      <c r="EV116" s="231">
        <v>1045218</v>
      </c>
      <c r="EW116" s="231">
        <v>1054684</v>
      </c>
      <c r="EX116" s="231">
        <v>-9466</v>
      </c>
      <c r="EY116" s="229">
        <v>-8.9999999999999993E-3</v>
      </c>
      <c r="EZ116" s="229">
        <v>0.31269999999999998</v>
      </c>
      <c r="FA116" s="227" t="s">
        <v>567</v>
      </c>
      <c r="FB116" s="161">
        <f t="shared" si="1"/>
        <v>50890000</v>
      </c>
    </row>
    <row r="117" spans="1:158" ht="17.25" thickBot="1" x14ac:dyDescent="0.3">
      <c r="A117" s="226">
        <v>46132</v>
      </c>
      <c r="B117" s="227" t="s">
        <v>221</v>
      </c>
      <c r="C117" s="227" t="s">
        <v>576</v>
      </c>
      <c r="D117" s="228">
        <v>425</v>
      </c>
      <c r="E117" s="228">
        <v>736.15</v>
      </c>
      <c r="F117" s="228">
        <v>747.85</v>
      </c>
      <c r="G117" s="228">
        <v>-11.7</v>
      </c>
      <c r="H117" s="229">
        <v>-1.5599999999999999E-2</v>
      </c>
      <c r="I117" s="228">
        <v>734.4</v>
      </c>
      <c r="J117" s="228">
        <v>747.8</v>
      </c>
      <c r="K117" s="228">
        <v>-13.4</v>
      </c>
      <c r="L117" s="229">
        <v>-1.7899999999999999E-2</v>
      </c>
      <c r="M117" s="228">
        <v>736.15</v>
      </c>
      <c r="N117" s="228">
        <v>747.85</v>
      </c>
      <c r="O117" s="228">
        <v>-11.7</v>
      </c>
      <c r="P117" s="229">
        <v>-1.5599999999999999E-2</v>
      </c>
      <c r="Q117" s="228">
        <v>739.15</v>
      </c>
      <c r="R117" s="228">
        <v>751.2</v>
      </c>
      <c r="S117" s="228">
        <v>-12.05</v>
      </c>
      <c r="T117" s="229">
        <v>-1.6E-2</v>
      </c>
      <c r="U117" s="228">
        <v>741.4</v>
      </c>
      <c r="V117" s="228">
        <v>755.8</v>
      </c>
      <c r="W117" s="228">
        <v>-14.4</v>
      </c>
      <c r="X117" s="229">
        <v>-1.9099999999999999E-2</v>
      </c>
      <c r="Y117" s="228">
        <v>1.75</v>
      </c>
      <c r="Z117" s="228">
        <v>0.05</v>
      </c>
      <c r="AA117" s="228">
        <v>1.7</v>
      </c>
      <c r="AB117" s="229">
        <v>2.3999999999999998E-3</v>
      </c>
      <c r="AC117" s="228">
        <v>1.75</v>
      </c>
      <c r="AD117" s="228">
        <v>0.05</v>
      </c>
      <c r="AE117" s="228">
        <v>1.7</v>
      </c>
      <c r="AF117" s="229">
        <v>2.3999999999999998E-3</v>
      </c>
      <c r="AG117" s="228">
        <v>4.75</v>
      </c>
      <c r="AH117" s="228">
        <v>3.4</v>
      </c>
      <c r="AI117" s="228">
        <v>1.35</v>
      </c>
      <c r="AJ117" s="229">
        <v>6.4999999999999997E-3</v>
      </c>
      <c r="AK117" s="228">
        <v>7</v>
      </c>
      <c r="AL117" s="228">
        <v>8</v>
      </c>
      <c r="AM117" s="228">
        <v>-1</v>
      </c>
      <c r="AN117" s="229">
        <v>9.4999999999999998E-3</v>
      </c>
      <c r="AO117" s="228">
        <v>737.63</v>
      </c>
      <c r="AP117" s="228">
        <v>739.86</v>
      </c>
      <c r="AQ117" s="228">
        <v>0</v>
      </c>
      <c r="AR117" s="230">
        <v>1963925</v>
      </c>
      <c r="AS117" s="230">
        <v>1365950</v>
      </c>
      <c r="AT117" s="230">
        <v>597975</v>
      </c>
      <c r="AU117" s="229">
        <v>0.43780000000000002</v>
      </c>
      <c r="AV117" s="230">
        <v>1552100</v>
      </c>
      <c r="AW117" s="230">
        <v>1133900</v>
      </c>
      <c r="AX117" s="230">
        <v>418200</v>
      </c>
      <c r="AY117" s="229">
        <v>0.36880000000000002</v>
      </c>
      <c r="AZ117" s="230">
        <v>357425</v>
      </c>
      <c r="BA117" s="230">
        <v>200600</v>
      </c>
      <c r="BB117" s="230">
        <v>156825</v>
      </c>
      <c r="BC117" s="229">
        <v>0.78180000000000005</v>
      </c>
      <c r="BD117" s="230">
        <v>54400</v>
      </c>
      <c r="BE117" s="230">
        <v>31450</v>
      </c>
      <c r="BF117" s="230">
        <v>22950</v>
      </c>
      <c r="BG117" s="229">
        <v>0.72970000000000002</v>
      </c>
      <c r="BH117" s="230">
        <v>3520275</v>
      </c>
      <c r="BI117" s="230">
        <v>4512225</v>
      </c>
      <c r="BJ117" s="230">
        <v>-991950</v>
      </c>
      <c r="BK117" s="229">
        <v>-0.2198</v>
      </c>
      <c r="BL117" s="230">
        <v>3795250</v>
      </c>
      <c r="BM117" s="230">
        <v>1872975</v>
      </c>
      <c r="BN117" s="230">
        <v>1922275</v>
      </c>
      <c r="BO117" s="229">
        <v>1.0263</v>
      </c>
      <c r="BP117" s="230">
        <v>9279450</v>
      </c>
      <c r="BQ117" s="230">
        <v>7751150</v>
      </c>
      <c r="BR117" s="230">
        <v>1528300</v>
      </c>
      <c r="BS117" s="229">
        <v>0.19719999999999999</v>
      </c>
      <c r="BT117" s="230">
        <v>1800126</v>
      </c>
      <c r="BU117" s="230">
        <v>1654766</v>
      </c>
      <c r="BV117" s="230">
        <v>145360</v>
      </c>
      <c r="BW117" s="229">
        <v>8.7800000000000003E-2</v>
      </c>
      <c r="BX117" s="230">
        <v>7054575</v>
      </c>
      <c r="BY117" s="230">
        <v>6921550</v>
      </c>
      <c r="BZ117" s="230">
        <v>133025</v>
      </c>
      <c r="CA117" s="229">
        <v>1.9199999999999998E-2</v>
      </c>
      <c r="CB117" s="230">
        <v>6495275</v>
      </c>
      <c r="CC117" s="230">
        <v>6441300</v>
      </c>
      <c r="CD117" s="230">
        <v>53975</v>
      </c>
      <c r="CE117" s="229">
        <v>8.3999999999999995E-3</v>
      </c>
      <c r="CF117" s="230">
        <v>476425</v>
      </c>
      <c r="CG117" s="230">
        <v>395250</v>
      </c>
      <c r="CH117" s="230">
        <v>81175</v>
      </c>
      <c r="CI117" s="229">
        <v>0.2054</v>
      </c>
      <c r="CJ117" s="230">
        <v>82875</v>
      </c>
      <c r="CK117" s="230">
        <v>85000</v>
      </c>
      <c r="CL117" s="230">
        <v>-2125</v>
      </c>
      <c r="CM117" s="229">
        <v>-2.5000000000000001E-2</v>
      </c>
      <c r="CN117" s="230">
        <v>3582325</v>
      </c>
      <c r="CO117" s="230">
        <v>3639700</v>
      </c>
      <c r="CP117" s="230">
        <v>-57375</v>
      </c>
      <c r="CQ117" s="229">
        <v>-1.5800000000000002E-2</v>
      </c>
      <c r="CR117" s="230">
        <v>2359175</v>
      </c>
      <c r="CS117" s="230">
        <v>2312000</v>
      </c>
      <c r="CT117" s="230">
        <v>47175</v>
      </c>
      <c r="CU117" s="229">
        <v>2.0400000000000001E-2</v>
      </c>
      <c r="CV117" s="230">
        <v>12996075</v>
      </c>
      <c r="CW117" s="230">
        <v>12873250</v>
      </c>
      <c r="CX117" s="230">
        <v>122825</v>
      </c>
      <c r="CY117" s="229">
        <v>9.4999999999999998E-3</v>
      </c>
      <c r="CZ117" s="228">
        <v>46.58</v>
      </c>
      <c r="DA117" s="228">
        <v>41.25</v>
      </c>
      <c r="DB117" s="228">
        <v>5.33</v>
      </c>
      <c r="DC117" s="228">
        <v>5.33</v>
      </c>
      <c r="DD117" s="228">
        <v>45.01</v>
      </c>
      <c r="DE117" s="228">
        <v>45.07</v>
      </c>
      <c r="DF117" s="228">
        <v>1.57</v>
      </c>
      <c r="DG117" s="228">
        <v>-0.06</v>
      </c>
      <c r="DH117" s="228">
        <v>44.42</v>
      </c>
      <c r="DI117" s="228">
        <v>39.96</v>
      </c>
      <c r="DJ117" s="228">
        <v>4.46</v>
      </c>
      <c r="DK117" s="228">
        <v>4.46</v>
      </c>
      <c r="DL117" s="228">
        <v>48.58</v>
      </c>
      <c r="DM117" s="228">
        <v>44.36</v>
      </c>
      <c r="DN117" s="228">
        <v>4.22</v>
      </c>
      <c r="DO117" s="228">
        <v>4.22</v>
      </c>
      <c r="DP117" s="228">
        <v>0.66</v>
      </c>
      <c r="DQ117" s="228">
        <v>0.64</v>
      </c>
      <c r="DR117" s="228">
        <v>0.02</v>
      </c>
      <c r="DS117" s="229">
        <v>3.1300000000000001E-2</v>
      </c>
      <c r="DT117" s="228">
        <v>800</v>
      </c>
      <c r="DU117" s="228">
        <v>700</v>
      </c>
      <c r="DV117" s="228">
        <v>1.08</v>
      </c>
      <c r="DW117" s="228">
        <v>0.42</v>
      </c>
      <c r="DX117" s="228">
        <v>0.66</v>
      </c>
      <c r="DY117" s="229">
        <v>1.5713999999999999</v>
      </c>
      <c r="DZ117" s="229">
        <v>7.9299999999999995E-2</v>
      </c>
      <c r="EA117" s="230">
        <v>480250</v>
      </c>
      <c r="EB117" s="229">
        <v>4.1000000000000003E-3</v>
      </c>
      <c r="EC117" s="229">
        <v>7.9299999999999995E-2</v>
      </c>
      <c r="ED117" s="228">
        <v>2.23</v>
      </c>
      <c r="EE117" s="229">
        <v>3.0000000000000001E-3</v>
      </c>
      <c r="EF117" s="230">
        <v>676776</v>
      </c>
      <c r="EG117" s="230">
        <v>602162</v>
      </c>
      <c r="EH117" s="229">
        <v>0.1239</v>
      </c>
      <c r="EI117" s="229">
        <v>0.376</v>
      </c>
      <c r="EJ117" s="231">
        <v>27265.63</v>
      </c>
      <c r="EK117" s="231">
        <v>27822.14</v>
      </c>
      <c r="EL117" s="231">
        <v>14497.96</v>
      </c>
      <c r="EM117" s="231">
        <v>3461</v>
      </c>
      <c r="EN117" s="231">
        <v>69585.73</v>
      </c>
      <c r="EO117" s="231">
        <v>59489.94</v>
      </c>
      <c r="EP117" s="231">
        <v>10095.790000000001</v>
      </c>
      <c r="EQ117" s="229">
        <v>0.16969999999999999</v>
      </c>
      <c r="ER117" s="231">
        <v>26981</v>
      </c>
      <c r="ES117" s="231">
        <v>16180</v>
      </c>
      <c r="ET117" s="231">
        <v>51951</v>
      </c>
      <c r="EU117" s="231">
        <v>24611073</v>
      </c>
      <c r="EV117" s="231">
        <v>95112</v>
      </c>
      <c r="EW117" s="231">
        <v>95041</v>
      </c>
      <c r="EX117" s="228">
        <v>71</v>
      </c>
      <c r="EY117" s="229">
        <v>6.9999999999999999E-4</v>
      </c>
      <c r="EZ117" s="229">
        <v>0.52810000000000001</v>
      </c>
      <c r="FA117" s="227" t="s">
        <v>566</v>
      </c>
      <c r="FB117" s="161">
        <f t="shared" si="1"/>
        <v>559300</v>
      </c>
    </row>
    <row r="118" spans="1:158" ht="17.25" thickBot="1" x14ac:dyDescent="0.3">
      <c r="A118" s="226">
        <v>46132</v>
      </c>
      <c r="B118" s="227" t="s">
        <v>170</v>
      </c>
      <c r="C118" s="227" t="s">
        <v>535</v>
      </c>
      <c r="D118" s="228">
        <v>850</v>
      </c>
      <c r="E118" s="231">
        <v>1128.95</v>
      </c>
      <c r="F118" s="231">
        <v>1137.7</v>
      </c>
      <c r="G118" s="228">
        <v>-8.75</v>
      </c>
      <c r="H118" s="229">
        <v>-7.7000000000000002E-3</v>
      </c>
      <c r="I118" s="231">
        <v>1129.5</v>
      </c>
      <c r="J118" s="231">
        <v>1135.75</v>
      </c>
      <c r="K118" s="228">
        <v>-6.25</v>
      </c>
      <c r="L118" s="229">
        <v>-5.4999999999999997E-3</v>
      </c>
      <c r="M118" s="231">
        <v>1128.95</v>
      </c>
      <c r="N118" s="231">
        <v>1137.7</v>
      </c>
      <c r="O118" s="228">
        <v>-8.75</v>
      </c>
      <c r="P118" s="229">
        <v>-7.7000000000000002E-3</v>
      </c>
      <c r="Q118" s="231">
        <v>1135.8499999999999</v>
      </c>
      <c r="R118" s="231">
        <v>1144.0999999999999</v>
      </c>
      <c r="S118" s="228">
        <v>-8.25</v>
      </c>
      <c r="T118" s="229">
        <v>-7.1999999999999998E-3</v>
      </c>
      <c r="U118" s="231">
        <v>1138.1500000000001</v>
      </c>
      <c r="V118" s="231">
        <v>1150</v>
      </c>
      <c r="W118" s="228">
        <v>-11.85</v>
      </c>
      <c r="X118" s="229">
        <v>-1.03E-2</v>
      </c>
      <c r="Y118" s="228">
        <v>-0.55000000000000004</v>
      </c>
      <c r="Z118" s="228">
        <v>1.95</v>
      </c>
      <c r="AA118" s="228">
        <v>-2.5</v>
      </c>
      <c r="AB118" s="229">
        <v>-5.0000000000000001E-4</v>
      </c>
      <c r="AC118" s="228">
        <v>-0.55000000000000004</v>
      </c>
      <c r="AD118" s="228">
        <v>1.95</v>
      </c>
      <c r="AE118" s="228">
        <v>-2.5</v>
      </c>
      <c r="AF118" s="229">
        <v>-5.0000000000000001E-4</v>
      </c>
      <c r="AG118" s="228">
        <v>6.35</v>
      </c>
      <c r="AH118" s="228">
        <v>8.35</v>
      </c>
      <c r="AI118" s="228">
        <v>-2</v>
      </c>
      <c r="AJ118" s="229">
        <v>5.5999999999999999E-3</v>
      </c>
      <c r="AK118" s="228">
        <v>8.65</v>
      </c>
      <c r="AL118" s="228">
        <v>14.25</v>
      </c>
      <c r="AM118" s="228">
        <v>-5.6</v>
      </c>
      <c r="AN118" s="229">
        <v>7.7000000000000002E-3</v>
      </c>
      <c r="AO118" s="231">
        <v>1134.8699999999999</v>
      </c>
      <c r="AP118" s="231">
        <v>1141.78</v>
      </c>
      <c r="AQ118" s="228">
        <v>0</v>
      </c>
      <c r="AR118" s="230">
        <v>2418250</v>
      </c>
      <c r="AS118" s="230">
        <v>2152200</v>
      </c>
      <c r="AT118" s="230">
        <v>266050</v>
      </c>
      <c r="AU118" s="229">
        <v>0.1236</v>
      </c>
      <c r="AV118" s="230">
        <v>1954150</v>
      </c>
      <c r="AW118" s="230">
        <v>1867450</v>
      </c>
      <c r="AX118" s="230">
        <v>86700</v>
      </c>
      <c r="AY118" s="229">
        <v>4.6399999999999997E-2</v>
      </c>
      <c r="AZ118" s="230">
        <v>450500</v>
      </c>
      <c r="BA118" s="230">
        <v>259250</v>
      </c>
      <c r="BB118" s="230">
        <v>191250</v>
      </c>
      <c r="BC118" s="229">
        <v>0.73770000000000002</v>
      </c>
      <c r="BD118" s="230">
        <v>13600</v>
      </c>
      <c r="BE118" s="230">
        <v>25500</v>
      </c>
      <c r="BF118" s="230">
        <v>-11900</v>
      </c>
      <c r="BG118" s="229">
        <v>-0.4667</v>
      </c>
      <c r="BH118" s="230">
        <v>5102550</v>
      </c>
      <c r="BI118" s="230">
        <v>6471900</v>
      </c>
      <c r="BJ118" s="230">
        <v>-1369350</v>
      </c>
      <c r="BK118" s="229">
        <v>-0.21160000000000001</v>
      </c>
      <c r="BL118" s="230">
        <v>2810950</v>
      </c>
      <c r="BM118" s="230">
        <v>3572550</v>
      </c>
      <c r="BN118" s="230">
        <v>-761600</v>
      </c>
      <c r="BO118" s="229">
        <v>-0.2132</v>
      </c>
      <c r="BP118" s="230">
        <v>10331750</v>
      </c>
      <c r="BQ118" s="230">
        <v>12196650</v>
      </c>
      <c r="BR118" s="230">
        <v>-1864900</v>
      </c>
      <c r="BS118" s="229">
        <v>-0.15290000000000001</v>
      </c>
      <c r="BT118" s="230">
        <v>1207974</v>
      </c>
      <c r="BU118" s="230">
        <v>1300161</v>
      </c>
      <c r="BV118" s="230">
        <v>-92187</v>
      </c>
      <c r="BW118" s="229">
        <v>-7.0900000000000005E-2</v>
      </c>
      <c r="BX118" s="230">
        <v>17626450</v>
      </c>
      <c r="BY118" s="230">
        <v>17786250</v>
      </c>
      <c r="BZ118" s="230">
        <v>-159800</v>
      </c>
      <c r="CA118" s="229">
        <v>-8.9999999999999993E-3</v>
      </c>
      <c r="CB118" s="230">
        <v>16410950</v>
      </c>
      <c r="CC118" s="230">
        <v>16822350</v>
      </c>
      <c r="CD118" s="230">
        <v>-411400</v>
      </c>
      <c r="CE118" s="229">
        <v>-2.4500000000000001E-2</v>
      </c>
      <c r="CF118" s="230">
        <v>1155150</v>
      </c>
      <c r="CG118" s="230">
        <v>907800</v>
      </c>
      <c r="CH118" s="230">
        <v>247350</v>
      </c>
      <c r="CI118" s="229">
        <v>0.27250000000000002</v>
      </c>
      <c r="CJ118" s="230">
        <v>60350</v>
      </c>
      <c r="CK118" s="230">
        <v>56100</v>
      </c>
      <c r="CL118" s="230">
        <v>4250</v>
      </c>
      <c r="CM118" s="229">
        <v>7.5800000000000006E-2</v>
      </c>
      <c r="CN118" s="230">
        <v>5160350</v>
      </c>
      <c r="CO118" s="230">
        <v>5406000</v>
      </c>
      <c r="CP118" s="230">
        <v>-245650</v>
      </c>
      <c r="CQ118" s="229">
        <v>-4.5400000000000003E-2</v>
      </c>
      <c r="CR118" s="230">
        <v>4779550</v>
      </c>
      <c r="CS118" s="230">
        <v>4783800</v>
      </c>
      <c r="CT118" s="230">
        <v>-4250</v>
      </c>
      <c r="CU118" s="229">
        <v>-8.9999999999999998E-4</v>
      </c>
      <c r="CV118" s="230">
        <v>27566350</v>
      </c>
      <c r="CW118" s="230">
        <v>27976050</v>
      </c>
      <c r="CX118" s="230">
        <v>-409700</v>
      </c>
      <c r="CY118" s="229">
        <v>-1.46E-2</v>
      </c>
      <c r="CZ118" s="228">
        <v>33.32</v>
      </c>
      <c r="DA118" s="228">
        <v>29.86</v>
      </c>
      <c r="DB118" s="228">
        <v>3.46</v>
      </c>
      <c r="DC118" s="228">
        <v>3.46</v>
      </c>
      <c r="DD118" s="228">
        <v>39.369999999999997</v>
      </c>
      <c r="DE118" s="228">
        <v>39.46</v>
      </c>
      <c r="DF118" s="228">
        <v>-6.05</v>
      </c>
      <c r="DG118" s="228">
        <v>-0.09</v>
      </c>
      <c r="DH118" s="228">
        <v>31.94</v>
      </c>
      <c r="DI118" s="228">
        <v>28.29</v>
      </c>
      <c r="DJ118" s="228">
        <v>3.65</v>
      </c>
      <c r="DK118" s="228">
        <v>3.65</v>
      </c>
      <c r="DL118" s="228">
        <v>35.840000000000003</v>
      </c>
      <c r="DM118" s="228">
        <v>32.700000000000003</v>
      </c>
      <c r="DN118" s="228">
        <v>3.14</v>
      </c>
      <c r="DO118" s="228">
        <v>3.14</v>
      </c>
      <c r="DP118" s="228">
        <v>0.93</v>
      </c>
      <c r="DQ118" s="228">
        <v>0.88</v>
      </c>
      <c r="DR118" s="228">
        <v>0.05</v>
      </c>
      <c r="DS118" s="229">
        <v>5.6800000000000003E-2</v>
      </c>
      <c r="DT118" s="231">
        <v>1100</v>
      </c>
      <c r="DU118" s="231">
        <v>1050</v>
      </c>
      <c r="DV118" s="228">
        <v>0.55000000000000004</v>
      </c>
      <c r="DW118" s="228">
        <v>0.55000000000000004</v>
      </c>
      <c r="DX118" s="228">
        <v>0</v>
      </c>
      <c r="DY118" s="229">
        <v>0</v>
      </c>
      <c r="DZ118" s="229">
        <v>6.9000000000000006E-2</v>
      </c>
      <c r="EA118" s="230">
        <v>963900</v>
      </c>
      <c r="EB118" s="229">
        <v>6.1000000000000004E-3</v>
      </c>
      <c r="EC118" s="229">
        <v>6.9000000000000006E-2</v>
      </c>
      <c r="ED118" s="228">
        <v>6.91</v>
      </c>
      <c r="EE118" s="229">
        <v>6.1000000000000004E-3</v>
      </c>
      <c r="EF118" s="230">
        <v>577340</v>
      </c>
      <c r="EG118" s="230">
        <v>614579</v>
      </c>
      <c r="EH118" s="229">
        <v>-6.0600000000000001E-2</v>
      </c>
      <c r="EI118" s="229">
        <v>0.47789999999999999</v>
      </c>
      <c r="EJ118" s="231">
        <v>60232.71</v>
      </c>
      <c r="EK118" s="231">
        <v>30899.97</v>
      </c>
      <c r="EL118" s="231">
        <v>27476.799999999999</v>
      </c>
      <c r="EM118" s="231">
        <v>2690</v>
      </c>
      <c r="EN118" s="231">
        <v>118609.48</v>
      </c>
      <c r="EO118" s="231">
        <v>140049.79999999999</v>
      </c>
      <c r="EP118" s="231">
        <v>-21440.32</v>
      </c>
      <c r="EQ118" s="229">
        <v>-0.15310000000000001</v>
      </c>
      <c r="ER118" s="231">
        <v>57723</v>
      </c>
      <c r="ES118" s="231">
        <v>49542</v>
      </c>
      <c r="ET118" s="231">
        <v>199079</v>
      </c>
      <c r="EU118" s="231">
        <v>58713729</v>
      </c>
      <c r="EV118" s="231">
        <v>306344</v>
      </c>
      <c r="EW118" s="231">
        <v>312339</v>
      </c>
      <c r="EX118" s="231">
        <v>-5995</v>
      </c>
      <c r="EY118" s="229">
        <v>-1.9199999999999998E-2</v>
      </c>
      <c r="EZ118" s="229">
        <v>0.46949999999999997</v>
      </c>
      <c r="FA118" s="227" t="s">
        <v>567</v>
      </c>
      <c r="FB118" s="161">
        <f t="shared" si="1"/>
        <v>1215500</v>
      </c>
    </row>
    <row r="119" spans="1:158" ht="17.25" thickBot="1" x14ac:dyDescent="0.3">
      <c r="A119" s="226">
        <v>46132</v>
      </c>
      <c r="B119" s="227" t="s">
        <v>175</v>
      </c>
      <c r="C119" s="227" t="s">
        <v>248</v>
      </c>
      <c r="D119" s="228">
        <v>1000</v>
      </c>
      <c r="E119" s="228">
        <v>536.15</v>
      </c>
      <c r="F119" s="228">
        <v>539.75</v>
      </c>
      <c r="G119" s="228">
        <v>-3.6</v>
      </c>
      <c r="H119" s="229">
        <v>-6.7000000000000002E-3</v>
      </c>
      <c r="I119" s="228">
        <v>536.70000000000005</v>
      </c>
      <c r="J119" s="228">
        <v>540</v>
      </c>
      <c r="K119" s="228">
        <v>-3.3</v>
      </c>
      <c r="L119" s="229">
        <v>-6.1000000000000004E-3</v>
      </c>
      <c r="M119" s="228">
        <v>536.15</v>
      </c>
      <c r="N119" s="228">
        <v>539.75</v>
      </c>
      <c r="O119" s="228">
        <v>-3.6</v>
      </c>
      <c r="P119" s="229">
        <v>-6.7000000000000002E-3</v>
      </c>
      <c r="Q119" s="228">
        <v>539.5</v>
      </c>
      <c r="R119" s="228">
        <v>543.15</v>
      </c>
      <c r="S119" s="228">
        <v>-3.65</v>
      </c>
      <c r="T119" s="229">
        <v>-6.7000000000000002E-3</v>
      </c>
      <c r="U119" s="228">
        <v>542.20000000000005</v>
      </c>
      <c r="V119" s="228">
        <v>545.45000000000005</v>
      </c>
      <c r="W119" s="228">
        <v>-3.25</v>
      </c>
      <c r="X119" s="229">
        <v>-6.0000000000000001E-3</v>
      </c>
      <c r="Y119" s="228">
        <v>-0.55000000000000004</v>
      </c>
      <c r="Z119" s="228">
        <v>-0.25</v>
      </c>
      <c r="AA119" s="228">
        <v>-0.3</v>
      </c>
      <c r="AB119" s="229">
        <v>-1E-3</v>
      </c>
      <c r="AC119" s="228">
        <v>-0.55000000000000004</v>
      </c>
      <c r="AD119" s="228">
        <v>-0.25</v>
      </c>
      <c r="AE119" s="228">
        <v>-0.3</v>
      </c>
      <c r="AF119" s="229">
        <v>-1E-3</v>
      </c>
      <c r="AG119" s="228">
        <v>2.8</v>
      </c>
      <c r="AH119" s="228">
        <v>3.15</v>
      </c>
      <c r="AI119" s="228">
        <v>-0.35</v>
      </c>
      <c r="AJ119" s="229">
        <v>5.1999999999999998E-3</v>
      </c>
      <c r="AK119" s="228">
        <v>5.5</v>
      </c>
      <c r="AL119" s="228">
        <v>5.45</v>
      </c>
      <c r="AM119" s="228">
        <v>0.05</v>
      </c>
      <c r="AN119" s="229">
        <v>1.0200000000000001E-2</v>
      </c>
      <c r="AO119" s="228">
        <v>538.74</v>
      </c>
      <c r="AP119" s="228">
        <v>541.37</v>
      </c>
      <c r="AQ119" s="228">
        <v>0</v>
      </c>
      <c r="AR119" s="230">
        <v>2646000</v>
      </c>
      <c r="AS119" s="230">
        <v>2244000</v>
      </c>
      <c r="AT119" s="230">
        <v>402000</v>
      </c>
      <c r="AU119" s="229">
        <v>0.17910000000000001</v>
      </c>
      <c r="AV119" s="230">
        <v>2135000</v>
      </c>
      <c r="AW119" s="230">
        <v>1905000</v>
      </c>
      <c r="AX119" s="230">
        <v>230000</v>
      </c>
      <c r="AY119" s="229">
        <v>0.1207</v>
      </c>
      <c r="AZ119" s="230">
        <v>490000</v>
      </c>
      <c r="BA119" s="230">
        <v>327000</v>
      </c>
      <c r="BB119" s="230">
        <v>163000</v>
      </c>
      <c r="BC119" s="229">
        <v>0.4985</v>
      </c>
      <c r="BD119" s="230">
        <v>21000</v>
      </c>
      <c r="BE119" s="230">
        <v>12000</v>
      </c>
      <c r="BF119" s="230">
        <v>9000</v>
      </c>
      <c r="BG119" s="229">
        <v>0.75</v>
      </c>
      <c r="BH119" s="230">
        <v>5832000</v>
      </c>
      <c r="BI119" s="230">
        <v>5478000</v>
      </c>
      <c r="BJ119" s="230">
        <v>354000</v>
      </c>
      <c r="BK119" s="229">
        <v>6.4600000000000005E-2</v>
      </c>
      <c r="BL119" s="230">
        <v>2255000</v>
      </c>
      <c r="BM119" s="230">
        <v>1837000</v>
      </c>
      <c r="BN119" s="230">
        <v>418000</v>
      </c>
      <c r="BO119" s="229">
        <v>0.22750000000000001</v>
      </c>
      <c r="BP119" s="230">
        <v>10733000</v>
      </c>
      <c r="BQ119" s="230">
        <v>9559000</v>
      </c>
      <c r="BR119" s="230">
        <v>1174000</v>
      </c>
      <c r="BS119" s="229">
        <v>0.12280000000000001</v>
      </c>
      <c r="BT119" s="230">
        <v>1172243</v>
      </c>
      <c r="BU119" s="230">
        <v>1230527</v>
      </c>
      <c r="BV119" s="230">
        <v>-58284</v>
      </c>
      <c r="BW119" s="229">
        <v>-4.7399999999999998E-2</v>
      </c>
      <c r="BX119" s="230">
        <v>31671000</v>
      </c>
      <c r="BY119" s="230">
        <v>32167000</v>
      </c>
      <c r="BZ119" s="230">
        <v>-496000</v>
      </c>
      <c r="CA119" s="229">
        <v>-1.54E-2</v>
      </c>
      <c r="CB119" s="230">
        <v>30336000</v>
      </c>
      <c r="CC119" s="230">
        <v>31108000</v>
      </c>
      <c r="CD119" s="230">
        <v>-772000</v>
      </c>
      <c r="CE119" s="229">
        <v>-2.4799999999999999E-2</v>
      </c>
      <c r="CF119" s="230">
        <v>1287000</v>
      </c>
      <c r="CG119" s="230">
        <v>1022000</v>
      </c>
      <c r="CH119" s="230">
        <v>265000</v>
      </c>
      <c r="CI119" s="229">
        <v>0.25929999999999997</v>
      </c>
      <c r="CJ119" s="230">
        <v>48000</v>
      </c>
      <c r="CK119" s="230">
        <v>37000</v>
      </c>
      <c r="CL119" s="230">
        <v>11000</v>
      </c>
      <c r="CM119" s="229">
        <v>0.29730000000000001</v>
      </c>
      <c r="CN119" s="230">
        <v>5911000</v>
      </c>
      <c r="CO119" s="230">
        <v>5866000</v>
      </c>
      <c r="CP119" s="230">
        <v>45000</v>
      </c>
      <c r="CQ119" s="229">
        <v>7.7000000000000002E-3</v>
      </c>
      <c r="CR119" s="230">
        <v>5702000</v>
      </c>
      <c r="CS119" s="230">
        <v>5700000</v>
      </c>
      <c r="CT119" s="230">
        <v>2000</v>
      </c>
      <c r="CU119" s="229">
        <v>4.0000000000000002E-4</v>
      </c>
      <c r="CV119" s="230">
        <v>43284000</v>
      </c>
      <c r="CW119" s="230">
        <v>43733000</v>
      </c>
      <c r="CX119" s="230">
        <v>-449000</v>
      </c>
      <c r="CY119" s="229">
        <v>-1.03E-2</v>
      </c>
      <c r="CZ119" s="228">
        <v>30.66</v>
      </c>
      <c r="DA119" s="228">
        <v>27.05</v>
      </c>
      <c r="DB119" s="228">
        <v>3.61</v>
      </c>
      <c r="DC119" s="228">
        <v>3.61</v>
      </c>
      <c r="DD119" s="228">
        <v>33.119999999999997</v>
      </c>
      <c r="DE119" s="228">
        <v>33.19</v>
      </c>
      <c r="DF119" s="228">
        <v>-2.46</v>
      </c>
      <c r="DG119" s="228">
        <v>-7.0000000000000007E-2</v>
      </c>
      <c r="DH119" s="228">
        <v>30.51</v>
      </c>
      <c r="DI119" s="228">
        <v>26.28</v>
      </c>
      <c r="DJ119" s="228">
        <v>4.2300000000000004</v>
      </c>
      <c r="DK119" s="228">
        <v>4.2300000000000004</v>
      </c>
      <c r="DL119" s="228">
        <v>31.05</v>
      </c>
      <c r="DM119" s="228">
        <v>29.35</v>
      </c>
      <c r="DN119" s="228">
        <v>1.7</v>
      </c>
      <c r="DO119" s="228">
        <v>1.7</v>
      </c>
      <c r="DP119" s="228">
        <v>0.96</v>
      </c>
      <c r="DQ119" s="228">
        <v>0.97</v>
      </c>
      <c r="DR119" s="228">
        <v>-0.01</v>
      </c>
      <c r="DS119" s="229">
        <v>-1.03E-2</v>
      </c>
      <c r="DT119" s="228">
        <v>550</v>
      </c>
      <c r="DU119" s="228">
        <v>480</v>
      </c>
      <c r="DV119" s="228">
        <v>0.39</v>
      </c>
      <c r="DW119" s="228">
        <v>0.34</v>
      </c>
      <c r="DX119" s="228">
        <v>0.05</v>
      </c>
      <c r="DY119" s="229">
        <v>0.14710000000000001</v>
      </c>
      <c r="DZ119" s="229">
        <v>4.2200000000000001E-2</v>
      </c>
      <c r="EA119" s="230">
        <v>1059000</v>
      </c>
      <c r="EB119" s="229">
        <v>6.1999999999999998E-3</v>
      </c>
      <c r="EC119" s="229">
        <v>4.2200000000000001E-2</v>
      </c>
      <c r="ED119" s="228">
        <v>2.63</v>
      </c>
      <c r="EE119" s="229">
        <v>4.8999999999999998E-3</v>
      </c>
      <c r="EF119" s="230">
        <v>525797</v>
      </c>
      <c r="EG119" s="230">
        <v>641164</v>
      </c>
      <c r="EH119" s="229">
        <v>-0.1799</v>
      </c>
      <c r="EI119" s="229">
        <v>0.44850000000000001</v>
      </c>
      <c r="EJ119" s="231">
        <v>32545.1</v>
      </c>
      <c r="EK119" s="231">
        <v>12149.92</v>
      </c>
      <c r="EL119" s="231">
        <v>14269.02</v>
      </c>
      <c r="EM119" s="231">
        <v>2466</v>
      </c>
      <c r="EN119" s="231">
        <v>58964.04</v>
      </c>
      <c r="EO119" s="231">
        <v>52258.720000000001</v>
      </c>
      <c r="EP119" s="231">
        <v>6705.32</v>
      </c>
      <c r="EQ119" s="229">
        <v>0.1283</v>
      </c>
      <c r="ER119" s="231">
        <v>32201</v>
      </c>
      <c r="ES119" s="231">
        <v>28902</v>
      </c>
      <c r="ET119" s="231">
        <v>169850</v>
      </c>
      <c r="EU119" s="231">
        <v>45183075</v>
      </c>
      <c r="EV119" s="231">
        <v>230952</v>
      </c>
      <c r="EW119" s="231">
        <v>234410</v>
      </c>
      <c r="EX119" s="231">
        <v>-3458</v>
      </c>
      <c r="EY119" s="229">
        <v>-1.4800000000000001E-2</v>
      </c>
      <c r="EZ119" s="229">
        <v>0.95799999999999996</v>
      </c>
      <c r="FA119" s="227" t="s">
        <v>567</v>
      </c>
      <c r="FB119" s="161">
        <f t="shared" si="1"/>
        <v>1335000</v>
      </c>
    </row>
    <row r="120" spans="1:158" ht="17.25" thickBot="1" x14ac:dyDescent="0.3">
      <c r="A120" s="226">
        <v>46132</v>
      </c>
      <c r="B120" s="227" t="s">
        <v>175</v>
      </c>
      <c r="C120" s="227" t="s">
        <v>606</v>
      </c>
      <c r="D120" s="228">
        <v>700</v>
      </c>
      <c r="E120" s="228">
        <v>827.25</v>
      </c>
      <c r="F120" s="228">
        <v>844.15</v>
      </c>
      <c r="G120" s="228">
        <v>-16.899999999999999</v>
      </c>
      <c r="H120" s="229">
        <v>-0.02</v>
      </c>
      <c r="I120" s="228">
        <v>828.1</v>
      </c>
      <c r="J120" s="228">
        <v>842.2</v>
      </c>
      <c r="K120" s="228">
        <v>-14.1</v>
      </c>
      <c r="L120" s="229">
        <v>-1.67E-2</v>
      </c>
      <c r="M120" s="228">
        <v>827.25</v>
      </c>
      <c r="N120" s="228">
        <v>844.15</v>
      </c>
      <c r="O120" s="228">
        <v>-16.899999999999999</v>
      </c>
      <c r="P120" s="229">
        <v>-0.02</v>
      </c>
      <c r="Q120" s="228">
        <v>823.6</v>
      </c>
      <c r="R120" s="228">
        <v>840</v>
      </c>
      <c r="S120" s="228">
        <v>-16.399999999999999</v>
      </c>
      <c r="T120" s="229">
        <v>-1.95E-2</v>
      </c>
      <c r="U120" s="228">
        <v>824.2</v>
      </c>
      <c r="V120" s="228">
        <v>837.15</v>
      </c>
      <c r="W120" s="228">
        <v>-12.95</v>
      </c>
      <c r="X120" s="229">
        <v>-1.55E-2</v>
      </c>
      <c r="Y120" s="228">
        <v>-0.85</v>
      </c>
      <c r="Z120" s="228">
        <v>1.95</v>
      </c>
      <c r="AA120" s="228">
        <v>-2.8</v>
      </c>
      <c r="AB120" s="229">
        <v>-1E-3</v>
      </c>
      <c r="AC120" s="228">
        <v>-0.85</v>
      </c>
      <c r="AD120" s="228">
        <v>1.95</v>
      </c>
      <c r="AE120" s="228">
        <v>-2.8</v>
      </c>
      <c r="AF120" s="229">
        <v>-1E-3</v>
      </c>
      <c r="AG120" s="228">
        <v>-4.5</v>
      </c>
      <c r="AH120" s="228">
        <v>-2.2000000000000002</v>
      </c>
      <c r="AI120" s="228">
        <v>-2.2999999999999998</v>
      </c>
      <c r="AJ120" s="229">
        <v>-5.4000000000000003E-3</v>
      </c>
      <c r="AK120" s="228">
        <v>-3.9</v>
      </c>
      <c r="AL120" s="228">
        <v>-5.05</v>
      </c>
      <c r="AM120" s="228">
        <v>1.1499999999999999</v>
      </c>
      <c r="AN120" s="229">
        <v>-4.7000000000000002E-3</v>
      </c>
      <c r="AO120" s="228">
        <v>830.66</v>
      </c>
      <c r="AP120" s="228">
        <v>826.76</v>
      </c>
      <c r="AQ120" s="228">
        <v>0</v>
      </c>
      <c r="AR120" s="230">
        <v>2097200</v>
      </c>
      <c r="AS120" s="230">
        <v>1960000</v>
      </c>
      <c r="AT120" s="230">
        <v>137200</v>
      </c>
      <c r="AU120" s="229">
        <v>7.0000000000000007E-2</v>
      </c>
      <c r="AV120" s="230">
        <v>1249500</v>
      </c>
      <c r="AW120" s="230">
        <v>1267000</v>
      </c>
      <c r="AX120" s="230">
        <v>-17500</v>
      </c>
      <c r="AY120" s="229">
        <v>-1.38E-2</v>
      </c>
      <c r="AZ120" s="230">
        <v>742000</v>
      </c>
      <c r="BA120" s="230">
        <v>624400</v>
      </c>
      <c r="BB120" s="230">
        <v>117600</v>
      </c>
      <c r="BC120" s="229">
        <v>0.1883</v>
      </c>
      <c r="BD120" s="230">
        <v>105700</v>
      </c>
      <c r="BE120" s="230">
        <v>68600</v>
      </c>
      <c r="BF120" s="230">
        <v>37100</v>
      </c>
      <c r="BG120" s="229">
        <v>0.54079999999999995</v>
      </c>
      <c r="BH120" s="230">
        <v>5180700</v>
      </c>
      <c r="BI120" s="230">
        <v>5163900</v>
      </c>
      <c r="BJ120" s="230">
        <v>16800</v>
      </c>
      <c r="BK120" s="229">
        <v>3.3E-3</v>
      </c>
      <c r="BL120" s="230">
        <v>2522800</v>
      </c>
      <c r="BM120" s="230">
        <v>2410100</v>
      </c>
      <c r="BN120" s="230">
        <v>112700</v>
      </c>
      <c r="BO120" s="229">
        <v>4.6800000000000001E-2</v>
      </c>
      <c r="BP120" s="230">
        <v>9800700</v>
      </c>
      <c r="BQ120" s="230">
        <v>9534000</v>
      </c>
      <c r="BR120" s="230">
        <v>266700</v>
      </c>
      <c r="BS120" s="229">
        <v>2.8000000000000001E-2</v>
      </c>
      <c r="BT120" s="230">
        <v>1751618</v>
      </c>
      <c r="BU120" s="230">
        <v>1471020</v>
      </c>
      <c r="BV120" s="230">
        <v>280598</v>
      </c>
      <c r="BW120" s="229">
        <v>0.1908</v>
      </c>
      <c r="BX120" s="230">
        <v>10677100</v>
      </c>
      <c r="BY120" s="230">
        <v>10380300</v>
      </c>
      <c r="BZ120" s="230">
        <v>296800</v>
      </c>
      <c r="CA120" s="229">
        <v>2.86E-2</v>
      </c>
      <c r="CB120" s="230">
        <v>8379700</v>
      </c>
      <c r="CC120" s="230">
        <v>8417500</v>
      </c>
      <c r="CD120" s="230">
        <v>-37800</v>
      </c>
      <c r="CE120" s="229">
        <v>-4.4999999999999997E-3</v>
      </c>
      <c r="CF120" s="230">
        <v>2035600</v>
      </c>
      <c r="CG120" s="230">
        <v>1748600</v>
      </c>
      <c r="CH120" s="230">
        <v>287000</v>
      </c>
      <c r="CI120" s="229">
        <v>0.1641</v>
      </c>
      <c r="CJ120" s="230">
        <v>261800</v>
      </c>
      <c r="CK120" s="230">
        <v>214200</v>
      </c>
      <c r="CL120" s="230">
        <v>47600</v>
      </c>
      <c r="CM120" s="229">
        <v>0.22220000000000001</v>
      </c>
      <c r="CN120" s="230">
        <v>7030100</v>
      </c>
      <c r="CO120" s="230">
        <v>7314300</v>
      </c>
      <c r="CP120" s="230">
        <v>-284200</v>
      </c>
      <c r="CQ120" s="229">
        <v>-3.8899999999999997E-2</v>
      </c>
      <c r="CR120" s="230">
        <v>4560500</v>
      </c>
      <c r="CS120" s="230">
        <v>4316200</v>
      </c>
      <c r="CT120" s="230">
        <v>244300</v>
      </c>
      <c r="CU120" s="229">
        <v>5.6599999999999998E-2</v>
      </c>
      <c r="CV120" s="230">
        <v>22267700</v>
      </c>
      <c r="CW120" s="230">
        <v>22010800</v>
      </c>
      <c r="CX120" s="230">
        <v>256900</v>
      </c>
      <c r="CY120" s="229">
        <v>1.17E-2</v>
      </c>
      <c r="CZ120" s="228">
        <v>33.869999999999997</v>
      </c>
      <c r="DA120" s="228">
        <v>31.73</v>
      </c>
      <c r="DB120" s="228">
        <v>2.14</v>
      </c>
      <c r="DC120" s="228">
        <v>2.14</v>
      </c>
      <c r="DD120" s="228">
        <v>33.31</v>
      </c>
      <c r="DE120" s="228">
        <v>33.31</v>
      </c>
      <c r="DF120" s="228">
        <v>0.56000000000000005</v>
      </c>
      <c r="DG120" s="228">
        <v>0</v>
      </c>
      <c r="DH120" s="228">
        <v>33.54</v>
      </c>
      <c r="DI120" s="228">
        <v>30.65</v>
      </c>
      <c r="DJ120" s="228">
        <v>2.89</v>
      </c>
      <c r="DK120" s="228">
        <v>2.89</v>
      </c>
      <c r="DL120" s="228">
        <v>34.56</v>
      </c>
      <c r="DM120" s="228">
        <v>34.06</v>
      </c>
      <c r="DN120" s="228">
        <v>0.5</v>
      </c>
      <c r="DO120" s="228">
        <v>0.5</v>
      </c>
      <c r="DP120" s="228">
        <v>0.65</v>
      </c>
      <c r="DQ120" s="228">
        <v>0.59</v>
      </c>
      <c r="DR120" s="228">
        <v>0.06</v>
      </c>
      <c r="DS120" s="229">
        <v>0.1017</v>
      </c>
      <c r="DT120" s="228">
        <v>900</v>
      </c>
      <c r="DU120" s="228">
        <v>800</v>
      </c>
      <c r="DV120" s="228">
        <v>0.49</v>
      </c>
      <c r="DW120" s="228">
        <v>0.47</v>
      </c>
      <c r="DX120" s="228">
        <v>0.02</v>
      </c>
      <c r="DY120" s="229">
        <v>4.2599999999999999E-2</v>
      </c>
      <c r="DZ120" s="229">
        <v>0.2152</v>
      </c>
      <c r="EA120" s="230">
        <v>1962800</v>
      </c>
      <c r="EB120" s="229">
        <v>-4.4000000000000003E-3</v>
      </c>
      <c r="EC120" s="229">
        <v>0.2152</v>
      </c>
      <c r="ED120" s="228">
        <v>-3.9</v>
      </c>
      <c r="EE120" s="229">
        <v>-4.7000000000000002E-3</v>
      </c>
      <c r="EF120" s="230">
        <v>645633</v>
      </c>
      <c r="EG120" s="230">
        <v>590697</v>
      </c>
      <c r="EH120" s="229">
        <v>9.2999999999999999E-2</v>
      </c>
      <c r="EI120" s="229">
        <v>0.36859999999999998</v>
      </c>
      <c r="EJ120" s="231">
        <v>45045.17</v>
      </c>
      <c r="EK120" s="231">
        <v>20753.13</v>
      </c>
      <c r="EL120" s="231">
        <v>17388.62</v>
      </c>
      <c r="EM120" s="231">
        <v>4129</v>
      </c>
      <c r="EN120" s="231">
        <v>83186.92</v>
      </c>
      <c r="EO120" s="231">
        <v>81188.63</v>
      </c>
      <c r="EP120" s="231">
        <v>1998.29</v>
      </c>
      <c r="EQ120" s="229">
        <v>2.46E-2</v>
      </c>
      <c r="ER120" s="231">
        <v>59691</v>
      </c>
      <c r="ES120" s="231">
        <v>35777</v>
      </c>
      <c r="ET120" s="231">
        <v>88244</v>
      </c>
      <c r="EU120" s="231">
        <v>33206238</v>
      </c>
      <c r="EV120" s="231">
        <v>183713</v>
      </c>
      <c r="EW120" s="231">
        <v>183224</v>
      </c>
      <c r="EX120" s="228">
        <v>489</v>
      </c>
      <c r="EY120" s="229">
        <v>2.7000000000000001E-3</v>
      </c>
      <c r="EZ120" s="229">
        <v>0.67059999999999997</v>
      </c>
      <c r="FA120" s="227" t="s">
        <v>566</v>
      </c>
      <c r="FB120" s="161">
        <f t="shared" si="1"/>
        <v>2297400</v>
      </c>
    </row>
    <row r="121" spans="1:158" ht="17.25" thickBot="1" x14ac:dyDescent="0.3">
      <c r="A121" s="226">
        <v>46132</v>
      </c>
      <c r="B121" s="227" t="s">
        <v>206</v>
      </c>
      <c r="C121" s="227" t="s">
        <v>587</v>
      </c>
      <c r="D121" s="228">
        <v>450</v>
      </c>
      <c r="E121" s="228">
        <v>857.25</v>
      </c>
      <c r="F121" s="228">
        <v>872.85</v>
      </c>
      <c r="G121" s="228">
        <v>-15.6</v>
      </c>
      <c r="H121" s="229">
        <v>-1.7899999999999999E-2</v>
      </c>
      <c r="I121" s="228">
        <v>856.55</v>
      </c>
      <c r="J121" s="228">
        <v>872.55</v>
      </c>
      <c r="K121" s="228">
        <v>-16</v>
      </c>
      <c r="L121" s="229">
        <v>-1.83E-2</v>
      </c>
      <c r="M121" s="228">
        <v>857.25</v>
      </c>
      <c r="N121" s="228">
        <v>872.85</v>
      </c>
      <c r="O121" s="228">
        <v>-15.6</v>
      </c>
      <c r="P121" s="229">
        <v>-1.7899999999999999E-2</v>
      </c>
      <c r="Q121" s="228">
        <v>860.8</v>
      </c>
      <c r="R121" s="228">
        <v>877.4</v>
      </c>
      <c r="S121" s="228">
        <v>-16.600000000000001</v>
      </c>
      <c r="T121" s="229">
        <v>-1.89E-2</v>
      </c>
      <c r="U121" s="228">
        <v>866.7</v>
      </c>
      <c r="V121" s="228">
        <v>883.2</v>
      </c>
      <c r="W121" s="228">
        <v>-16.5</v>
      </c>
      <c r="X121" s="229">
        <v>-1.8700000000000001E-2</v>
      </c>
      <c r="Y121" s="228">
        <v>0.7</v>
      </c>
      <c r="Z121" s="228">
        <v>0.3</v>
      </c>
      <c r="AA121" s="228">
        <v>0.4</v>
      </c>
      <c r="AB121" s="229">
        <v>8.0000000000000004E-4</v>
      </c>
      <c r="AC121" s="228">
        <v>0.7</v>
      </c>
      <c r="AD121" s="228">
        <v>0.3</v>
      </c>
      <c r="AE121" s="228">
        <v>0.4</v>
      </c>
      <c r="AF121" s="229">
        <v>8.0000000000000004E-4</v>
      </c>
      <c r="AG121" s="228">
        <v>4.25</v>
      </c>
      <c r="AH121" s="228">
        <v>4.8499999999999996</v>
      </c>
      <c r="AI121" s="228">
        <v>-0.6</v>
      </c>
      <c r="AJ121" s="229">
        <v>5.0000000000000001E-3</v>
      </c>
      <c r="AK121" s="228">
        <v>10.15</v>
      </c>
      <c r="AL121" s="228">
        <v>10.65</v>
      </c>
      <c r="AM121" s="228">
        <v>-0.5</v>
      </c>
      <c r="AN121" s="229">
        <v>1.18E-2</v>
      </c>
      <c r="AO121" s="228">
        <v>860.27</v>
      </c>
      <c r="AP121" s="228">
        <v>865.76</v>
      </c>
      <c r="AQ121" s="228">
        <v>0</v>
      </c>
      <c r="AR121" s="230">
        <v>1990350</v>
      </c>
      <c r="AS121" s="230">
        <v>3090150</v>
      </c>
      <c r="AT121" s="230">
        <v>-1099800</v>
      </c>
      <c r="AU121" s="229">
        <v>-0.35589999999999999</v>
      </c>
      <c r="AV121" s="230">
        <v>1643400</v>
      </c>
      <c r="AW121" s="230">
        <v>2804400</v>
      </c>
      <c r="AX121" s="230">
        <v>-1161000</v>
      </c>
      <c r="AY121" s="229">
        <v>-0.41399999999999998</v>
      </c>
      <c r="AZ121" s="230">
        <v>323550</v>
      </c>
      <c r="BA121" s="230">
        <v>267750</v>
      </c>
      <c r="BB121" s="230">
        <v>55800</v>
      </c>
      <c r="BC121" s="229">
        <v>0.2084</v>
      </c>
      <c r="BD121" s="230">
        <v>23400</v>
      </c>
      <c r="BE121" s="230">
        <v>18000</v>
      </c>
      <c r="BF121" s="230">
        <v>5400</v>
      </c>
      <c r="BG121" s="229">
        <v>0.3</v>
      </c>
      <c r="BH121" s="230">
        <v>3366000</v>
      </c>
      <c r="BI121" s="230">
        <v>6562350</v>
      </c>
      <c r="BJ121" s="230">
        <v>-3196350</v>
      </c>
      <c r="BK121" s="229">
        <v>-0.48709999999999998</v>
      </c>
      <c r="BL121" s="230">
        <v>3638250</v>
      </c>
      <c r="BM121" s="230">
        <v>5393250</v>
      </c>
      <c r="BN121" s="230">
        <v>-1755000</v>
      </c>
      <c r="BO121" s="229">
        <v>-0.32540000000000002</v>
      </c>
      <c r="BP121" s="230">
        <v>8994600</v>
      </c>
      <c r="BQ121" s="230">
        <v>15045750</v>
      </c>
      <c r="BR121" s="230">
        <v>-6051150</v>
      </c>
      <c r="BS121" s="229">
        <v>-0.4022</v>
      </c>
      <c r="BT121" s="230">
        <v>1534723</v>
      </c>
      <c r="BU121" s="230">
        <v>2488053</v>
      </c>
      <c r="BV121" s="230">
        <v>-953330</v>
      </c>
      <c r="BW121" s="229">
        <v>-0.38319999999999999</v>
      </c>
      <c r="BX121" s="230">
        <v>19126350</v>
      </c>
      <c r="BY121" s="230">
        <v>19268100</v>
      </c>
      <c r="BZ121" s="230">
        <v>-141750</v>
      </c>
      <c r="CA121" s="229">
        <v>-7.4000000000000003E-3</v>
      </c>
      <c r="CB121" s="230">
        <v>17082900</v>
      </c>
      <c r="CC121" s="230">
        <v>17279100</v>
      </c>
      <c r="CD121" s="230">
        <v>-196200</v>
      </c>
      <c r="CE121" s="229">
        <v>-1.14E-2</v>
      </c>
      <c r="CF121" s="230">
        <v>1363500</v>
      </c>
      <c r="CG121" s="230">
        <v>1315800</v>
      </c>
      <c r="CH121" s="230">
        <v>47700</v>
      </c>
      <c r="CI121" s="229">
        <v>3.6299999999999999E-2</v>
      </c>
      <c r="CJ121" s="230">
        <v>679950</v>
      </c>
      <c r="CK121" s="230">
        <v>673200</v>
      </c>
      <c r="CL121" s="230">
        <v>6750</v>
      </c>
      <c r="CM121" s="229">
        <v>0.01</v>
      </c>
      <c r="CN121" s="230">
        <v>6043050</v>
      </c>
      <c r="CO121" s="230">
        <v>6134850</v>
      </c>
      <c r="CP121" s="230">
        <v>-91800</v>
      </c>
      <c r="CQ121" s="229">
        <v>-1.4999999999999999E-2</v>
      </c>
      <c r="CR121" s="230">
        <v>5025150</v>
      </c>
      <c r="CS121" s="230">
        <v>5165550</v>
      </c>
      <c r="CT121" s="230">
        <v>-140400</v>
      </c>
      <c r="CU121" s="229">
        <v>-2.7199999999999998E-2</v>
      </c>
      <c r="CV121" s="230">
        <v>30194550</v>
      </c>
      <c r="CW121" s="230">
        <v>30568500</v>
      </c>
      <c r="CX121" s="230">
        <v>-373950</v>
      </c>
      <c r="CY121" s="229">
        <v>-1.2200000000000001E-2</v>
      </c>
      <c r="CZ121" s="228">
        <v>47.78</v>
      </c>
      <c r="DA121" s="228">
        <v>43.8</v>
      </c>
      <c r="DB121" s="228">
        <v>3.98</v>
      </c>
      <c r="DC121" s="228">
        <v>3.98</v>
      </c>
      <c r="DD121" s="228">
        <v>47.73</v>
      </c>
      <c r="DE121" s="228">
        <v>47.79</v>
      </c>
      <c r="DF121" s="228">
        <v>0.05</v>
      </c>
      <c r="DG121" s="228">
        <v>-0.06</v>
      </c>
      <c r="DH121" s="228">
        <v>45.79</v>
      </c>
      <c r="DI121" s="228">
        <v>42.01</v>
      </c>
      <c r="DJ121" s="228">
        <v>3.78</v>
      </c>
      <c r="DK121" s="228">
        <v>3.78</v>
      </c>
      <c r="DL121" s="228">
        <v>49.63</v>
      </c>
      <c r="DM121" s="228">
        <v>45.98</v>
      </c>
      <c r="DN121" s="228">
        <v>3.65</v>
      </c>
      <c r="DO121" s="228">
        <v>3.65</v>
      </c>
      <c r="DP121" s="228">
        <v>0.83</v>
      </c>
      <c r="DQ121" s="228">
        <v>0.84</v>
      </c>
      <c r="DR121" s="228">
        <v>-0.01</v>
      </c>
      <c r="DS121" s="229">
        <v>-1.1900000000000001E-2</v>
      </c>
      <c r="DT121" s="228">
        <v>720</v>
      </c>
      <c r="DU121" s="228">
        <v>800</v>
      </c>
      <c r="DV121" s="228">
        <v>1.08</v>
      </c>
      <c r="DW121" s="228">
        <v>0.82</v>
      </c>
      <c r="DX121" s="228">
        <v>0.26</v>
      </c>
      <c r="DY121" s="229">
        <v>0.31709999999999999</v>
      </c>
      <c r="DZ121" s="229">
        <v>0.10680000000000001</v>
      </c>
      <c r="EA121" s="230">
        <v>1989000</v>
      </c>
      <c r="EB121" s="229">
        <v>4.1000000000000003E-3</v>
      </c>
      <c r="EC121" s="229">
        <v>0.10680000000000001</v>
      </c>
      <c r="ED121" s="228">
        <v>5.49</v>
      </c>
      <c r="EE121" s="229">
        <v>6.4000000000000003E-3</v>
      </c>
      <c r="EF121" s="230">
        <v>505072</v>
      </c>
      <c r="EG121" s="230">
        <v>987011</v>
      </c>
      <c r="EH121" s="229">
        <v>-0.48830000000000001</v>
      </c>
      <c r="EI121" s="229">
        <v>0.3291</v>
      </c>
      <c r="EJ121" s="231">
        <v>30452</v>
      </c>
      <c r="EK121" s="231">
        <v>30639.45</v>
      </c>
      <c r="EL121" s="231">
        <v>17142.09</v>
      </c>
      <c r="EM121" s="231">
        <v>8668</v>
      </c>
      <c r="EN121" s="231">
        <v>78233.539999999994</v>
      </c>
      <c r="EO121" s="231">
        <v>131816.44</v>
      </c>
      <c r="EP121" s="231">
        <v>-53582.9</v>
      </c>
      <c r="EQ121" s="229">
        <v>-0.40649999999999997</v>
      </c>
      <c r="ER121" s="231">
        <v>50031</v>
      </c>
      <c r="ES121" s="231">
        <v>38689</v>
      </c>
      <c r="ET121" s="231">
        <v>164073</v>
      </c>
      <c r="EU121" s="231">
        <v>42165698</v>
      </c>
      <c r="EV121" s="231">
        <v>252793</v>
      </c>
      <c r="EW121" s="231">
        <v>258967</v>
      </c>
      <c r="EX121" s="231">
        <v>-6174</v>
      </c>
      <c r="EY121" s="229">
        <v>-2.3800000000000002E-2</v>
      </c>
      <c r="EZ121" s="229">
        <v>0.71609999999999996</v>
      </c>
      <c r="FA121" s="227" t="s">
        <v>567</v>
      </c>
      <c r="FB121" s="161">
        <f t="shared" si="1"/>
        <v>2043450</v>
      </c>
    </row>
    <row r="122" spans="1:158" ht="17.25" thickBot="1" x14ac:dyDescent="0.3">
      <c r="A122" s="226">
        <v>46132</v>
      </c>
      <c r="B122" s="227" t="s">
        <v>184</v>
      </c>
      <c r="C122" s="227" t="s">
        <v>249</v>
      </c>
      <c r="D122" s="228">
        <v>175</v>
      </c>
      <c r="E122" s="231">
        <v>4056.4</v>
      </c>
      <c r="F122" s="231">
        <v>4106.8999999999996</v>
      </c>
      <c r="G122" s="228">
        <v>-50.5</v>
      </c>
      <c r="H122" s="229">
        <v>-1.23E-2</v>
      </c>
      <c r="I122" s="231">
        <v>4051</v>
      </c>
      <c r="J122" s="231">
        <v>4096.1000000000004</v>
      </c>
      <c r="K122" s="228">
        <v>-45.1</v>
      </c>
      <c r="L122" s="229">
        <v>-1.0999999999999999E-2</v>
      </c>
      <c r="M122" s="231">
        <v>4056.4</v>
      </c>
      <c r="N122" s="231">
        <v>4106.8999999999996</v>
      </c>
      <c r="O122" s="228">
        <v>-50.5</v>
      </c>
      <c r="P122" s="229">
        <v>-1.23E-2</v>
      </c>
      <c r="Q122" s="231">
        <v>4075.9</v>
      </c>
      <c r="R122" s="231">
        <v>4128.7</v>
      </c>
      <c r="S122" s="228">
        <v>-52.8</v>
      </c>
      <c r="T122" s="229">
        <v>-1.2800000000000001E-2</v>
      </c>
      <c r="U122" s="231">
        <v>4077.8</v>
      </c>
      <c r="V122" s="231">
        <v>4124.8999999999996</v>
      </c>
      <c r="W122" s="228">
        <v>-47.1</v>
      </c>
      <c r="X122" s="229">
        <v>-1.14E-2</v>
      </c>
      <c r="Y122" s="228">
        <v>5.4</v>
      </c>
      <c r="Z122" s="228">
        <v>10.8</v>
      </c>
      <c r="AA122" s="228">
        <v>-5.4</v>
      </c>
      <c r="AB122" s="229">
        <v>1.2999999999999999E-3</v>
      </c>
      <c r="AC122" s="228">
        <v>5.4</v>
      </c>
      <c r="AD122" s="228">
        <v>10.8</v>
      </c>
      <c r="AE122" s="228">
        <v>-5.4</v>
      </c>
      <c r="AF122" s="229">
        <v>1.2999999999999999E-3</v>
      </c>
      <c r="AG122" s="228">
        <v>24.9</v>
      </c>
      <c r="AH122" s="228">
        <v>32.6</v>
      </c>
      <c r="AI122" s="228">
        <v>-7.7</v>
      </c>
      <c r="AJ122" s="229">
        <v>6.1000000000000004E-3</v>
      </c>
      <c r="AK122" s="228">
        <v>26.8</v>
      </c>
      <c r="AL122" s="228">
        <v>28.8</v>
      </c>
      <c r="AM122" s="228">
        <v>-2</v>
      </c>
      <c r="AN122" s="229">
        <v>6.6E-3</v>
      </c>
      <c r="AO122" s="231">
        <v>4075.79</v>
      </c>
      <c r="AP122" s="231">
        <v>4098.6099999999997</v>
      </c>
      <c r="AQ122" s="228">
        <v>0</v>
      </c>
      <c r="AR122" s="230">
        <v>2653350</v>
      </c>
      <c r="AS122" s="230">
        <v>1954400</v>
      </c>
      <c r="AT122" s="230">
        <v>698950</v>
      </c>
      <c r="AU122" s="229">
        <v>0.35759999999999997</v>
      </c>
      <c r="AV122" s="230">
        <v>1809500</v>
      </c>
      <c r="AW122" s="230">
        <v>1471400</v>
      </c>
      <c r="AX122" s="230">
        <v>338100</v>
      </c>
      <c r="AY122" s="229">
        <v>0.2298</v>
      </c>
      <c r="AZ122" s="230">
        <v>787325</v>
      </c>
      <c r="BA122" s="230">
        <v>457450</v>
      </c>
      <c r="BB122" s="230">
        <v>329875</v>
      </c>
      <c r="BC122" s="229">
        <v>0.72109999999999996</v>
      </c>
      <c r="BD122" s="230">
        <v>56525</v>
      </c>
      <c r="BE122" s="230">
        <v>25550</v>
      </c>
      <c r="BF122" s="230">
        <v>30975</v>
      </c>
      <c r="BG122" s="229">
        <v>1.2122999999999999</v>
      </c>
      <c r="BH122" s="230">
        <v>7610750</v>
      </c>
      <c r="BI122" s="230">
        <v>6176625</v>
      </c>
      <c r="BJ122" s="230">
        <v>1434125</v>
      </c>
      <c r="BK122" s="229">
        <v>0.23219999999999999</v>
      </c>
      <c r="BL122" s="230">
        <v>5997950</v>
      </c>
      <c r="BM122" s="230">
        <v>5552925</v>
      </c>
      <c r="BN122" s="230">
        <v>445025</v>
      </c>
      <c r="BO122" s="229">
        <v>8.0100000000000005E-2</v>
      </c>
      <c r="BP122" s="230">
        <v>16262050</v>
      </c>
      <c r="BQ122" s="230">
        <v>13683950</v>
      </c>
      <c r="BR122" s="230">
        <v>2578100</v>
      </c>
      <c r="BS122" s="229">
        <v>0.18840000000000001</v>
      </c>
      <c r="BT122" s="230">
        <v>3675668</v>
      </c>
      <c r="BU122" s="230">
        <v>2940508</v>
      </c>
      <c r="BV122" s="230">
        <v>735160</v>
      </c>
      <c r="BW122" s="229">
        <v>0.25</v>
      </c>
      <c r="BX122" s="230">
        <v>14904400</v>
      </c>
      <c r="BY122" s="230">
        <v>14843850</v>
      </c>
      <c r="BZ122" s="230">
        <v>60550</v>
      </c>
      <c r="CA122" s="229">
        <v>4.1000000000000003E-3</v>
      </c>
      <c r="CB122" s="230">
        <v>11697350</v>
      </c>
      <c r="CC122" s="230">
        <v>12165825</v>
      </c>
      <c r="CD122" s="230">
        <v>-468475</v>
      </c>
      <c r="CE122" s="229">
        <v>-3.85E-2</v>
      </c>
      <c r="CF122" s="230">
        <v>2971850</v>
      </c>
      <c r="CG122" s="230">
        <v>2468900</v>
      </c>
      <c r="CH122" s="230">
        <v>502950</v>
      </c>
      <c r="CI122" s="229">
        <v>0.20369999999999999</v>
      </c>
      <c r="CJ122" s="230">
        <v>235200</v>
      </c>
      <c r="CK122" s="230">
        <v>209125</v>
      </c>
      <c r="CL122" s="230">
        <v>26075</v>
      </c>
      <c r="CM122" s="229">
        <v>0.12470000000000001</v>
      </c>
      <c r="CN122" s="230">
        <v>9609600</v>
      </c>
      <c r="CO122" s="230">
        <v>9248225</v>
      </c>
      <c r="CP122" s="230">
        <v>361375</v>
      </c>
      <c r="CQ122" s="229">
        <v>3.9100000000000003E-2</v>
      </c>
      <c r="CR122" s="230">
        <v>8368675</v>
      </c>
      <c r="CS122" s="230">
        <v>8221150</v>
      </c>
      <c r="CT122" s="230">
        <v>147525</v>
      </c>
      <c r="CU122" s="229">
        <v>1.7899999999999999E-2</v>
      </c>
      <c r="CV122" s="230">
        <v>32882675</v>
      </c>
      <c r="CW122" s="230">
        <v>32313225</v>
      </c>
      <c r="CX122" s="230">
        <v>569450</v>
      </c>
      <c r="CY122" s="229">
        <v>1.7600000000000001E-2</v>
      </c>
      <c r="CZ122" s="228">
        <v>33.869999999999997</v>
      </c>
      <c r="DA122" s="228">
        <v>29.77</v>
      </c>
      <c r="DB122" s="228">
        <v>4.0999999999999996</v>
      </c>
      <c r="DC122" s="228">
        <v>4.0999999999999996</v>
      </c>
      <c r="DD122" s="228">
        <v>33.96</v>
      </c>
      <c r="DE122" s="228">
        <v>34.020000000000003</v>
      </c>
      <c r="DF122" s="228">
        <v>-0.09</v>
      </c>
      <c r="DG122" s="228">
        <v>-0.06</v>
      </c>
      <c r="DH122" s="228">
        <v>32.32</v>
      </c>
      <c r="DI122" s="228">
        <v>27.83</v>
      </c>
      <c r="DJ122" s="228">
        <v>4.49</v>
      </c>
      <c r="DK122" s="228">
        <v>4.49</v>
      </c>
      <c r="DL122" s="228">
        <v>35.83</v>
      </c>
      <c r="DM122" s="228">
        <v>31.92</v>
      </c>
      <c r="DN122" s="228">
        <v>3.91</v>
      </c>
      <c r="DO122" s="228">
        <v>3.91</v>
      </c>
      <c r="DP122" s="228">
        <v>0.87</v>
      </c>
      <c r="DQ122" s="228">
        <v>0.89</v>
      </c>
      <c r="DR122" s="228">
        <v>-0.02</v>
      </c>
      <c r="DS122" s="229">
        <v>-2.2499999999999999E-2</v>
      </c>
      <c r="DT122" s="231">
        <v>4000</v>
      </c>
      <c r="DU122" s="231">
        <v>4000</v>
      </c>
      <c r="DV122" s="228">
        <v>0.79</v>
      </c>
      <c r="DW122" s="228">
        <v>0.9</v>
      </c>
      <c r="DX122" s="228">
        <v>-0.11</v>
      </c>
      <c r="DY122" s="229">
        <v>-0.1222</v>
      </c>
      <c r="DZ122" s="229">
        <v>0.2152</v>
      </c>
      <c r="EA122" s="230">
        <v>2678025</v>
      </c>
      <c r="EB122" s="229">
        <v>4.7999999999999996E-3</v>
      </c>
      <c r="EC122" s="229">
        <v>0.2152</v>
      </c>
      <c r="ED122" s="228">
        <v>22.82</v>
      </c>
      <c r="EE122" s="229">
        <v>5.5999999999999999E-3</v>
      </c>
      <c r="EF122" s="230">
        <v>2231459</v>
      </c>
      <c r="EG122" s="230">
        <v>1808575</v>
      </c>
      <c r="EH122" s="229">
        <v>0.23380000000000001</v>
      </c>
      <c r="EI122" s="229">
        <v>0.60709999999999997</v>
      </c>
      <c r="EJ122" s="231">
        <v>322537.86</v>
      </c>
      <c r="EK122" s="231">
        <v>239866.72</v>
      </c>
      <c r="EL122" s="231">
        <v>108338.66</v>
      </c>
      <c r="EM122" s="231">
        <v>16083</v>
      </c>
      <c r="EN122" s="231">
        <v>670743.24</v>
      </c>
      <c r="EO122" s="231">
        <v>563848.53</v>
      </c>
      <c r="EP122" s="231">
        <v>106894.71</v>
      </c>
      <c r="EQ122" s="229">
        <v>0.18959999999999999</v>
      </c>
      <c r="ER122" s="231">
        <v>386565</v>
      </c>
      <c r="ES122" s="231">
        <v>318531</v>
      </c>
      <c r="ET122" s="231">
        <v>605212</v>
      </c>
      <c r="EU122" s="231">
        <v>136099497</v>
      </c>
      <c r="EV122" s="231">
        <v>1310308</v>
      </c>
      <c r="EW122" s="231">
        <v>1293863</v>
      </c>
      <c r="EX122" s="231">
        <v>16445</v>
      </c>
      <c r="EY122" s="229">
        <v>1.2699999999999999E-2</v>
      </c>
      <c r="EZ122" s="229">
        <v>0.24160000000000001</v>
      </c>
      <c r="FA122" s="227" t="s">
        <v>566</v>
      </c>
      <c r="FB122" s="161">
        <f t="shared" si="1"/>
        <v>3207050</v>
      </c>
    </row>
    <row r="123" spans="1:158" ht="17.25" thickBot="1" x14ac:dyDescent="0.3">
      <c r="A123" s="226">
        <v>46132</v>
      </c>
      <c r="B123" s="227" t="s">
        <v>175</v>
      </c>
      <c r="C123" s="227" t="s">
        <v>564</v>
      </c>
      <c r="D123" s="228">
        <v>2250</v>
      </c>
      <c r="E123" s="228">
        <v>290.5</v>
      </c>
      <c r="F123" s="228">
        <v>287.35000000000002</v>
      </c>
      <c r="G123" s="228">
        <v>3.15</v>
      </c>
      <c r="H123" s="229">
        <v>1.0999999999999999E-2</v>
      </c>
      <c r="I123" s="228">
        <v>290.14999999999998</v>
      </c>
      <c r="J123" s="228">
        <v>287.14</v>
      </c>
      <c r="K123" s="228">
        <v>3.01</v>
      </c>
      <c r="L123" s="229">
        <v>1.0500000000000001E-2</v>
      </c>
      <c r="M123" s="228">
        <v>290.5</v>
      </c>
      <c r="N123" s="228">
        <v>287.35000000000002</v>
      </c>
      <c r="O123" s="228">
        <v>3.15</v>
      </c>
      <c r="P123" s="229">
        <v>1.0999999999999999E-2</v>
      </c>
      <c r="Q123" s="228">
        <v>288.58999999999997</v>
      </c>
      <c r="R123" s="228">
        <v>285.02999999999997</v>
      </c>
      <c r="S123" s="228">
        <v>3.56</v>
      </c>
      <c r="T123" s="229">
        <v>1.2500000000000001E-2</v>
      </c>
      <c r="U123" s="228">
        <v>287.39</v>
      </c>
      <c r="V123" s="228">
        <v>284.07</v>
      </c>
      <c r="W123" s="228">
        <v>3.32</v>
      </c>
      <c r="X123" s="229">
        <v>1.17E-2</v>
      </c>
      <c r="Y123" s="228">
        <v>0.35</v>
      </c>
      <c r="Z123" s="228">
        <v>0.21</v>
      </c>
      <c r="AA123" s="228">
        <v>0.14000000000000001</v>
      </c>
      <c r="AB123" s="229">
        <v>1.1999999999999999E-3</v>
      </c>
      <c r="AC123" s="228">
        <v>0.35</v>
      </c>
      <c r="AD123" s="228">
        <v>0.21</v>
      </c>
      <c r="AE123" s="228">
        <v>0.14000000000000001</v>
      </c>
      <c r="AF123" s="229">
        <v>1.1999999999999999E-3</v>
      </c>
      <c r="AG123" s="228">
        <v>-1.56</v>
      </c>
      <c r="AH123" s="228">
        <v>-2.11</v>
      </c>
      <c r="AI123" s="228">
        <v>0.55000000000000004</v>
      </c>
      <c r="AJ123" s="229">
        <v>-5.4000000000000003E-3</v>
      </c>
      <c r="AK123" s="228">
        <v>-2.76</v>
      </c>
      <c r="AL123" s="228">
        <v>-3.07</v>
      </c>
      <c r="AM123" s="228">
        <v>0.31</v>
      </c>
      <c r="AN123" s="229">
        <v>-9.4999999999999998E-3</v>
      </c>
      <c r="AO123" s="228">
        <v>291.19</v>
      </c>
      <c r="AP123" s="228">
        <v>289.07</v>
      </c>
      <c r="AQ123" s="228">
        <v>0</v>
      </c>
      <c r="AR123" s="230">
        <v>11659500</v>
      </c>
      <c r="AS123" s="230">
        <v>10811250</v>
      </c>
      <c r="AT123" s="230">
        <v>848250</v>
      </c>
      <c r="AU123" s="229">
        <v>7.85E-2</v>
      </c>
      <c r="AV123" s="230">
        <v>9288000</v>
      </c>
      <c r="AW123" s="230">
        <v>8979750</v>
      </c>
      <c r="AX123" s="230">
        <v>308250</v>
      </c>
      <c r="AY123" s="229">
        <v>3.4299999999999997E-2</v>
      </c>
      <c r="AZ123" s="230">
        <v>2247750</v>
      </c>
      <c r="BA123" s="230">
        <v>1721250</v>
      </c>
      <c r="BB123" s="230">
        <v>526500</v>
      </c>
      <c r="BC123" s="229">
        <v>0.30590000000000001</v>
      </c>
      <c r="BD123" s="230">
        <v>123750</v>
      </c>
      <c r="BE123" s="230">
        <v>110250</v>
      </c>
      <c r="BF123" s="230">
        <v>13500</v>
      </c>
      <c r="BG123" s="229">
        <v>0.12239999999999999</v>
      </c>
      <c r="BH123" s="230">
        <v>19957500</v>
      </c>
      <c r="BI123" s="230">
        <v>21343500</v>
      </c>
      <c r="BJ123" s="230">
        <v>-1386000</v>
      </c>
      <c r="BK123" s="229">
        <v>-6.4899999999999999E-2</v>
      </c>
      <c r="BL123" s="230">
        <v>10554750</v>
      </c>
      <c r="BM123" s="230">
        <v>12969000</v>
      </c>
      <c r="BN123" s="230">
        <v>-2414250</v>
      </c>
      <c r="BO123" s="229">
        <v>-0.1862</v>
      </c>
      <c r="BP123" s="230">
        <v>42171750</v>
      </c>
      <c r="BQ123" s="230">
        <v>45123750</v>
      </c>
      <c r="BR123" s="230">
        <v>-2952000</v>
      </c>
      <c r="BS123" s="229">
        <v>-6.54E-2</v>
      </c>
      <c r="BT123" s="230">
        <v>4972890</v>
      </c>
      <c r="BU123" s="230">
        <v>3565619</v>
      </c>
      <c r="BV123" s="230">
        <v>1407271</v>
      </c>
      <c r="BW123" s="229">
        <v>0.3947</v>
      </c>
      <c r="BX123" s="230">
        <v>50465250</v>
      </c>
      <c r="BY123" s="230">
        <v>52863750</v>
      </c>
      <c r="BZ123" s="230">
        <v>-2398500</v>
      </c>
      <c r="CA123" s="229">
        <v>-4.5400000000000003E-2</v>
      </c>
      <c r="CB123" s="230">
        <v>45438750</v>
      </c>
      <c r="CC123" s="230">
        <v>49007250</v>
      </c>
      <c r="CD123" s="230">
        <v>-3568500</v>
      </c>
      <c r="CE123" s="229">
        <v>-7.2800000000000004E-2</v>
      </c>
      <c r="CF123" s="230">
        <v>4754250</v>
      </c>
      <c r="CG123" s="230">
        <v>3597750</v>
      </c>
      <c r="CH123" s="230">
        <v>1156500</v>
      </c>
      <c r="CI123" s="229">
        <v>0.32150000000000001</v>
      </c>
      <c r="CJ123" s="230">
        <v>272250</v>
      </c>
      <c r="CK123" s="230">
        <v>258750</v>
      </c>
      <c r="CL123" s="230">
        <v>13500</v>
      </c>
      <c r="CM123" s="229">
        <v>5.2200000000000003E-2</v>
      </c>
      <c r="CN123" s="230">
        <v>18342000</v>
      </c>
      <c r="CO123" s="230">
        <v>18911250</v>
      </c>
      <c r="CP123" s="230">
        <v>-569250</v>
      </c>
      <c r="CQ123" s="229">
        <v>-3.0099999999999998E-2</v>
      </c>
      <c r="CR123" s="230">
        <v>17550000</v>
      </c>
      <c r="CS123" s="230">
        <v>16436250</v>
      </c>
      <c r="CT123" s="230">
        <v>1113750</v>
      </c>
      <c r="CU123" s="229">
        <v>6.7799999999999999E-2</v>
      </c>
      <c r="CV123" s="230">
        <v>86357250</v>
      </c>
      <c r="CW123" s="230">
        <v>88211250</v>
      </c>
      <c r="CX123" s="230">
        <v>-1854000</v>
      </c>
      <c r="CY123" s="229">
        <v>-2.1000000000000001E-2</v>
      </c>
      <c r="CZ123" s="228">
        <v>43.02</v>
      </c>
      <c r="DA123" s="228">
        <v>40.04</v>
      </c>
      <c r="DB123" s="228">
        <v>2.98</v>
      </c>
      <c r="DC123" s="228">
        <v>2.98</v>
      </c>
      <c r="DD123" s="228">
        <v>41.63</v>
      </c>
      <c r="DE123" s="228">
        <v>41.7</v>
      </c>
      <c r="DF123" s="228">
        <v>1.39</v>
      </c>
      <c r="DG123" s="228">
        <v>-7.0000000000000007E-2</v>
      </c>
      <c r="DH123" s="228">
        <v>41.37</v>
      </c>
      <c r="DI123" s="228">
        <v>37.85</v>
      </c>
      <c r="DJ123" s="228">
        <v>3.52</v>
      </c>
      <c r="DK123" s="228">
        <v>3.52</v>
      </c>
      <c r="DL123" s="228">
        <v>46.14</v>
      </c>
      <c r="DM123" s="228">
        <v>43.65</v>
      </c>
      <c r="DN123" s="228">
        <v>2.4900000000000002</v>
      </c>
      <c r="DO123" s="228">
        <v>2.4900000000000002</v>
      </c>
      <c r="DP123" s="228">
        <v>0.96</v>
      </c>
      <c r="DQ123" s="228">
        <v>0.87</v>
      </c>
      <c r="DR123" s="228">
        <v>0.09</v>
      </c>
      <c r="DS123" s="229">
        <v>0.10340000000000001</v>
      </c>
      <c r="DT123" s="228">
        <v>300</v>
      </c>
      <c r="DU123" s="228">
        <v>300</v>
      </c>
      <c r="DV123" s="228">
        <v>0.53</v>
      </c>
      <c r="DW123" s="228">
        <v>0.61</v>
      </c>
      <c r="DX123" s="228">
        <v>-0.08</v>
      </c>
      <c r="DY123" s="229">
        <v>-0.13109999999999999</v>
      </c>
      <c r="DZ123" s="229">
        <v>9.9599999999999994E-2</v>
      </c>
      <c r="EA123" s="230">
        <v>3856500</v>
      </c>
      <c r="EB123" s="229">
        <v>-6.6E-3</v>
      </c>
      <c r="EC123" s="229">
        <v>9.9599999999999994E-2</v>
      </c>
      <c r="ED123" s="228">
        <v>-2.12</v>
      </c>
      <c r="EE123" s="229">
        <v>-7.3000000000000001E-3</v>
      </c>
      <c r="EF123" s="230">
        <v>1736809</v>
      </c>
      <c r="EG123" s="230">
        <v>1310818</v>
      </c>
      <c r="EH123" s="229">
        <v>0.32500000000000001</v>
      </c>
      <c r="EI123" s="229">
        <v>0.3493</v>
      </c>
      <c r="EJ123" s="231">
        <v>60579.21</v>
      </c>
      <c r="EK123" s="231">
        <v>29405.83</v>
      </c>
      <c r="EL123" s="231">
        <v>33899.25</v>
      </c>
      <c r="EM123" s="231">
        <v>4410</v>
      </c>
      <c r="EN123" s="231">
        <v>123884.29</v>
      </c>
      <c r="EO123" s="231">
        <v>130502.57</v>
      </c>
      <c r="EP123" s="231">
        <v>-6618.28</v>
      </c>
      <c r="EQ123" s="229">
        <v>-5.0700000000000002E-2</v>
      </c>
      <c r="ER123" s="231">
        <v>51433</v>
      </c>
      <c r="ES123" s="231">
        <v>47441</v>
      </c>
      <c r="ET123" s="231">
        <v>146502</v>
      </c>
      <c r="EU123" s="231">
        <v>127514625</v>
      </c>
      <c r="EV123" s="231">
        <v>245377</v>
      </c>
      <c r="EW123" s="231">
        <v>248921</v>
      </c>
      <c r="EX123" s="231">
        <v>-3544</v>
      </c>
      <c r="EY123" s="229">
        <v>-1.4200000000000001E-2</v>
      </c>
      <c r="EZ123" s="229">
        <v>0.67720000000000002</v>
      </c>
      <c r="FA123" s="227" t="s">
        <v>693</v>
      </c>
      <c r="FB123" s="161">
        <f t="shared" si="1"/>
        <v>5026500</v>
      </c>
    </row>
    <row r="124" spans="1:158" ht="17.25" thickBot="1" x14ac:dyDescent="0.3">
      <c r="A124" s="226">
        <v>46132</v>
      </c>
      <c r="B124" s="227" t="s">
        <v>221</v>
      </c>
      <c r="C124" s="227" t="s">
        <v>692</v>
      </c>
      <c r="D124" s="228">
        <v>150</v>
      </c>
      <c r="E124" s="231">
        <v>4632</v>
      </c>
      <c r="F124" s="231">
        <v>4691.8</v>
      </c>
      <c r="G124" s="228">
        <v>-59.8</v>
      </c>
      <c r="H124" s="229">
        <v>-1.2699999999999999E-2</v>
      </c>
      <c r="I124" s="231">
        <v>4715.8</v>
      </c>
      <c r="J124" s="231">
        <v>4753.6000000000004</v>
      </c>
      <c r="K124" s="228">
        <v>-37.799999999999997</v>
      </c>
      <c r="L124" s="229">
        <v>-8.0000000000000002E-3</v>
      </c>
      <c r="M124" s="231">
        <v>4632</v>
      </c>
      <c r="N124" s="231">
        <v>4691.8</v>
      </c>
      <c r="O124" s="228">
        <v>-59.8</v>
      </c>
      <c r="P124" s="229">
        <v>-1.2699999999999999E-2</v>
      </c>
      <c r="Q124" s="231">
        <v>4510.2</v>
      </c>
      <c r="R124" s="231">
        <v>4571.8999999999996</v>
      </c>
      <c r="S124" s="228">
        <v>-61.7</v>
      </c>
      <c r="T124" s="229">
        <v>-1.35E-2</v>
      </c>
      <c r="U124" s="231">
        <v>4439</v>
      </c>
      <c r="V124" s="231">
        <v>4492.3999999999996</v>
      </c>
      <c r="W124" s="228">
        <v>-53.4</v>
      </c>
      <c r="X124" s="229">
        <v>-1.1900000000000001E-2</v>
      </c>
      <c r="Y124" s="228">
        <v>-83.8</v>
      </c>
      <c r="Z124" s="228">
        <v>-61.8</v>
      </c>
      <c r="AA124" s="228">
        <v>-22</v>
      </c>
      <c r="AB124" s="229">
        <v>-1.78E-2</v>
      </c>
      <c r="AC124" s="228">
        <v>-83.8</v>
      </c>
      <c r="AD124" s="228">
        <v>-61.8</v>
      </c>
      <c r="AE124" s="228">
        <v>-22</v>
      </c>
      <c r="AF124" s="229">
        <v>-1.78E-2</v>
      </c>
      <c r="AG124" s="228">
        <v>-205.6</v>
      </c>
      <c r="AH124" s="228">
        <v>-181.7</v>
      </c>
      <c r="AI124" s="228">
        <v>-23.9</v>
      </c>
      <c r="AJ124" s="229">
        <v>-4.36E-2</v>
      </c>
      <c r="AK124" s="228">
        <v>-276.8</v>
      </c>
      <c r="AL124" s="228">
        <v>-261.2</v>
      </c>
      <c r="AM124" s="228">
        <v>-15.6</v>
      </c>
      <c r="AN124" s="229">
        <v>-5.8700000000000002E-2</v>
      </c>
      <c r="AO124" s="231">
        <v>4650.78</v>
      </c>
      <c r="AP124" s="231">
        <v>4531.66</v>
      </c>
      <c r="AQ124" s="228">
        <v>0</v>
      </c>
      <c r="AR124" s="230">
        <v>538950</v>
      </c>
      <c r="AS124" s="230">
        <v>621450</v>
      </c>
      <c r="AT124" s="230">
        <v>-82500</v>
      </c>
      <c r="AU124" s="229">
        <v>-0.1328</v>
      </c>
      <c r="AV124" s="230">
        <v>378600</v>
      </c>
      <c r="AW124" s="230">
        <v>448950</v>
      </c>
      <c r="AX124" s="230">
        <v>-70350</v>
      </c>
      <c r="AY124" s="229">
        <v>-0.15670000000000001</v>
      </c>
      <c r="AZ124" s="230">
        <v>155100</v>
      </c>
      <c r="BA124" s="230">
        <v>167250</v>
      </c>
      <c r="BB124" s="230">
        <v>-12150</v>
      </c>
      <c r="BC124" s="229">
        <v>-7.2599999999999998E-2</v>
      </c>
      <c r="BD124" s="230">
        <v>5250</v>
      </c>
      <c r="BE124" s="230">
        <v>5250</v>
      </c>
      <c r="BF124" s="228">
        <v>0</v>
      </c>
      <c r="BG124" s="229">
        <v>0</v>
      </c>
      <c r="BH124" s="230">
        <v>695400</v>
      </c>
      <c r="BI124" s="230">
        <v>1382400</v>
      </c>
      <c r="BJ124" s="230">
        <v>-687000</v>
      </c>
      <c r="BK124" s="229">
        <v>-0.497</v>
      </c>
      <c r="BL124" s="230">
        <v>433500</v>
      </c>
      <c r="BM124" s="230">
        <v>689700</v>
      </c>
      <c r="BN124" s="230">
        <v>-256200</v>
      </c>
      <c r="BO124" s="229">
        <v>-0.3715</v>
      </c>
      <c r="BP124" s="230">
        <v>1667850</v>
      </c>
      <c r="BQ124" s="230">
        <v>2693550</v>
      </c>
      <c r="BR124" s="230">
        <v>-1025700</v>
      </c>
      <c r="BS124" s="229">
        <v>-0.38080000000000003</v>
      </c>
      <c r="BT124" s="230">
        <v>185410</v>
      </c>
      <c r="BU124" s="230">
        <v>339240</v>
      </c>
      <c r="BV124" s="230">
        <v>-153830</v>
      </c>
      <c r="BW124" s="229">
        <v>-0.45350000000000001</v>
      </c>
      <c r="BX124" s="230">
        <v>5051550</v>
      </c>
      <c r="BY124" s="230">
        <v>5007150</v>
      </c>
      <c r="BZ124" s="230">
        <v>44400</v>
      </c>
      <c r="CA124" s="229">
        <v>8.8999999999999999E-3</v>
      </c>
      <c r="CB124" s="230">
        <v>4077150</v>
      </c>
      <c r="CC124" s="230">
        <v>4105650</v>
      </c>
      <c r="CD124" s="230">
        <v>-28500</v>
      </c>
      <c r="CE124" s="229">
        <v>-6.8999999999999999E-3</v>
      </c>
      <c r="CF124" s="230">
        <v>947700</v>
      </c>
      <c r="CG124" s="230">
        <v>877200</v>
      </c>
      <c r="CH124" s="230">
        <v>70500</v>
      </c>
      <c r="CI124" s="229">
        <v>8.0399999999999999E-2</v>
      </c>
      <c r="CJ124" s="230">
        <v>26700</v>
      </c>
      <c r="CK124" s="230">
        <v>24300</v>
      </c>
      <c r="CL124" s="230">
        <v>2400</v>
      </c>
      <c r="CM124" s="229">
        <v>9.8799999999999999E-2</v>
      </c>
      <c r="CN124" s="230">
        <v>1051200</v>
      </c>
      <c r="CO124" s="230">
        <v>1049550</v>
      </c>
      <c r="CP124" s="230">
        <v>1650</v>
      </c>
      <c r="CQ124" s="229">
        <v>1.6000000000000001E-3</v>
      </c>
      <c r="CR124" s="230">
        <v>851100</v>
      </c>
      <c r="CS124" s="230">
        <v>910800</v>
      </c>
      <c r="CT124" s="230">
        <v>-59700</v>
      </c>
      <c r="CU124" s="229">
        <v>-6.5500000000000003E-2</v>
      </c>
      <c r="CV124" s="230">
        <v>6953850</v>
      </c>
      <c r="CW124" s="230">
        <v>6967500</v>
      </c>
      <c r="CX124" s="230">
        <v>-13650</v>
      </c>
      <c r="CY124" s="229">
        <v>-2E-3</v>
      </c>
      <c r="CZ124" s="228">
        <v>41.41</v>
      </c>
      <c r="DA124" s="228">
        <v>35.68</v>
      </c>
      <c r="DB124" s="228">
        <v>5.73</v>
      </c>
      <c r="DC124" s="228">
        <v>5.73</v>
      </c>
      <c r="DD124" s="228">
        <v>35.82</v>
      </c>
      <c r="DE124" s="228">
        <v>35.89</v>
      </c>
      <c r="DF124" s="228">
        <v>5.59</v>
      </c>
      <c r="DG124" s="228">
        <v>-7.0000000000000007E-2</v>
      </c>
      <c r="DH124" s="228">
        <v>40.46</v>
      </c>
      <c r="DI124" s="228">
        <v>34.159999999999997</v>
      </c>
      <c r="DJ124" s="228">
        <v>6.3</v>
      </c>
      <c r="DK124" s="228">
        <v>6.3</v>
      </c>
      <c r="DL124" s="228">
        <v>42.91</v>
      </c>
      <c r="DM124" s="228">
        <v>38.72</v>
      </c>
      <c r="DN124" s="228">
        <v>4.1900000000000004</v>
      </c>
      <c r="DO124" s="228">
        <v>4.1900000000000004</v>
      </c>
      <c r="DP124" s="228">
        <v>0.81</v>
      </c>
      <c r="DQ124" s="228">
        <v>0.87</v>
      </c>
      <c r="DR124" s="228">
        <v>-0.06</v>
      </c>
      <c r="DS124" s="229">
        <v>-6.9000000000000006E-2</v>
      </c>
      <c r="DT124" s="231">
        <v>4700</v>
      </c>
      <c r="DU124" s="231">
        <v>4300</v>
      </c>
      <c r="DV124" s="228">
        <v>0.62</v>
      </c>
      <c r="DW124" s="228">
        <v>0.5</v>
      </c>
      <c r="DX124" s="228">
        <v>0.12</v>
      </c>
      <c r="DY124" s="229">
        <v>0.24</v>
      </c>
      <c r="DZ124" s="229">
        <v>0.19289999999999999</v>
      </c>
      <c r="EA124" s="230">
        <v>901500</v>
      </c>
      <c r="EB124" s="229">
        <v>-2.63E-2</v>
      </c>
      <c r="EC124" s="229">
        <v>0.19289999999999999</v>
      </c>
      <c r="ED124" s="228">
        <v>-119.12</v>
      </c>
      <c r="EE124" s="229">
        <v>-2.5600000000000001E-2</v>
      </c>
      <c r="EF124" s="230">
        <v>84088</v>
      </c>
      <c r="EG124" s="230">
        <v>185212</v>
      </c>
      <c r="EH124" s="229">
        <v>-0.54600000000000004</v>
      </c>
      <c r="EI124" s="229">
        <v>0.45350000000000001</v>
      </c>
      <c r="EJ124" s="231">
        <v>33858.76</v>
      </c>
      <c r="EK124" s="231">
        <v>19947.48</v>
      </c>
      <c r="EL124" s="231">
        <v>24869.79</v>
      </c>
      <c r="EM124" s="231">
        <v>5603</v>
      </c>
      <c r="EN124" s="231">
        <v>78676.03</v>
      </c>
      <c r="EO124" s="231">
        <v>127270.01</v>
      </c>
      <c r="EP124" s="231">
        <v>-48593.98</v>
      </c>
      <c r="EQ124" s="229">
        <v>-0.38179999999999997</v>
      </c>
      <c r="ER124" s="231">
        <v>48500</v>
      </c>
      <c r="ES124" s="231">
        <v>36429</v>
      </c>
      <c r="ET124" s="231">
        <v>232782</v>
      </c>
      <c r="EU124" s="231">
        <v>12564965</v>
      </c>
      <c r="EV124" s="231">
        <v>317711</v>
      </c>
      <c r="EW124" s="231">
        <v>321272</v>
      </c>
      <c r="EX124" s="231">
        <v>-3561</v>
      </c>
      <c r="EY124" s="229">
        <v>-1.11E-2</v>
      </c>
      <c r="EZ124" s="229">
        <v>0.5534</v>
      </c>
      <c r="FA124" s="227" t="s">
        <v>566</v>
      </c>
      <c r="FB124" s="161">
        <f t="shared" si="1"/>
        <v>974400</v>
      </c>
    </row>
    <row r="125" spans="1:158" ht="17.25" thickBot="1" x14ac:dyDescent="0.3">
      <c r="A125" s="226">
        <v>46132</v>
      </c>
      <c r="B125" s="227" t="s">
        <v>170</v>
      </c>
      <c r="C125" s="227" t="s">
        <v>250</v>
      </c>
      <c r="D125" s="228">
        <v>425</v>
      </c>
      <c r="E125" s="231">
        <v>2325.1999999999998</v>
      </c>
      <c r="F125" s="231">
        <v>2328.4</v>
      </c>
      <c r="G125" s="228">
        <v>-3.2</v>
      </c>
      <c r="H125" s="229">
        <v>-1.4E-3</v>
      </c>
      <c r="I125" s="231">
        <v>2328.6999999999998</v>
      </c>
      <c r="J125" s="231">
        <v>2326.1</v>
      </c>
      <c r="K125" s="228">
        <v>2.6</v>
      </c>
      <c r="L125" s="229">
        <v>1.1000000000000001E-3</v>
      </c>
      <c r="M125" s="231">
        <v>2325.1999999999998</v>
      </c>
      <c r="N125" s="231">
        <v>2328.4</v>
      </c>
      <c r="O125" s="228">
        <v>-3.2</v>
      </c>
      <c r="P125" s="229">
        <v>-1.4E-3</v>
      </c>
      <c r="Q125" s="231">
        <v>2334.4</v>
      </c>
      <c r="R125" s="231">
        <v>2335.6999999999998</v>
      </c>
      <c r="S125" s="228">
        <v>-1.3</v>
      </c>
      <c r="T125" s="229">
        <v>-5.9999999999999995E-4</v>
      </c>
      <c r="U125" s="231">
        <v>2349</v>
      </c>
      <c r="V125" s="231">
        <v>2348.6</v>
      </c>
      <c r="W125" s="228">
        <v>0.4</v>
      </c>
      <c r="X125" s="229">
        <v>2.0000000000000001E-4</v>
      </c>
      <c r="Y125" s="228">
        <v>-3.5</v>
      </c>
      <c r="Z125" s="228">
        <v>2.2999999999999998</v>
      </c>
      <c r="AA125" s="228">
        <v>-5.8</v>
      </c>
      <c r="AB125" s="229">
        <v>-1.5E-3</v>
      </c>
      <c r="AC125" s="228">
        <v>-3.5</v>
      </c>
      <c r="AD125" s="228">
        <v>2.2999999999999998</v>
      </c>
      <c r="AE125" s="228">
        <v>-5.8</v>
      </c>
      <c r="AF125" s="229">
        <v>-1.5E-3</v>
      </c>
      <c r="AG125" s="228">
        <v>5.7</v>
      </c>
      <c r="AH125" s="228">
        <v>9.6</v>
      </c>
      <c r="AI125" s="228">
        <v>-3.9</v>
      </c>
      <c r="AJ125" s="229">
        <v>2.3999999999999998E-3</v>
      </c>
      <c r="AK125" s="228">
        <v>20.3</v>
      </c>
      <c r="AL125" s="228">
        <v>22.5</v>
      </c>
      <c r="AM125" s="228">
        <v>-2.2000000000000002</v>
      </c>
      <c r="AN125" s="229">
        <v>8.6999999999999994E-3</v>
      </c>
      <c r="AO125" s="231">
        <v>2330.17</v>
      </c>
      <c r="AP125" s="231">
        <v>2340.11</v>
      </c>
      <c r="AQ125" s="228">
        <v>0</v>
      </c>
      <c r="AR125" s="230">
        <v>1018300</v>
      </c>
      <c r="AS125" s="230">
        <v>1056125</v>
      </c>
      <c r="AT125" s="230">
        <v>-37825</v>
      </c>
      <c r="AU125" s="229">
        <v>-3.5799999999999998E-2</v>
      </c>
      <c r="AV125" s="230">
        <v>903550</v>
      </c>
      <c r="AW125" s="230">
        <v>937975</v>
      </c>
      <c r="AX125" s="230">
        <v>-34425</v>
      </c>
      <c r="AY125" s="229">
        <v>-3.6700000000000003E-2</v>
      </c>
      <c r="AZ125" s="230">
        <v>105825</v>
      </c>
      <c r="BA125" s="230">
        <v>111350</v>
      </c>
      <c r="BB125" s="230">
        <v>-5525</v>
      </c>
      <c r="BC125" s="229">
        <v>-4.9599999999999998E-2</v>
      </c>
      <c r="BD125" s="230">
        <v>8925</v>
      </c>
      <c r="BE125" s="230">
        <v>6800</v>
      </c>
      <c r="BF125" s="230">
        <v>2125</v>
      </c>
      <c r="BG125" s="229">
        <v>0.3125</v>
      </c>
      <c r="BH125" s="230">
        <v>5117425</v>
      </c>
      <c r="BI125" s="230">
        <v>3867075</v>
      </c>
      <c r="BJ125" s="230">
        <v>1250350</v>
      </c>
      <c r="BK125" s="229">
        <v>0.32329999999999998</v>
      </c>
      <c r="BL125" s="230">
        <v>2475200</v>
      </c>
      <c r="BM125" s="230">
        <v>1833450</v>
      </c>
      <c r="BN125" s="230">
        <v>641750</v>
      </c>
      <c r="BO125" s="229">
        <v>0.35</v>
      </c>
      <c r="BP125" s="230">
        <v>8610925</v>
      </c>
      <c r="BQ125" s="230">
        <v>6756650</v>
      </c>
      <c r="BR125" s="230">
        <v>1854275</v>
      </c>
      <c r="BS125" s="229">
        <v>0.27439999999999998</v>
      </c>
      <c r="BT125" s="230">
        <v>730316</v>
      </c>
      <c r="BU125" s="230">
        <v>1038979</v>
      </c>
      <c r="BV125" s="230">
        <v>-308663</v>
      </c>
      <c r="BW125" s="229">
        <v>-0.29709999999999998</v>
      </c>
      <c r="BX125" s="230">
        <v>6718825</v>
      </c>
      <c r="BY125" s="230">
        <v>6805950</v>
      </c>
      <c r="BZ125" s="230">
        <v>-87125</v>
      </c>
      <c r="CA125" s="229">
        <v>-1.2800000000000001E-2</v>
      </c>
      <c r="CB125" s="230">
        <v>6401775</v>
      </c>
      <c r="CC125" s="230">
        <v>6519075</v>
      </c>
      <c r="CD125" s="230">
        <v>-117300</v>
      </c>
      <c r="CE125" s="229">
        <v>-1.7999999999999999E-2</v>
      </c>
      <c r="CF125" s="230">
        <v>303450</v>
      </c>
      <c r="CG125" s="230">
        <v>274125</v>
      </c>
      <c r="CH125" s="230">
        <v>29325</v>
      </c>
      <c r="CI125" s="229">
        <v>0.107</v>
      </c>
      <c r="CJ125" s="230">
        <v>13600</v>
      </c>
      <c r="CK125" s="230">
        <v>12750</v>
      </c>
      <c r="CL125" s="228">
        <v>850</v>
      </c>
      <c r="CM125" s="229">
        <v>6.6699999999999995E-2</v>
      </c>
      <c r="CN125" s="230">
        <v>2386375</v>
      </c>
      <c r="CO125" s="230">
        <v>2481150</v>
      </c>
      <c r="CP125" s="230">
        <v>-94775</v>
      </c>
      <c r="CQ125" s="229">
        <v>-3.8199999999999998E-2</v>
      </c>
      <c r="CR125" s="230">
        <v>1725925</v>
      </c>
      <c r="CS125" s="230">
        <v>1587800</v>
      </c>
      <c r="CT125" s="230">
        <v>138125</v>
      </c>
      <c r="CU125" s="229">
        <v>8.6999999999999994E-2</v>
      </c>
      <c r="CV125" s="230">
        <v>10831125</v>
      </c>
      <c r="CW125" s="230">
        <v>10874900</v>
      </c>
      <c r="CX125" s="230">
        <v>-43775</v>
      </c>
      <c r="CY125" s="229">
        <v>-4.0000000000000001E-3</v>
      </c>
      <c r="CZ125" s="228">
        <v>28.06</v>
      </c>
      <c r="DA125" s="228">
        <v>25.07</v>
      </c>
      <c r="DB125" s="228">
        <v>2.99</v>
      </c>
      <c r="DC125" s="228">
        <v>2.99</v>
      </c>
      <c r="DD125" s="228">
        <v>27.85</v>
      </c>
      <c r="DE125" s="228">
        <v>27.92</v>
      </c>
      <c r="DF125" s="228">
        <v>0.21</v>
      </c>
      <c r="DG125" s="228">
        <v>-7.0000000000000007E-2</v>
      </c>
      <c r="DH125" s="228">
        <v>27.61</v>
      </c>
      <c r="DI125" s="228">
        <v>24.66</v>
      </c>
      <c r="DJ125" s="228">
        <v>2.95</v>
      </c>
      <c r="DK125" s="228">
        <v>2.95</v>
      </c>
      <c r="DL125" s="228">
        <v>28.97</v>
      </c>
      <c r="DM125" s="228">
        <v>25.93</v>
      </c>
      <c r="DN125" s="228">
        <v>3.04</v>
      </c>
      <c r="DO125" s="228">
        <v>3.04</v>
      </c>
      <c r="DP125" s="228">
        <v>0.72</v>
      </c>
      <c r="DQ125" s="228">
        <v>0.64</v>
      </c>
      <c r="DR125" s="228">
        <v>0.08</v>
      </c>
      <c r="DS125" s="229">
        <v>0.125</v>
      </c>
      <c r="DT125" s="231">
        <v>2300</v>
      </c>
      <c r="DU125" s="231">
        <v>2300</v>
      </c>
      <c r="DV125" s="228">
        <v>0.48</v>
      </c>
      <c r="DW125" s="228">
        <v>0.47</v>
      </c>
      <c r="DX125" s="228">
        <v>0.01</v>
      </c>
      <c r="DY125" s="229">
        <v>2.1299999999999999E-2</v>
      </c>
      <c r="DZ125" s="229">
        <v>4.7199999999999999E-2</v>
      </c>
      <c r="EA125" s="230">
        <v>286875</v>
      </c>
      <c r="EB125" s="229">
        <v>4.0000000000000001E-3</v>
      </c>
      <c r="EC125" s="229">
        <v>4.7199999999999999E-2</v>
      </c>
      <c r="ED125" s="228">
        <v>9.94</v>
      </c>
      <c r="EE125" s="229">
        <v>4.3E-3</v>
      </c>
      <c r="EF125" s="230">
        <v>413278</v>
      </c>
      <c r="EG125" s="230">
        <v>575876</v>
      </c>
      <c r="EH125" s="229">
        <v>-0.2823</v>
      </c>
      <c r="EI125" s="229">
        <v>0.56589999999999996</v>
      </c>
      <c r="EJ125" s="231">
        <v>123196.35</v>
      </c>
      <c r="EK125" s="231">
        <v>56938.77</v>
      </c>
      <c r="EL125" s="231">
        <v>23740.76</v>
      </c>
      <c r="EM125" s="231">
        <v>2133</v>
      </c>
      <c r="EN125" s="231">
        <v>203875.88</v>
      </c>
      <c r="EO125" s="231">
        <v>159448.15</v>
      </c>
      <c r="EP125" s="231">
        <v>44427.73</v>
      </c>
      <c r="EQ125" s="229">
        <v>0.27860000000000001</v>
      </c>
      <c r="ER125" s="231">
        <v>56972</v>
      </c>
      <c r="ES125" s="231">
        <v>38554</v>
      </c>
      <c r="ET125" s="231">
        <v>156257</v>
      </c>
      <c r="EU125" s="231">
        <v>32222448</v>
      </c>
      <c r="EV125" s="231">
        <v>251783</v>
      </c>
      <c r="EW125" s="231">
        <v>253326</v>
      </c>
      <c r="EX125" s="231">
        <v>-1543</v>
      </c>
      <c r="EY125" s="229">
        <v>-6.1000000000000004E-3</v>
      </c>
      <c r="EZ125" s="229">
        <v>0.33610000000000001</v>
      </c>
      <c r="FA125" s="227" t="s">
        <v>567</v>
      </c>
      <c r="FB125" s="161">
        <f t="shared" si="1"/>
        <v>317050</v>
      </c>
    </row>
    <row r="126" spans="1:158" ht="17.25" thickBot="1" x14ac:dyDescent="0.3">
      <c r="A126" s="226">
        <v>46132</v>
      </c>
      <c r="B126" s="227" t="s">
        <v>162</v>
      </c>
      <c r="C126" s="227" t="s">
        <v>251</v>
      </c>
      <c r="D126" s="228">
        <v>200</v>
      </c>
      <c r="E126" s="231">
        <v>3218.3</v>
      </c>
      <c r="F126" s="231">
        <v>3207.2</v>
      </c>
      <c r="G126" s="228">
        <v>11.1</v>
      </c>
      <c r="H126" s="229">
        <v>3.5000000000000001E-3</v>
      </c>
      <c r="I126" s="231">
        <v>3221.6</v>
      </c>
      <c r="J126" s="231">
        <v>3200.2</v>
      </c>
      <c r="K126" s="228">
        <v>21.4</v>
      </c>
      <c r="L126" s="229">
        <v>6.7000000000000002E-3</v>
      </c>
      <c r="M126" s="231">
        <v>3218.3</v>
      </c>
      <c r="N126" s="231">
        <v>3207.2</v>
      </c>
      <c r="O126" s="228">
        <v>11.1</v>
      </c>
      <c r="P126" s="229">
        <v>3.5000000000000001E-3</v>
      </c>
      <c r="Q126" s="231">
        <v>3236.6</v>
      </c>
      <c r="R126" s="231">
        <v>3225.7</v>
      </c>
      <c r="S126" s="228">
        <v>10.9</v>
      </c>
      <c r="T126" s="229">
        <v>3.3999999999999998E-3</v>
      </c>
      <c r="U126" s="231">
        <v>3257.1</v>
      </c>
      <c r="V126" s="231">
        <v>3244</v>
      </c>
      <c r="W126" s="228">
        <v>13.1</v>
      </c>
      <c r="X126" s="229">
        <v>4.0000000000000001E-3</v>
      </c>
      <c r="Y126" s="228">
        <v>-3.3</v>
      </c>
      <c r="Z126" s="228">
        <v>7</v>
      </c>
      <c r="AA126" s="228">
        <v>-10.3</v>
      </c>
      <c r="AB126" s="229">
        <v>-1E-3</v>
      </c>
      <c r="AC126" s="228">
        <v>-3.3</v>
      </c>
      <c r="AD126" s="228">
        <v>7</v>
      </c>
      <c r="AE126" s="228">
        <v>-10.3</v>
      </c>
      <c r="AF126" s="229">
        <v>-1E-3</v>
      </c>
      <c r="AG126" s="228">
        <v>15</v>
      </c>
      <c r="AH126" s="228">
        <v>25.5</v>
      </c>
      <c r="AI126" s="228">
        <v>-10.5</v>
      </c>
      <c r="AJ126" s="229">
        <v>4.7000000000000002E-3</v>
      </c>
      <c r="AK126" s="228">
        <v>35.5</v>
      </c>
      <c r="AL126" s="228">
        <v>43.8</v>
      </c>
      <c r="AM126" s="228">
        <v>-8.3000000000000007</v>
      </c>
      <c r="AN126" s="229">
        <v>1.0999999999999999E-2</v>
      </c>
      <c r="AO126" s="231">
        <v>3212.93</v>
      </c>
      <c r="AP126" s="231">
        <v>3229.78</v>
      </c>
      <c r="AQ126" s="228">
        <v>0</v>
      </c>
      <c r="AR126" s="230">
        <v>2082000</v>
      </c>
      <c r="AS126" s="230">
        <v>2342200</v>
      </c>
      <c r="AT126" s="230">
        <v>-260200</v>
      </c>
      <c r="AU126" s="229">
        <v>-0.1111</v>
      </c>
      <c r="AV126" s="230">
        <v>1700200</v>
      </c>
      <c r="AW126" s="230">
        <v>1730800</v>
      </c>
      <c r="AX126" s="230">
        <v>-30600</v>
      </c>
      <c r="AY126" s="229">
        <v>-1.77E-2</v>
      </c>
      <c r="AZ126" s="230">
        <v>326400</v>
      </c>
      <c r="BA126" s="230">
        <v>377800</v>
      </c>
      <c r="BB126" s="230">
        <v>-51400</v>
      </c>
      <c r="BC126" s="229">
        <v>-0.1361</v>
      </c>
      <c r="BD126" s="230">
        <v>55400</v>
      </c>
      <c r="BE126" s="230">
        <v>233600</v>
      </c>
      <c r="BF126" s="230">
        <v>-178200</v>
      </c>
      <c r="BG126" s="229">
        <v>-0.76280000000000003</v>
      </c>
      <c r="BH126" s="230">
        <v>7171600</v>
      </c>
      <c r="BI126" s="230">
        <v>6127000</v>
      </c>
      <c r="BJ126" s="230">
        <v>1044600</v>
      </c>
      <c r="BK126" s="229">
        <v>0.17050000000000001</v>
      </c>
      <c r="BL126" s="230">
        <v>3436400</v>
      </c>
      <c r="BM126" s="230">
        <v>3387200</v>
      </c>
      <c r="BN126" s="230">
        <v>49200</v>
      </c>
      <c r="BO126" s="229">
        <v>1.4500000000000001E-2</v>
      </c>
      <c r="BP126" s="230">
        <v>12690000</v>
      </c>
      <c r="BQ126" s="230">
        <v>11856400</v>
      </c>
      <c r="BR126" s="230">
        <v>833600</v>
      </c>
      <c r="BS126" s="229">
        <v>7.0300000000000001E-2</v>
      </c>
      <c r="BT126" s="230">
        <v>3266359</v>
      </c>
      <c r="BU126" s="230">
        <v>2396669</v>
      </c>
      <c r="BV126" s="230">
        <v>869690</v>
      </c>
      <c r="BW126" s="229">
        <v>0.3629</v>
      </c>
      <c r="BX126" s="230">
        <v>19930400</v>
      </c>
      <c r="BY126" s="230">
        <v>19783200</v>
      </c>
      <c r="BZ126" s="230">
        <v>147200</v>
      </c>
      <c r="CA126" s="229">
        <v>7.4000000000000003E-3</v>
      </c>
      <c r="CB126" s="230">
        <v>15569800</v>
      </c>
      <c r="CC126" s="230">
        <v>15588600</v>
      </c>
      <c r="CD126" s="230">
        <v>-18800</v>
      </c>
      <c r="CE126" s="229">
        <v>-1.1999999999999999E-3</v>
      </c>
      <c r="CF126" s="230">
        <v>3306400</v>
      </c>
      <c r="CG126" s="230">
        <v>3168800</v>
      </c>
      <c r="CH126" s="230">
        <v>137600</v>
      </c>
      <c r="CI126" s="229">
        <v>4.3400000000000001E-2</v>
      </c>
      <c r="CJ126" s="230">
        <v>1054200</v>
      </c>
      <c r="CK126" s="230">
        <v>1025800</v>
      </c>
      <c r="CL126" s="230">
        <v>28400</v>
      </c>
      <c r="CM126" s="229">
        <v>2.7699999999999999E-2</v>
      </c>
      <c r="CN126" s="230">
        <v>5164000</v>
      </c>
      <c r="CO126" s="230">
        <v>5522800</v>
      </c>
      <c r="CP126" s="230">
        <v>-358800</v>
      </c>
      <c r="CQ126" s="229">
        <v>-6.5000000000000002E-2</v>
      </c>
      <c r="CR126" s="230">
        <v>3677400</v>
      </c>
      <c r="CS126" s="230">
        <v>3581000</v>
      </c>
      <c r="CT126" s="230">
        <v>96400</v>
      </c>
      <c r="CU126" s="229">
        <v>2.69E-2</v>
      </c>
      <c r="CV126" s="230">
        <v>28771800</v>
      </c>
      <c r="CW126" s="230">
        <v>28887000</v>
      </c>
      <c r="CX126" s="230">
        <v>-115200</v>
      </c>
      <c r="CY126" s="229">
        <v>-4.0000000000000001E-3</v>
      </c>
      <c r="CZ126" s="228">
        <v>34.72</v>
      </c>
      <c r="DA126" s="228">
        <v>32.299999999999997</v>
      </c>
      <c r="DB126" s="228">
        <v>2.42</v>
      </c>
      <c r="DC126" s="228">
        <v>2.42</v>
      </c>
      <c r="DD126" s="228">
        <v>35.56</v>
      </c>
      <c r="DE126" s="228">
        <v>35.64</v>
      </c>
      <c r="DF126" s="228">
        <v>-0.84</v>
      </c>
      <c r="DG126" s="228">
        <v>-0.08</v>
      </c>
      <c r="DH126" s="228">
        <v>33.880000000000003</v>
      </c>
      <c r="DI126" s="228">
        <v>31.76</v>
      </c>
      <c r="DJ126" s="228">
        <v>2.12</v>
      </c>
      <c r="DK126" s="228">
        <v>2.12</v>
      </c>
      <c r="DL126" s="228">
        <v>36.49</v>
      </c>
      <c r="DM126" s="228">
        <v>33.28</v>
      </c>
      <c r="DN126" s="228">
        <v>3.21</v>
      </c>
      <c r="DO126" s="228">
        <v>3.21</v>
      </c>
      <c r="DP126" s="228">
        <v>0.71</v>
      </c>
      <c r="DQ126" s="228">
        <v>0.65</v>
      </c>
      <c r="DR126" s="228">
        <v>0.06</v>
      </c>
      <c r="DS126" s="229">
        <v>9.2299999999999993E-2</v>
      </c>
      <c r="DT126" s="231">
        <v>3300</v>
      </c>
      <c r="DU126" s="231">
        <v>3100</v>
      </c>
      <c r="DV126" s="228">
        <v>0.48</v>
      </c>
      <c r="DW126" s="228">
        <v>0.55000000000000004</v>
      </c>
      <c r="DX126" s="228">
        <v>-7.0000000000000007E-2</v>
      </c>
      <c r="DY126" s="229">
        <v>-0.1273</v>
      </c>
      <c r="DZ126" s="229">
        <v>0.21879999999999999</v>
      </c>
      <c r="EA126" s="230">
        <v>4194600</v>
      </c>
      <c r="EB126" s="229">
        <v>5.7000000000000002E-3</v>
      </c>
      <c r="EC126" s="229">
        <v>0.21879999999999999</v>
      </c>
      <c r="ED126" s="228">
        <v>16.850000000000001</v>
      </c>
      <c r="EE126" s="229">
        <v>5.1999999999999998E-3</v>
      </c>
      <c r="EF126" s="230">
        <v>1990301</v>
      </c>
      <c r="EG126" s="230">
        <v>1381871</v>
      </c>
      <c r="EH126" s="229">
        <v>0.44030000000000002</v>
      </c>
      <c r="EI126" s="229">
        <v>0.60929999999999995</v>
      </c>
      <c r="EJ126" s="231">
        <v>238244.36</v>
      </c>
      <c r="EK126" s="231">
        <v>109571.29</v>
      </c>
      <c r="EL126" s="231">
        <v>66969.09</v>
      </c>
      <c r="EM126" s="231">
        <v>12872</v>
      </c>
      <c r="EN126" s="231">
        <v>414784.74</v>
      </c>
      <c r="EO126" s="231">
        <v>387957.16</v>
      </c>
      <c r="EP126" s="231">
        <v>26827.58</v>
      </c>
      <c r="EQ126" s="229">
        <v>6.9199999999999998E-2</v>
      </c>
      <c r="ER126" s="231">
        <v>169595</v>
      </c>
      <c r="ES126" s="231">
        <v>114350</v>
      </c>
      <c r="ET126" s="231">
        <v>642434</v>
      </c>
      <c r="EU126" s="231">
        <v>120808308</v>
      </c>
      <c r="EV126" s="231">
        <v>926379</v>
      </c>
      <c r="EW126" s="231">
        <v>928121</v>
      </c>
      <c r="EX126" s="231">
        <v>-1742</v>
      </c>
      <c r="EY126" s="229">
        <v>-1.9E-3</v>
      </c>
      <c r="EZ126" s="229">
        <v>0.2382</v>
      </c>
      <c r="FA126" s="227" t="s">
        <v>555</v>
      </c>
      <c r="FB126" s="161">
        <f t="shared" si="1"/>
        <v>4360600</v>
      </c>
    </row>
    <row r="127" spans="1:158" ht="17.25" thickBot="1" x14ac:dyDescent="0.3">
      <c r="A127" s="226">
        <v>46132</v>
      </c>
      <c r="B127" s="227" t="s">
        <v>175</v>
      </c>
      <c r="C127" s="227" t="s">
        <v>253</v>
      </c>
      <c r="D127" s="228">
        <v>3000</v>
      </c>
      <c r="E127" s="228">
        <v>269.5</v>
      </c>
      <c r="F127" s="228">
        <v>270.05</v>
      </c>
      <c r="G127" s="228">
        <v>-0.55000000000000004</v>
      </c>
      <c r="H127" s="229">
        <v>-2E-3</v>
      </c>
      <c r="I127" s="228">
        <v>269.10000000000002</v>
      </c>
      <c r="J127" s="228">
        <v>268.89999999999998</v>
      </c>
      <c r="K127" s="228">
        <v>0.2</v>
      </c>
      <c r="L127" s="229">
        <v>6.9999999999999999E-4</v>
      </c>
      <c r="M127" s="228">
        <v>269.5</v>
      </c>
      <c r="N127" s="228">
        <v>270.05</v>
      </c>
      <c r="O127" s="228">
        <v>-0.55000000000000004</v>
      </c>
      <c r="P127" s="229">
        <v>-2E-3</v>
      </c>
      <c r="Q127" s="228">
        <v>271</v>
      </c>
      <c r="R127" s="228">
        <v>271.39999999999998</v>
      </c>
      <c r="S127" s="228">
        <v>-0.4</v>
      </c>
      <c r="T127" s="229">
        <v>-1.5E-3</v>
      </c>
      <c r="U127" s="228">
        <v>272.2</v>
      </c>
      <c r="V127" s="228">
        <v>272.95</v>
      </c>
      <c r="W127" s="228">
        <v>-0.75</v>
      </c>
      <c r="X127" s="229">
        <v>-2.7000000000000001E-3</v>
      </c>
      <c r="Y127" s="228">
        <v>0.4</v>
      </c>
      <c r="Z127" s="228">
        <v>1.1499999999999999</v>
      </c>
      <c r="AA127" s="228">
        <v>-0.75</v>
      </c>
      <c r="AB127" s="229">
        <v>1.5E-3</v>
      </c>
      <c r="AC127" s="228">
        <v>0.4</v>
      </c>
      <c r="AD127" s="228">
        <v>1.1499999999999999</v>
      </c>
      <c r="AE127" s="228">
        <v>-0.75</v>
      </c>
      <c r="AF127" s="229">
        <v>1.5E-3</v>
      </c>
      <c r="AG127" s="228">
        <v>1.9</v>
      </c>
      <c r="AH127" s="228">
        <v>2.5</v>
      </c>
      <c r="AI127" s="228">
        <v>-0.6</v>
      </c>
      <c r="AJ127" s="229">
        <v>7.1000000000000004E-3</v>
      </c>
      <c r="AK127" s="228">
        <v>3.1</v>
      </c>
      <c r="AL127" s="228">
        <v>4.05</v>
      </c>
      <c r="AM127" s="228">
        <v>-0.95</v>
      </c>
      <c r="AN127" s="229">
        <v>1.15E-2</v>
      </c>
      <c r="AO127" s="228">
        <v>270.12</v>
      </c>
      <c r="AP127" s="228">
        <v>271.69</v>
      </c>
      <c r="AQ127" s="228">
        <v>0</v>
      </c>
      <c r="AR127" s="230">
        <v>6909000</v>
      </c>
      <c r="AS127" s="230">
        <v>5028000</v>
      </c>
      <c r="AT127" s="230">
        <v>1881000</v>
      </c>
      <c r="AU127" s="229">
        <v>0.37409999999999999</v>
      </c>
      <c r="AV127" s="230">
        <v>4788000</v>
      </c>
      <c r="AW127" s="230">
        <v>4464000</v>
      </c>
      <c r="AX127" s="230">
        <v>324000</v>
      </c>
      <c r="AY127" s="229">
        <v>7.2599999999999998E-2</v>
      </c>
      <c r="AZ127" s="230">
        <v>2085000</v>
      </c>
      <c r="BA127" s="230">
        <v>549000</v>
      </c>
      <c r="BB127" s="230">
        <v>1536000</v>
      </c>
      <c r="BC127" s="229">
        <v>2.7978000000000001</v>
      </c>
      <c r="BD127" s="230">
        <v>36000</v>
      </c>
      <c r="BE127" s="230">
        <v>15000</v>
      </c>
      <c r="BF127" s="230">
        <v>21000</v>
      </c>
      <c r="BG127" s="229">
        <v>1.4</v>
      </c>
      <c r="BH127" s="230">
        <v>13434000</v>
      </c>
      <c r="BI127" s="230">
        <v>13167000</v>
      </c>
      <c r="BJ127" s="230">
        <v>267000</v>
      </c>
      <c r="BK127" s="229">
        <v>2.0299999999999999E-2</v>
      </c>
      <c r="BL127" s="230">
        <v>5514000</v>
      </c>
      <c r="BM127" s="230">
        <v>8916000</v>
      </c>
      <c r="BN127" s="230">
        <v>-3402000</v>
      </c>
      <c r="BO127" s="229">
        <v>-0.38159999999999999</v>
      </c>
      <c r="BP127" s="230">
        <v>25857000</v>
      </c>
      <c r="BQ127" s="230">
        <v>27111000</v>
      </c>
      <c r="BR127" s="230">
        <v>-1254000</v>
      </c>
      <c r="BS127" s="229">
        <v>-4.6300000000000001E-2</v>
      </c>
      <c r="BT127" s="230">
        <v>2113472</v>
      </c>
      <c r="BU127" s="230">
        <v>2435553</v>
      </c>
      <c r="BV127" s="230">
        <v>-322081</v>
      </c>
      <c r="BW127" s="229">
        <v>-0.13220000000000001</v>
      </c>
      <c r="BX127" s="230">
        <v>53778000</v>
      </c>
      <c r="BY127" s="230">
        <v>53535000</v>
      </c>
      <c r="BZ127" s="230">
        <v>243000</v>
      </c>
      <c r="CA127" s="229">
        <v>4.4999999999999997E-3</v>
      </c>
      <c r="CB127" s="230">
        <v>50502000</v>
      </c>
      <c r="CC127" s="230">
        <v>51738000</v>
      </c>
      <c r="CD127" s="230">
        <v>-1236000</v>
      </c>
      <c r="CE127" s="229">
        <v>-2.3900000000000001E-2</v>
      </c>
      <c r="CF127" s="230">
        <v>3150000</v>
      </c>
      <c r="CG127" s="230">
        <v>1671000</v>
      </c>
      <c r="CH127" s="230">
        <v>1479000</v>
      </c>
      <c r="CI127" s="229">
        <v>0.8851</v>
      </c>
      <c r="CJ127" s="230">
        <v>126000</v>
      </c>
      <c r="CK127" s="230">
        <v>126000</v>
      </c>
      <c r="CL127" s="228">
        <v>0</v>
      </c>
      <c r="CM127" s="229">
        <v>0</v>
      </c>
      <c r="CN127" s="230">
        <v>18333000</v>
      </c>
      <c r="CO127" s="230">
        <v>17436000</v>
      </c>
      <c r="CP127" s="230">
        <v>897000</v>
      </c>
      <c r="CQ127" s="229">
        <v>5.1400000000000001E-2</v>
      </c>
      <c r="CR127" s="230">
        <v>11520000</v>
      </c>
      <c r="CS127" s="230">
        <v>11277000</v>
      </c>
      <c r="CT127" s="230">
        <v>243000</v>
      </c>
      <c r="CU127" s="229">
        <v>2.1499999999999998E-2</v>
      </c>
      <c r="CV127" s="230">
        <v>83631000</v>
      </c>
      <c r="CW127" s="230">
        <v>82248000</v>
      </c>
      <c r="CX127" s="230">
        <v>1383000</v>
      </c>
      <c r="CY127" s="229">
        <v>1.6799999999999999E-2</v>
      </c>
      <c r="CZ127" s="228">
        <v>38.619999999999997</v>
      </c>
      <c r="DA127" s="228">
        <v>34.46</v>
      </c>
      <c r="DB127" s="228">
        <v>4.16</v>
      </c>
      <c r="DC127" s="228">
        <v>4.16</v>
      </c>
      <c r="DD127" s="228">
        <v>42.49</v>
      </c>
      <c r="DE127" s="228">
        <v>42.6</v>
      </c>
      <c r="DF127" s="228">
        <v>-3.87</v>
      </c>
      <c r="DG127" s="228">
        <v>-0.11</v>
      </c>
      <c r="DH127" s="228">
        <v>37.89</v>
      </c>
      <c r="DI127" s="228">
        <v>33.31</v>
      </c>
      <c r="DJ127" s="228">
        <v>4.58</v>
      </c>
      <c r="DK127" s="228">
        <v>4.58</v>
      </c>
      <c r="DL127" s="228">
        <v>40.409999999999997</v>
      </c>
      <c r="DM127" s="228">
        <v>36.15</v>
      </c>
      <c r="DN127" s="228">
        <v>4.26</v>
      </c>
      <c r="DO127" s="228">
        <v>4.26</v>
      </c>
      <c r="DP127" s="228">
        <v>0.63</v>
      </c>
      <c r="DQ127" s="228">
        <v>0.65</v>
      </c>
      <c r="DR127" s="228">
        <v>-0.02</v>
      </c>
      <c r="DS127" s="229">
        <v>-3.0800000000000001E-2</v>
      </c>
      <c r="DT127" s="228">
        <v>270</v>
      </c>
      <c r="DU127" s="228">
        <v>250</v>
      </c>
      <c r="DV127" s="228">
        <v>0.41</v>
      </c>
      <c r="DW127" s="228">
        <v>0.68</v>
      </c>
      <c r="DX127" s="228">
        <v>-0.27</v>
      </c>
      <c r="DY127" s="229">
        <v>-0.39710000000000001</v>
      </c>
      <c r="DZ127" s="229">
        <v>6.0900000000000003E-2</v>
      </c>
      <c r="EA127" s="230">
        <v>1797000</v>
      </c>
      <c r="EB127" s="229">
        <v>5.5999999999999999E-3</v>
      </c>
      <c r="EC127" s="229">
        <v>6.0900000000000003E-2</v>
      </c>
      <c r="ED127" s="228">
        <v>1.57</v>
      </c>
      <c r="EE127" s="229">
        <v>5.7999999999999996E-3</v>
      </c>
      <c r="EF127" s="230">
        <v>606558</v>
      </c>
      <c r="EG127" s="230">
        <v>863033</v>
      </c>
      <c r="EH127" s="229">
        <v>-0.29720000000000002</v>
      </c>
      <c r="EI127" s="229">
        <v>0.28699999999999998</v>
      </c>
      <c r="EJ127" s="231">
        <v>37616.160000000003</v>
      </c>
      <c r="EK127" s="231">
        <v>14604.51</v>
      </c>
      <c r="EL127" s="231">
        <v>18696.62</v>
      </c>
      <c r="EM127" s="231">
        <v>2059</v>
      </c>
      <c r="EN127" s="231">
        <v>70917.289999999994</v>
      </c>
      <c r="EO127" s="231">
        <v>73853.990000000005</v>
      </c>
      <c r="EP127" s="231">
        <v>-2936.7</v>
      </c>
      <c r="EQ127" s="229">
        <v>-3.9800000000000002E-2</v>
      </c>
      <c r="ER127" s="231">
        <v>50869</v>
      </c>
      <c r="ES127" s="231">
        <v>29179</v>
      </c>
      <c r="ET127" s="231">
        <v>144982</v>
      </c>
      <c r="EU127" s="231">
        <v>82205057</v>
      </c>
      <c r="EV127" s="231">
        <v>225030</v>
      </c>
      <c r="EW127" s="231">
        <v>221583</v>
      </c>
      <c r="EX127" s="231">
        <v>3447</v>
      </c>
      <c r="EY127" s="229">
        <v>1.5599999999999999E-2</v>
      </c>
      <c r="EZ127" s="229">
        <v>1.0173000000000001</v>
      </c>
      <c r="FA127" s="227" t="s">
        <v>566</v>
      </c>
      <c r="FB127" s="161">
        <f t="shared" si="1"/>
        <v>3276000</v>
      </c>
    </row>
    <row r="128" spans="1:158" ht="17.25" thickBot="1" x14ac:dyDescent="0.3">
      <c r="A128" s="226">
        <v>46132</v>
      </c>
      <c r="B128" s="227" t="s">
        <v>170</v>
      </c>
      <c r="C128" s="227" t="s">
        <v>670</v>
      </c>
      <c r="D128" s="228">
        <v>225</v>
      </c>
      <c r="E128" s="231">
        <v>2138.8000000000002</v>
      </c>
      <c r="F128" s="231">
        <v>2129.4</v>
      </c>
      <c r="G128" s="228">
        <v>9.4</v>
      </c>
      <c r="H128" s="229">
        <v>4.4000000000000003E-3</v>
      </c>
      <c r="I128" s="231">
        <v>2144</v>
      </c>
      <c r="J128" s="231">
        <v>2125</v>
      </c>
      <c r="K128" s="228">
        <v>19</v>
      </c>
      <c r="L128" s="229">
        <v>8.8999999999999999E-3</v>
      </c>
      <c r="M128" s="231">
        <v>2138.8000000000002</v>
      </c>
      <c r="N128" s="231">
        <v>2129.4</v>
      </c>
      <c r="O128" s="228">
        <v>9.4</v>
      </c>
      <c r="P128" s="229">
        <v>4.4000000000000003E-3</v>
      </c>
      <c r="Q128" s="231">
        <v>2143</v>
      </c>
      <c r="R128" s="231">
        <v>2127</v>
      </c>
      <c r="S128" s="228">
        <v>16</v>
      </c>
      <c r="T128" s="229">
        <v>7.4999999999999997E-3</v>
      </c>
      <c r="U128" s="231">
        <v>2135.6</v>
      </c>
      <c r="V128" s="231">
        <v>2122.1</v>
      </c>
      <c r="W128" s="228">
        <v>13.5</v>
      </c>
      <c r="X128" s="229">
        <v>6.4000000000000003E-3</v>
      </c>
      <c r="Y128" s="228">
        <v>-5.2</v>
      </c>
      <c r="Z128" s="228">
        <v>4.4000000000000004</v>
      </c>
      <c r="AA128" s="228">
        <v>-9.6</v>
      </c>
      <c r="AB128" s="229">
        <v>-2.3999999999999998E-3</v>
      </c>
      <c r="AC128" s="228">
        <v>-5.2</v>
      </c>
      <c r="AD128" s="228">
        <v>4.4000000000000004</v>
      </c>
      <c r="AE128" s="228">
        <v>-9.6</v>
      </c>
      <c r="AF128" s="229">
        <v>-2.3999999999999998E-3</v>
      </c>
      <c r="AG128" s="228">
        <v>-1</v>
      </c>
      <c r="AH128" s="228">
        <v>2</v>
      </c>
      <c r="AI128" s="228">
        <v>-3</v>
      </c>
      <c r="AJ128" s="229">
        <v>-5.0000000000000001E-4</v>
      </c>
      <c r="AK128" s="228">
        <v>-8.4</v>
      </c>
      <c r="AL128" s="228">
        <v>-2.9</v>
      </c>
      <c r="AM128" s="228">
        <v>-5.5</v>
      </c>
      <c r="AN128" s="229">
        <v>-3.8999999999999998E-3</v>
      </c>
      <c r="AO128" s="231">
        <v>2141.89</v>
      </c>
      <c r="AP128" s="231">
        <v>2145.44</v>
      </c>
      <c r="AQ128" s="228">
        <v>0</v>
      </c>
      <c r="AR128" s="230">
        <v>591750</v>
      </c>
      <c r="AS128" s="230">
        <v>268875</v>
      </c>
      <c r="AT128" s="230">
        <v>322875</v>
      </c>
      <c r="AU128" s="229">
        <v>1.2008000000000001</v>
      </c>
      <c r="AV128" s="230">
        <v>454050</v>
      </c>
      <c r="AW128" s="230">
        <v>220950</v>
      </c>
      <c r="AX128" s="230">
        <v>233100</v>
      </c>
      <c r="AY128" s="229">
        <v>1.0549999999999999</v>
      </c>
      <c r="AZ128" s="230">
        <v>137475</v>
      </c>
      <c r="BA128" s="230">
        <v>47475</v>
      </c>
      <c r="BB128" s="230">
        <v>90000</v>
      </c>
      <c r="BC128" s="229">
        <v>1.8956999999999999</v>
      </c>
      <c r="BD128" s="228">
        <v>225</v>
      </c>
      <c r="BE128" s="228">
        <v>450</v>
      </c>
      <c r="BF128" s="228">
        <v>-225</v>
      </c>
      <c r="BG128" s="229">
        <v>-0.5</v>
      </c>
      <c r="BH128" s="230">
        <v>1127925</v>
      </c>
      <c r="BI128" s="230">
        <v>688500</v>
      </c>
      <c r="BJ128" s="230">
        <v>439425</v>
      </c>
      <c r="BK128" s="229">
        <v>0.63819999999999999</v>
      </c>
      <c r="BL128" s="230">
        <v>947475</v>
      </c>
      <c r="BM128" s="230">
        <v>104625</v>
      </c>
      <c r="BN128" s="230">
        <v>842850</v>
      </c>
      <c r="BO128" s="229">
        <v>8.0558999999999994</v>
      </c>
      <c r="BP128" s="230">
        <v>2667150</v>
      </c>
      <c r="BQ128" s="230">
        <v>1062000</v>
      </c>
      <c r="BR128" s="230">
        <v>1605150</v>
      </c>
      <c r="BS128" s="229">
        <v>1.5114000000000001</v>
      </c>
      <c r="BT128" s="230">
        <v>303551</v>
      </c>
      <c r="BU128" s="230">
        <v>566639</v>
      </c>
      <c r="BV128" s="230">
        <v>-263088</v>
      </c>
      <c r="BW128" s="229">
        <v>-0.46429999999999999</v>
      </c>
      <c r="BX128" s="230">
        <v>3054150</v>
      </c>
      <c r="BY128" s="230">
        <v>2903850</v>
      </c>
      <c r="BZ128" s="230">
        <v>150300</v>
      </c>
      <c r="CA128" s="229">
        <v>5.1799999999999999E-2</v>
      </c>
      <c r="CB128" s="230">
        <v>2770875</v>
      </c>
      <c r="CC128" s="230">
        <v>2710575</v>
      </c>
      <c r="CD128" s="230">
        <v>60300</v>
      </c>
      <c r="CE128" s="229">
        <v>2.2200000000000001E-2</v>
      </c>
      <c r="CF128" s="230">
        <v>275400</v>
      </c>
      <c r="CG128" s="230">
        <v>185400</v>
      </c>
      <c r="CH128" s="230">
        <v>90000</v>
      </c>
      <c r="CI128" s="229">
        <v>0.4854</v>
      </c>
      <c r="CJ128" s="230">
        <v>7875</v>
      </c>
      <c r="CK128" s="230">
        <v>7875</v>
      </c>
      <c r="CL128" s="228">
        <v>0</v>
      </c>
      <c r="CM128" s="229">
        <v>0</v>
      </c>
      <c r="CN128" s="230">
        <v>735750</v>
      </c>
      <c r="CO128" s="230">
        <v>801225</v>
      </c>
      <c r="CP128" s="230">
        <v>-65475</v>
      </c>
      <c r="CQ128" s="229">
        <v>-8.1699999999999995E-2</v>
      </c>
      <c r="CR128" s="230">
        <v>266175</v>
      </c>
      <c r="CS128" s="230">
        <v>266850</v>
      </c>
      <c r="CT128" s="228">
        <v>-675</v>
      </c>
      <c r="CU128" s="229">
        <v>-2.5000000000000001E-3</v>
      </c>
      <c r="CV128" s="230">
        <v>4056075</v>
      </c>
      <c r="CW128" s="230">
        <v>3971925</v>
      </c>
      <c r="CX128" s="230">
        <v>84150</v>
      </c>
      <c r="CY128" s="229">
        <v>2.12E-2</v>
      </c>
      <c r="CZ128" s="228">
        <v>39.24</v>
      </c>
      <c r="DA128" s="228">
        <v>28.27</v>
      </c>
      <c r="DB128" s="228">
        <v>10.97</v>
      </c>
      <c r="DC128" s="228">
        <v>10.97</v>
      </c>
      <c r="DD128" s="228">
        <v>33.729999999999997</v>
      </c>
      <c r="DE128" s="228">
        <v>33.79</v>
      </c>
      <c r="DF128" s="228">
        <v>5.51</v>
      </c>
      <c r="DG128" s="228">
        <v>-0.06</v>
      </c>
      <c r="DH128" s="228">
        <v>31.39</v>
      </c>
      <c r="DI128" s="228">
        <v>27.62</v>
      </c>
      <c r="DJ128" s="228">
        <v>3.77</v>
      </c>
      <c r="DK128" s="228">
        <v>3.77</v>
      </c>
      <c r="DL128" s="228">
        <v>48.58</v>
      </c>
      <c r="DM128" s="228">
        <v>32.58</v>
      </c>
      <c r="DN128" s="228">
        <v>16</v>
      </c>
      <c r="DO128" s="228">
        <v>16</v>
      </c>
      <c r="DP128" s="228">
        <v>0.36</v>
      </c>
      <c r="DQ128" s="228">
        <v>0.33</v>
      </c>
      <c r="DR128" s="228">
        <v>0.03</v>
      </c>
      <c r="DS128" s="229">
        <v>9.0899999999999995E-2</v>
      </c>
      <c r="DT128" s="231">
        <v>2240</v>
      </c>
      <c r="DU128" s="231">
        <v>2100</v>
      </c>
      <c r="DV128" s="228">
        <v>0.84</v>
      </c>
      <c r="DW128" s="228">
        <v>0.15</v>
      </c>
      <c r="DX128" s="228">
        <v>0.69</v>
      </c>
      <c r="DY128" s="229">
        <v>4.5999999999999996</v>
      </c>
      <c r="DZ128" s="229">
        <v>9.2799999999999994E-2</v>
      </c>
      <c r="EA128" s="230">
        <v>193275</v>
      </c>
      <c r="EB128" s="229">
        <v>2E-3</v>
      </c>
      <c r="EC128" s="229">
        <v>9.2799999999999994E-2</v>
      </c>
      <c r="ED128" s="228">
        <v>3.55</v>
      </c>
      <c r="EE128" s="229">
        <v>1.6999999999999999E-3</v>
      </c>
      <c r="EF128" s="230">
        <v>147636</v>
      </c>
      <c r="EG128" s="230">
        <v>430584</v>
      </c>
      <c r="EH128" s="229">
        <v>-0.65710000000000002</v>
      </c>
      <c r="EI128" s="229">
        <v>0.4864</v>
      </c>
      <c r="EJ128" s="231">
        <v>25057.73</v>
      </c>
      <c r="EK128" s="231">
        <v>18332.71</v>
      </c>
      <c r="EL128" s="231">
        <v>12679.49</v>
      </c>
      <c r="EM128" s="231">
        <v>1529</v>
      </c>
      <c r="EN128" s="231">
        <v>56069.93</v>
      </c>
      <c r="EO128" s="231">
        <v>23027.43</v>
      </c>
      <c r="EP128" s="231">
        <v>33042.5</v>
      </c>
      <c r="EQ128" s="229">
        <v>1.4349000000000001</v>
      </c>
      <c r="ER128" s="231">
        <v>16137</v>
      </c>
      <c r="ES128" s="231">
        <v>5323</v>
      </c>
      <c r="ET128" s="231">
        <v>65333</v>
      </c>
      <c r="EU128" s="231">
        <v>16926669</v>
      </c>
      <c r="EV128" s="231">
        <v>86793</v>
      </c>
      <c r="EW128" s="231">
        <v>84696</v>
      </c>
      <c r="EX128" s="231">
        <v>2097</v>
      </c>
      <c r="EY128" s="229">
        <v>2.4799999999999999E-2</v>
      </c>
      <c r="EZ128" s="229">
        <v>0.23960000000000001</v>
      </c>
      <c r="FA128" s="227" t="s">
        <v>555</v>
      </c>
      <c r="FB128" s="161">
        <f t="shared" si="1"/>
        <v>283275</v>
      </c>
    </row>
    <row r="129" spans="1:158" ht="17.25" thickBot="1" x14ac:dyDescent="0.3">
      <c r="A129" s="226">
        <v>46132</v>
      </c>
      <c r="B129" s="227" t="s">
        <v>168</v>
      </c>
      <c r="C129" s="227" t="s">
        <v>254</v>
      </c>
      <c r="D129" s="228">
        <v>1200</v>
      </c>
      <c r="E129" s="228">
        <v>760</v>
      </c>
      <c r="F129" s="228">
        <v>758.45</v>
      </c>
      <c r="G129" s="228">
        <v>1.55</v>
      </c>
      <c r="H129" s="229">
        <v>2E-3</v>
      </c>
      <c r="I129" s="228">
        <v>760.7</v>
      </c>
      <c r="J129" s="228">
        <v>757.3</v>
      </c>
      <c r="K129" s="228">
        <v>3.4</v>
      </c>
      <c r="L129" s="229">
        <v>4.4999999999999997E-3</v>
      </c>
      <c r="M129" s="228">
        <v>760</v>
      </c>
      <c r="N129" s="228">
        <v>758.45</v>
      </c>
      <c r="O129" s="228">
        <v>1.55</v>
      </c>
      <c r="P129" s="229">
        <v>2E-3</v>
      </c>
      <c r="Q129" s="228">
        <v>764.4</v>
      </c>
      <c r="R129" s="228">
        <v>763.5</v>
      </c>
      <c r="S129" s="228">
        <v>0.9</v>
      </c>
      <c r="T129" s="229">
        <v>1.1999999999999999E-3</v>
      </c>
      <c r="U129" s="228">
        <v>765.1</v>
      </c>
      <c r="V129" s="228">
        <v>763.1</v>
      </c>
      <c r="W129" s="228">
        <v>2</v>
      </c>
      <c r="X129" s="229">
        <v>2.5999999999999999E-3</v>
      </c>
      <c r="Y129" s="228">
        <v>-0.7</v>
      </c>
      <c r="Z129" s="228">
        <v>1.1499999999999999</v>
      </c>
      <c r="AA129" s="228">
        <v>-1.85</v>
      </c>
      <c r="AB129" s="229">
        <v>-8.9999999999999998E-4</v>
      </c>
      <c r="AC129" s="228">
        <v>-0.7</v>
      </c>
      <c r="AD129" s="228">
        <v>1.1499999999999999</v>
      </c>
      <c r="AE129" s="228">
        <v>-1.85</v>
      </c>
      <c r="AF129" s="229">
        <v>-8.9999999999999998E-4</v>
      </c>
      <c r="AG129" s="228">
        <v>3.7</v>
      </c>
      <c r="AH129" s="228">
        <v>6.2</v>
      </c>
      <c r="AI129" s="228">
        <v>-2.5</v>
      </c>
      <c r="AJ129" s="229">
        <v>4.8999999999999998E-3</v>
      </c>
      <c r="AK129" s="228">
        <v>4.4000000000000004</v>
      </c>
      <c r="AL129" s="228">
        <v>5.8</v>
      </c>
      <c r="AM129" s="228">
        <v>-1.4</v>
      </c>
      <c r="AN129" s="229">
        <v>5.7999999999999996E-3</v>
      </c>
      <c r="AO129" s="228">
        <v>759.94</v>
      </c>
      <c r="AP129" s="228">
        <v>765.1</v>
      </c>
      <c r="AQ129" s="228">
        <v>0</v>
      </c>
      <c r="AR129" s="230">
        <v>2007600</v>
      </c>
      <c r="AS129" s="230">
        <v>5263200</v>
      </c>
      <c r="AT129" s="230">
        <v>-3255600</v>
      </c>
      <c r="AU129" s="229">
        <v>-0.61860000000000004</v>
      </c>
      <c r="AV129" s="230">
        <v>1767600</v>
      </c>
      <c r="AW129" s="230">
        <v>3849600</v>
      </c>
      <c r="AX129" s="230">
        <v>-2082000</v>
      </c>
      <c r="AY129" s="229">
        <v>-0.54079999999999995</v>
      </c>
      <c r="AZ129" s="230">
        <v>219600</v>
      </c>
      <c r="BA129" s="230">
        <v>205200</v>
      </c>
      <c r="BB129" s="230">
        <v>14400</v>
      </c>
      <c r="BC129" s="229">
        <v>7.0199999999999999E-2</v>
      </c>
      <c r="BD129" s="230">
        <v>20400</v>
      </c>
      <c r="BE129" s="230">
        <v>1208400</v>
      </c>
      <c r="BF129" s="230">
        <v>-1188000</v>
      </c>
      <c r="BG129" s="229">
        <v>-0.98309999999999997</v>
      </c>
      <c r="BH129" s="230">
        <v>6925200</v>
      </c>
      <c r="BI129" s="230">
        <v>12246000</v>
      </c>
      <c r="BJ129" s="230">
        <v>-5320800</v>
      </c>
      <c r="BK129" s="229">
        <v>-0.4345</v>
      </c>
      <c r="BL129" s="230">
        <v>2031600</v>
      </c>
      <c r="BM129" s="230">
        <v>3327600</v>
      </c>
      <c r="BN129" s="230">
        <v>-1296000</v>
      </c>
      <c r="BO129" s="229">
        <v>-0.38950000000000001</v>
      </c>
      <c r="BP129" s="230">
        <v>10964400</v>
      </c>
      <c r="BQ129" s="230">
        <v>20836800</v>
      </c>
      <c r="BR129" s="230">
        <v>-9872400</v>
      </c>
      <c r="BS129" s="229">
        <v>-0.4738</v>
      </c>
      <c r="BT129" s="230">
        <v>1328903</v>
      </c>
      <c r="BU129" s="230">
        <v>2224790</v>
      </c>
      <c r="BV129" s="230">
        <v>-895887</v>
      </c>
      <c r="BW129" s="229">
        <v>-0.4027</v>
      </c>
      <c r="BX129" s="230">
        <v>24572400</v>
      </c>
      <c r="BY129" s="230">
        <v>24778800</v>
      </c>
      <c r="BZ129" s="230">
        <v>-206400</v>
      </c>
      <c r="CA129" s="229">
        <v>-8.3000000000000001E-3</v>
      </c>
      <c r="CB129" s="230">
        <v>22951200</v>
      </c>
      <c r="CC129" s="230">
        <v>23281200</v>
      </c>
      <c r="CD129" s="230">
        <v>-330000</v>
      </c>
      <c r="CE129" s="229">
        <v>-1.4200000000000001E-2</v>
      </c>
      <c r="CF129" s="230">
        <v>404400</v>
      </c>
      <c r="CG129" s="230">
        <v>291600</v>
      </c>
      <c r="CH129" s="230">
        <v>112800</v>
      </c>
      <c r="CI129" s="229">
        <v>0.38679999999999998</v>
      </c>
      <c r="CJ129" s="230">
        <v>1216800</v>
      </c>
      <c r="CK129" s="230">
        <v>1206000</v>
      </c>
      <c r="CL129" s="230">
        <v>10800</v>
      </c>
      <c r="CM129" s="229">
        <v>8.9999999999999993E-3</v>
      </c>
      <c r="CN129" s="230">
        <v>4861200</v>
      </c>
      <c r="CO129" s="230">
        <v>4700400</v>
      </c>
      <c r="CP129" s="230">
        <v>160800</v>
      </c>
      <c r="CQ129" s="229">
        <v>3.4200000000000001E-2</v>
      </c>
      <c r="CR129" s="230">
        <v>3987600</v>
      </c>
      <c r="CS129" s="230">
        <v>4023600</v>
      </c>
      <c r="CT129" s="230">
        <v>-36000</v>
      </c>
      <c r="CU129" s="229">
        <v>-8.8999999999999999E-3</v>
      </c>
      <c r="CV129" s="230">
        <v>33421200</v>
      </c>
      <c r="CW129" s="230">
        <v>33502800</v>
      </c>
      <c r="CX129" s="230">
        <v>-81600</v>
      </c>
      <c r="CY129" s="229">
        <v>-2.3999999999999998E-3</v>
      </c>
      <c r="CZ129" s="228">
        <v>25.72</v>
      </c>
      <c r="DA129" s="228">
        <v>23.59</v>
      </c>
      <c r="DB129" s="228">
        <v>2.13</v>
      </c>
      <c r="DC129" s="228">
        <v>2.13</v>
      </c>
      <c r="DD129" s="228">
        <v>24.74</v>
      </c>
      <c r="DE129" s="228">
        <v>24.79</v>
      </c>
      <c r="DF129" s="228">
        <v>0.98</v>
      </c>
      <c r="DG129" s="228">
        <v>-0.05</v>
      </c>
      <c r="DH129" s="228">
        <v>25.67</v>
      </c>
      <c r="DI129" s="228">
        <v>23.54</v>
      </c>
      <c r="DJ129" s="228">
        <v>2.13</v>
      </c>
      <c r="DK129" s="228">
        <v>2.13</v>
      </c>
      <c r="DL129" s="228">
        <v>25.9</v>
      </c>
      <c r="DM129" s="228">
        <v>23.78</v>
      </c>
      <c r="DN129" s="228">
        <v>2.12</v>
      </c>
      <c r="DO129" s="228">
        <v>2.12</v>
      </c>
      <c r="DP129" s="228">
        <v>0.82</v>
      </c>
      <c r="DQ129" s="228">
        <v>0.86</v>
      </c>
      <c r="DR129" s="228">
        <v>-0.04</v>
      </c>
      <c r="DS129" s="229">
        <v>-4.65E-2</v>
      </c>
      <c r="DT129" s="228">
        <v>800</v>
      </c>
      <c r="DU129" s="228">
        <v>700</v>
      </c>
      <c r="DV129" s="228">
        <v>0.28999999999999998</v>
      </c>
      <c r="DW129" s="228">
        <v>0.27</v>
      </c>
      <c r="DX129" s="228">
        <v>0.02</v>
      </c>
      <c r="DY129" s="229">
        <v>7.4099999999999999E-2</v>
      </c>
      <c r="DZ129" s="229">
        <v>6.6000000000000003E-2</v>
      </c>
      <c r="EA129" s="230">
        <v>1497600</v>
      </c>
      <c r="EB129" s="229">
        <v>5.7999999999999996E-3</v>
      </c>
      <c r="EC129" s="229">
        <v>6.6000000000000003E-2</v>
      </c>
      <c r="ED129" s="228">
        <v>5.16</v>
      </c>
      <c r="EE129" s="229">
        <v>6.7999999999999996E-3</v>
      </c>
      <c r="EF129" s="230">
        <v>847018</v>
      </c>
      <c r="EG129" s="230">
        <v>1279096</v>
      </c>
      <c r="EH129" s="229">
        <v>-0.33779999999999999</v>
      </c>
      <c r="EI129" s="229">
        <v>0.63739999999999997</v>
      </c>
      <c r="EJ129" s="231">
        <v>54429.279999999999</v>
      </c>
      <c r="EK129" s="231">
        <v>15074.97</v>
      </c>
      <c r="EL129" s="231">
        <v>15269.03</v>
      </c>
      <c r="EM129" s="231">
        <v>2369</v>
      </c>
      <c r="EN129" s="231">
        <v>84773.28</v>
      </c>
      <c r="EO129" s="231">
        <v>160070.74</v>
      </c>
      <c r="EP129" s="231">
        <v>-75297.460000000006</v>
      </c>
      <c r="EQ129" s="229">
        <v>-0.47039999999999998</v>
      </c>
      <c r="ER129" s="231">
        <v>38053</v>
      </c>
      <c r="ES129" s="231">
        <v>28759</v>
      </c>
      <c r="ET129" s="231">
        <v>186830</v>
      </c>
      <c r="EU129" s="231">
        <v>77572761</v>
      </c>
      <c r="EV129" s="231">
        <v>253642</v>
      </c>
      <c r="EW129" s="231">
        <v>253713</v>
      </c>
      <c r="EX129" s="228">
        <v>-71</v>
      </c>
      <c r="EY129" s="229">
        <v>-2.9999999999999997E-4</v>
      </c>
      <c r="EZ129" s="229">
        <v>0.43080000000000002</v>
      </c>
      <c r="FA129" s="227" t="s">
        <v>693</v>
      </c>
      <c r="FB129" s="161">
        <f t="shared" si="1"/>
        <v>1621200</v>
      </c>
    </row>
    <row r="130" spans="1:158" ht="17.25" thickBot="1" x14ac:dyDescent="0.3">
      <c r="A130" s="226">
        <v>46132</v>
      </c>
      <c r="B130" s="227" t="s">
        <v>162</v>
      </c>
      <c r="C130" s="227" t="s">
        <v>255</v>
      </c>
      <c r="D130" s="228">
        <v>50</v>
      </c>
      <c r="E130" s="231">
        <v>13442</v>
      </c>
      <c r="F130" s="231">
        <v>13490</v>
      </c>
      <c r="G130" s="228">
        <v>-48</v>
      </c>
      <c r="H130" s="229">
        <v>-3.5999999999999999E-3</v>
      </c>
      <c r="I130" s="231">
        <v>13450</v>
      </c>
      <c r="J130" s="231">
        <v>13453</v>
      </c>
      <c r="K130" s="228">
        <v>-3</v>
      </c>
      <c r="L130" s="229">
        <v>-2.0000000000000001E-4</v>
      </c>
      <c r="M130" s="231">
        <v>13442</v>
      </c>
      <c r="N130" s="231">
        <v>13490</v>
      </c>
      <c r="O130" s="228">
        <v>-48</v>
      </c>
      <c r="P130" s="229">
        <v>-3.5999999999999999E-3</v>
      </c>
      <c r="Q130" s="231">
        <v>13522</v>
      </c>
      <c r="R130" s="231">
        <v>13560</v>
      </c>
      <c r="S130" s="228">
        <v>-38</v>
      </c>
      <c r="T130" s="229">
        <v>-2.8E-3</v>
      </c>
      <c r="U130" s="231">
        <v>13608</v>
      </c>
      <c r="V130" s="231">
        <v>13656</v>
      </c>
      <c r="W130" s="228">
        <v>-48</v>
      </c>
      <c r="X130" s="229">
        <v>-3.5000000000000001E-3</v>
      </c>
      <c r="Y130" s="228">
        <v>-8</v>
      </c>
      <c r="Z130" s="228">
        <v>37</v>
      </c>
      <c r="AA130" s="228">
        <v>-45</v>
      </c>
      <c r="AB130" s="229">
        <v>-5.9999999999999995E-4</v>
      </c>
      <c r="AC130" s="228">
        <v>-8</v>
      </c>
      <c r="AD130" s="228">
        <v>37</v>
      </c>
      <c r="AE130" s="228">
        <v>-45</v>
      </c>
      <c r="AF130" s="229">
        <v>-5.9999999999999995E-4</v>
      </c>
      <c r="AG130" s="228">
        <v>72</v>
      </c>
      <c r="AH130" s="228">
        <v>107</v>
      </c>
      <c r="AI130" s="228">
        <v>-35</v>
      </c>
      <c r="AJ130" s="229">
        <v>5.4000000000000003E-3</v>
      </c>
      <c r="AK130" s="228">
        <v>158</v>
      </c>
      <c r="AL130" s="228">
        <v>203</v>
      </c>
      <c r="AM130" s="228">
        <v>-45</v>
      </c>
      <c r="AN130" s="229">
        <v>1.17E-2</v>
      </c>
      <c r="AO130" s="231">
        <v>13458.4</v>
      </c>
      <c r="AP130" s="231">
        <v>13536.64</v>
      </c>
      <c r="AQ130" s="228">
        <v>0</v>
      </c>
      <c r="AR130" s="230">
        <v>297700</v>
      </c>
      <c r="AS130" s="230">
        <v>617050</v>
      </c>
      <c r="AT130" s="230">
        <v>-319350</v>
      </c>
      <c r="AU130" s="229">
        <v>-0.51749999999999996</v>
      </c>
      <c r="AV130" s="230">
        <v>238600</v>
      </c>
      <c r="AW130" s="230">
        <v>520950</v>
      </c>
      <c r="AX130" s="230">
        <v>-282350</v>
      </c>
      <c r="AY130" s="229">
        <v>-0.54200000000000004</v>
      </c>
      <c r="AZ130" s="230">
        <v>53000</v>
      </c>
      <c r="BA130" s="230">
        <v>91550</v>
      </c>
      <c r="BB130" s="230">
        <v>-38550</v>
      </c>
      <c r="BC130" s="229">
        <v>-0.42109999999999997</v>
      </c>
      <c r="BD130" s="230">
        <v>6100</v>
      </c>
      <c r="BE130" s="230">
        <v>4550</v>
      </c>
      <c r="BF130" s="230">
        <v>1550</v>
      </c>
      <c r="BG130" s="229">
        <v>0.3407</v>
      </c>
      <c r="BH130" s="230">
        <v>2067450</v>
      </c>
      <c r="BI130" s="230">
        <v>6229000</v>
      </c>
      <c r="BJ130" s="230">
        <v>-4161550</v>
      </c>
      <c r="BK130" s="229">
        <v>-0.66810000000000003</v>
      </c>
      <c r="BL130" s="230">
        <v>1131550</v>
      </c>
      <c r="BM130" s="230">
        <v>2593350</v>
      </c>
      <c r="BN130" s="230">
        <v>-1461800</v>
      </c>
      <c r="BO130" s="229">
        <v>-0.56369999999999998</v>
      </c>
      <c r="BP130" s="230">
        <v>3496700</v>
      </c>
      <c r="BQ130" s="230">
        <v>9439400</v>
      </c>
      <c r="BR130" s="230">
        <v>-5942700</v>
      </c>
      <c r="BS130" s="229">
        <v>-0.62960000000000005</v>
      </c>
      <c r="BT130" s="230">
        <v>366189</v>
      </c>
      <c r="BU130" s="230">
        <v>616185</v>
      </c>
      <c r="BV130" s="230">
        <v>-249996</v>
      </c>
      <c r="BW130" s="229">
        <v>-0.40570000000000001</v>
      </c>
      <c r="BX130" s="230">
        <v>3537050</v>
      </c>
      <c r="BY130" s="230">
        <v>3493650</v>
      </c>
      <c r="BZ130" s="230">
        <v>43400</v>
      </c>
      <c r="CA130" s="229">
        <v>1.24E-2</v>
      </c>
      <c r="CB130" s="230">
        <v>2973650</v>
      </c>
      <c r="CC130" s="230">
        <v>2962650</v>
      </c>
      <c r="CD130" s="230">
        <v>11000</v>
      </c>
      <c r="CE130" s="229">
        <v>3.7000000000000002E-3</v>
      </c>
      <c r="CF130" s="230">
        <v>466650</v>
      </c>
      <c r="CG130" s="230">
        <v>438450</v>
      </c>
      <c r="CH130" s="230">
        <v>28200</v>
      </c>
      <c r="CI130" s="229">
        <v>6.4299999999999996E-2</v>
      </c>
      <c r="CJ130" s="230">
        <v>96750</v>
      </c>
      <c r="CK130" s="230">
        <v>92550</v>
      </c>
      <c r="CL130" s="230">
        <v>4200</v>
      </c>
      <c r="CM130" s="229">
        <v>4.5400000000000003E-2</v>
      </c>
      <c r="CN130" s="230">
        <v>2063350</v>
      </c>
      <c r="CO130" s="230">
        <v>2103200</v>
      </c>
      <c r="CP130" s="230">
        <v>-39850</v>
      </c>
      <c r="CQ130" s="229">
        <v>-1.89E-2</v>
      </c>
      <c r="CR130" s="230">
        <v>1252350</v>
      </c>
      <c r="CS130" s="230">
        <v>1245750</v>
      </c>
      <c r="CT130" s="230">
        <v>6600</v>
      </c>
      <c r="CU130" s="229">
        <v>5.3E-3</v>
      </c>
      <c r="CV130" s="230">
        <v>6852750</v>
      </c>
      <c r="CW130" s="230">
        <v>6842600</v>
      </c>
      <c r="CX130" s="230">
        <v>10150</v>
      </c>
      <c r="CY130" s="229">
        <v>1.5E-3</v>
      </c>
      <c r="CZ130" s="228">
        <v>34.93</v>
      </c>
      <c r="DA130" s="228">
        <v>30.49</v>
      </c>
      <c r="DB130" s="228">
        <v>4.4400000000000004</v>
      </c>
      <c r="DC130" s="228">
        <v>4.4400000000000004</v>
      </c>
      <c r="DD130" s="228">
        <v>28.91</v>
      </c>
      <c r="DE130" s="228">
        <v>28.99</v>
      </c>
      <c r="DF130" s="228">
        <v>6.02</v>
      </c>
      <c r="DG130" s="228">
        <v>-0.08</v>
      </c>
      <c r="DH130" s="228">
        <v>34.14</v>
      </c>
      <c r="DI130" s="228">
        <v>29.72</v>
      </c>
      <c r="DJ130" s="228">
        <v>4.42</v>
      </c>
      <c r="DK130" s="228">
        <v>4.42</v>
      </c>
      <c r="DL130" s="228">
        <v>36.369999999999997</v>
      </c>
      <c r="DM130" s="228">
        <v>32.340000000000003</v>
      </c>
      <c r="DN130" s="228">
        <v>4.03</v>
      </c>
      <c r="DO130" s="228">
        <v>4.03</v>
      </c>
      <c r="DP130" s="228">
        <v>0.61</v>
      </c>
      <c r="DQ130" s="228">
        <v>0.59</v>
      </c>
      <c r="DR130" s="228">
        <v>0.02</v>
      </c>
      <c r="DS130" s="229">
        <v>3.39E-2</v>
      </c>
      <c r="DT130" s="231">
        <v>14000</v>
      </c>
      <c r="DU130" s="231">
        <v>13000</v>
      </c>
      <c r="DV130" s="228">
        <v>0.55000000000000004</v>
      </c>
      <c r="DW130" s="228">
        <v>0.42</v>
      </c>
      <c r="DX130" s="228">
        <v>0.13</v>
      </c>
      <c r="DY130" s="229">
        <v>0.3095</v>
      </c>
      <c r="DZ130" s="229">
        <v>0.1593</v>
      </c>
      <c r="EA130" s="230">
        <v>531000</v>
      </c>
      <c r="EB130" s="229">
        <v>6.0000000000000001E-3</v>
      </c>
      <c r="EC130" s="229">
        <v>0.1593</v>
      </c>
      <c r="ED130" s="228">
        <v>78.239999999999995</v>
      </c>
      <c r="EE130" s="229">
        <v>5.7999999999999996E-3</v>
      </c>
      <c r="EF130" s="230">
        <v>187238</v>
      </c>
      <c r="EG130" s="230">
        <v>300764</v>
      </c>
      <c r="EH130" s="229">
        <v>-0.3775</v>
      </c>
      <c r="EI130" s="229">
        <v>0.51129999999999998</v>
      </c>
      <c r="EJ130" s="231">
        <v>291170.8</v>
      </c>
      <c r="EK130" s="231">
        <v>148572.35999999999</v>
      </c>
      <c r="EL130" s="231">
        <v>40117.49</v>
      </c>
      <c r="EM130" s="231">
        <v>14526</v>
      </c>
      <c r="EN130" s="231">
        <v>479860.65</v>
      </c>
      <c r="EO130" s="231">
        <v>1305358.51</v>
      </c>
      <c r="EP130" s="231">
        <v>-825497.86</v>
      </c>
      <c r="EQ130" s="229">
        <v>-0.63239999999999996</v>
      </c>
      <c r="ER130" s="231">
        <v>285873</v>
      </c>
      <c r="ES130" s="231">
        <v>159123</v>
      </c>
      <c r="ET130" s="231">
        <v>475984</v>
      </c>
      <c r="EU130" s="231">
        <v>19673414</v>
      </c>
      <c r="EV130" s="231">
        <v>920980</v>
      </c>
      <c r="EW130" s="231">
        <v>921775</v>
      </c>
      <c r="EX130" s="228">
        <v>-795</v>
      </c>
      <c r="EY130" s="229">
        <v>-8.9999999999999998E-4</v>
      </c>
      <c r="EZ130" s="229">
        <v>0.3483</v>
      </c>
      <c r="FA130" s="227" t="s">
        <v>566</v>
      </c>
      <c r="FB130" s="161">
        <f t="shared" si="1"/>
        <v>563400</v>
      </c>
    </row>
    <row r="131" spans="1:158" ht="17.25" thickBot="1" x14ac:dyDescent="0.3">
      <c r="A131" s="226">
        <v>46132</v>
      </c>
      <c r="B131" s="227" t="s">
        <v>170</v>
      </c>
      <c r="C131" s="227" t="s">
        <v>602</v>
      </c>
      <c r="D131" s="228">
        <v>525</v>
      </c>
      <c r="E131" s="231">
        <v>1009.95</v>
      </c>
      <c r="F131" s="231">
        <v>1007.45</v>
      </c>
      <c r="G131" s="228">
        <v>2.5</v>
      </c>
      <c r="H131" s="229">
        <v>2.5000000000000001E-3</v>
      </c>
      <c r="I131" s="231">
        <v>1011.35</v>
      </c>
      <c r="J131" s="231">
        <v>1007.65</v>
      </c>
      <c r="K131" s="228">
        <v>3.7</v>
      </c>
      <c r="L131" s="229">
        <v>3.7000000000000002E-3</v>
      </c>
      <c r="M131" s="231">
        <v>1009.95</v>
      </c>
      <c r="N131" s="231">
        <v>1007.45</v>
      </c>
      <c r="O131" s="228">
        <v>2.5</v>
      </c>
      <c r="P131" s="229">
        <v>2.5000000000000001E-3</v>
      </c>
      <c r="Q131" s="231">
        <v>1015.6</v>
      </c>
      <c r="R131" s="231">
        <v>1013.05</v>
      </c>
      <c r="S131" s="228">
        <v>2.5499999999999998</v>
      </c>
      <c r="T131" s="229">
        <v>2.5000000000000001E-3</v>
      </c>
      <c r="U131" s="231">
        <v>1020.65</v>
      </c>
      <c r="V131" s="231">
        <v>1020.65</v>
      </c>
      <c r="W131" s="228">
        <v>0</v>
      </c>
      <c r="X131" s="229">
        <v>0</v>
      </c>
      <c r="Y131" s="228">
        <v>-1.4</v>
      </c>
      <c r="Z131" s="228">
        <v>-0.2</v>
      </c>
      <c r="AA131" s="228">
        <v>-1.2</v>
      </c>
      <c r="AB131" s="229">
        <v>-1.4E-3</v>
      </c>
      <c r="AC131" s="228">
        <v>-1.4</v>
      </c>
      <c r="AD131" s="228">
        <v>-0.2</v>
      </c>
      <c r="AE131" s="228">
        <v>-1.2</v>
      </c>
      <c r="AF131" s="229">
        <v>-1.4E-3</v>
      </c>
      <c r="AG131" s="228">
        <v>4.25</v>
      </c>
      <c r="AH131" s="228">
        <v>5.4</v>
      </c>
      <c r="AI131" s="228">
        <v>-1.1499999999999999</v>
      </c>
      <c r="AJ131" s="229">
        <v>4.1999999999999997E-3</v>
      </c>
      <c r="AK131" s="228">
        <v>9.3000000000000007</v>
      </c>
      <c r="AL131" s="228">
        <v>13</v>
      </c>
      <c r="AM131" s="228">
        <v>-3.7</v>
      </c>
      <c r="AN131" s="229">
        <v>9.1999999999999998E-3</v>
      </c>
      <c r="AO131" s="231">
        <v>1010.77</v>
      </c>
      <c r="AP131" s="231">
        <v>1016.98</v>
      </c>
      <c r="AQ131" s="228">
        <v>0</v>
      </c>
      <c r="AR131" s="230">
        <v>2111025</v>
      </c>
      <c r="AS131" s="230">
        <v>1555575</v>
      </c>
      <c r="AT131" s="230">
        <v>555450</v>
      </c>
      <c r="AU131" s="229">
        <v>0.35709999999999997</v>
      </c>
      <c r="AV131" s="230">
        <v>1961400</v>
      </c>
      <c r="AW131" s="230">
        <v>1395975</v>
      </c>
      <c r="AX131" s="230">
        <v>565425</v>
      </c>
      <c r="AY131" s="229">
        <v>0.40500000000000003</v>
      </c>
      <c r="AZ131" s="230">
        <v>140700</v>
      </c>
      <c r="BA131" s="230">
        <v>151200</v>
      </c>
      <c r="BB131" s="230">
        <v>-10500</v>
      </c>
      <c r="BC131" s="229">
        <v>-6.9400000000000003E-2</v>
      </c>
      <c r="BD131" s="230">
        <v>8925</v>
      </c>
      <c r="BE131" s="230">
        <v>8400</v>
      </c>
      <c r="BF131" s="228">
        <v>525</v>
      </c>
      <c r="BG131" s="229">
        <v>6.25E-2</v>
      </c>
      <c r="BH131" s="230">
        <v>6991425</v>
      </c>
      <c r="BI131" s="230">
        <v>7097475</v>
      </c>
      <c r="BJ131" s="230">
        <v>-106050</v>
      </c>
      <c r="BK131" s="229">
        <v>-1.49E-2</v>
      </c>
      <c r="BL131" s="230">
        <v>2723175</v>
      </c>
      <c r="BM131" s="230">
        <v>2453325</v>
      </c>
      <c r="BN131" s="230">
        <v>269850</v>
      </c>
      <c r="BO131" s="229">
        <v>0.11</v>
      </c>
      <c r="BP131" s="230">
        <v>11825625</v>
      </c>
      <c r="BQ131" s="230">
        <v>11106375</v>
      </c>
      <c r="BR131" s="230">
        <v>719250</v>
      </c>
      <c r="BS131" s="229">
        <v>6.4799999999999996E-2</v>
      </c>
      <c r="BT131" s="230">
        <v>2332665</v>
      </c>
      <c r="BU131" s="230">
        <v>1713809</v>
      </c>
      <c r="BV131" s="230">
        <v>618856</v>
      </c>
      <c r="BW131" s="229">
        <v>0.36109999999999998</v>
      </c>
      <c r="BX131" s="230">
        <v>14344050</v>
      </c>
      <c r="BY131" s="230">
        <v>14541975</v>
      </c>
      <c r="BZ131" s="230">
        <v>-197925</v>
      </c>
      <c r="CA131" s="229">
        <v>-1.3599999999999999E-2</v>
      </c>
      <c r="CB131" s="230">
        <v>13494075</v>
      </c>
      <c r="CC131" s="230">
        <v>13731375</v>
      </c>
      <c r="CD131" s="230">
        <v>-237300</v>
      </c>
      <c r="CE131" s="229">
        <v>-1.7299999999999999E-2</v>
      </c>
      <c r="CF131" s="230">
        <v>746550</v>
      </c>
      <c r="CG131" s="230">
        <v>704550</v>
      </c>
      <c r="CH131" s="230">
        <v>42000</v>
      </c>
      <c r="CI131" s="229">
        <v>5.96E-2</v>
      </c>
      <c r="CJ131" s="230">
        <v>103425</v>
      </c>
      <c r="CK131" s="230">
        <v>106050</v>
      </c>
      <c r="CL131" s="230">
        <v>-2625</v>
      </c>
      <c r="CM131" s="229">
        <v>-2.4799999999999999E-2</v>
      </c>
      <c r="CN131" s="230">
        <v>4200525</v>
      </c>
      <c r="CO131" s="230">
        <v>4379550</v>
      </c>
      <c r="CP131" s="230">
        <v>-179025</v>
      </c>
      <c r="CQ131" s="229">
        <v>-4.0899999999999999E-2</v>
      </c>
      <c r="CR131" s="230">
        <v>2440200</v>
      </c>
      <c r="CS131" s="230">
        <v>2440725</v>
      </c>
      <c r="CT131" s="228">
        <v>-525</v>
      </c>
      <c r="CU131" s="229">
        <v>-2.0000000000000001E-4</v>
      </c>
      <c r="CV131" s="230">
        <v>20984775</v>
      </c>
      <c r="CW131" s="230">
        <v>21362250</v>
      </c>
      <c r="CX131" s="230">
        <v>-377475</v>
      </c>
      <c r="CY131" s="229">
        <v>-1.77E-2</v>
      </c>
      <c r="CZ131" s="228">
        <v>29.91</v>
      </c>
      <c r="DA131" s="228">
        <v>28.11</v>
      </c>
      <c r="DB131" s="228">
        <v>1.8</v>
      </c>
      <c r="DC131" s="228">
        <v>1.8</v>
      </c>
      <c r="DD131" s="228">
        <v>36.22</v>
      </c>
      <c r="DE131" s="228">
        <v>36.299999999999997</v>
      </c>
      <c r="DF131" s="228">
        <v>-6.31</v>
      </c>
      <c r="DG131" s="228">
        <v>-0.08</v>
      </c>
      <c r="DH131" s="228">
        <v>29.14</v>
      </c>
      <c r="DI131" s="228">
        <v>27.4</v>
      </c>
      <c r="DJ131" s="228">
        <v>1.74</v>
      </c>
      <c r="DK131" s="228">
        <v>1.74</v>
      </c>
      <c r="DL131" s="228">
        <v>31.89</v>
      </c>
      <c r="DM131" s="228">
        <v>30.16</v>
      </c>
      <c r="DN131" s="228">
        <v>1.73</v>
      </c>
      <c r="DO131" s="228">
        <v>1.73</v>
      </c>
      <c r="DP131" s="228">
        <v>0.57999999999999996</v>
      </c>
      <c r="DQ131" s="228">
        <v>0.56000000000000005</v>
      </c>
      <c r="DR131" s="228">
        <v>0.02</v>
      </c>
      <c r="DS131" s="229">
        <v>3.5700000000000003E-2</v>
      </c>
      <c r="DT131" s="231">
        <v>1020</v>
      </c>
      <c r="DU131" s="228">
        <v>960</v>
      </c>
      <c r="DV131" s="228">
        <v>0.39</v>
      </c>
      <c r="DW131" s="228">
        <v>0.35</v>
      </c>
      <c r="DX131" s="228">
        <v>0.04</v>
      </c>
      <c r="DY131" s="229">
        <v>0.1143</v>
      </c>
      <c r="DZ131" s="229">
        <v>5.9299999999999999E-2</v>
      </c>
      <c r="EA131" s="230">
        <v>810600</v>
      </c>
      <c r="EB131" s="229">
        <v>5.5999999999999999E-3</v>
      </c>
      <c r="EC131" s="229">
        <v>5.9299999999999999E-2</v>
      </c>
      <c r="ED131" s="228">
        <v>6.21</v>
      </c>
      <c r="EE131" s="229">
        <v>6.1000000000000004E-3</v>
      </c>
      <c r="EF131" s="230">
        <v>1349564</v>
      </c>
      <c r="EG131" s="230">
        <v>992451</v>
      </c>
      <c r="EH131" s="229">
        <v>0.35980000000000001</v>
      </c>
      <c r="EI131" s="229">
        <v>0.5786</v>
      </c>
      <c r="EJ131" s="231">
        <v>72790.850000000006</v>
      </c>
      <c r="EK131" s="231">
        <v>27414.06</v>
      </c>
      <c r="EL131" s="231">
        <v>21347.41</v>
      </c>
      <c r="EM131" s="231">
        <v>5013</v>
      </c>
      <c r="EN131" s="231">
        <v>121552.32000000001</v>
      </c>
      <c r="EO131" s="231">
        <v>113192.38</v>
      </c>
      <c r="EP131" s="231">
        <v>8359.94</v>
      </c>
      <c r="EQ131" s="229">
        <v>7.3899999999999993E-2</v>
      </c>
      <c r="ER131" s="231">
        <v>42846</v>
      </c>
      <c r="ES131" s="231">
        <v>23539</v>
      </c>
      <c r="ET131" s="231">
        <v>144921</v>
      </c>
      <c r="EU131" s="231">
        <v>111298748</v>
      </c>
      <c r="EV131" s="231">
        <v>211306</v>
      </c>
      <c r="EW131" s="231">
        <v>214573</v>
      </c>
      <c r="EX131" s="231">
        <v>-3267</v>
      </c>
      <c r="EY131" s="229">
        <v>-1.52E-2</v>
      </c>
      <c r="EZ131" s="229">
        <v>0.1885</v>
      </c>
      <c r="FA131" s="227" t="s">
        <v>693</v>
      </c>
      <c r="FB131" s="161">
        <f t="shared" ref="FB131:FB138" si="2">BX131-CB131</f>
        <v>849975</v>
      </c>
    </row>
    <row r="132" spans="1:158" ht="17.25" thickBot="1" x14ac:dyDescent="0.3">
      <c r="A132" s="226">
        <v>46132</v>
      </c>
      <c r="B132" s="227" t="s">
        <v>215</v>
      </c>
      <c r="C132" s="227" t="s">
        <v>671</v>
      </c>
      <c r="D132" s="228">
        <v>200</v>
      </c>
      <c r="E132" s="231">
        <v>2625.6</v>
      </c>
      <c r="F132" s="231">
        <v>2624.7</v>
      </c>
      <c r="G132" s="228">
        <v>0.9</v>
      </c>
      <c r="H132" s="229">
        <v>2.9999999999999997E-4</v>
      </c>
      <c r="I132" s="231">
        <v>2621.1999999999998</v>
      </c>
      <c r="J132" s="231">
        <v>2616.4</v>
      </c>
      <c r="K132" s="228">
        <v>4.8</v>
      </c>
      <c r="L132" s="229">
        <v>1.8E-3</v>
      </c>
      <c r="M132" s="231">
        <v>2625.6</v>
      </c>
      <c r="N132" s="231">
        <v>2624.7</v>
      </c>
      <c r="O132" s="228">
        <v>0.9</v>
      </c>
      <c r="P132" s="229">
        <v>2.9999999999999997E-4</v>
      </c>
      <c r="Q132" s="231">
        <v>2636.2</v>
      </c>
      <c r="R132" s="231">
        <v>2635.9</v>
      </c>
      <c r="S132" s="228">
        <v>0.3</v>
      </c>
      <c r="T132" s="229">
        <v>1E-4</v>
      </c>
      <c r="U132" s="231">
        <v>2647.1</v>
      </c>
      <c r="V132" s="231">
        <v>2651.1</v>
      </c>
      <c r="W132" s="228">
        <v>-4</v>
      </c>
      <c r="X132" s="229">
        <v>-1.5E-3</v>
      </c>
      <c r="Y132" s="228">
        <v>4.4000000000000004</v>
      </c>
      <c r="Z132" s="228">
        <v>8.3000000000000007</v>
      </c>
      <c r="AA132" s="228">
        <v>-3.9</v>
      </c>
      <c r="AB132" s="229">
        <v>1.6999999999999999E-3</v>
      </c>
      <c r="AC132" s="228">
        <v>4.4000000000000004</v>
      </c>
      <c r="AD132" s="228">
        <v>8.3000000000000007</v>
      </c>
      <c r="AE132" s="228">
        <v>-3.9</v>
      </c>
      <c r="AF132" s="229">
        <v>1.6999999999999999E-3</v>
      </c>
      <c r="AG132" s="228">
        <v>15</v>
      </c>
      <c r="AH132" s="228">
        <v>19.5</v>
      </c>
      <c r="AI132" s="228">
        <v>-4.5</v>
      </c>
      <c r="AJ132" s="229">
        <v>5.7000000000000002E-3</v>
      </c>
      <c r="AK132" s="228">
        <v>25.9</v>
      </c>
      <c r="AL132" s="228">
        <v>34.700000000000003</v>
      </c>
      <c r="AM132" s="228">
        <v>-8.8000000000000007</v>
      </c>
      <c r="AN132" s="229">
        <v>9.9000000000000008E-3</v>
      </c>
      <c r="AO132" s="231">
        <v>2637.21</v>
      </c>
      <c r="AP132" s="231">
        <v>2645.94</v>
      </c>
      <c r="AQ132" s="228">
        <v>0</v>
      </c>
      <c r="AR132" s="230">
        <v>1631600</v>
      </c>
      <c r="AS132" s="230">
        <v>1792000</v>
      </c>
      <c r="AT132" s="230">
        <v>-160400</v>
      </c>
      <c r="AU132" s="229">
        <v>-8.9499999999999996E-2</v>
      </c>
      <c r="AV132" s="230">
        <v>1249800</v>
      </c>
      <c r="AW132" s="230">
        <v>1415800</v>
      </c>
      <c r="AX132" s="230">
        <v>-166000</v>
      </c>
      <c r="AY132" s="229">
        <v>-0.1172</v>
      </c>
      <c r="AZ132" s="230">
        <v>360200</v>
      </c>
      <c r="BA132" s="230">
        <v>328600</v>
      </c>
      <c r="BB132" s="230">
        <v>31600</v>
      </c>
      <c r="BC132" s="229">
        <v>9.6199999999999994E-2</v>
      </c>
      <c r="BD132" s="230">
        <v>21600</v>
      </c>
      <c r="BE132" s="230">
        <v>47600</v>
      </c>
      <c r="BF132" s="230">
        <v>-26000</v>
      </c>
      <c r="BG132" s="229">
        <v>-0.54620000000000002</v>
      </c>
      <c r="BH132" s="230">
        <v>9099000</v>
      </c>
      <c r="BI132" s="230">
        <v>12222800</v>
      </c>
      <c r="BJ132" s="230">
        <v>-3123800</v>
      </c>
      <c r="BK132" s="229">
        <v>-0.25559999999999999</v>
      </c>
      <c r="BL132" s="230">
        <v>3229600</v>
      </c>
      <c r="BM132" s="230">
        <v>3852600</v>
      </c>
      <c r="BN132" s="230">
        <v>-623000</v>
      </c>
      <c r="BO132" s="229">
        <v>-0.16170000000000001</v>
      </c>
      <c r="BP132" s="230">
        <v>13960200</v>
      </c>
      <c r="BQ132" s="230">
        <v>17867400</v>
      </c>
      <c r="BR132" s="230">
        <v>-3907200</v>
      </c>
      <c r="BS132" s="229">
        <v>-0.21870000000000001</v>
      </c>
      <c r="BT132" s="230">
        <v>2819477</v>
      </c>
      <c r="BU132" s="230">
        <v>2685570</v>
      </c>
      <c r="BV132" s="230">
        <v>133907</v>
      </c>
      <c r="BW132" s="229">
        <v>4.99E-2</v>
      </c>
      <c r="BX132" s="230">
        <v>5032000</v>
      </c>
      <c r="BY132" s="230">
        <v>4830800</v>
      </c>
      <c r="BZ132" s="230">
        <v>201200</v>
      </c>
      <c r="CA132" s="229">
        <v>4.1599999999999998E-2</v>
      </c>
      <c r="CB132" s="230">
        <v>4496800</v>
      </c>
      <c r="CC132" s="230">
        <v>4404400</v>
      </c>
      <c r="CD132" s="230">
        <v>92400</v>
      </c>
      <c r="CE132" s="229">
        <v>2.1000000000000001E-2</v>
      </c>
      <c r="CF132" s="230">
        <v>479600</v>
      </c>
      <c r="CG132" s="230">
        <v>376200</v>
      </c>
      <c r="CH132" s="230">
        <v>103400</v>
      </c>
      <c r="CI132" s="229">
        <v>0.27489999999999998</v>
      </c>
      <c r="CJ132" s="230">
        <v>55600</v>
      </c>
      <c r="CK132" s="230">
        <v>50200</v>
      </c>
      <c r="CL132" s="230">
        <v>5400</v>
      </c>
      <c r="CM132" s="229">
        <v>0.1076</v>
      </c>
      <c r="CN132" s="230">
        <v>3737400</v>
      </c>
      <c r="CO132" s="230">
        <v>3566200</v>
      </c>
      <c r="CP132" s="230">
        <v>171200</v>
      </c>
      <c r="CQ132" s="229">
        <v>4.8000000000000001E-2</v>
      </c>
      <c r="CR132" s="230">
        <v>2994000</v>
      </c>
      <c r="CS132" s="230">
        <v>2614000</v>
      </c>
      <c r="CT132" s="230">
        <v>380000</v>
      </c>
      <c r="CU132" s="229">
        <v>0.1454</v>
      </c>
      <c r="CV132" s="230">
        <v>11763400</v>
      </c>
      <c r="CW132" s="230">
        <v>11011000</v>
      </c>
      <c r="CX132" s="230">
        <v>752400</v>
      </c>
      <c r="CY132" s="229">
        <v>6.83E-2</v>
      </c>
      <c r="CZ132" s="228">
        <v>45.49</v>
      </c>
      <c r="DA132" s="228">
        <v>42.23</v>
      </c>
      <c r="DB132" s="228">
        <v>3.26</v>
      </c>
      <c r="DC132" s="228">
        <v>3.26</v>
      </c>
      <c r="DD132" s="228">
        <v>56.04</v>
      </c>
      <c r="DE132" s="228">
        <v>56.18</v>
      </c>
      <c r="DF132" s="228">
        <v>-10.55</v>
      </c>
      <c r="DG132" s="228">
        <v>-0.14000000000000001</v>
      </c>
      <c r="DH132" s="228">
        <v>44.9</v>
      </c>
      <c r="DI132" s="228">
        <v>40.96</v>
      </c>
      <c r="DJ132" s="228">
        <v>3.94</v>
      </c>
      <c r="DK132" s="228">
        <v>3.94</v>
      </c>
      <c r="DL132" s="228">
        <v>47.17</v>
      </c>
      <c r="DM132" s="228">
        <v>46.25</v>
      </c>
      <c r="DN132" s="228">
        <v>0.92</v>
      </c>
      <c r="DO132" s="228">
        <v>0.92</v>
      </c>
      <c r="DP132" s="228">
        <v>0.8</v>
      </c>
      <c r="DQ132" s="228">
        <v>0.73</v>
      </c>
      <c r="DR132" s="228">
        <v>7.0000000000000007E-2</v>
      </c>
      <c r="DS132" s="229">
        <v>9.5899999999999999E-2</v>
      </c>
      <c r="DT132" s="231">
        <v>2700</v>
      </c>
      <c r="DU132" s="231">
        <v>2200</v>
      </c>
      <c r="DV132" s="228">
        <v>0.35</v>
      </c>
      <c r="DW132" s="228">
        <v>0.32</v>
      </c>
      <c r="DX132" s="228">
        <v>0.03</v>
      </c>
      <c r="DY132" s="229">
        <v>9.3700000000000006E-2</v>
      </c>
      <c r="DZ132" s="229">
        <v>0.10639999999999999</v>
      </c>
      <c r="EA132" s="230">
        <v>426400</v>
      </c>
      <c r="EB132" s="229">
        <v>4.0000000000000001E-3</v>
      </c>
      <c r="EC132" s="229">
        <v>0.10639999999999999</v>
      </c>
      <c r="ED132" s="228">
        <v>8.73</v>
      </c>
      <c r="EE132" s="229">
        <v>3.3E-3</v>
      </c>
      <c r="EF132" s="230">
        <v>651849</v>
      </c>
      <c r="EG132" s="230">
        <v>637046</v>
      </c>
      <c r="EH132" s="229">
        <v>2.3199999999999998E-2</v>
      </c>
      <c r="EI132" s="229">
        <v>0.23119999999999999</v>
      </c>
      <c r="EJ132" s="231">
        <v>250159.8</v>
      </c>
      <c r="EK132" s="231">
        <v>81327.75</v>
      </c>
      <c r="EL132" s="231">
        <v>43064.62</v>
      </c>
      <c r="EM132" s="231">
        <v>6724</v>
      </c>
      <c r="EN132" s="231">
        <v>374552.17</v>
      </c>
      <c r="EO132" s="231">
        <v>474401.22</v>
      </c>
      <c r="EP132" s="231">
        <v>-99849.05</v>
      </c>
      <c r="EQ132" s="229">
        <v>-0.21049999999999999</v>
      </c>
      <c r="ER132" s="231">
        <v>95768</v>
      </c>
      <c r="ES132" s="231">
        <v>69407</v>
      </c>
      <c r="ET132" s="231">
        <v>132183</v>
      </c>
      <c r="EU132" s="231">
        <v>11364224</v>
      </c>
      <c r="EV132" s="231">
        <v>297358</v>
      </c>
      <c r="EW132" s="231">
        <v>277492</v>
      </c>
      <c r="EX132" s="231">
        <v>19866</v>
      </c>
      <c r="EY132" s="229">
        <v>7.1599999999999997E-2</v>
      </c>
      <c r="EZ132" s="229">
        <v>1.0350999999999999</v>
      </c>
      <c r="FA132" s="227" t="s">
        <v>555</v>
      </c>
      <c r="FB132" s="161">
        <f t="shared" si="2"/>
        <v>535200</v>
      </c>
    </row>
    <row r="133" spans="1:158" ht="17.25" thickBot="1" x14ac:dyDescent="0.3">
      <c r="A133" s="226">
        <v>46132</v>
      </c>
      <c r="B133" s="227" t="s">
        <v>175</v>
      </c>
      <c r="C133" s="227" t="s">
        <v>517</v>
      </c>
      <c r="D133" s="228">
        <v>625</v>
      </c>
      <c r="E133" s="231">
        <v>2858.9</v>
      </c>
      <c r="F133" s="231">
        <v>2861.9</v>
      </c>
      <c r="G133" s="228">
        <v>-3</v>
      </c>
      <c r="H133" s="229">
        <v>-1E-3</v>
      </c>
      <c r="I133" s="231">
        <v>2859.1</v>
      </c>
      <c r="J133" s="231">
        <v>2856.1</v>
      </c>
      <c r="K133" s="228">
        <v>3</v>
      </c>
      <c r="L133" s="229">
        <v>1.1000000000000001E-3</v>
      </c>
      <c r="M133" s="231">
        <v>2858.9</v>
      </c>
      <c r="N133" s="231">
        <v>2861.9</v>
      </c>
      <c r="O133" s="228">
        <v>-3</v>
      </c>
      <c r="P133" s="229">
        <v>-1E-3</v>
      </c>
      <c r="Q133" s="231">
        <v>2874.4</v>
      </c>
      <c r="R133" s="231">
        <v>2875.2</v>
      </c>
      <c r="S133" s="228">
        <v>-0.8</v>
      </c>
      <c r="T133" s="229">
        <v>-2.9999999999999997E-4</v>
      </c>
      <c r="U133" s="231">
        <v>2887</v>
      </c>
      <c r="V133" s="231">
        <v>2889.5</v>
      </c>
      <c r="W133" s="228">
        <v>-2.5</v>
      </c>
      <c r="X133" s="229">
        <v>-8.9999999999999998E-4</v>
      </c>
      <c r="Y133" s="228">
        <v>-0.2</v>
      </c>
      <c r="Z133" s="228">
        <v>5.8</v>
      </c>
      <c r="AA133" s="228">
        <v>-6</v>
      </c>
      <c r="AB133" s="229">
        <v>-1E-4</v>
      </c>
      <c r="AC133" s="228">
        <v>-0.2</v>
      </c>
      <c r="AD133" s="228">
        <v>5.8</v>
      </c>
      <c r="AE133" s="228">
        <v>-6</v>
      </c>
      <c r="AF133" s="229">
        <v>-1E-4</v>
      </c>
      <c r="AG133" s="228">
        <v>15.3</v>
      </c>
      <c r="AH133" s="228">
        <v>19.100000000000001</v>
      </c>
      <c r="AI133" s="228">
        <v>-3.8</v>
      </c>
      <c r="AJ133" s="229">
        <v>5.4000000000000003E-3</v>
      </c>
      <c r="AK133" s="228">
        <v>27.9</v>
      </c>
      <c r="AL133" s="228">
        <v>33.4</v>
      </c>
      <c r="AM133" s="228">
        <v>-5.5</v>
      </c>
      <c r="AN133" s="229">
        <v>9.7999999999999997E-3</v>
      </c>
      <c r="AO133" s="231">
        <v>2872.81</v>
      </c>
      <c r="AP133" s="231">
        <v>2887.02</v>
      </c>
      <c r="AQ133" s="228">
        <v>0</v>
      </c>
      <c r="AR133" s="230">
        <v>2356250</v>
      </c>
      <c r="AS133" s="230">
        <v>4693125</v>
      </c>
      <c r="AT133" s="230">
        <v>-2336875</v>
      </c>
      <c r="AU133" s="229">
        <v>-0.49790000000000001</v>
      </c>
      <c r="AV133" s="230">
        <v>1916250</v>
      </c>
      <c r="AW133" s="230">
        <v>4037500</v>
      </c>
      <c r="AX133" s="230">
        <v>-2121250</v>
      </c>
      <c r="AY133" s="229">
        <v>-0.52539999999999998</v>
      </c>
      <c r="AZ133" s="230">
        <v>381250</v>
      </c>
      <c r="BA133" s="230">
        <v>577500</v>
      </c>
      <c r="BB133" s="230">
        <v>-196250</v>
      </c>
      <c r="BC133" s="229">
        <v>-0.33979999999999999</v>
      </c>
      <c r="BD133" s="230">
        <v>58750</v>
      </c>
      <c r="BE133" s="230">
        <v>78125</v>
      </c>
      <c r="BF133" s="230">
        <v>-19375</v>
      </c>
      <c r="BG133" s="229">
        <v>-0.248</v>
      </c>
      <c r="BH133" s="230">
        <v>10240000</v>
      </c>
      <c r="BI133" s="230">
        <v>22473125</v>
      </c>
      <c r="BJ133" s="230">
        <v>-12233125</v>
      </c>
      <c r="BK133" s="229">
        <v>-0.54430000000000001</v>
      </c>
      <c r="BL133" s="230">
        <v>6118750</v>
      </c>
      <c r="BM133" s="230">
        <v>16485625</v>
      </c>
      <c r="BN133" s="230">
        <v>-10366875</v>
      </c>
      <c r="BO133" s="229">
        <v>-0.62880000000000003</v>
      </c>
      <c r="BP133" s="230">
        <v>18715000</v>
      </c>
      <c r="BQ133" s="230">
        <v>43651875</v>
      </c>
      <c r="BR133" s="230">
        <v>-24936875</v>
      </c>
      <c r="BS133" s="229">
        <v>-0.57130000000000003</v>
      </c>
      <c r="BT133" s="230">
        <v>2214260</v>
      </c>
      <c r="BU133" s="230">
        <v>4141751</v>
      </c>
      <c r="BV133" s="230">
        <v>-1927491</v>
      </c>
      <c r="BW133" s="229">
        <v>-0.46539999999999998</v>
      </c>
      <c r="BX133" s="230">
        <v>13043125</v>
      </c>
      <c r="BY133" s="230">
        <v>13120625</v>
      </c>
      <c r="BZ133" s="230">
        <v>-77500</v>
      </c>
      <c r="CA133" s="229">
        <v>-5.8999999999999999E-3</v>
      </c>
      <c r="CB133" s="230">
        <v>12388750</v>
      </c>
      <c r="CC133" s="230">
        <v>12536250</v>
      </c>
      <c r="CD133" s="230">
        <v>-147500</v>
      </c>
      <c r="CE133" s="229">
        <v>-1.18E-2</v>
      </c>
      <c r="CF133" s="230">
        <v>497500</v>
      </c>
      <c r="CG133" s="230">
        <v>441250</v>
      </c>
      <c r="CH133" s="230">
        <v>56250</v>
      </c>
      <c r="CI133" s="229">
        <v>0.1275</v>
      </c>
      <c r="CJ133" s="230">
        <v>156875</v>
      </c>
      <c r="CK133" s="230">
        <v>143125</v>
      </c>
      <c r="CL133" s="230">
        <v>13750</v>
      </c>
      <c r="CM133" s="229">
        <v>9.6100000000000005E-2</v>
      </c>
      <c r="CN133" s="230">
        <v>8927500</v>
      </c>
      <c r="CO133" s="230">
        <v>8761875</v>
      </c>
      <c r="CP133" s="230">
        <v>165625</v>
      </c>
      <c r="CQ133" s="229">
        <v>1.89E-2</v>
      </c>
      <c r="CR133" s="230">
        <v>8143125</v>
      </c>
      <c r="CS133" s="230">
        <v>7971250</v>
      </c>
      <c r="CT133" s="230">
        <v>171875</v>
      </c>
      <c r="CU133" s="229">
        <v>2.1600000000000001E-2</v>
      </c>
      <c r="CV133" s="230">
        <v>30113750</v>
      </c>
      <c r="CW133" s="230">
        <v>29853750</v>
      </c>
      <c r="CX133" s="230">
        <v>260000</v>
      </c>
      <c r="CY133" s="229">
        <v>8.6999999999999994E-3</v>
      </c>
      <c r="CZ133" s="228">
        <v>46.01</v>
      </c>
      <c r="DA133" s="228">
        <v>43.16</v>
      </c>
      <c r="DB133" s="228">
        <v>2.85</v>
      </c>
      <c r="DC133" s="228">
        <v>2.85</v>
      </c>
      <c r="DD133" s="228">
        <v>49.89</v>
      </c>
      <c r="DE133" s="228">
        <v>50.01</v>
      </c>
      <c r="DF133" s="228">
        <v>-3.88</v>
      </c>
      <c r="DG133" s="228">
        <v>-0.12</v>
      </c>
      <c r="DH133" s="228">
        <v>44.39</v>
      </c>
      <c r="DI133" s="228">
        <v>40.950000000000003</v>
      </c>
      <c r="DJ133" s="228">
        <v>3.44</v>
      </c>
      <c r="DK133" s="228">
        <v>3.44</v>
      </c>
      <c r="DL133" s="228">
        <v>48.72</v>
      </c>
      <c r="DM133" s="228">
        <v>46.16</v>
      </c>
      <c r="DN133" s="228">
        <v>2.56</v>
      </c>
      <c r="DO133" s="228">
        <v>2.56</v>
      </c>
      <c r="DP133" s="228">
        <v>0.91</v>
      </c>
      <c r="DQ133" s="228">
        <v>0.91</v>
      </c>
      <c r="DR133" s="228">
        <v>0</v>
      </c>
      <c r="DS133" s="229">
        <v>0</v>
      </c>
      <c r="DT133" s="231">
        <v>2900</v>
      </c>
      <c r="DU133" s="231">
        <v>2500</v>
      </c>
      <c r="DV133" s="228">
        <v>0.6</v>
      </c>
      <c r="DW133" s="228">
        <v>0.73</v>
      </c>
      <c r="DX133" s="228">
        <v>-0.13</v>
      </c>
      <c r="DY133" s="229">
        <v>-0.17810000000000001</v>
      </c>
      <c r="DZ133" s="229">
        <v>5.0200000000000002E-2</v>
      </c>
      <c r="EA133" s="230">
        <v>584375</v>
      </c>
      <c r="EB133" s="229">
        <v>5.4000000000000003E-3</v>
      </c>
      <c r="EC133" s="229">
        <v>5.0200000000000002E-2</v>
      </c>
      <c r="ED133" s="228">
        <v>14.21</v>
      </c>
      <c r="EE133" s="229">
        <v>4.8999999999999998E-3</v>
      </c>
      <c r="EF133" s="230">
        <v>943142</v>
      </c>
      <c r="EG133" s="230">
        <v>1647018</v>
      </c>
      <c r="EH133" s="229">
        <v>-0.4274</v>
      </c>
      <c r="EI133" s="229">
        <v>0.4259</v>
      </c>
      <c r="EJ133" s="231">
        <v>309468.88</v>
      </c>
      <c r="EK133" s="231">
        <v>167612.38</v>
      </c>
      <c r="EL133" s="231">
        <v>67759.350000000006</v>
      </c>
      <c r="EM133" s="231">
        <v>7349</v>
      </c>
      <c r="EN133" s="231">
        <v>544840.61</v>
      </c>
      <c r="EO133" s="231">
        <v>1256126.04</v>
      </c>
      <c r="EP133" s="231">
        <v>-711285.43</v>
      </c>
      <c r="EQ133" s="229">
        <v>-0.56630000000000003</v>
      </c>
      <c r="ER133" s="231">
        <v>252253</v>
      </c>
      <c r="ES133" s="231">
        <v>205555</v>
      </c>
      <c r="ET133" s="231">
        <v>373011</v>
      </c>
      <c r="EU133" s="231">
        <v>38177113</v>
      </c>
      <c r="EV133" s="231">
        <v>830820</v>
      </c>
      <c r="EW133" s="231">
        <v>822196</v>
      </c>
      <c r="EX133" s="231">
        <v>8624</v>
      </c>
      <c r="EY133" s="229">
        <v>1.0500000000000001E-2</v>
      </c>
      <c r="EZ133" s="229">
        <v>0.78879999999999995</v>
      </c>
      <c r="FA133" s="227" t="s">
        <v>567</v>
      </c>
      <c r="FB133" s="161">
        <f t="shared" si="2"/>
        <v>654375</v>
      </c>
    </row>
    <row r="134" spans="1:158" ht="17.25" thickBot="1" x14ac:dyDescent="0.3">
      <c r="A134" s="226">
        <v>46132</v>
      </c>
      <c r="B134" s="227" t="s">
        <v>175</v>
      </c>
      <c r="C134" s="227" t="s">
        <v>257</v>
      </c>
      <c r="D134" s="228">
        <v>400</v>
      </c>
      <c r="E134" s="231">
        <v>1686.9</v>
      </c>
      <c r="F134" s="231">
        <v>1681.8</v>
      </c>
      <c r="G134" s="228">
        <v>5.0999999999999996</v>
      </c>
      <c r="H134" s="229">
        <v>3.0000000000000001E-3</v>
      </c>
      <c r="I134" s="231">
        <v>1688.8</v>
      </c>
      <c r="J134" s="231">
        <v>1683.2</v>
      </c>
      <c r="K134" s="228">
        <v>5.6</v>
      </c>
      <c r="L134" s="229">
        <v>3.3E-3</v>
      </c>
      <c r="M134" s="231">
        <v>1686.9</v>
      </c>
      <c r="N134" s="231">
        <v>1681.8</v>
      </c>
      <c r="O134" s="228">
        <v>5.0999999999999996</v>
      </c>
      <c r="P134" s="229">
        <v>3.0000000000000001E-3</v>
      </c>
      <c r="Q134" s="231">
        <v>1696.5</v>
      </c>
      <c r="R134" s="231">
        <v>1685.1</v>
      </c>
      <c r="S134" s="228">
        <v>11.4</v>
      </c>
      <c r="T134" s="229">
        <v>6.7999999999999996E-3</v>
      </c>
      <c r="U134" s="231">
        <v>1703</v>
      </c>
      <c r="V134" s="231">
        <v>1719.1</v>
      </c>
      <c r="W134" s="228">
        <v>-16.100000000000001</v>
      </c>
      <c r="X134" s="229">
        <v>-9.4000000000000004E-3</v>
      </c>
      <c r="Y134" s="228">
        <v>-1.9</v>
      </c>
      <c r="Z134" s="228">
        <v>-1.4</v>
      </c>
      <c r="AA134" s="228">
        <v>-0.5</v>
      </c>
      <c r="AB134" s="229">
        <v>-1.1000000000000001E-3</v>
      </c>
      <c r="AC134" s="228">
        <v>-1.9</v>
      </c>
      <c r="AD134" s="228">
        <v>-1.4</v>
      </c>
      <c r="AE134" s="228">
        <v>-0.5</v>
      </c>
      <c r="AF134" s="229">
        <v>-1.1000000000000001E-3</v>
      </c>
      <c r="AG134" s="228">
        <v>7.7</v>
      </c>
      <c r="AH134" s="228">
        <v>1.9</v>
      </c>
      <c r="AI134" s="228">
        <v>5.8</v>
      </c>
      <c r="AJ134" s="229">
        <v>4.5999999999999999E-3</v>
      </c>
      <c r="AK134" s="228">
        <v>14.2</v>
      </c>
      <c r="AL134" s="228">
        <v>35.9</v>
      </c>
      <c r="AM134" s="228">
        <v>-21.7</v>
      </c>
      <c r="AN134" s="229">
        <v>8.3999999999999995E-3</v>
      </c>
      <c r="AO134" s="231">
        <v>1676.89</v>
      </c>
      <c r="AP134" s="231">
        <v>1686.43</v>
      </c>
      <c r="AQ134" s="228">
        <v>0</v>
      </c>
      <c r="AR134" s="230">
        <v>1061600</v>
      </c>
      <c r="AS134" s="230">
        <v>798800</v>
      </c>
      <c r="AT134" s="230">
        <v>262800</v>
      </c>
      <c r="AU134" s="229">
        <v>0.32900000000000001</v>
      </c>
      <c r="AV134" s="230">
        <v>1015200</v>
      </c>
      <c r="AW134" s="230">
        <v>778800</v>
      </c>
      <c r="AX134" s="230">
        <v>236400</v>
      </c>
      <c r="AY134" s="229">
        <v>0.30349999999999999</v>
      </c>
      <c r="AZ134" s="230">
        <v>45600</v>
      </c>
      <c r="BA134" s="230">
        <v>20000</v>
      </c>
      <c r="BB134" s="230">
        <v>25600</v>
      </c>
      <c r="BC134" s="229">
        <v>1.28</v>
      </c>
      <c r="BD134" s="228">
        <v>800</v>
      </c>
      <c r="BE134" s="228">
        <v>0</v>
      </c>
      <c r="BF134" s="228">
        <v>800</v>
      </c>
      <c r="BG134" s="229">
        <v>0</v>
      </c>
      <c r="BH134" s="230">
        <v>554800</v>
      </c>
      <c r="BI134" s="230">
        <v>505200</v>
      </c>
      <c r="BJ134" s="230">
        <v>49600</v>
      </c>
      <c r="BK134" s="229">
        <v>9.8199999999999996E-2</v>
      </c>
      <c r="BL134" s="230">
        <v>385200</v>
      </c>
      <c r="BM134" s="230">
        <v>411600</v>
      </c>
      <c r="BN134" s="230">
        <v>-26400</v>
      </c>
      <c r="BO134" s="229">
        <v>-6.4100000000000004E-2</v>
      </c>
      <c r="BP134" s="230">
        <v>2001600</v>
      </c>
      <c r="BQ134" s="230">
        <v>1715600</v>
      </c>
      <c r="BR134" s="230">
        <v>286000</v>
      </c>
      <c r="BS134" s="229">
        <v>0.16669999999999999</v>
      </c>
      <c r="BT134" s="230">
        <v>1094134</v>
      </c>
      <c r="BU134" s="230">
        <v>1026972</v>
      </c>
      <c r="BV134" s="230">
        <v>67162</v>
      </c>
      <c r="BW134" s="229">
        <v>6.54E-2</v>
      </c>
      <c r="BX134" s="230">
        <v>9111200</v>
      </c>
      <c r="BY134" s="230">
        <v>9557200</v>
      </c>
      <c r="BZ134" s="230">
        <v>-446000</v>
      </c>
      <c r="CA134" s="229">
        <v>-4.6699999999999998E-2</v>
      </c>
      <c r="CB134" s="230">
        <v>9058400</v>
      </c>
      <c r="CC134" s="230">
        <v>9520000</v>
      </c>
      <c r="CD134" s="230">
        <v>-461600</v>
      </c>
      <c r="CE134" s="229">
        <v>-4.8500000000000001E-2</v>
      </c>
      <c r="CF134" s="230">
        <v>49600</v>
      </c>
      <c r="CG134" s="230">
        <v>34400</v>
      </c>
      <c r="CH134" s="230">
        <v>15200</v>
      </c>
      <c r="CI134" s="229">
        <v>0.44190000000000002</v>
      </c>
      <c r="CJ134" s="230">
        <v>3200</v>
      </c>
      <c r="CK134" s="230">
        <v>2800</v>
      </c>
      <c r="CL134" s="228">
        <v>400</v>
      </c>
      <c r="CM134" s="229">
        <v>0.1429</v>
      </c>
      <c r="CN134" s="230">
        <v>1020800</v>
      </c>
      <c r="CO134" s="230">
        <v>1005600</v>
      </c>
      <c r="CP134" s="230">
        <v>15200</v>
      </c>
      <c r="CQ134" s="229">
        <v>1.5100000000000001E-2</v>
      </c>
      <c r="CR134" s="230">
        <v>625200</v>
      </c>
      <c r="CS134" s="230">
        <v>614000</v>
      </c>
      <c r="CT134" s="230">
        <v>11200</v>
      </c>
      <c r="CU134" s="229">
        <v>1.8200000000000001E-2</v>
      </c>
      <c r="CV134" s="230">
        <v>10757200</v>
      </c>
      <c r="CW134" s="230">
        <v>11176800</v>
      </c>
      <c r="CX134" s="230">
        <v>-419600</v>
      </c>
      <c r="CY134" s="229">
        <v>-3.7499999999999999E-2</v>
      </c>
      <c r="CZ134" s="228">
        <v>34.15</v>
      </c>
      <c r="DA134" s="228">
        <v>30.45</v>
      </c>
      <c r="DB134" s="228">
        <v>3.7</v>
      </c>
      <c r="DC134" s="228">
        <v>3.7</v>
      </c>
      <c r="DD134" s="228">
        <v>31.86</v>
      </c>
      <c r="DE134" s="228">
        <v>31.94</v>
      </c>
      <c r="DF134" s="228">
        <v>2.29</v>
      </c>
      <c r="DG134" s="228">
        <v>-0.08</v>
      </c>
      <c r="DH134" s="228">
        <v>32.840000000000003</v>
      </c>
      <c r="DI134" s="228">
        <v>28.76</v>
      </c>
      <c r="DJ134" s="228">
        <v>4.08</v>
      </c>
      <c r="DK134" s="228">
        <v>4.08</v>
      </c>
      <c r="DL134" s="228">
        <v>36.04</v>
      </c>
      <c r="DM134" s="228">
        <v>32.51</v>
      </c>
      <c r="DN134" s="228">
        <v>3.53</v>
      </c>
      <c r="DO134" s="228">
        <v>3.53</v>
      </c>
      <c r="DP134" s="228">
        <v>0.61</v>
      </c>
      <c r="DQ134" s="228">
        <v>0.61</v>
      </c>
      <c r="DR134" s="228">
        <v>0</v>
      </c>
      <c r="DS134" s="229">
        <v>0</v>
      </c>
      <c r="DT134" s="231">
        <v>1800</v>
      </c>
      <c r="DU134" s="231">
        <v>1460</v>
      </c>
      <c r="DV134" s="228">
        <v>0.69</v>
      </c>
      <c r="DW134" s="228">
        <v>0.81</v>
      </c>
      <c r="DX134" s="228">
        <v>-0.12</v>
      </c>
      <c r="DY134" s="229">
        <v>-0.14810000000000001</v>
      </c>
      <c r="DZ134" s="229">
        <v>5.7999999999999996E-3</v>
      </c>
      <c r="EA134" s="230">
        <v>37200</v>
      </c>
      <c r="EB134" s="229">
        <v>5.7000000000000002E-3</v>
      </c>
      <c r="EC134" s="229">
        <v>5.7999999999999996E-3</v>
      </c>
      <c r="ED134" s="228">
        <v>9.5399999999999991</v>
      </c>
      <c r="EE134" s="229">
        <v>5.7000000000000002E-3</v>
      </c>
      <c r="EF134" s="230">
        <v>715428</v>
      </c>
      <c r="EG134" s="230">
        <v>695690</v>
      </c>
      <c r="EH134" s="229">
        <v>2.8400000000000002E-2</v>
      </c>
      <c r="EI134" s="229">
        <v>0.65390000000000004</v>
      </c>
      <c r="EJ134" s="231">
        <v>9652.1200000000008</v>
      </c>
      <c r="EK134" s="231">
        <v>6307.87</v>
      </c>
      <c r="EL134" s="231">
        <v>17806.400000000001</v>
      </c>
      <c r="EM134" s="231">
        <v>2092</v>
      </c>
      <c r="EN134" s="231">
        <v>33766.39</v>
      </c>
      <c r="EO134" s="231">
        <v>29075.19</v>
      </c>
      <c r="EP134" s="231">
        <v>4691.2</v>
      </c>
      <c r="EQ134" s="229">
        <v>0.1613</v>
      </c>
      <c r="ER134" s="231">
        <v>17555</v>
      </c>
      <c r="ES134" s="231">
        <v>9658</v>
      </c>
      <c r="ET134" s="231">
        <v>153702</v>
      </c>
      <c r="EU134" s="231">
        <v>35051266</v>
      </c>
      <c r="EV134" s="231">
        <v>180916</v>
      </c>
      <c r="EW134" s="231">
        <v>187483</v>
      </c>
      <c r="EX134" s="231">
        <v>-6567</v>
      </c>
      <c r="EY134" s="229">
        <v>-3.5000000000000003E-2</v>
      </c>
      <c r="EZ134" s="229">
        <v>0.30690000000000001</v>
      </c>
      <c r="FA134" s="227" t="s">
        <v>693</v>
      </c>
      <c r="FB134" s="161">
        <f t="shared" si="2"/>
        <v>52800</v>
      </c>
    </row>
    <row r="135" spans="1:158" ht="17.25" thickBot="1" x14ac:dyDescent="0.3">
      <c r="A135" s="226">
        <v>46132</v>
      </c>
      <c r="B135" s="227" t="s">
        <v>181</v>
      </c>
      <c r="C135" s="227" t="s">
        <v>562</v>
      </c>
      <c r="D135" s="228">
        <v>120</v>
      </c>
      <c r="E135" s="231">
        <v>13785.25</v>
      </c>
      <c r="F135" s="231">
        <v>13849.2</v>
      </c>
      <c r="G135" s="228">
        <v>-63.95</v>
      </c>
      <c r="H135" s="229">
        <v>-4.5999999999999999E-3</v>
      </c>
      <c r="I135" s="231">
        <v>13807.25</v>
      </c>
      <c r="J135" s="231">
        <v>13838.85</v>
      </c>
      <c r="K135" s="228">
        <v>-31.6</v>
      </c>
      <c r="L135" s="229">
        <v>-2.3E-3</v>
      </c>
      <c r="M135" s="231">
        <v>13785.25</v>
      </c>
      <c r="N135" s="231">
        <v>13849.2</v>
      </c>
      <c r="O135" s="228">
        <v>-63.95</v>
      </c>
      <c r="P135" s="229">
        <v>-4.5999999999999999E-3</v>
      </c>
      <c r="Q135" s="231">
        <v>13825</v>
      </c>
      <c r="R135" s="231">
        <v>13880.05</v>
      </c>
      <c r="S135" s="228">
        <v>-55.05</v>
      </c>
      <c r="T135" s="229">
        <v>-4.0000000000000001E-3</v>
      </c>
      <c r="U135" s="231">
        <v>13877</v>
      </c>
      <c r="V135" s="231">
        <v>13914.65</v>
      </c>
      <c r="W135" s="228">
        <v>-37.65</v>
      </c>
      <c r="X135" s="229">
        <v>-2.7000000000000001E-3</v>
      </c>
      <c r="Y135" s="228">
        <v>-22</v>
      </c>
      <c r="Z135" s="228">
        <v>10.35</v>
      </c>
      <c r="AA135" s="228">
        <v>-32.35</v>
      </c>
      <c r="AB135" s="229">
        <v>-1.6000000000000001E-3</v>
      </c>
      <c r="AC135" s="228">
        <v>-22</v>
      </c>
      <c r="AD135" s="228">
        <v>10.35</v>
      </c>
      <c r="AE135" s="228">
        <v>-32.35</v>
      </c>
      <c r="AF135" s="229">
        <v>-1.6000000000000001E-3</v>
      </c>
      <c r="AG135" s="228">
        <v>17.75</v>
      </c>
      <c r="AH135" s="228">
        <v>41.2</v>
      </c>
      <c r="AI135" s="228">
        <v>-23.45</v>
      </c>
      <c r="AJ135" s="229">
        <v>1.2999999999999999E-3</v>
      </c>
      <c r="AK135" s="228">
        <v>69.75</v>
      </c>
      <c r="AL135" s="228">
        <v>75.8</v>
      </c>
      <c r="AM135" s="228">
        <v>-6.05</v>
      </c>
      <c r="AN135" s="229">
        <v>5.1000000000000004E-3</v>
      </c>
      <c r="AO135" s="231">
        <v>13842.09</v>
      </c>
      <c r="AP135" s="231">
        <v>13873.36</v>
      </c>
      <c r="AQ135" s="228">
        <v>0</v>
      </c>
      <c r="AR135" s="230">
        <v>540600</v>
      </c>
      <c r="AS135" s="230">
        <v>551520</v>
      </c>
      <c r="AT135" s="230">
        <v>-10920</v>
      </c>
      <c r="AU135" s="229">
        <v>-1.9800000000000002E-2</v>
      </c>
      <c r="AV135" s="230">
        <v>448800</v>
      </c>
      <c r="AW135" s="230">
        <v>491400</v>
      </c>
      <c r="AX135" s="230">
        <v>-42600</v>
      </c>
      <c r="AY135" s="229">
        <v>-8.6699999999999999E-2</v>
      </c>
      <c r="AZ135" s="230">
        <v>84840</v>
      </c>
      <c r="BA135" s="230">
        <v>52080</v>
      </c>
      <c r="BB135" s="230">
        <v>32760</v>
      </c>
      <c r="BC135" s="229">
        <v>0.629</v>
      </c>
      <c r="BD135" s="230">
        <v>6960</v>
      </c>
      <c r="BE135" s="230">
        <v>8040</v>
      </c>
      <c r="BF135" s="230">
        <v>-1080</v>
      </c>
      <c r="BG135" s="229">
        <v>-0.1343</v>
      </c>
      <c r="BH135" s="230">
        <v>14901480</v>
      </c>
      <c r="BI135" s="230">
        <v>14278920</v>
      </c>
      <c r="BJ135" s="230">
        <v>622560</v>
      </c>
      <c r="BK135" s="229">
        <v>4.36E-2</v>
      </c>
      <c r="BL135" s="230">
        <v>13290120</v>
      </c>
      <c r="BM135" s="230">
        <v>18796200</v>
      </c>
      <c r="BN135" s="230">
        <v>-5506080</v>
      </c>
      <c r="BO135" s="229">
        <v>-0.29289999999999999</v>
      </c>
      <c r="BP135" s="230">
        <v>28732200</v>
      </c>
      <c r="BQ135" s="230">
        <v>33626640</v>
      </c>
      <c r="BR135" s="230">
        <v>-4894440</v>
      </c>
      <c r="BS135" s="229">
        <v>-0.14560000000000001</v>
      </c>
      <c r="BT135" s="228">
        <v>0</v>
      </c>
      <c r="BU135" s="228">
        <v>0</v>
      </c>
      <c r="BV135" s="228">
        <v>0</v>
      </c>
      <c r="BW135" s="229">
        <v>0</v>
      </c>
      <c r="BX135" s="230">
        <v>2439000</v>
      </c>
      <c r="BY135" s="230">
        <v>2510880</v>
      </c>
      <c r="BZ135" s="230">
        <v>-71880</v>
      </c>
      <c r="CA135" s="229">
        <v>-2.86E-2</v>
      </c>
      <c r="CB135" s="230">
        <v>2289000</v>
      </c>
      <c r="CC135" s="230">
        <v>2381640</v>
      </c>
      <c r="CD135" s="230">
        <v>-92640</v>
      </c>
      <c r="CE135" s="229">
        <v>-3.8899999999999997E-2</v>
      </c>
      <c r="CF135" s="230">
        <v>139800</v>
      </c>
      <c r="CG135" s="230">
        <v>120480</v>
      </c>
      <c r="CH135" s="230">
        <v>19320</v>
      </c>
      <c r="CI135" s="229">
        <v>0.16039999999999999</v>
      </c>
      <c r="CJ135" s="230">
        <v>10200</v>
      </c>
      <c r="CK135" s="230">
        <v>8760</v>
      </c>
      <c r="CL135" s="230">
        <v>1440</v>
      </c>
      <c r="CM135" s="229">
        <v>0.16439999999999999</v>
      </c>
      <c r="CN135" s="230">
        <v>5916240</v>
      </c>
      <c r="CO135" s="230">
        <v>5954760</v>
      </c>
      <c r="CP135" s="230">
        <v>-38520</v>
      </c>
      <c r="CQ135" s="229">
        <v>-6.4999999999999997E-3</v>
      </c>
      <c r="CR135" s="230">
        <v>7288920</v>
      </c>
      <c r="CS135" s="230">
        <v>7229040</v>
      </c>
      <c r="CT135" s="230">
        <v>59880</v>
      </c>
      <c r="CU135" s="229">
        <v>8.3000000000000001E-3</v>
      </c>
      <c r="CV135" s="230">
        <v>15644160</v>
      </c>
      <c r="CW135" s="230">
        <v>15694680</v>
      </c>
      <c r="CX135" s="230">
        <v>-50520</v>
      </c>
      <c r="CY135" s="229">
        <v>-3.2000000000000002E-3</v>
      </c>
      <c r="CZ135" s="228">
        <v>27.48</v>
      </c>
      <c r="DA135" s="228">
        <v>23.83</v>
      </c>
      <c r="DB135" s="228">
        <v>3.65</v>
      </c>
      <c r="DC135" s="228">
        <v>3.65</v>
      </c>
      <c r="DD135" s="228">
        <v>25.23</v>
      </c>
      <c r="DE135" s="228">
        <v>25.28</v>
      </c>
      <c r="DF135" s="228">
        <v>2.25</v>
      </c>
      <c r="DG135" s="228">
        <v>-0.05</v>
      </c>
      <c r="DH135" s="228">
        <v>25.47</v>
      </c>
      <c r="DI135" s="228">
        <v>20.100000000000001</v>
      </c>
      <c r="DJ135" s="228">
        <v>5.37</v>
      </c>
      <c r="DK135" s="228">
        <v>5.37</v>
      </c>
      <c r="DL135" s="228">
        <v>29.73</v>
      </c>
      <c r="DM135" s="228">
        <v>26.67</v>
      </c>
      <c r="DN135" s="228">
        <v>3.06</v>
      </c>
      <c r="DO135" s="228">
        <v>3.06</v>
      </c>
      <c r="DP135" s="228">
        <v>1.23</v>
      </c>
      <c r="DQ135" s="228">
        <v>1.21</v>
      </c>
      <c r="DR135" s="228">
        <v>0.02</v>
      </c>
      <c r="DS135" s="229">
        <v>1.6500000000000001E-2</v>
      </c>
      <c r="DT135" s="231">
        <v>14000</v>
      </c>
      <c r="DU135" s="231">
        <v>12500</v>
      </c>
      <c r="DV135" s="228">
        <v>0.89</v>
      </c>
      <c r="DW135" s="228">
        <v>1.32</v>
      </c>
      <c r="DX135" s="228">
        <v>-0.43</v>
      </c>
      <c r="DY135" s="229">
        <v>-0.32579999999999998</v>
      </c>
      <c r="DZ135" s="229">
        <v>6.1499999999999999E-2</v>
      </c>
      <c r="EA135" s="230">
        <v>129240</v>
      </c>
      <c r="EB135" s="229">
        <v>2.8999999999999998E-3</v>
      </c>
      <c r="EC135" s="229">
        <v>6.1499999999999999E-2</v>
      </c>
      <c r="ED135" s="228">
        <v>31.27</v>
      </c>
      <c r="EE135" s="229">
        <v>2.3E-3</v>
      </c>
      <c r="EF135" s="228">
        <v>0</v>
      </c>
      <c r="EG135" s="228">
        <v>0</v>
      </c>
      <c r="EH135" s="229">
        <v>0</v>
      </c>
      <c r="EI135" s="229">
        <v>0</v>
      </c>
      <c r="EJ135" s="231">
        <v>2128162.71</v>
      </c>
      <c r="EK135" s="231">
        <v>1785387.42</v>
      </c>
      <c r="EL135" s="231">
        <v>74863.23</v>
      </c>
      <c r="EM135" s="228">
        <v>0</v>
      </c>
      <c r="EN135" s="231">
        <v>3988413.36</v>
      </c>
      <c r="EO135" s="231">
        <v>4588610.76</v>
      </c>
      <c r="EP135" s="231">
        <v>-600197.4</v>
      </c>
      <c r="EQ135" s="229">
        <v>-0.1308</v>
      </c>
      <c r="ER135" s="231">
        <v>820769</v>
      </c>
      <c r="ES135" s="231">
        <v>935078</v>
      </c>
      <c r="ET135" s="231">
        <v>336287</v>
      </c>
      <c r="EU135" s="228">
        <v>0</v>
      </c>
      <c r="EV135" s="231">
        <v>2092134</v>
      </c>
      <c r="EW135" s="231">
        <v>2098720</v>
      </c>
      <c r="EX135" s="231">
        <v>-6586</v>
      </c>
      <c r="EY135" s="229">
        <v>-3.0999999999999999E-3</v>
      </c>
      <c r="EZ135" s="229">
        <v>0</v>
      </c>
      <c r="FA135" s="227" t="s">
        <v>567</v>
      </c>
      <c r="FB135" s="161">
        <f t="shared" si="2"/>
        <v>150000</v>
      </c>
    </row>
    <row r="136" spans="1:158" ht="17.25" thickBot="1" x14ac:dyDescent="0.3">
      <c r="A136" s="226">
        <v>46132</v>
      </c>
      <c r="B136" s="227" t="s">
        <v>162</v>
      </c>
      <c r="C136" s="227" t="s">
        <v>558</v>
      </c>
      <c r="D136" s="228">
        <v>6150</v>
      </c>
      <c r="E136" s="228">
        <v>123.34</v>
      </c>
      <c r="F136" s="228">
        <v>125.05</v>
      </c>
      <c r="G136" s="228">
        <v>-1.71</v>
      </c>
      <c r="H136" s="229">
        <v>-1.37E-2</v>
      </c>
      <c r="I136" s="228">
        <v>123.19</v>
      </c>
      <c r="J136" s="228">
        <v>125.03</v>
      </c>
      <c r="K136" s="228">
        <v>-1.84</v>
      </c>
      <c r="L136" s="229">
        <v>-1.47E-2</v>
      </c>
      <c r="M136" s="228">
        <v>123.34</v>
      </c>
      <c r="N136" s="228">
        <v>125.05</v>
      </c>
      <c r="O136" s="228">
        <v>-1.71</v>
      </c>
      <c r="P136" s="229">
        <v>-1.37E-2</v>
      </c>
      <c r="Q136" s="228">
        <v>123.98</v>
      </c>
      <c r="R136" s="228">
        <v>125.65</v>
      </c>
      <c r="S136" s="228">
        <v>-1.67</v>
      </c>
      <c r="T136" s="229">
        <v>-1.3299999999999999E-2</v>
      </c>
      <c r="U136" s="228">
        <v>124.58</v>
      </c>
      <c r="V136" s="228">
        <v>126.03</v>
      </c>
      <c r="W136" s="228">
        <v>-1.45</v>
      </c>
      <c r="X136" s="229">
        <v>-1.15E-2</v>
      </c>
      <c r="Y136" s="228">
        <v>0.15</v>
      </c>
      <c r="Z136" s="228">
        <v>0.02</v>
      </c>
      <c r="AA136" s="228">
        <v>0.13</v>
      </c>
      <c r="AB136" s="229">
        <v>1.1999999999999999E-3</v>
      </c>
      <c r="AC136" s="228">
        <v>0.15</v>
      </c>
      <c r="AD136" s="228">
        <v>0.02</v>
      </c>
      <c r="AE136" s="228">
        <v>0.13</v>
      </c>
      <c r="AF136" s="229">
        <v>1.1999999999999999E-3</v>
      </c>
      <c r="AG136" s="228">
        <v>0.79</v>
      </c>
      <c r="AH136" s="228">
        <v>0.62</v>
      </c>
      <c r="AI136" s="228">
        <v>0.17</v>
      </c>
      <c r="AJ136" s="229">
        <v>6.4000000000000003E-3</v>
      </c>
      <c r="AK136" s="228">
        <v>1.39</v>
      </c>
      <c r="AL136" s="228">
        <v>1</v>
      </c>
      <c r="AM136" s="228">
        <v>0.39</v>
      </c>
      <c r="AN136" s="229">
        <v>1.1299999999999999E-2</v>
      </c>
      <c r="AO136" s="228">
        <v>124.06</v>
      </c>
      <c r="AP136" s="228">
        <v>124.71</v>
      </c>
      <c r="AQ136" s="228">
        <v>0</v>
      </c>
      <c r="AR136" s="230">
        <v>21026850</v>
      </c>
      <c r="AS136" s="230">
        <v>35251800</v>
      </c>
      <c r="AT136" s="230">
        <v>-14224950</v>
      </c>
      <c r="AU136" s="229">
        <v>-0.40350000000000003</v>
      </c>
      <c r="AV136" s="230">
        <v>17871900</v>
      </c>
      <c r="AW136" s="230">
        <v>25190400</v>
      </c>
      <c r="AX136" s="230">
        <v>-7318500</v>
      </c>
      <c r="AY136" s="229">
        <v>-0.29049999999999998</v>
      </c>
      <c r="AZ136" s="230">
        <v>2601450</v>
      </c>
      <c r="BA136" s="230">
        <v>1728150</v>
      </c>
      <c r="BB136" s="230">
        <v>873300</v>
      </c>
      <c r="BC136" s="229">
        <v>0.50529999999999997</v>
      </c>
      <c r="BD136" s="230">
        <v>553500</v>
      </c>
      <c r="BE136" s="230">
        <v>8333250</v>
      </c>
      <c r="BF136" s="230">
        <v>-7779750</v>
      </c>
      <c r="BG136" s="229">
        <v>-0.93359999999999999</v>
      </c>
      <c r="BH136" s="230">
        <v>20879250</v>
      </c>
      <c r="BI136" s="230">
        <v>27084600</v>
      </c>
      <c r="BJ136" s="230">
        <v>-6205350</v>
      </c>
      <c r="BK136" s="229">
        <v>-0.2291</v>
      </c>
      <c r="BL136" s="230">
        <v>18696000</v>
      </c>
      <c r="BM136" s="230">
        <v>27306000</v>
      </c>
      <c r="BN136" s="230">
        <v>-8610000</v>
      </c>
      <c r="BO136" s="229">
        <v>-0.31530000000000002</v>
      </c>
      <c r="BP136" s="230">
        <v>60602100</v>
      </c>
      <c r="BQ136" s="230">
        <v>89642400</v>
      </c>
      <c r="BR136" s="230">
        <v>-29040300</v>
      </c>
      <c r="BS136" s="229">
        <v>-0.32400000000000001</v>
      </c>
      <c r="BT136" s="230">
        <v>13381245</v>
      </c>
      <c r="BU136" s="230">
        <v>18536579</v>
      </c>
      <c r="BV136" s="230">
        <v>-5155334</v>
      </c>
      <c r="BW136" s="229">
        <v>-0.27810000000000001</v>
      </c>
      <c r="BX136" s="230">
        <v>130533750</v>
      </c>
      <c r="BY136" s="230">
        <v>131843700</v>
      </c>
      <c r="BZ136" s="230">
        <v>-1309950</v>
      </c>
      <c r="CA136" s="229">
        <v>-9.9000000000000008E-3</v>
      </c>
      <c r="CB136" s="230">
        <v>117403500</v>
      </c>
      <c r="CC136" s="230">
        <v>119998800</v>
      </c>
      <c r="CD136" s="230">
        <v>-2595300</v>
      </c>
      <c r="CE136" s="229">
        <v>-2.1600000000000001E-2</v>
      </c>
      <c r="CF136" s="230">
        <v>4286550</v>
      </c>
      <c r="CG136" s="230">
        <v>3308700</v>
      </c>
      <c r="CH136" s="230">
        <v>977850</v>
      </c>
      <c r="CI136" s="229">
        <v>0.29549999999999998</v>
      </c>
      <c r="CJ136" s="230">
        <v>8843700</v>
      </c>
      <c r="CK136" s="230">
        <v>8536200</v>
      </c>
      <c r="CL136" s="230">
        <v>307500</v>
      </c>
      <c r="CM136" s="229">
        <v>3.5999999999999997E-2</v>
      </c>
      <c r="CN136" s="230">
        <v>39458400</v>
      </c>
      <c r="CO136" s="230">
        <v>38462100</v>
      </c>
      <c r="CP136" s="230">
        <v>996300</v>
      </c>
      <c r="CQ136" s="229">
        <v>2.5899999999999999E-2</v>
      </c>
      <c r="CR136" s="230">
        <v>36475650</v>
      </c>
      <c r="CS136" s="230">
        <v>34058700</v>
      </c>
      <c r="CT136" s="230">
        <v>2416950</v>
      </c>
      <c r="CU136" s="229">
        <v>7.0999999999999994E-2</v>
      </c>
      <c r="CV136" s="230">
        <v>206467800</v>
      </c>
      <c r="CW136" s="230">
        <v>204364500</v>
      </c>
      <c r="CX136" s="230">
        <v>2103300</v>
      </c>
      <c r="CY136" s="229">
        <v>1.03E-2</v>
      </c>
      <c r="CZ136" s="228">
        <v>43.3</v>
      </c>
      <c r="DA136" s="228">
        <v>41.3</v>
      </c>
      <c r="DB136" s="228">
        <v>2</v>
      </c>
      <c r="DC136" s="228">
        <v>2</v>
      </c>
      <c r="DD136" s="228">
        <v>43.21</v>
      </c>
      <c r="DE136" s="228">
        <v>43.28</v>
      </c>
      <c r="DF136" s="228">
        <v>0.09</v>
      </c>
      <c r="DG136" s="228">
        <v>-7.0000000000000007E-2</v>
      </c>
      <c r="DH136" s="228">
        <v>40.36</v>
      </c>
      <c r="DI136" s="228">
        <v>36.49</v>
      </c>
      <c r="DJ136" s="228">
        <v>3.87</v>
      </c>
      <c r="DK136" s="228">
        <v>3.87</v>
      </c>
      <c r="DL136" s="228">
        <v>46.59</v>
      </c>
      <c r="DM136" s="228">
        <v>46.07</v>
      </c>
      <c r="DN136" s="228">
        <v>0.52</v>
      </c>
      <c r="DO136" s="228">
        <v>0.52</v>
      </c>
      <c r="DP136" s="228">
        <v>0.92</v>
      </c>
      <c r="DQ136" s="228">
        <v>0.89</v>
      </c>
      <c r="DR136" s="228">
        <v>0.03</v>
      </c>
      <c r="DS136" s="229">
        <v>3.3700000000000001E-2</v>
      </c>
      <c r="DT136" s="228">
        <v>130</v>
      </c>
      <c r="DU136" s="228">
        <v>120</v>
      </c>
      <c r="DV136" s="228">
        <v>0.9</v>
      </c>
      <c r="DW136" s="228">
        <v>1.01</v>
      </c>
      <c r="DX136" s="228">
        <v>-0.11</v>
      </c>
      <c r="DY136" s="229">
        <v>-0.1089</v>
      </c>
      <c r="DZ136" s="229">
        <v>0.10059999999999999</v>
      </c>
      <c r="EA136" s="230">
        <v>11844900</v>
      </c>
      <c r="EB136" s="229">
        <v>5.1999999999999998E-3</v>
      </c>
      <c r="EC136" s="229">
        <v>0.10059999999999999</v>
      </c>
      <c r="ED136" s="228">
        <v>0.65</v>
      </c>
      <c r="EE136" s="229">
        <v>5.1999999999999998E-3</v>
      </c>
      <c r="EF136" s="230">
        <v>6167546</v>
      </c>
      <c r="EG136" s="230">
        <v>8839044</v>
      </c>
      <c r="EH136" s="229">
        <v>-0.30220000000000002</v>
      </c>
      <c r="EI136" s="229">
        <v>0.46089999999999998</v>
      </c>
      <c r="EJ136" s="231">
        <v>27098.59</v>
      </c>
      <c r="EK136" s="231">
        <v>22156.65</v>
      </c>
      <c r="EL136" s="231">
        <v>26110.45</v>
      </c>
      <c r="EM136" s="231">
        <v>4735</v>
      </c>
      <c r="EN136" s="231">
        <v>75365.69</v>
      </c>
      <c r="EO136" s="231">
        <v>110961.91</v>
      </c>
      <c r="EP136" s="231">
        <v>-35596.22</v>
      </c>
      <c r="EQ136" s="229">
        <v>-0.32079999999999997</v>
      </c>
      <c r="ER136" s="231">
        <v>48640</v>
      </c>
      <c r="ES136" s="231">
        <v>41243</v>
      </c>
      <c r="ET136" s="231">
        <v>161137</v>
      </c>
      <c r="EU136" s="231">
        <v>588447385</v>
      </c>
      <c r="EV136" s="231">
        <v>251020</v>
      </c>
      <c r="EW136" s="231">
        <v>250722</v>
      </c>
      <c r="EX136" s="228">
        <v>298</v>
      </c>
      <c r="EY136" s="229">
        <v>1.1999999999999999E-3</v>
      </c>
      <c r="EZ136" s="229">
        <v>0.35089999999999999</v>
      </c>
      <c r="FA136" s="227" t="s">
        <v>567</v>
      </c>
      <c r="FB136" s="161">
        <f t="shared" si="2"/>
        <v>13130250</v>
      </c>
    </row>
    <row r="137" spans="1:158" ht="17.25" thickBot="1" x14ac:dyDescent="0.3">
      <c r="A137" s="226">
        <v>46132</v>
      </c>
      <c r="B137" s="227" t="s">
        <v>175</v>
      </c>
      <c r="C137" s="227" t="s">
        <v>698</v>
      </c>
      <c r="D137" s="228">
        <v>775</v>
      </c>
      <c r="E137" s="228">
        <v>807.4</v>
      </c>
      <c r="F137" s="228">
        <v>817.75</v>
      </c>
      <c r="G137" s="228">
        <v>-10.35</v>
      </c>
      <c r="H137" s="229">
        <v>-1.2699999999999999E-2</v>
      </c>
      <c r="I137" s="228">
        <v>807.95</v>
      </c>
      <c r="J137" s="228">
        <v>815.45</v>
      </c>
      <c r="K137" s="228">
        <v>-7.5</v>
      </c>
      <c r="L137" s="229">
        <v>-9.1999999999999998E-3</v>
      </c>
      <c r="M137" s="228">
        <v>807.4</v>
      </c>
      <c r="N137" s="228">
        <v>817.75</v>
      </c>
      <c r="O137" s="228">
        <v>-10.35</v>
      </c>
      <c r="P137" s="229">
        <v>-1.2699999999999999E-2</v>
      </c>
      <c r="Q137" s="228">
        <v>808.4</v>
      </c>
      <c r="R137" s="228">
        <v>816.35</v>
      </c>
      <c r="S137" s="228">
        <v>-7.95</v>
      </c>
      <c r="T137" s="229">
        <v>-9.7000000000000003E-3</v>
      </c>
      <c r="U137" s="228">
        <v>804</v>
      </c>
      <c r="V137" s="228">
        <v>814</v>
      </c>
      <c r="W137" s="228">
        <v>-10</v>
      </c>
      <c r="X137" s="229">
        <v>-1.23E-2</v>
      </c>
      <c r="Y137" s="228">
        <v>-0.55000000000000004</v>
      </c>
      <c r="Z137" s="228">
        <v>2.2999999999999998</v>
      </c>
      <c r="AA137" s="228">
        <v>-2.85</v>
      </c>
      <c r="AB137" s="229">
        <v>-6.9999999999999999E-4</v>
      </c>
      <c r="AC137" s="228">
        <v>-0.55000000000000004</v>
      </c>
      <c r="AD137" s="228">
        <v>2.2999999999999998</v>
      </c>
      <c r="AE137" s="228">
        <v>-2.85</v>
      </c>
      <c r="AF137" s="229">
        <v>-6.9999999999999999E-4</v>
      </c>
      <c r="AG137" s="228">
        <v>0.45</v>
      </c>
      <c r="AH137" s="228">
        <v>0.9</v>
      </c>
      <c r="AI137" s="228">
        <v>-0.45</v>
      </c>
      <c r="AJ137" s="229">
        <v>5.9999999999999995E-4</v>
      </c>
      <c r="AK137" s="228">
        <v>-3.95</v>
      </c>
      <c r="AL137" s="228">
        <v>-1.45</v>
      </c>
      <c r="AM137" s="228">
        <v>-2.5</v>
      </c>
      <c r="AN137" s="229">
        <v>-4.8999999999999998E-3</v>
      </c>
      <c r="AO137" s="228">
        <v>817.63</v>
      </c>
      <c r="AP137" s="228">
        <v>819.04</v>
      </c>
      <c r="AQ137" s="228">
        <v>0</v>
      </c>
      <c r="AR137" s="230">
        <v>4401225</v>
      </c>
      <c r="AS137" s="230">
        <v>2463725</v>
      </c>
      <c r="AT137" s="230">
        <v>1937500</v>
      </c>
      <c r="AU137" s="229">
        <v>0.78639999999999999</v>
      </c>
      <c r="AV137" s="230">
        <v>3920725</v>
      </c>
      <c r="AW137" s="230">
        <v>2307175</v>
      </c>
      <c r="AX137" s="230">
        <v>1613550</v>
      </c>
      <c r="AY137" s="229">
        <v>0.69940000000000002</v>
      </c>
      <c r="AZ137" s="230">
        <v>472750</v>
      </c>
      <c r="BA137" s="230">
        <v>147250</v>
      </c>
      <c r="BB137" s="230">
        <v>325500</v>
      </c>
      <c r="BC137" s="229">
        <v>2.2105000000000001</v>
      </c>
      <c r="BD137" s="230">
        <v>7750</v>
      </c>
      <c r="BE137" s="230">
        <v>9300</v>
      </c>
      <c r="BF137" s="230">
        <v>-1550</v>
      </c>
      <c r="BG137" s="229">
        <v>-0.16669999999999999</v>
      </c>
      <c r="BH137" s="230">
        <v>11786975</v>
      </c>
      <c r="BI137" s="230">
        <v>7069550</v>
      </c>
      <c r="BJ137" s="230">
        <v>4717425</v>
      </c>
      <c r="BK137" s="229">
        <v>0.6673</v>
      </c>
      <c r="BL137" s="230">
        <v>5755150</v>
      </c>
      <c r="BM137" s="230">
        <v>1608900</v>
      </c>
      <c r="BN137" s="230">
        <v>4146250</v>
      </c>
      <c r="BO137" s="229">
        <v>2.5771000000000002</v>
      </c>
      <c r="BP137" s="230">
        <v>21943350</v>
      </c>
      <c r="BQ137" s="230">
        <v>11142175</v>
      </c>
      <c r="BR137" s="230">
        <v>10801175</v>
      </c>
      <c r="BS137" s="229">
        <v>0.96940000000000004</v>
      </c>
      <c r="BT137" s="230">
        <v>2963442</v>
      </c>
      <c r="BU137" s="230">
        <v>2103784</v>
      </c>
      <c r="BV137" s="230">
        <v>859658</v>
      </c>
      <c r="BW137" s="229">
        <v>0.40860000000000002</v>
      </c>
      <c r="BX137" s="230">
        <v>2938800</v>
      </c>
      <c r="BY137" s="230">
        <v>2864400</v>
      </c>
      <c r="BZ137" s="230">
        <v>74400</v>
      </c>
      <c r="CA137" s="229">
        <v>2.5999999999999999E-2</v>
      </c>
      <c r="CB137" s="230">
        <v>2764425</v>
      </c>
      <c r="CC137" s="230">
        <v>2757450</v>
      </c>
      <c r="CD137" s="230">
        <v>6975</v>
      </c>
      <c r="CE137" s="229">
        <v>2.5000000000000001E-3</v>
      </c>
      <c r="CF137" s="230">
        <v>160425</v>
      </c>
      <c r="CG137" s="230">
        <v>94550</v>
      </c>
      <c r="CH137" s="230">
        <v>65875</v>
      </c>
      <c r="CI137" s="229">
        <v>0.69669999999999999</v>
      </c>
      <c r="CJ137" s="230">
        <v>13950</v>
      </c>
      <c r="CK137" s="230">
        <v>12400</v>
      </c>
      <c r="CL137" s="230">
        <v>1550</v>
      </c>
      <c r="CM137" s="229">
        <v>0.125</v>
      </c>
      <c r="CN137" s="230">
        <v>1937500</v>
      </c>
      <c r="CO137" s="230">
        <v>1578675</v>
      </c>
      <c r="CP137" s="230">
        <v>358825</v>
      </c>
      <c r="CQ137" s="229">
        <v>0.2273</v>
      </c>
      <c r="CR137" s="230">
        <v>1398875</v>
      </c>
      <c r="CS137" s="230">
        <v>1234575</v>
      </c>
      <c r="CT137" s="230">
        <v>164300</v>
      </c>
      <c r="CU137" s="229">
        <v>0.1331</v>
      </c>
      <c r="CV137" s="230">
        <v>6275175</v>
      </c>
      <c r="CW137" s="230">
        <v>5677650</v>
      </c>
      <c r="CX137" s="230">
        <v>597525</v>
      </c>
      <c r="CY137" s="229">
        <v>0.1052</v>
      </c>
      <c r="CZ137" s="228">
        <v>52.14</v>
      </c>
      <c r="DA137" s="228">
        <v>43.84</v>
      </c>
      <c r="DB137" s="228">
        <v>8.3000000000000007</v>
      </c>
      <c r="DC137" s="228">
        <v>8.3000000000000007</v>
      </c>
      <c r="DD137" s="228">
        <v>54.71</v>
      </c>
      <c r="DE137" s="228">
        <v>54.82</v>
      </c>
      <c r="DF137" s="228">
        <v>-2.57</v>
      </c>
      <c r="DG137" s="228">
        <v>-0.11</v>
      </c>
      <c r="DH137" s="228">
        <v>51.19</v>
      </c>
      <c r="DI137" s="228">
        <v>42.79</v>
      </c>
      <c r="DJ137" s="228">
        <v>8.4</v>
      </c>
      <c r="DK137" s="228">
        <v>8.4</v>
      </c>
      <c r="DL137" s="228">
        <v>54.09</v>
      </c>
      <c r="DM137" s="228">
        <v>48.46</v>
      </c>
      <c r="DN137" s="228">
        <v>5.63</v>
      </c>
      <c r="DO137" s="228">
        <v>5.63</v>
      </c>
      <c r="DP137" s="228">
        <v>0.72</v>
      </c>
      <c r="DQ137" s="228">
        <v>0.78</v>
      </c>
      <c r="DR137" s="228">
        <v>-0.06</v>
      </c>
      <c r="DS137" s="229">
        <v>-7.6899999999999996E-2</v>
      </c>
      <c r="DT137" s="228">
        <v>820</v>
      </c>
      <c r="DU137" s="228">
        <v>680</v>
      </c>
      <c r="DV137" s="228">
        <v>0.49</v>
      </c>
      <c r="DW137" s="228">
        <v>0.23</v>
      </c>
      <c r="DX137" s="228">
        <v>0.26</v>
      </c>
      <c r="DY137" s="229">
        <v>1.1304000000000001</v>
      </c>
      <c r="DZ137" s="229">
        <v>5.9299999999999999E-2</v>
      </c>
      <c r="EA137" s="230">
        <v>106950</v>
      </c>
      <c r="EB137" s="229">
        <v>1.1999999999999999E-3</v>
      </c>
      <c r="EC137" s="229">
        <v>5.9299999999999999E-2</v>
      </c>
      <c r="ED137" s="228">
        <v>1.41</v>
      </c>
      <c r="EE137" s="229">
        <v>1.6999999999999999E-3</v>
      </c>
      <c r="EF137" s="230">
        <v>785461</v>
      </c>
      <c r="EG137" s="230">
        <v>890005</v>
      </c>
      <c r="EH137" s="229">
        <v>-0.11749999999999999</v>
      </c>
      <c r="EI137" s="229">
        <v>0.2651</v>
      </c>
      <c r="EJ137" s="231">
        <v>100327.56</v>
      </c>
      <c r="EK137" s="231">
        <v>45518.26</v>
      </c>
      <c r="EL137" s="231">
        <v>35992.32</v>
      </c>
      <c r="EM137" s="231">
        <v>1630</v>
      </c>
      <c r="EN137" s="231">
        <v>181838.14</v>
      </c>
      <c r="EO137" s="231">
        <v>91402.74</v>
      </c>
      <c r="EP137" s="231">
        <v>90435.4</v>
      </c>
      <c r="EQ137" s="229">
        <v>0.98939999999999995</v>
      </c>
      <c r="ER137" s="231">
        <v>15495</v>
      </c>
      <c r="ES137" s="231">
        <v>10175</v>
      </c>
      <c r="ET137" s="231">
        <v>23729</v>
      </c>
      <c r="EU137" s="231">
        <v>29196111</v>
      </c>
      <c r="EV137" s="231">
        <v>49400</v>
      </c>
      <c r="EW137" s="231">
        <v>44658</v>
      </c>
      <c r="EX137" s="231">
        <v>4742</v>
      </c>
      <c r="EY137" s="229">
        <v>0.1062</v>
      </c>
      <c r="EZ137" s="229">
        <v>0.21490000000000001</v>
      </c>
      <c r="FA137" s="227" t="s">
        <v>566</v>
      </c>
      <c r="FB137" s="161">
        <f t="shared" si="2"/>
        <v>174375</v>
      </c>
    </row>
    <row r="138" spans="1:158" ht="17.25" thickBot="1" x14ac:dyDescent="0.3">
      <c r="A138" s="226">
        <v>46132</v>
      </c>
      <c r="B138" s="227" t="s">
        <v>221</v>
      </c>
      <c r="C138" s="227" t="s">
        <v>487</v>
      </c>
      <c r="D138" s="228">
        <v>275</v>
      </c>
      <c r="E138" s="231">
        <v>2415.3000000000002</v>
      </c>
      <c r="F138" s="231">
        <v>2470</v>
      </c>
      <c r="G138" s="228">
        <v>-54.7</v>
      </c>
      <c r="H138" s="229">
        <v>-2.2100000000000002E-2</v>
      </c>
      <c r="I138" s="231">
        <v>2417</v>
      </c>
      <c r="J138" s="231">
        <v>2462.1999999999998</v>
      </c>
      <c r="K138" s="228">
        <v>-45.2</v>
      </c>
      <c r="L138" s="229">
        <v>-1.84E-2</v>
      </c>
      <c r="M138" s="231">
        <v>2415.3000000000002</v>
      </c>
      <c r="N138" s="231">
        <v>2470</v>
      </c>
      <c r="O138" s="228">
        <v>-54.7</v>
      </c>
      <c r="P138" s="229">
        <v>-2.2100000000000002E-2</v>
      </c>
      <c r="Q138" s="231">
        <v>2421.3000000000002</v>
      </c>
      <c r="R138" s="231">
        <v>2478.1</v>
      </c>
      <c r="S138" s="228">
        <v>-56.8</v>
      </c>
      <c r="T138" s="229">
        <v>-2.29E-2</v>
      </c>
      <c r="U138" s="231">
        <v>2436.4</v>
      </c>
      <c r="V138" s="231">
        <v>2489.4</v>
      </c>
      <c r="W138" s="228">
        <v>-53</v>
      </c>
      <c r="X138" s="229">
        <v>-2.1299999999999999E-2</v>
      </c>
      <c r="Y138" s="228">
        <v>-1.7</v>
      </c>
      <c r="Z138" s="228">
        <v>7.8</v>
      </c>
      <c r="AA138" s="228">
        <v>-9.5</v>
      </c>
      <c r="AB138" s="229">
        <v>-6.9999999999999999E-4</v>
      </c>
      <c r="AC138" s="228">
        <v>-1.7</v>
      </c>
      <c r="AD138" s="228">
        <v>7.8</v>
      </c>
      <c r="AE138" s="228">
        <v>-9.5</v>
      </c>
      <c r="AF138" s="229">
        <v>-6.9999999999999999E-4</v>
      </c>
      <c r="AG138" s="228">
        <v>4.3</v>
      </c>
      <c r="AH138" s="228">
        <v>15.9</v>
      </c>
      <c r="AI138" s="228">
        <v>-11.6</v>
      </c>
      <c r="AJ138" s="229">
        <v>1.8E-3</v>
      </c>
      <c r="AK138" s="228">
        <v>19.399999999999999</v>
      </c>
      <c r="AL138" s="228">
        <v>27.2</v>
      </c>
      <c r="AM138" s="228">
        <v>-7.8</v>
      </c>
      <c r="AN138" s="229">
        <v>8.0000000000000002E-3</v>
      </c>
      <c r="AO138" s="231">
        <v>2426.52</v>
      </c>
      <c r="AP138" s="231">
        <v>2437.31</v>
      </c>
      <c r="AQ138" s="228">
        <v>0</v>
      </c>
      <c r="AR138" s="230">
        <v>550550</v>
      </c>
      <c r="AS138" s="230">
        <v>614350</v>
      </c>
      <c r="AT138" s="230">
        <v>-63800</v>
      </c>
      <c r="AU138" s="229">
        <v>-0.1038</v>
      </c>
      <c r="AV138" s="230">
        <v>510125</v>
      </c>
      <c r="AW138" s="230">
        <v>580525</v>
      </c>
      <c r="AX138" s="230">
        <v>-70400</v>
      </c>
      <c r="AY138" s="229">
        <v>-0.12130000000000001</v>
      </c>
      <c r="AZ138" s="230">
        <v>39050</v>
      </c>
      <c r="BA138" s="230">
        <v>31900</v>
      </c>
      <c r="BB138" s="230">
        <v>7150</v>
      </c>
      <c r="BC138" s="229">
        <v>0.22409999999999999</v>
      </c>
      <c r="BD138" s="230">
        <v>1375</v>
      </c>
      <c r="BE138" s="230">
        <v>1925</v>
      </c>
      <c r="BF138" s="228">
        <v>-550</v>
      </c>
      <c r="BG138" s="229">
        <v>-0.28570000000000001</v>
      </c>
      <c r="BH138" s="230">
        <v>834900</v>
      </c>
      <c r="BI138" s="230">
        <v>987525</v>
      </c>
      <c r="BJ138" s="230">
        <v>-152625</v>
      </c>
      <c r="BK138" s="229">
        <v>-0.15459999999999999</v>
      </c>
      <c r="BL138" s="230">
        <v>549450</v>
      </c>
      <c r="BM138" s="230">
        <v>751300</v>
      </c>
      <c r="BN138" s="230">
        <v>-201850</v>
      </c>
      <c r="BO138" s="229">
        <v>-0.26869999999999999</v>
      </c>
      <c r="BP138" s="230">
        <v>1934900</v>
      </c>
      <c r="BQ138" s="230">
        <v>2353175</v>
      </c>
      <c r="BR138" s="230">
        <v>-418275</v>
      </c>
      <c r="BS138" s="229">
        <v>-0.1777</v>
      </c>
      <c r="BT138" s="230">
        <v>184607</v>
      </c>
      <c r="BU138" s="230">
        <v>490558</v>
      </c>
      <c r="BV138" s="230">
        <v>-305951</v>
      </c>
      <c r="BW138" s="229">
        <v>-0.62370000000000003</v>
      </c>
      <c r="BX138" s="230">
        <v>4735775</v>
      </c>
      <c r="BY138" s="230">
        <v>4718450</v>
      </c>
      <c r="BZ138" s="230">
        <v>17325</v>
      </c>
      <c r="CA138" s="229">
        <v>3.7000000000000002E-3</v>
      </c>
      <c r="CB138" s="230">
        <v>4458300</v>
      </c>
      <c r="CC138" s="230">
        <v>4452525</v>
      </c>
      <c r="CD138" s="230">
        <v>5775</v>
      </c>
      <c r="CE138" s="229">
        <v>1.2999999999999999E-3</v>
      </c>
      <c r="CF138" s="230">
        <v>269500</v>
      </c>
      <c r="CG138" s="230">
        <v>259325</v>
      </c>
      <c r="CH138" s="230">
        <v>10175</v>
      </c>
      <c r="CI138" s="229">
        <v>3.9199999999999999E-2</v>
      </c>
      <c r="CJ138" s="230">
        <v>7975</v>
      </c>
      <c r="CK138" s="230">
        <v>6600</v>
      </c>
      <c r="CL138" s="230">
        <v>1375</v>
      </c>
      <c r="CM138" s="229">
        <v>0.20830000000000001</v>
      </c>
      <c r="CN138" s="230">
        <v>1162150</v>
      </c>
      <c r="CO138" s="230">
        <v>1187175</v>
      </c>
      <c r="CP138" s="230">
        <v>-25025</v>
      </c>
      <c r="CQ138" s="229">
        <v>-2.1100000000000001E-2</v>
      </c>
      <c r="CR138" s="230">
        <v>878075</v>
      </c>
      <c r="CS138" s="230">
        <v>924000</v>
      </c>
      <c r="CT138" s="230">
        <v>-45925</v>
      </c>
      <c r="CU138" s="229">
        <v>-4.9700000000000001E-2</v>
      </c>
      <c r="CV138" s="230">
        <v>6776000</v>
      </c>
      <c r="CW138" s="230">
        <v>6829625</v>
      </c>
      <c r="CX138" s="230">
        <v>-53625</v>
      </c>
      <c r="CY138" s="229">
        <v>-7.9000000000000008E-3</v>
      </c>
      <c r="CZ138" s="228">
        <v>39.61</v>
      </c>
      <c r="DA138" s="228">
        <v>35.29</v>
      </c>
      <c r="DB138" s="228">
        <v>4.32</v>
      </c>
      <c r="DC138" s="228">
        <v>4.32</v>
      </c>
      <c r="DD138" s="228">
        <v>36.44</v>
      </c>
      <c r="DE138" s="228">
        <v>36.450000000000003</v>
      </c>
      <c r="DF138" s="228">
        <v>3.17</v>
      </c>
      <c r="DG138" s="228">
        <v>-0.01</v>
      </c>
      <c r="DH138" s="228">
        <v>38.06</v>
      </c>
      <c r="DI138" s="228">
        <v>33.43</v>
      </c>
      <c r="DJ138" s="228">
        <v>4.63</v>
      </c>
      <c r="DK138" s="228">
        <v>4.63</v>
      </c>
      <c r="DL138" s="228">
        <v>41.97</v>
      </c>
      <c r="DM138" s="228">
        <v>37.729999999999997</v>
      </c>
      <c r="DN138" s="228">
        <v>4.24</v>
      </c>
      <c r="DO138" s="228">
        <v>4.24</v>
      </c>
      <c r="DP138" s="228">
        <v>0.76</v>
      </c>
      <c r="DQ138" s="228">
        <v>0.78</v>
      </c>
      <c r="DR138" s="228">
        <v>-0.02</v>
      </c>
      <c r="DS138" s="229">
        <v>-2.5600000000000001E-2</v>
      </c>
      <c r="DT138" s="231">
        <v>2600</v>
      </c>
      <c r="DU138" s="231">
        <v>2300</v>
      </c>
      <c r="DV138" s="228">
        <v>0.66</v>
      </c>
      <c r="DW138" s="228">
        <v>0.76</v>
      </c>
      <c r="DX138" s="228">
        <v>-0.1</v>
      </c>
      <c r="DY138" s="229">
        <v>-0.13159999999999999</v>
      </c>
      <c r="DZ138" s="229">
        <v>5.8599999999999999E-2</v>
      </c>
      <c r="EA138" s="230">
        <v>265925</v>
      </c>
      <c r="EB138" s="229">
        <v>2.5000000000000001E-3</v>
      </c>
      <c r="EC138" s="229">
        <v>5.8599999999999999E-2</v>
      </c>
      <c r="ED138" s="228">
        <v>10.79</v>
      </c>
      <c r="EE138" s="229">
        <v>4.4000000000000003E-3</v>
      </c>
      <c r="EF138" s="230">
        <v>68914</v>
      </c>
      <c r="EG138" s="230">
        <v>249876</v>
      </c>
      <c r="EH138" s="229">
        <v>-0.72419999999999995</v>
      </c>
      <c r="EI138" s="229">
        <v>0.37330000000000002</v>
      </c>
      <c r="EJ138" s="231">
        <v>21267.93</v>
      </c>
      <c r="EK138" s="231">
        <v>12942.33</v>
      </c>
      <c r="EL138" s="231">
        <v>13363.7</v>
      </c>
      <c r="EM138" s="231">
        <v>3688</v>
      </c>
      <c r="EN138" s="231">
        <v>47573.96</v>
      </c>
      <c r="EO138" s="231">
        <v>57689.24</v>
      </c>
      <c r="EP138" s="231">
        <v>-10115.280000000001</v>
      </c>
      <c r="EQ138" s="229">
        <v>-0.17530000000000001</v>
      </c>
      <c r="ER138" s="231">
        <v>28170</v>
      </c>
      <c r="ES138" s="231">
        <v>19850</v>
      </c>
      <c r="ET138" s="231">
        <v>114401</v>
      </c>
      <c r="EU138" s="231">
        <v>19838356</v>
      </c>
      <c r="EV138" s="231">
        <v>162421</v>
      </c>
      <c r="EW138" s="231">
        <v>166178</v>
      </c>
      <c r="EX138" s="231">
        <v>-3757</v>
      </c>
      <c r="EY138" s="229">
        <v>-2.2599999999999999E-2</v>
      </c>
      <c r="EZ138" s="229">
        <v>0.34160000000000001</v>
      </c>
      <c r="FA138" s="227" t="s">
        <v>566</v>
      </c>
      <c r="FB138" s="161">
        <f t="shared" si="2"/>
        <v>277475</v>
      </c>
    </row>
    <row r="139" spans="1:158" ht="17.25" thickBot="1" x14ac:dyDescent="0.3">
      <c r="A139" s="226">
        <v>46132</v>
      </c>
      <c r="B139" s="227" t="s">
        <v>175</v>
      </c>
      <c r="C139" s="227" t="s">
        <v>262</v>
      </c>
      <c r="D139" s="228">
        <v>275</v>
      </c>
      <c r="E139" s="231">
        <v>3541.5</v>
      </c>
      <c r="F139" s="231">
        <v>3572</v>
      </c>
      <c r="G139" s="228">
        <v>-30.5</v>
      </c>
      <c r="H139" s="229">
        <v>-8.5000000000000006E-3</v>
      </c>
      <c r="I139" s="231">
        <v>3531.2</v>
      </c>
      <c r="J139" s="231">
        <v>3571.3</v>
      </c>
      <c r="K139" s="228">
        <v>-40.1</v>
      </c>
      <c r="L139" s="229">
        <v>-1.12E-2</v>
      </c>
      <c r="M139" s="231">
        <v>3541.5</v>
      </c>
      <c r="N139" s="231">
        <v>3572</v>
      </c>
      <c r="O139" s="228">
        <v>-30.5</v>
      </c>
      <c r="P139" s="229">
        <v>-8.5000000000000006E-3</v>
      </c>
      <c r="Q139" s="231">
        <v>3551.5</v>
      </c>
      <c r="R139" s="231">
        <v>3578.8</v>
      </c>
      <c r="S139" s="228">
        <v>-27.3</v>
      </c>
      <c r="T139" s="229">
        <v>-7.6E-3</v>
      </c>
      <c r="U139" s="231">
        <v>3561</v>
      </c>
      <c r="V139" s="231">
        <v>3595.2</v>
      </c>
      <c r="W139" s="228">
        <v>-34.200000000000003</v>
      </c>
      <c r="X139" s="229">
        <v>-9.4999999999999998E-3</v>
      </c>
      <c r="Y139" s="228">
        <v>10.3</v>
      </c>
      <c r="Z139" s="228">
        <v>0.7</v>
      </c>
      <c r="AA139" s="228">
        <v>9.6</v>
      </c>
      <c r="AB139" s="229">
        <v>2.8999999999999998E-3</v>
      </c>
      <c r="AC139" s="228">
        <v>10.3</v>
      </c>
      <c r="AD139" s="228">
        <v>0.7</v>
      </c>
      <c r="AE139" s="228">
        <v>9.6</v>
      </c>
      <c r="AF139" s="229">
        <v>2.8999999999999998E-3</v>
      </c>
      <c r="AG139" s="228">
        <v>20.3</v>
      </c>
      <c r="AH139" s="228">
        <v>7.5</v>
      </c>
      <c r="AI139" s="228">
        <v>12.8</v>
      </c>
      <c r="AJ139" s="229">
        <v>5.7000000000000002E-3</v>
      </c>
      <c r="AK139" s="228">
        <v>29.8</v>
      </c>
      <c r="AL139" s="228">
        <v>23.9</v>
      </c>
      <c r="AM139" s="228">
        <v>5.9</v>
      </c>
      <c r="AN139" s="229">
        <v>8.3999999999999995E-3</v>
      </c>
      <c r="AO139" s="231">
        <v>3549.85</v>
      </c>
      <c r="AP139" s="231">
        <v>3558.86</v>
      </c>
      <c r="AQ139" s="228">
        <v>0</v>
      </c>
      <c r="AR139" s="230">
        <v>607200</v>
      </c>
      <c r="AS139" s="230">
        <v>1009250</v>
      </c>
      <c r="AT139" s="230">
        <v>-402050</v>
      </c>
      <c r="AU139" s="229">
        <v>-0.39839999999999998</v>
      </c>
      <c r="AV139" s="230">
        <v>557975</v>
      </c>
      <c r="AW139" s="230">
        <v>876425</v>
      </c>
      <c r="AX139" s="230">
        <v>-318450</v>
      </c>
      <c r="AY139" s="229">
        <v>-0.3634</v>
      </c>
      <c r="AZ139" s="230">
        <v>44825</v>
      </c>
      <c r="BA139" s="230">
        <v>128150</v>
      </c>
      <c r="BB139" s="230">
        <v>-83325</v>
      </c>
      <c r="BC139" s="229">
        <v>-0.6502</v>
      </c>
      <c r="BD139" s="230">
        <v>4400</v>
      </c>
      <c r="BE139" s="230">
        <v>4675</v>
      </c>
      <c r="BF139" s="228">
        <v>-275</v>
      </c>
      <c r="BG139" s="229">
        <v>-5.8799999999999998E-2</v>
      </c>
      <c r="BH139" s="230">
        <v>1796300</v>
      </c>
      <c r="BI139" s="230">
        <v>4881800</v>
      </c>
      <c r="BJ139" s="230">
        <v>-3085500</v>
      </c>
      <c r="BK139" s="229">
        <v>-0.63200000000000001</v>
      </c>
      <c r="BL139" s="230">
        <v>815100</v>
      </c>
      <c r="BM139" s="230">
        <v>2502225</v>
      </c>
      <c r="BN139" s="230">
        <v>-1687125</v>
      </c>
      <c r="BO139" s="229">
        <v>-0.67420000000000002</v>
      </c>
      <c r="BP139" s="230">
        <v>3218600</v>
      </c>
      <c r="BQ139" s="230">
        <v>8393275</v>
      </c>
      <c r="BR139" s="230">
        <v>-5174675</v>
      </c>
      <c r="BS139" s="229">
        <v>-0.61650000000000005</v>
      </c>
      <c r="BT139" s="230">
        <v>438256</v>
      </c>
      <c r="BU139" s="230">
        <v>671923</v>
      </c>
      <c r="BV139" s="230">
        <v>-233667</v>
      </c>
      <c r="BW139" s="229">
        <v>-0.3478</v>
      </c>
      <c r="BX139" s="230">
        <v>3863475</v>
      </c>
      <c r="BY139" s="230">
        <v>3907475</v>
      </c>
      <c r="BZ139" s="230">
        <v>-44000</v>
      </c>
      <c r="CA139" s="229">
        <v>-1.1299999999999999E-2</v>
      </c>
      <c r="CB139" s="230">
        <v>3625050</v>
      </c>
      <c r="CC139" s="230">
        <v>3675650</v>
      </c>
      <c r="CD139" s="230">
        <v>-50600</v>
      </c>
      <c r="CE139" s="229">
        <v>-1.38E-2</v>
      </c>
      <c r="CF139" s="230">
        <v>212575</v>
      </c>
      <c r="CG139" s="230">
        <v>207625</v>
      </c>
      <c r="CH139" s="230">
        <v>4950</v>
      </c>
      <c r="CI139" s="229">
        <v>2.3800000000000002E-2</v>
      </c>
      <c r="CJ139" s="230">
        <v>25850</v>
      </c>
      <c r="CK139" s="230">
        <v>24200</v>
      </c>
      <c r="CL139" s="230">
        <v>1650</v>
      </c>
      <c r="CM139" s="229">
        <v>6.8199999999999997E-2</v>
      </c>
      <c r="CN139" s="230">
        <v>2406250</v>
      </c>
      <c r="CO139" s="230">
        <v>2358950</v>
      </c>
      <c r="CP139" s="230">
        <v>47300</v>
      </c>
      <c r="CQ139" s="229">
        <v>2.01E-2</v>
      </c>
      <c r="CR139" s="230">
        <v>1384625</v>
      </c>
      <c r="CS139" s="230">
        <v>1438525</v>
      </c>
      <c r="CT139" s="230">
        <v>-53900</v>
      </c>
      <c r="CU139" s="229">
        <v>-3.7499999999999999E-2</v>
      </c>
      <c r="CV139" s="230">
        <v>7654350</v>
      </c>
      <c r="CW139" s="230">
        <v>7704950</v>
      </c>
      <c r="CX139" s="230">
        <v>-50600</v>
      </c>
      <c r="CY139" s="229">
        <v>-6.6E-3</v>
      </c>
      <c r="CZ139" s="228">
        <v>39.79</v>
      </c>
      <c r="DA139" s="228">
        <v>35.81</v>
      </c>
      <c r="DB139" s="228">
        <v>3.98</v>
      </c>
      <c r="DC139" s="228">
        <v>3.98</v>
      </c>
      <c r="DD139" s="228">
        <v>44.17</v>
      </c>
      <c r="DE139" s="228">
        <v>44.26</v>
      </c>
      <c r="DF139" s="228">
        <v>-4.38</v>
      </c>
      <c r="DG139" s="228">
        <v>-0.09</v>
      </c>
      <c r="DH139" s="228">
        <v>38.35</v>
      </c>
      <c r="DI139" s="228">
        <v>34.75</v>
      </c>
      <c r="DJ139" s="228">
        <v>3.6</v>
      </c>
      <c r="DK139" s="228">
        <v>3.6</v>
      </c>
      <c r="DL139" s="228">
        <v>42.96</v>
      </c>
      <c r="DM139" s="228">
        <v>37.869999999999997</v>
      </c>
      <c r="DN139" s="228">
        <v>5.09</v>
      </c>
      <c r="DO139" s="228">
        <v>5.09</v>
      </c>
      <c r="DP139" s="228">
        <v>0.57999999999999996</v>
      </c>
      <c r="DQ139" s="228">
        <v>0.61</v>
      </c>
      <c r="DR139" s="228">
        <v>-0.03</v>
      </c>
      <c r="DS139" s="229">
        <v>-4.9200000000000001E-2</v>
      </c>
      <c r="DT139" s="231">
        <v>3500</v>
      </c>
      <c r="DU139" s="231">
        <v>3500</v>
      </c>
      <c r="DV139" s="228">
        <v>0.45</v>
      </c>
      <c r="DW139" s="228">
        <v>0.51</v>
      </c>
      <c r="DX139" s="228">
        <v>-0.06</v>
      </c>
      <c r="DY139" s="229">
        <v>-0.1176</v>
      </c>
      <c r="DZ139" s="229">
        <v>6.1699999999999998E-2</v>
      </c>
      <c r="EA139" s="230">
        <v>231825</v>
      </c>
      <c r="EB139" s="229">
        <v>2.8E-3</v>
      </c>
      <c r="EC139" s="229">
        <v>6.1699999999999998E-2</v>
      </c>
      <c r="ED139" s="228">
        <v>9.01</v>
      </c>
      <c r="EE139" s="229">
        <v>2.5000000000000001E-3</v>
      </c>
      <c r="EF139" s="230">
        <v>197961</v>
      </c>
      <c r="EG139" s="230">
        <v>252755</v>
      </c>
      <c r="EH139" s="229">
        <v>-0.21679999999999999</v>
      </c>
      <c r="EI139" s="229">
        <v>0.45169999999999999</v>
      </c>
      <c r="EJ139" s="231">
        <v>67113.86</v>
      </c>
      <c r="EK139" s="231">
        <v>28150.42</v>
      </c>
      <c r="EL139" s="231">
        <v>21559.919999999998</v>
      </c>
      <c r="EM139" s="231">
        <v>3785</v>
      </c>
      <c r="EN139" s="231">
        <v>116824.2</v>
      </c>
      <c r="EO139" s="231">
        <v>305236.39</v>
      </c>
      <c r="EP139" s="231">
        <v>-188412.19</v>
      </c>
      <c r="EQ139" s="229">
        <v>-0.61729999999999996</v>
      </c>
      <c r="ER139" s="231">
        <v>86741</v>
      </c>
      <c r="ES139" s="231">
        <v>45908</v>
      </c>
      <c r="ET139" s="231">
        <v>136851</v>
      </c>
      <c r="EU139" s="231">
        <v>16050690</v>
      </c>
      <c r="EV139" s="231">
        <v>269500</v>
      </c>
      <c r="EW139" s="231">
        <v>272154</v>
      </c>
      <c r="EX139" s="231">
        <v>-2654</v>
      </c>
      <c r="EY139" s="229">
        <v>-9.7999999999999997E-3</v>
      </c>
      <c r="EZ139" s="229">
        <v>0.47689999999999999</v>
      </c>
      <c r="FA139" s="227" t="s">
        <v>567</v>
      </c>
      <c r="FB139" s="161">
        <f>BX139-CB139</f>
        <v>238425</v>
      </c>
    </row>
    <row r="140" spans="1:158" ht="17.25" thickBot="1" x14ac:dyDescent="0.3">
      <c r="A140" s="226">
        <v>46132</v>
      </c>
      <c r="B140" s="227" t="s">
        <v>175</v>
      </c>
      <c r="C140" s="227" t="s">
        <v>486</v>
      </c>
      <c r="D140" s="228">
        <v>625</v>
      </c>
      <c r="E140" s="231">
        <v>1003.5</v>
      </c>
      <c r="F140" s="231">
        <v>1000.05</v>
      </c>
      <c r="G140" s="228">
        <v>3.45</v>
      </c>
      <c r="H140" s="229">
        <v>3.3999999999999998E-3</v>
      </c>
      <c r="I140" s="231">
        <v>1003</v>
      </c>
      <c r="J140" s="231">
        <v>1015.05</v>
      </c>
      <c r="K140" s="228">
        <v>-12.05</v>
      </c>
      <c r="L140" s="229">
        <v>-1.1900000000000001E-2</v>
      </c>
      <c r="M140" s="231">
        <v>1003.5</v>
      </c>
      <c r="N140" s="231">
        <v>1000.05</v>
      </c>
      <c r="O140" s="228">
        <v>3.45</v>
      </c>
      <c r="P140" s="229">
        <v>3.3999999999999998E-3</v>
      </c>
      <c r="Q140" s="228">
        <v>994.55</v>
      </c>
      <c r="R140" s="228">
        <v>989.9</v>
      </c>
      <c r="S140" s="228">
        <v>4.6500000000000004</v>
      </c>
      <c r="T140" s="229">
        <v>4.7000000000000002E-3</v>
      </c>
      <c r="U140" s="228">
        <v>990.3</v>
      </c>
      <c r="V140" s="228">
        <v>969.15</v>
      </c>
      <c r="W140" s="228">
        <v>21.15</v>
      </c>
      <c r="X140" s="229">
        <v>2.18E-2</v>
      </c>
      <c r="Y140" s="228">
        <v>0.5</v>
      </c>
      <c r="Z140" s="228">
        <v>-15</v>
      </c>
      <c r="AA140" s="228">
        <v>15.5</v>
      </c>
      <c r="AB140" s="229">
        <v>5.0000000000000001E-4</v>
      </c>
      <c r="AC140" s="228">
        <v>0.5</v>
      </c>
      <c r="AD140" s="228">
        <v>-15</v>
      </c>
      <c r="AE140" s="228">
        <v>15.5</v>
      </c>
      <c r="AF140" s="229">
        <v>5.0000000000000001E-4</v>
      </c>
      <c r="AG140" s="228">
        <v>-8.4499999999999993</v>
      </c>
      <c r="AH140" s="228">
        <v>-25.15</v>
      </c>
      <c r="AI140" s="228">
        <v>16.7</v>
      </c>
      <c r="AJ140" s="229">
        <v>-8.3999999999999995E-3</v>
      </c>
      <c r="AK140" s="228">
        <v>-12.7</v>
      </c>
      <c r="AL140" s="228">
        <v>-45.9</v>
      </c>
      <c r="AM140" s="228">
        <v>33.200000000000003</v>
      </c>
      <c r="AN140" s="229">
        <v>-1.2699999999999999E-2</v>
      </c>
      <c r="AO140" s="231">
        <v>1007.51</v>
      </c>
      <c r="AP140" s="228">
        <v>999.08</v>
      </c>
      <c r="AQ140" s="228">
        <v>0</v>
      </c>
      <c r="AR140" s="230">
        <v>878125</v>
      </c>
      <c r="AS140" s="230">
        <v>1536875</v>
      </c>
      <c r="AT140" s="230">
        <v>-658750</v>
      </c>
      <c r="AU140" s="229">
        <v>-0.42859999999999998</v>
      </c>
      <c r="AV140" s="230">
        <v>676875</v>
      </c>
      <c r="AW140" s="230">
        <v>1206875</v>
      </c>
      <c r="AX140" s="230">
        <v>-530000</v>
      </c>
      <c r="AY140" s="229">
        <v>-0.43919999999999998</v>
      </c>
      <c r="AZ140" s="230">
        <v>196875</v>
      </c>
      <c r="BA140" s="230">
        <v>325625</v>
      </c>
      <c r="BB140" s="230">
        <v>-128750</v>
      </c>
      <c r="BC140" s="229">
        <v>-0.39539999999999997</v>
      </c>
      <c r="BD140" s="230">
        <v>4375</v>
      </c>
      <c r="BE140" s="230">
        <v>4375</v>
      </c>
      <c r="BF140" s="228">
        <v>0</v>
      </c>
      <c r="BG140" s="229">
        <v>0</v>
      </c>
      <c r="BH140" s="230">
        <v>1729375</v>
      </c>
      <c r="BI140" s="230">
        <v>2637500</v>
      </c>
      <c r="BJ140" s="230">
        <v>-908125</v>
      </c>
      <c r="BK140" s="229">
        <v>-0.34429999999999999</v>
      </c>
      <c r="BL140" s="230">
        <v>486875</v>
      </c>
      <c r="BM140" s="230">
        <v>679375</v>
      </c>
      <c r="BN140" s="230">
        <v>-192500</v>
      </c>
      <c r="BO140" s="229">
        <v>-0.2833</v>
      </c>
      <c r="BP140" s="230">
        <v>3094375</v>
      </c>
      <c r="BQ140" s="230">
        <v>4853750</v>
      </c>
      <c r="BR140" s="230">
        <v>-1759375</v>
      </c>
      <c r="BS140" s="229">
        <v>-0.36249999999999999</v>
      </c>
      <c r="BT140" s="230">
        <v>920725</v>
      </c>
      <c r="BU140" s="230">
        <v>2395614</v>
      </c>
      <c r="BV140" s="230">
        <v>-1474889</v>
      </c>
      <c r="BW140" s="229">
        <v>-0.61570000000000003</v>
      </c>
      <c r="BX140" s="230">
        <v>3328750</v>
      </c>
      <c r="BY140" s="230">
        <v>3185000</v>
      </c>
      <c r="BZ140" s="230">
        <v>143750</v>
      </c>
      <c r="CA140" s="229">
        <v>4.5100000000000001E-2</v>
      </c>
      <c r="CB140" s="230">
        <v>2978125</v>
      </c>
      <c r="CC140" s="230">
        <v>2913750</v>
      </c>
      <c r="CD140" s="230">
        <v>64375</v>
      </c>
      <c r="CE140" s="229">
        <v>2.2100000000000002E-2</v>
      </c>
      <c r="CF140" s="230">
        <v>346250</v>
      </c>
      <c r="CG140" s="230">
        <v>266250</v>
      </c>
      <c r="CH140" s="230">
        <v>80000</v>
      </c>
      <c r="CI140" s="229">
        <v>0.30049999999999999</v>
      </c>
      <c r="CJ140" s="230">
        <v>4375</v>
      </c>
      <c r="CK140" s="230">
        <v>5000</v>
      </c>
      <c r="CL140" s="228">
        <v>-625</v>
      </c>
      <c r="CM140" s="229">
        <v>-0.125</v>
      </c>
      <c r="CN140" s="230">
        <v>764375</v>
      </c>
      <c r="CO140" s="230">
        <v>730000</v>
      </c>
      <c r="CP140" s="230">
        <v>34375</v>
      </c>
      <c r="CQ140" s="229">
        <v>4.7100000000000003E-2</v>
      </c>
      <c r="CR140" s="230">
        <v>500000</v>
      </c>
      <c r="CS140" s="230">
        <v>529375</v>
      </c>
      <c r="CT140" s="230">
        <v>-29375</v>
      </c>
      <c r="CU140" s="229">
        <v>-5.5500000000000001E-2</v>
      </c>
      <c r="CV140" s="230">
        <v>4593125</v>
      </c>
      <c r="CW140" s="230">
        <v>4444375</v>
      </c>
      <c r="CX140" s="230">
        <v>148750</v>
      </c>
      <c r="CY140" s="229">
        <v>3.3500000000000002E-2</v>
      </c>
      <c r="CZ140" s="228">
        <v>57.09</v>
      </c>
      <c r="DA140" s="228">
        <v>49.63</v>
      </c>
      <c r="DB140" s="228">
        <v>7.46</v>
      </c>
      <c r="DC140" s="228">
        <v>7.46</v>
      </c>
      <c r="DD140" s="228">
        <v>49.89</v>
      </c>
      <c r="DE140" s="228">
        <v>49.99</v>
      </c>
      <c r="DF140" s="228">
        <v>7.2</v>
      </c>
      <c r="DG140" s="228">
        <v>-0.1</v>
      </c>
      <c r="DH140" s="228">
        <v>55.5</v>
      </c>
      <c r="DI140" s="228">
        <v>47.62</v>
      </c>
      <c r="DJ140" s="228">
        <v>7.88</v>
      </c>
      <c r="DK140" s="228">
        <v>7.88</v>
      </c>
      <c r="DL140" s="228">
        <v>62.76</v>
      </c>
      <c r="DM140" s="228">
        <v>57.45</v>
      </c>
      <c r="DN140" s="228">
        <v>5.31</v>
      </c>
      <c r="DO140" s="228">
        <v>5.31</v>
      </c>
      <c r="DP140" s="228">
        <v>0.65</v>
      </c>
      <c r="DQ140" s="228">
        <v>0.73</v>
      </c>
      <c r="DR140" s="228">
        <v>-0.08</v>
      </c>
      <c r="DS140" s="229">
        <v>-0.1096</v>
      </c>
      <c r="DT140" s="231">
        <v>1000</v>
      </c>
      <c r="DU140" s="231">
        <v>1000</v>
      </c>
      <c r="DV140" s="228">
        <v>0.28000000000000003</v>
      </c>
      <c r="DW140" s="228">
        <v>0.26</v>
      </c>
      <c r="DX140" s="228">
        <v>0.02</v>
      </c>
      <c r="DY140" s="229">
        <v>7.6899999999999996E-2</v>
      </c>
      <c r="DZ140" s="229">
        <v>0.1053</v>
      </c>
      <c r="EA140" s="230">
        <v>271250</v>
      </c>
      <c r="EB140" s="229">
        <v>-8.8999999999999999E-3</v>
      </c>
      <c r="EC140" s="229">
        <v>0.1053</v>
      </c>
      <c r="ED140" s="228">
        <v>-8.43</v>
      </c>
      <c r="EE140" s="229">
        <v>-8.3999999999999995E-3</v>
      </c>
      <c r="EF140" s="230">
        <v>391881</v>
      </c>
      <c r="EG140" s="230">
        <v>1302884</v>
      </c>
      <c r="EH140" s="229">
        <v>-0.69920000000000004</v>
      </c>
      <c r="EI140" s="229">
        <v>0.42559999999999998</v>
      </c>
      <c r="EJ140" s="231">
        <v>18523.3</v>
      </c>
      <c r="EK140" s="231">
        <v>4518.8500000000004</v>
      </c>
      <c r="EL140" s="231">
        <v>8829.91</v>
      </c>
      <c r="EM140" s="231">
        <v>1901</v>
      </c>
      <c r="EN140" s="231">
        <v>31872.06</v>
      </c>
      <c r="EO140" s="231">
        <v>48863.82</v>
      </c>
      <c r="EP140" s="231">
        <v>-16991.759999999998</v>
      </c>
      <c r="EQ140" s="229">
        <v>-0.34770000000000001</v>
      </c>
      <c r="ER140" s="231">
        <v>7648</v>
      </c>
      <c r="ES140" s="231">
        <v>4396</v>
      </c>
      <c r="ET140" s="231">
        <v>33372</v>
      </c>
      <c r="EU140" s="231">
        <v>26709548</v>
      </c>
      <c r="EV140" s="231">
        <v>45417</v>
      </c>
      <c r="EW140" s="231">
        <v>43636</v>
      </c>
      <c r="EX140" s="231">
        <v>1781</v>
      </c>
      <c r="EY140" s="229">
        <v>4.0800000000000003E-2</v>
      </c>
      <c r="EZ140" s="229">
        <v>0.17199999999999999</v>
      </c>
      <c r="FA140" s="227" t="s">
        <v>555</v>
      </c>
      <c r="FB140" s="161">
        <f>BX140-CB140</f>
        <v>350625</v>
      </c>
    </row>
    <row r="141" spans="1:158" ht="17.25" thickBot="1" x14ac:dyDescent="0.3">
      <c r="A141" s="226">
        <v>46132</v>
      </c>
      <c r="B141" s="227" t="s">
        <v>227</v>
      </c>
      <c r="C141" s="227" t="s">
        <v>263</v>
      </c>
      <c r="D141" s="228">
        <v>3750</v>
      </c>
      <c r="E141" s="228">
        <v>427.1</v>
      </c>
      <c r="F141" s="228">
        <v>438.65</v>
      </c>
      <c r="G141" s="228">
        <v>-11.55</v>
      </c>
      <c r="H141" s="229">
        <v>-2.63E-2</v>
      </c>
      <c r="I141" s="228">
        <v>426.65</v>
      </c>
      <c r="J141" s="228">
        <v>438.75</v>
      </c>
      <c r="K141" s="228">
        <v>-12.1</v>
      </c>
      <c r="L141" s="229">
        <v>-2.76E-2</v>
      </c>
      <c r="M141" s="228">
        <v>427.1</v>
      </c>
      <c r="N141" s="228">
        <v>438.65</v>
      </c>
      <c r="O141" s="228">
        <v>-11.55</v>
      </c>
      <c r="P141" s="229">
        <v>-2.63E-2</v>
      </c>
      <c r="Q141" s="228">
        <v>429</v>
      </c>
      <c r="R141" s="228">
        <v>440.5</v>
      </c>
      <c r="S141" s="228">
        <v>-11.5</v>
      </c>
      <c r="T141" s="229">
        <v>-2.6100000000000002E-2</v>
      </c>
      <c r="U141" s="228">
        <v>431.15</v>
      </c>
      <c r="V141" s="228">
        <v>442.3</v>
      </c>
      <c r="W141" s="228">
        <v>-11.15</v>
      </c>
      <c r="X141" s="229">
        <v>-2.52E-2</v>
      </c>
      <c r="Y141" s="228">
        <v>0.45</v>
      </c>
      <c r="Z141" s="228">
        <v>-0.1</v>
      </c>
      <c r="AA141" s="228">
        <v>0.55000000000000004</v>
      </c>
      <c r="AB141" s="229">
        <v>1.1000000000000001E-3</v>
      </c>
      <c r="AC141" s="228">
        <v>0.45</v>
      </c>
      <c r="AD141" s="228">
        <v>-0.1</v>
      </c>
      <c r="AE141" s="228">
        <v>0.55000000000000004</v>
      </c>
      <c r="AF141" s="229">
        <v>1.1000000000000001E-3</v>
      </c>
      <c r="AG141" s="228">
        <v>2.35</v>
      </c>
      <c r="AH141" s="228">
        <v>1.75</v>
      </c>
      <c r="AI141" s="228">
        <v>0.6</v>
      </c>
      <c r="AJ141" s="229">
        <v>5.4999999999999997E-3</v>
      </c>
      <c r="AK141" s="228">
        <v>4.5</v>
      </c>
      <c r="AL141" s="228">
        <v>3.55</v>
      </c>
      <c r="AM141" s="228">
        <v>0.95</v>
      </c>
      <c r="AN141" s="229">
        <v>1.0500000000000001E-2</v>
      </c>
      <c r="AO141" s="228">
        <v>427.52</v>
      </c>
      <c r="AP141" s="228">
        <v>429.76</v>
      </c>
      <c r="AQ141" s="228">
        <v>0</v>
      </c>
      <c r="AR141" s="230">
        <v>16012500</v>
      </c>
      <c r="AS141" s="230">
        <v>17906250</v>
      </c>
      <c r="AT141" s="230">
        <v>-1893750</v>
      </c>
      <c r="AU141" s="229">
        <v>-0.10580000000000001</v>
      </c>
      <c r="AV141" s="230">
        <v>12517500</v>
      </c>
      <c r="AW141" s="230">
        <v>15427500</v>
      </c>
      <c r="AX141" s="230">
        <v>-2910000</v>
      </c>
      <c r="AY141" s="229">
        <v>-0.18859999999999999</v>
      </c>
      <c r="AZ141" s="230">
        <v>3266250</v>
      </c>
      <c r="BA141" s="230">
        <v>2261250</v>
      </c>
      <c r="BB141" s="230">
        <v>1005000</v>
      </c>
      <c r="BC141" s="229">
        <v>0.44440000000000002</v>
      </c>
      <c r="BD141" s="230">
        <v>228750</v>
      </c>
      <c r="BE141" s="230">
        <v>217500</v>
      </c>
      <c r="BF141" s="230">
        <v>11250</v>
      </c>
      <c r="BG141" s="229">
        <v>5.1700000000000003E-2</v>
      </c>
      <c r="BH141" s="230">
        <v>38823750</v>
      </c>
      <c r="BI141" s="230">
        <v>60705000</v>
      </c>
      <c r="BJ141" s="230">
        <v>-21881250</v>
      </c>
      <c r="BK141" s="229">
        <v>-0.36049999999999999</v>
      </c>
      <c r="BL141" s="230">
        <v>22961250</v>
      </c>
      <c r="BM141" s="230">
        <v>33146250</v>
      </c>
      <c r="BN141" s="230">
        <v>-10185000</v>
      </c>
      <c r="BO141" s="229">
        <v>-0.30730000000000002</v>
      </c>
      <c r="BP141" s="230">
        <v>77797500</v>
      </c>
      <c r="BQ141" s="230">
        <v>111757500</v>
      </c>
      <c r="BR141" s="230">
        <v>-33960000</v>
      </c>
      <c r="BS141" s="229">
        <v>-0.3039</v>
      </c>
      <c r="BT141" s="230">
        <v>8462998</v>
      </c>
      <c r="BU141" s="230">
        <v>9158674</v>
      </c>
      <c r="BV141" s="230">
        <v>-695676</v>
      </c>
      <c r="BW141" s="229">
        <v>-7.5999999999999998E-2</v>
      </c>
      <c r="BX141" s="230">
        <v>54956250</v>
      </c>
      <c r="BY141" s="230">
        <v>54120000</v>
      </c>
      <c r="BZ141" s="230">
        <v>836250</v>
      </c>
      <c r="CA141" s="229">
        <v>1.55E-2</v>
      </c>
      <c r="CB141" s="230">
        <v>50542500</v>
      </c>
      <c r="CC141" s="230">
        <v>51131250</v>
      </c>
      <c r="CD141" s="230">
        <v>-588750</v>
      </c>
      <c r="CE141" s="229">
        <v>-1.15E-2</v>
      </c>
      <c r="CF141" s="230">
        <v>3900000</v>
      </c>
      <c r="CG141" s="230">
        <v>2550000</v>
      </c>
      <c r="CH141" s="230">
        <v>1350000</v>
      </c>
      <c r="CI141" s="229">
        <v>0.52939999999999998</v>
      </c>
      <c r="CJ141" s="230">
        <v>513750</v>
      </c>
      <c r="CK141" s="230">
        <v>438750</v>
      </c>
      <c r="CL141" s="230">
        <v>75000</v>
      </c>
      <c r="CM141" s="229">
        <v>0.1709</v>
      </c>
      <c r="CN141" s="230">
        <v>36273750</v>
      </c>
      <c r="CO141" s="230">
        <v>34098750</v>
      </c>
      <c r="CP141" s="230">
        <v>2175000</v>
      </c>
      <c r="CQ141" s="229">
        <v>6.3799999999999996E-2</v>
      </c>
      <c r="CR141" s="230">
        <v>33112500</v>
      </c>
      <c r="CS141" s="230">
        <v>34046250</v>
      </c>
      <c r="CT141" s="230">
        <v>-933750</v>
      </c>
      <c r="CU141" s="229">
        <v>-2.7400000000000001E-2</v>
      </c>
      <c r="CV141" s="230">
        <v>124342500</v>
      </c>
      <c r="CW141" s="230">
        <v>122265000</v>
      </c>
      <c r="CX141" s="230">
        <v>2077500</v>
      </c>
      <c r="CY141" s="229">
        <v>1.7000000000000001E-2</v>
      </c>
      <c r="CZ141" s="228">
        <v>44.19</v>
      </c>
      <c r="DA141" s="228">
        <v>40.85</v>
      </c>
      <c r="DB141" s="228">
        <v>3.34</v>
      </c>
      <c r="DC141" s="228">
        <v>3.34</v>
      </c>
      <c r="DD141" s="228">
        <v>51.69</v>
      </c>
      <c r="DE141" s="228">
        <v>51.68</v>
      </c>
      <c r="DF141" s="228">
        <v>-7.5</v>
      </c>
      <c r="DG141" s="228">
        <v>0.01</v>
      </c>
      <c r="DH141" s="228">
        <v>43.7</v>
      </c>
      <c r="DI141" s="228">
        <v>39.68</v>
      </c>
      <c r="DJ141" s="228">
        <v>4.0199999999999996</v>
      </c>
      <c r="DK141" s="228">
        <v>4.0199999999999996</v>
      </c>
      <c r="DL141" s="228">
        <v>45.02</v>
      </c>
      <c r="DM141" s="228">
        <v>43</v>
      </c>
      <c r="DN141" s="228">
        <v>2.02</v>
      </c>
      <c r="DO141" s="228">
        <v>2.02</v>
      </c>
      <c r="DP141" s="228">
        <v>0.91</v>
      </c>
      <c r="DQ141" s="228">
        <v>1</v>
      </c>
      <c r="DR141" s="228">
        <v>-0.09</v>
      </c>
      <c r="DS141" s="229">
        <v>-0.09</v>
      </c>
      <c r="DT141" s="228">
        <v>440</v>
      </c>
      <c r="DU141" s="228">
        <v>400</v>
      </c>
      <c r="DV141" s="228">
        <v>0.59</v>
      </c>
      <c r="DW141" s="228">
        <v>0.55000000000000004</v>
      </c>
      <c r="DX141" s="228">
        <v>0.04</v>
      </c>
      <c r="DY141" s="229">
        <v>7.2700000000000001E-2</v>
      </c>
      <c r="DZ141" s="229">
        <v>8.0299999999999996E-2</v>
      </c>
      <c r="EA141" s="230">
        <v>2988750</v>
      </c>
      <c r="EB141" s="229">
        <v>4.4000000000000003E-3</v>
      </c>
      <c r="EC141" s="229">
        <v>8.0299999999999996E-2</v>
      </c>
      <c r="ED141" s="228">
        <v>2.2400000000000002</v>
      </c>
      <c r="EE141" s="229">
        <v>5.1999999999999998E-3</v>
      </c>
      <c r="EF141" s="230">
        <v>3338487</v>
      </c>
      <c r="EG141" s="230">
        <v>3801390</v>
      </c>
      <c r="EH141" s="229">
        <v>-0.12180000000000001</v>
      </c>
      <c r="EI141" s="229">
        <v>0.39450000000000002</v>
      </c>
      <c r="EJ141" s="231">
        <v>175562.11</v>
      </c>
      <c r="EK141" s="231">
        <v>96166.65</v>
      </c>
      <c r="EL141" s="231">
        <v>68538.880000000005</v>
      </c>
      <c r="EM141" s="231">
        <v>5579</v>
      </c>
      <c r="EN141" s="231">
        <v>340267.64</v>
      </c>
      <c r="EO141" s="231">
        <v>493596.32</v>
      </c>
      <c r="EP141" s="231">
        <v>-153328.68</v>
      </c>
      <c r="EQ141" s="229">
        <v>-0.31059999999999999</v>
      </c>
      <c r="ER141" s="231">
        <v>156706</v>
      </c>
      <c r="ES141" s="231">
        <v>129523</v>
      </c>
      <c r="ET141" s="231">
        <v>234813</v>
      </c>
      <c r="EU141" s="231">
        <v>134225816</v>
      </c>
      <c r="EV141" s="231">
        <v>521042</v>
      </c>
      <c r="EW141" s="231">
        <v>517359</v>
      </c>
      <c r="EX141" s="231">
        <v>3683</v>
      </c>
      <c r="EY141" s="229">
        <v>7.1000000000000004E-3</v>
      </c>
      <c r="EZ141" s="229">
        <v>0.9264</v>
      </c>
      <c r="FA141" s="227" t="s">
        <v>566</v>
      </c>
      <c r="FB141" s="161">
        <f>BX220-CB220</f>
        <v>537300</v>
      </c>
    </row>
    <row r="142" spans="1:158" ht="17.25" thickBot="1" x14ac:dyDescent="0.3">
      <c r="A142" s="226">
        <v>46132</v>
      </c>
      <c r="B142" s="227" t="s">
        <v>614</v>
      </c>
      <c r="C142" s="227" t="s">
        <v>264</v>
      </c>
      <c r="D142" s="228">
        <v>375</v>
      </c>
      <c r="E142" s="231">
        <v>1066.45</v>
      </c>
      <c r="F142" s="231">
        <v>1055.5</v>
      </c>
      <c r="G142" s="228">
        <v>10.95</v>
      </c>
      <c r="H142" s="229">
        <v>1.04E-2</v>
      </c>
      <c r="I142" s="231">
        <v>1067.9000000000001</v>
      </c>
      <c r="J142" s="231">
        <v>1054.55</v>
      </c>
      <c r="K142" s="228">
        <v>13.35</v>
      </c>
      <c r="L142" s="229">
        <v>1.2699999999999999E-2</v>
      </c>
      <c r="M142" s="231">
        <v>1066.45</v>
      </c>
      <c r="N142" s="231">
        <v>1055.5</v>
      </c>
      <c r="O142" s="228">
        <v>10.95</v>
      </c>
      <c r="P142" s="229">
        <v>1.04E-2</v>
      </c>
      <c r="Q142" s="231">
        <v>1066.7</v>
      </c>
      <c r="R142" s="231">
        <v>1054</v>
      </c>
      <c r="S142" s="228">
        <v>12.7</v>
      </c>
      <c r="T142" s="229">
        <v>1.2E-2</v>
      </c>
      <c r="U142" s="231">
        <v>1065.6500000000001</v>
      </c>
      <c r="V142" s="231">
        <v>1057.05</v>
      </c>
      <c r="W142" s="228">
        <v>8.6</v>
      </c>
      <c r="X142" s="229">
        <v>8.0999999999999996E-3</v>
      </c>
      <c r="Y142" s="228">
        <v>-1.45</v>
      </c>
      <c r="Z142" s="228">
        <v>0.95</v>
      </c>
      <c r="AA142" s="228">
        <v>-2.4</v>
      </c>
      <c r="AB142" s="229">
        <v>-1.4E-3</v>
      </c>
      <c r="AC142" s="228">
        <v>-1.45</v>
      </c>
      <c r="AD142" s="228">
        <v>0.95</v>
      </c>
      <c r="AE142" s="228">
        <v>-2.4</v>
      </c>
      <c r="AF142" s="229">
        <v>-1.4E-3</v>
      </c>
      <c r="AG142" s="228">
        <v>-1.2</v>
      </c>
      <c r="AH142" s="228">
        <v>-0.55000000000000004</v>
      </c>
      <c r="AI142" s="228">
        <v>-0.65</v>
      </c>
      <c r="AJ142" s="229">
        <v>-1.1000000000000001E-3</v>
      </c>
      <c r="AK142" s="228">
        <v>-2.25</v>
      </c>
      <c r="AL142" s="228">
        <v>2.5</v>
      </c>
      <c r="AM142" s="228">
        <v>-4.75</v>
      </c>
      <c r="AN142" s="229">
        <v>-2.0999999999999999E-3</v>
      </c>
      <c r="AO142" s="231">
        <v>1068.54</v>
      </c>
      <c r="AP142" s="231">
        <v>1070.69</v>
      </c>
      <c r="AQ142" s="228">
        <v>0</v>
      </c>
      <c r="AR142" s="230">
        <v>2695125</v>
      </c>
      <c r="AS142" s="230">
        <v>1220250</v>
      </c>
      <c r="AT142" s="230">
        <v>1474875</v>
      </c>
      <c r="AU142" s="229">
        <v>1.2087000000000001</v>
      </c>
      <c r="AV142" s="230">
        <v>1806000</v>
      </c>
      <c r="AW142" s="230">
        <v>1143375</v>
      </c>
      <c r="AX142" s="230">
        <v>662625</v>
      </c>
      <c r="AY142" s="229">
        <v>0.57950000000000002</v>
      </c>
      <c r="AZ142" s="230">
        <v>875625</v>
      </c>
      <c r="BA142" s="230">
        <v>68625</v>
      </c>
      <c r="BB142" s="230">
        <v>807000</v>
      </c>
      <c r="BC142" s="229">
        <v>11.759600000000001</v>
      </c>
      <c r="BD142" s="230">
        <v>13500</v>
      </c>
      <c r="BE142" s="230">
        <v>8250</v>
      </c>
      <c r="BF142" s="230">
        <v>5250</v>
      </c>
      <c r="BG142" s="229">
        <v>0.63639999999999997</v>
      </c>
      <c r="BH142" s="230">
        <v>6560625</v>
      </c>
      <c r="BI142" s="230">
        <v>2352000</v>
      </c>
      <c r="BJ142" s="230">
        <v>4208625</v>
      </c>
      <c r="BK142" s="229">
        <v>1.7894000000000001</v>
      </c>
      <c r="BL142" s="230">
        <v>1599375</v>
      </c>
      <c r="BM142" s="230">
        <v>1009500</v>
      </c>
      <c r="BN142" s="230">
        <v>589875</v>
      </c>
      <c r="BO142" s="229">
        <v>0.58430000000000004</v>
      </c>
      <c r="BP142" s="230">
        <v>10855125</v>
      </c>
      <c r="BQ142" s="230">
        <v>4581750</v>
      </c>
      <c r="BR142" s="230">
        <v>6273375</v>
      </c>
      <c r="BS142" s="229">
        <v>1.3692</v>
      </c>
      <c r="BT142" s="230">
        <v>1223077</v>
      </c>
      <c r="BU142" s="230">
        <v>1055380</v>
      </c>
      <c r="BV142" s="230">
        <v>167697</v>
      </c>
      <c r="BW142" s="229">
        <v>0.15890000000000001</v>
      </c>
      <c r="BX142" s="230">
        <v>9804750</v>
      </c>
      <c r="BY142" s="230">
        <v>9961500</v>
      </c>
      <c r="BZ142" s="230">
        <v>-156750</v>
      </c>
      <c r="CA142" s="229">
        <v>-1.5699999999999999E-2</v>
      </c>
      <c r="CB142" s="230">
        <v>8822250</v>
      </c>
      <c r="CC142" s="230">
        <v>9742125</v>
      </c>
      <c r="CD142" s="230">
        <v>-919875</v>
      </c>
      <c r="CE142" s="229">
        <v>-9.4399999999999998E-2</v>
      </c>
      <c r="CF142" s="230">
        <v>954000</v>
      </c>
      <c r="CG142" s="230">
        <v>190125</v>
      </c>
      <c r="CH142" s="230">
        <v>763875</v>
      </c>
      <c r="CI142" s="229">
        <v>4.0178000000000003</v>
      </c>
      <c r="CJ142" s="230">
        <v>28500</v>
      </c>
      <c r="CK142" s="230">
        <v>29250</v>
      </c>
      <c r="CL142" s="228">
        <v>-750</v>
      </c>
      <c r="CM142" s="229">
        <v>-2.5600000000000001E-2</v>
      </c>
      <c r="CN142" s="230">
        <v>3708375</v>
      </c>
      <c r="CO142" s="230">
        <v>3109500</v>
      </c>
      <c r="CP142" s="230">
        <v>598875</v>
      </c>
      <c r="CQ142" s="229">
        <v>0.19259999999999999</v>
      </c>
      <c r="CR142" s="230">
        <v>1638000</v>
      </c>
      <c r="CS142" s="230">
        <v>1347000</v>
      </c>
      <c r="CT142" s="230">
        <v>291000</v>
      </c>
      <c r="CU142" s="229">
        <v>0.216</v>
      </c>
      <c r="CV142" s="230">
        <v>15151125</v>
      </c>
      <c r="CW142" s="230">
        <v>14418000</v>
      </c>
      <c r="CX142" s="230">
        <v>733125</v>
      </c>
      <c r="CY142" s="229">
        <v>5.0799999999999998E-2</v>
      </c>
      <c r="CZ142" s="228">
        <v>34.46</v>
      </c>
      <c r="DA142" s="228">
        <v>30.38</v>
      </c>
      <c r="DB142" s="228">
        <v>4.08</v>
      </c>
      <c r="DC142" s="228">
        <v>4.08</v>
      </c>
      <c r="DD142" s="228">
        <v>36.619999999999997</v>
      </c>
      <c r="DE142" s="228">
        <v>36.69</v>
      </c>
      <c r="DF142" s="228">
        <v>-2.16</v>
      </c>
      <c r="DG142" s="228">
        <v>-7.0000000000000007E-2</v>
      </c>
      <c r="DH142" s="228">
        <v>33.840000000000003</v>
      </c>
      <c r="DI142" s="228">
        <v>29.16</v>
      </c>
      <c r="DJ142" s="228">
        <v>4.68</v>
      </c>
      <c r="DK142" s="228">
        <v>4.68</v>
      </c>
      <c r="DL142" s="228">
        <v>36.979999999999997</v>
      </c>
      <c r="DM142" s="228">
        <v>33.24</v>
      </c>
      <c r="DN142" s="228">
        <v>3.74</v>
      </c>
      <c r="DO142" s="228">
        <v>3.74</v>
      </c>
      <c r="DP142" s="228">
        <v>0.44</v>
      </c>
      <c r="DQ142" s="228">
        <v>0.43</v>
      </c>
      <c r="DR142" s="228">
        <v>0.01</v>
      </c>
      <c r="DS142" s="229">
        <v>2.3300000000000001E-2</v>
      </c>
      <c r="DT142" s="231">
        <v>1080</v>
      </c>
      <c r="DU142" s="231">
        <v>1000</v>
      </c>
      <c r="DV142" s="228">
        <v>0.24</v>
      </c>
      <c r="DW142" s="228">
        <v>0.43</v>
      </c>
      <c r="DX142" s="228">
        <v>-0.19</v>
      </c>
      <c r="DY142" s="229">
        <v>-0.44190000000000002</v>
      </c>
      <c r="DZ142" s="229">
        <v>0.1002</v>
      </c>
      <c r="EA142" s="230">
        <v>219375</v>
      </c>
      <c r="EB142" s="229">
        <v>2.0000000000000001E-4</v>
      </c>
      <c r="EC142" s="229">
        <v>0.1002</v>
      </c>
      <c r="ED142" s="228">
        <v>2.15</v>
      </c>
      <c r="EE142" s="229">
        <v>2E-3</v>
      </c>
      <c r="EF142" s="230">
        <v>711731</v>
      </c>
      <c r="EG142" s="230">
        <v>567858</v>
      </c>
      <c r="EH142" s="229">
        <v>0.25340000000000001</v>
      </c>
      <c r="EI142" s="229">
        <v>0.58189999999999997</v>
      </c>
      <c r="EJ142" s="231">
        <v>72547.12</v>
      </c>
      <c r="EK142" s="231">
        <v>16608.21</v>
      </c>
      <c r="EL142" s="231">
        <v>28817.43</v>
      </c>
      <c r="EM142" s="231">
        <v>4362</v>
      </c>
      <c r="EN142" s="231">
        <v>117972.76</v>
      </c>
      <c r="EO142" s="231">
        <v>48849.04</v>
      </c>
      <c r="EP142" s="231">
        <v>69123.72</v>
      </c>
      <c r="EQ142" s="229">
        <v>1.415</v>
      </c>
      <c r="ER142" s="231">
        <v>39704</v>
      </c>
      <c r="ES142" s="231">
        <v>16443</v>
      </c>
      <c r="ET142" s="231">
        <v>104565</v>
      </c>
      <c r="EU142" s="231">
        <v>60562281</v>
      </c>
      <c r="EV142" s="231">
        <v>160712</v>
      </c>
      <c r="EW142" s="231">
        <v>151574</v>
      </c>
      <c r="EX142" s="231">
        <v>9138</v>
      </c>
      <c r="EY142" s="229">
        <v>6.0299999999999999E-2</v>
      </c>
      <c r="EZ142" s="229">
        <v>0.25019999999999998</v>
      </c>
      <c r="FA142" s="227" t="s">
        <v>693</v>
      </c>
      <c r="FB142" s="161">
        <f t="shared" ref="FB142:FB161" si="3">BX221-CB221</f>
        <v>0</v>
      </c>
    </row>
    <row r="143" spans="1:158" ht="17.25" thickBot="1" x14ac:dyDescent="0.3">
      <c r="A143" s="226">
        <v>46132</v>
      </c>
      <c r="B143" s="227" t="s">
        <v>206</v>
      </c>
      <c r="C143" s="227" t="s">
        <v>550</v>
      </c>
      <c r="D143" s="228">
        <v>6500</v>
      </c>
      <c r="E143" s="228">
        <v>93.47</v>
      </c>
      <c r="F143" s="228">
        <v>94.45</v>
      </c>
      <c r="G143" s="228">
        <v>-0.98</v>
      </c>
      <c r="H143" s="229">
        <v>-1.04E-2</v>
      </c>
      <c r="I143" s="228">
        <v>93.32</v>
      </c>
      <c r="J143" s="228">
        <v>94.32</v>
      </c>
      <c r="K143" s="228">
        <v>-1</v>
      </c>
      <c r="L143" s="229">
        <v>-1.06E-2</v>
      </c>
      <c r="M143" s="228">
        <v>93.47</v>
      </c>
      <c r="N143" s="228">
        <v>94.45</v>
      </c>
      <c r="O143" s="228">
        <v>-0.98</v>
      </c>
      <c r="P143" s="229">
        <v>-1.04E-2</v>
      </c>
      <c r="Q143" s="228">
        <v>94.07</v>
      </c>
      <c r="R143" s="228">
        <v>95.03</v>
      </c>
      <c r="S143" s="228">
        <v>-0.96</v>
      </c>
      <c r="T143" s="229">
        <v>-1.01E-2</v>
      </c>
      <c r="U143" s="228">
        <v>94.64</v>
      </c>
      <c r="V143" s="228">
        <v>95.7</v>
      </c>
      <c r="W143" s="228">
        <v>-1.06</v>
      </c>
      <c r="X143" s="229">
        <v>-1.11E-2</v>
      </c>
      <c r="Y143" s="228">
        <v>0.15</v>
      </c>
      <c r="Z143" s="228">
        <v>0.13</v>
      </c>
      <c r="AA143" s="228">
        <v>0.02</v>
      </c>
      <c r="AB143" s="229">
        <v>1.6000000000000001E-3</v>
      </c>
      <c r="AC143" s="228">
        <v>0.15</v>
      </c>
      <c r="AD143" s="228">
        <v>0.13</v>
      </c>
      <c r="AE143" s="228">
        <v>0.02</v>
      </c>
      <c r="AF143" s="229">
        <v>1.6000000000000001E-3</v>
      </c>
      <c r="AG143" s="228">
        <v>0.75</v>
      </c>
      <c r="AH143" s="228">
        <v>0.71</v>
      </c>
      <c r="AI143" s="228">
        <v>0.04</v>
      </c>
      <c r="AJ143" s="229">
        <v>8.0000000000000002E-3</v>
      </c>
      <c r="AK143" s="228">
        <v>1.32</v>
      </c>
      <c r="AL143" s="228">
        <v>1.38</v>
      </c>
      <c r="AM143" s="228">
        <v>-0.06</v>
      </c>
      <c r="AN143" s="229">
        <v>1.41E-2</v>
      </c>
      <c r="AO143" s="228">
        <v>94.11</v>
      </c>
      <c r="AP143" s="228">
        <v>94.74</v>
      </c>
      <c r="AQ143" s="228">
        <v>0</v>
      </c>
      <c r="AR143" s="230">
        <v>12785500</v>
      </c>
      <c r="AS143" s="230">
        <v>14410500</v>
      </c>
      <c r="AT143" s="230">
        <v>-1625000</v>
      </c>
      <c r="AU143" s="229">
        <v>-0.1128</v>
      </c>
      <c r="AV143" s="230">
        <v>7520500</v>
      </c>
      <c r="AW143" s="230">
        <v>10114000</v>
      </c>
      <c r="AX143" s="230">
        <v>-2593500</v>
      </c>
      <c r="AY143" s="229">
        <v>-0.25640000000000002</v>
      </c>
      <c r="AZ143" s="230">
        <v>4979000</v>
      </c>
      <c r="BA143" s="230">
        <v>4075500</v>
      </c>
      <c r="BB143" s="230">
        <v>903500</v>
      </c>
      <c r="BC143" s="229">
        <v>0.22170000000000001</v>
      </c>
      <c r="BD143" s="230">
        <v>286000</v>
      </c>
      <c r="BE143" s="230">
        <v>221000</v>
      </c>
      <c r="BF143" s="230">
        <v>65000</v>
      </c>
      <c r="BG143" s="229">
        <v>0.29409999999999997</v>
      </c>
      <c r="BH143" s="230">
        <v>12857000</v>
      </c>
      <c r="BI143" s="230">
        <v>23172500</v>
      </c>
      <c r="BJ143" s="230">
        <v>-10315500</v>
      </c>
      <c r="BK143" s="229">
        <v>-0.44519999999999998</v>
      </c>
      <c r="BL143" s="230">
        <v>7377500</v>
      </c>
      <c r="BM143" s="230">
        <v>9737000</v>
      </c>
      <c r="BN143" s="230">
        <v>-2359500</v>
      </c>
      <c r="BO143" s="229">
        <v>-0.24229999999999999</v>
      </c>
      <c r="BP143" s="230">
        <v>33020000</v>
      </c>
      <c r="BQ143" s="230">
        <v>47320000</v>
      </c>
      <c r="BR143" s="230">
        <v>-14300000</v>
      </c>
      <c r="BS143" s="229">
        <v>-0.30220000000000002</v>
      </c>
      <c r="BT143" s="230">
        <v>14525645</v>
      </c>
      <c r="BU143" s="230">
        <v>12279043</v>
      </c>
      <c r="BV143" s="230">
        <v>2246602</v>
      </c>
      <c r="BW143" s="229">
        <v>0.183</v>
      </c>
      <c r="BX143" s="230">
        <v>80255500</v>
      </c>
      <c r="BY143" s="230">
        <v>79170000</v>
      </c>
      <c r="BZ143" s="230">
        <v>1085500</v>
      </c>
      <c r="CA143" s="229">
        <v>1.37E-2</v>
      </c>
      <c r="CB143" s="230">
        <v>72644000</v>
      </c>
      <c r="CC143" s="230">
        <v>73365500</v>
      </c>
      <c r="CD143" s="230">
        <v>-721500</v>
      </c>
      <c r="CE143" s="229">
        <v>-9.7999999999999997E-3</v>
      </c>
      <c r="CF143" s="230">
        <v>7039500</v>
      </c>
      <c r="CG143" s="230">
        <v>5297500</v>
      </c>
      <c r="CH143" s="230">
        <v>1742000</v>
      </c>
      <c r="CI143" s="229">
        <v>0.32879999999999998</v>
      </c>
      <c r="CJ143" s="230">
        <v>572000</v>
      </c>
      <c r="CK143" s="230">
        <v>507000</v>
      </c>
      <c r="CL143" s="230">
        <v>65000</v>
      </c>
      <c r="CM143" s="229">
        <v>0.12820000000000001</v>
      </c>
      <c r="CN143" s="230">
        <v>19844500</v>
      </c>
      <c r="CO143" s="230">
        <v>20007000</v>
      </c>
      <c r="CP143" s="230">
        <v>-162500</v>
      </c>
      <c r="CQ143" s="229">
        <v>-8.0999999999999996E-3</v>
      </c>
      <c r="CR143" s="230">
        <v>13208000</v>
      </c>
      <c r="CS143" s="230">
        <v>13500500</v>
      </c>
      <c r="CT143" s="230">
        <v>-292500</v>
      </c>
      <c r="CU143" s="229">
        <v>-2.1700000000000001E-2</v>
      </c>
      <c r="CV143" s="230">
        <v>113308000</v>
      </c>
      <c r="CW143" s="230">
        <v>112677500</v>
      </c>
      <c r="CX143" s="230">
        <v>630500</v>
      </c>
      <c r="CY143" s="229">
        <v>5.5999999999999999E-3</v>
      </c>
      <c r="CZ143" s="228">
        <v>46.12</v>
      </c>
      <c r="DA143" s="228">
        <v>42.22</v>
      </c>
      <c r="DB143" s="228">
        <v>3.9</v>
      </c>
      <c r="DC143" s="228">
        <v>3.9</v>
      </c>
      <c r="DD143" s="228">
        <v>51.74</v>
      </c>
      <c r="DE143" s="228">
        <v>51.85</v>
      </c>
      <c r="DF143" s="228">
        <v>-5.62</v>
      </c>
      <c r="DG143" s="228">
        <v>-0.11</v>
      </c>
      <c r="DH143" s="228">
        <v>43.85</v>
      </c>
      <c r="DI143" s="228">
        <v>39.46</v>
      </c>
      <c r="DJ143" s="228">
        <v>4.3899999999999997</v>
      </c>
      <c r="DK143" s="228">
        <v>4.3899999999999997</v>
      </c>
      <c r="DL143" s="228">
        <v>50.08</v>
      </c>
      <c r="DM143" s="228">
        <v>48.77</v>
      </c>
      <c r="DN143" s="228">
        <v>1.31</v>
      </c>
      <c r="DO143" s="228">
        <v>1.31</v>
      </c>
      <c r="DP143" s="228">
        <v>0.67</v>
      </c>
      <c r="DQ143" s="228">
        <v>0.67</v>
      </c>
      <c r="DR143" s="228">
        <v>0</v>
      </c>
      <c r="DS143" s="229">
        <v>0</v>
      </c>
      <c r="DT143" s="228">
        <v>105</v>
      </c>
      <c r="DU143" s="228">
        <v>85</v>
      </c>
      <c r="DV143" s="228">
        <v>0.56999999999999995</v>
      </c>
      <c r="DW143" s="228">
        <v>0.42</v>
      </c>
      <c r="DX143" s="228">
        <v>0.15</v>
      </c>
      <c r="DY143" s="229">
        <v>0.35709999999999997</v>
      </c>
      <c r="DZ143" s="229">
        <v>9.4799999999999995E-2</v>
      </c>
      <c r="EA143" s="230">
        <v>5804500</v>
      </c>
      <c r="EB143" s="229">
        <v>6.4000000000000003E-3</v>
      </c>
      <c r="EC143" s="229">
        <v>9.4799999999999995E-2</v>
      </c>
      <c r="ED143" s="228">
        <v>0.63</v>
      </c>
      <c r="EE143" s="229">
        <v>6.7000000000000002E-3</v>
      </c>
      <c r="EF143" s="230">
        <v>5132549</v>
      </c>
      <c r="EG143" s="230">
        <v>3538105</v>
      </c>
      <c r="EH143" s="229">
        <v>0.4506</v>
      </c>
      <c r="EI143" s="229">
        <v>0.3533</v>
      </c>
      <c r="EJ143" s="231">
        <v>12720.71</v>
      </c>
      <c r="EK143" s="231">
        <v>6699.32</v>
      </c>
      <c r="EL143" s="231">
        <v>12067.71</v>
      </c>
      <c r="EM143" s="231">
        <v>1457</v>
      </c>
      <c r="EN143" s="231">
        <v>31487.74</v>
      </c>
      <c r="EO143" s="231">
        <v>45187.95</v>
      </c>
      <c r="EP143" s="231">
        <v>-13700.21</v>
      </c>
      <c r="EQ143" s="229">
        <v>-0.30320000000000003</v>
      </c>
      <c r="ER143" s="231">
        <v>18648</v>
      </c>
      <c r="ES143" s="231">
        <v>11347</v>
      </c>
      <c r="ET143" s="231">
        <v>75064</v>
      </c>
      <c r="EU143" s="231">
        <v>154894704</v>
      </c>
      <c r="EV143" s="231">
        <v>105059</v>
      </c>
      <c r="EW143" s="231">
        <v>105153</v>
      </c>
      <c r="EX143" s="228">
        <v>-94</v>
      </c>
      <c r="EY143" s="229">
        <v>-8.9999999999999998E-4</v>
      </c>
      <c r="EZ143" s="229">
        <v>0.73150000000000004</v>
      </c>
      <c r="FA143" s="227" t="s">
        <v>566</v>
      </c>
      <c r="FB143" s="161">
        <f t="shared" si="3"/>
        <v>0</v>
      </c>
    </row>
    <row r="144" spans="1:158" ht="17.25" thickBot="1" x14ac:dyDescent="0.3">
      <c r="A144" s="226">
        <v>46132</v>
      </c>
      <c r="B144" s="227" t="s">
        <v>168</v>
      </c>
      <c r="C144" s="227" t="s">
        <v>265</v>
      </c>
      <c r="D144" s="228">
        <v>500</v>
      </c>
      <c r="E144" s="231">
        <v>1287.7</v>
      </c>
      <c r="F144" s="231">
        <v>1286</v>
      </c>
      <c r="G144" s="228">
        <v>1.7</v>
      </c>
      <c r="H144" s="229">
        <v>1.2999999999999999E-3</v>
      </c>
      <c r="I144" s="231">
        <v>1286.4000000000001</v>
      </c>
      <c r="J144" s="231">
        <v>1285.5999999999999</v>
      </c>
      <c r="K144" s="228">
        <v>0.8</v>
      </c>
      <c r="L144" s="229">
        <v>5.9999999999999995E-4</v>
      </c>
      <c r="M144" s="231">
        <v>1287.7</v>
      </c>
      <c r="N144" s="231">
        <v>1286</v>
      </c>
      <c r="O144" s="228">
        <v>1.7</v>
      </c>
      <c r="P144" s="229">
        <v>1.2999999999999999E-3</v>
      </c>
      <c r="Q144" s="231">
        <v>1293.4000000000001</v>
      </c>
      <c r="R144" s="231">
        <v>1293.5</v>
      </c>
      <c r="S144" s="228">
        <v>-0.1</v>
      </c>
      <c r="T144" s="229">
        <v>-1E-4</v>
      </c>
      <c r="U144" s="231">
        <v>1303</v>
      </c>
      <c r="V144" s="231">
        <v>1301.0999999999999</v>
      </c>
      <c r="W144" s="228">
        <v>1.9</v>
      </c>
      <c r="X144" s="229">
        <v>1.5E-3</v>
      </c>
      <c r="Y144" s="228">
        <v>1.3</v>
      </c>
      <c r="Z144" s="228">
        <v>0.4</v>
      </c>
      <c r="AA144" s="228">
        <v>0.9</v>
      </c>
      <c r="AB144" s="229">
        <v>1E-3</v>
      </c>
      <c r="AC144" s="228">
        <v>1.3</v>
      </c>
      <c r="AD144" s="228">
        <v>0.4</v>
      </c>
      <c r="AE144" s="228">
        <v>0.9</v>
      </c>
      <c r="AF144" s="229">
        <v>1E-3</v>
      </c>
      <c r="AG144" s="228">
        <v>7</v>
      </c>
      <c r="AH144" s="228">
        <v>7.9</v>
      </c>
      <c r="AI144" s="228">
        <v>-0.9</v>
      </c>
      <c r="AJ144" s="229">
        <v>5.4000000000000003E-3</v>
      </c>
      <c r="AK144" s="228">
        <v>16.600000000000001</v>
      </c>
      <c r="AL144" s="228">
        <v>15.5</v>
      </c>
      <c r="AM144" s="228">
        <v>1.1000000000000001</v>
      </c>
      <c r="AN144" s="229">
        <v>1.29E-2</v>
      </c>
      <c r="AO144" s="231">
        <v>1286.8800000000001</v>
      </c>
      <c r="AP144" s="231">
        <v>1292.0999999999999</v>
      </c>
      <c r="AQ144" s="228">
        <v>0</v>
      </c>
      <c r="AR144" s="230">
        <v>2632000</v>
      </c>
      <c r="AS144" s="230">
        <v>2015500</v>
      </c>
      <c r="AT144" s="230">
        <v>616500</v>
      </c>
      <c r="AU144" s="229">
        <v>0.30590000000000001</v>
      </c>
      <c r="AV144" s="230">
        <v>2323500</v>
      </c>
      <c r="AW144" s="230">
        <v>1844500</v>
      </c>
      <c r="AX144" s="230">
        <v>479000</v>
      </c>
      <c r="AY144" s="229">
        <v>0.25969999999999999</v>
      </c>
      <c r="AZ144" s="230">
        <v>279500</v>
      </c>
      <c r="BA144" s="230">
        <v>164000</v>
      </c>
      <c r="BB144" s="230">
        <v>115500</v>
      </c>
      <c r="BC144" s="229">
        <v>0.70430000000000004</v>
      </c>
      <c r="BD144" s="230">
        <v>29000</v>
      </c>
      <c r="BE144" s="230">
        <v>7000</v>
      </c>
      <c r="BF144" s="230">
        <v>22000</v>
      </c>
      <c r="BG144" s="229">
        <v>3.1429</v>
      </c>
      <c r="BH144" s="230">
        <v>7887500</v>
      </c>
      <c r="BI144" s="230">
        <v>9964500</v>
      </c>
      <c r="BJ144" s="230">
        <v>-2077000</v>
      </c>
      <c r="BK144" s="229">
        <v>-0.2084</v>
      </c>
      <c r="BL144" s="230">
        <v>2583500</v>
      </c>
      <c r="BM144" s="230">
        <v>2599000</v>
      </c>
      <c r="BN144" s="230">
        <v>-15500</v>
      </c>
      <c r="BO144" s="229">
        <v>-6.0000000000000001E-3</v>
      </c>
      <c r="BP144" s="230">
        <v>13103000</v>
      </c>
      <c r="BQ144" s="230">
        <v>14579000</v>
      </c>
      <c r="BR144" s="230">
        <v>-1476000</v>
      </c>
      <c r="BS144" s="229">
        <v>-0.1012</v>
      </c>
      <c r="BT144" s="230">
        <v>1228797</v>
      </c>
      <c r="BU144" s="230">
        <v>2070753</v>
      </c>
      <c r="BV144" s="230">
        <v>-841956</v>
      </c>
      <c r="BW144" s="229">
        <v>-0.40660000000000002</v>
      </c>
      <c r="BX144" s="230">
        <v>18992000</v>
      </c>
      <c r="BY144" s="230">
        <v>18938000</v>
      </c>
      <c r="BZ144" s="230">
        <v>54000</v>
      </c>
      <c r="CA144" s="229">
        <v>2.8999999999999998E-3</v>
      </c>
      <c r="CB144" s="230">
        <v>17656000</v>
      </c>
      <c r="CC144" s="230">
        <v>17624000</v>
      </c>
      <c r="CD144" s="230">
        <v>32000</v>
      </c>
      <c r="CE144" s="229">
        <v>1.8E-3</v>
      </c>
      <c r="CF144" s="230">
        <v>611000</v>
      </c>
      <c r="CG144" s="230">
        <v>578000</v>
      </c>
      <c r="CH144" s="230">
        <v>33000</v>
      </c>
      <c r="CI144" s="229">
        <v>5.7099999999999998E-2</v>
      </c>
      <c r="CJ144" s="230">
        <v>725000</v>
      </c>
      <c r="CK144" s="230">
        <v>736000</v>
      </c>
      <c r="CL144" s="230">
        <v>-11000</v>
      </c>
      <c r="CM144" s="229">
        <v>-1.49E-2</v>
      </c>
      <c r="CN144" s="230">
        <v>4878000</v>
      </c>
      <c r="CO144" s="230">
        <v>4183500</v>
      </c>
      <c r="CP144" s="230">
        <v>694500</v>
      </c>
      <c r="CQ144" s="229">
        <v>0.16600000000000001</v>
      </c>
      <c r="CR144" s="230">
        <v>2629500</v>
      </c>
      <c r="CS144" s="230">
        <v>2351000</v>
      </c>
      <c r="CT144" s="230">
        <v>278500</v>
      </c>
      <c r="CU144" s="229">
        <v>0.11849999999999999</v>
      </c>
      <c r="CV144" s="230">
        <v>26499500</v>
      </c>
      <c r="CW144" s="230">
        <v>25472500</v>
      </c>
      <c r="CX144" s="230">
        <v>1027000</v>
      </c>
      <c r="CY144" s="229">
        <v>4.0300000000000002E-2</v>
      </c>
      <c r="CZ144" s="228">
        <v>36.07</v>
      </c>
      <c r="DA144" s="228">
        <v>28.7</v>
      </c>
      <c r="DB144" s="228">
        <v>7.37</v>
      </c>
      <c r="DC144" s="228">
        <v>7.37</v>
      </c>
      <c r="DD144" s="228">
        <v>23.52</v>
      </c>
      <c r="DE144" s="228">
        <v>23.57</v>
      </c>
      <c r="DF144" s="228">
        <v>12.55</v>
      </c>
      <c r="DG144" s="228">
        <v>-0.05</v>
      </c>
      <c r="DH144" s="228">
        <v>36.08</v>
      </c>
      <c r="DI144" s="228">
        <v>28.27</v>
      </c>
      <c r="DJ144" s="228">
        <v>7.81</v>
      </c>
      <c r="DK144" s="228">
        <v>7.81</v>
      </c>
      <c r="DL144" s="228">
        <v>36.04</v>
      </c>
      <c r="DM144" s="228">
        <v>30.36</v>
      </c>
      <c r="DN144" s="228">
        <v>5.68</v>
      </c>
      <c r="DO144" s="228">
        <v>5.68</v>
      </c>
      <c r="DP144" s="228">
        <v>0.54</v>
      </c>
      <c r="DQ144" s="228">
        <v>0.56000000000000005</v>
      </c>
      <c r="DR144" s="228">
        <v>-0.02</v>
      </c>
      <c r="DS144" s="229">
        <v>-3.5700000000000003E-2</v>
      </c>
      <c r="DT144" s="231">
        <v>1300</v>
      </c>
      <c r="DU144" s="231">
        <v>1250</v>
      </c>
      <c r="DV144" s="228">
        <v>0.33</v>
      </c>
      <c r="DW144" s="228">
        <v>0.26</v>
      </c>
      <c r="DX144" s="228">
        <v>7.0000000000000007E-2</v>
      </c>
      <c r="DY144" s="229">
        <v>0.26919999999999999</v>
      </c>
      <c r="DZ144" s="229">
        <v>7.0300000000000001E-2</v>
      </c>
      <c r="EA144" s="230">
        <v>1314000</v>
      </c>
      <c r="EB144" s="229">
        <v>4.4000000000000003E-3</v>
      </c>
      <c r="EC144" s="229">
        <v>7.0300000000000001E-2</v>
      </c>
      <c r="ED144" s="228">
        <v>5.22</v>
      </c>
      <c r="EE144" s="229">
        <v>4.1000000000000003E-3</v>
      </c>
      <c r="EF144" s="230">
        <v>584027</v>
      </c>
      <c r="EG144" s="230">
        <v>1138206</v>
      </c>
      <c r="EH144" s="229">
        <v>-0.4869</v>
      </c>
      <c r="EI144" s="229">
        <v>0.4753</v>
      </c>
      <c r="EJ144" s="231">
        <v>105185.56</v>
      </c>
      <c r="EK144" s="231">
        <v>32766.44</v>
      </c>
      <c r="EL144" s="231">
        <v>33889.760000000002</v>
      </c>
      <c r="EM144" s="231">
        <v>4532</v>
      </c>
      <c r="EN144" s="231">
        <v>171841.76</v>
      </c>
      <c r="EO144" s="231">
        <v>191302.13</v>
      </c>
      <c r="EP144" s="231">
        <v>-19460.37</v>
      </c>
      <c r="EQ144" s="229">
        <v>-0.1017</v>
      </c>
      <c r="ER144" s="231">
        <v>62881</v>
      </c>
      <c r="ES144" s="231">
        <v>31908</v>
      </c>
      <c r="ET144" s="231">
        <v>244706</v>
      </c>
      <c r="EU144" s="231">
        <v>71801274</v>
      </c>
      <c r="EV144" s="231">
        <v>339495</v>
      </c>
      <c r="EW144" s="231">
        <v>325652</v>
      </c>
      <c r="EX144" s="231">
        <v>13843</v>
      </c>
      <c r="EY144" s="229">
        <v>4.2500000000000003E-2</v>
      </c>
      <c r="EZ144" s="229">
        <v>0.36909999999999998</v>
      </c>
      <c r="FA144" s="227" t="s">
        <v>555</v>
      </c>
      <c r="FB144" s="161">
        <f t="shared" si="3"/>
        <v>0</v>
      </c>
    </row>
    <row r="145" spans="1:158" ht="17.25" thickBot="1" x14ac:dyDescent="0.3">
      <c r="A145" s="226">
        <v>46132</v>
      </c>
      <c r="B145" s="227" t="s">
        <v>161</v>
      </c>
      <c r="C145" s="227" t="s">
        <v>584</v>
      </c>
      <c r="D145" s="228">
        <v>6400</v>
      </c>
      <c r="E145" s="228">
        <v>82.7</v>
      </c>
      <c r="F145" s="228">
        <v>82.41</v>
      </c>
      <c r="G145" s="228">
        <v>0.28999999999999998</v>
      </c>
      <c r="H145" s="229">
        <v>3.5000000000000001E-3</v>
      </c>
      <c r="I145" s="228">
        <v>83.1</v>
      </c>
      <c r="J145" s="228">
        <v>83.56</v>
      </c>
      <c r="K145" s="228">
        <v>-0.46</v>
      </c>
      <c r="L145" s="229">
        <v>-5.4999999999999997E-3</v>
      </c>
      <c r="M145" s="228">
        <v>82.7</v>
      </c>
      <c r="N145" s="228">
        <v>82.41</v>
      </c>
      <c r="O145" s="228">
        <v>0.28999999999999998</v>
      </c>
      <c r="P145" s="229">
        <v>3.5000000000000001E-3</v>
      </c>
      <c r="Q145" s="228">
        <v>82.7</v>
      </c>
      <c r="R145" s="228">
        <v>82.5</v>
      </c>
      <c r="S145" s="228">
        <v>0.2</v>
      </c>
      <c r="T145" s="229">
        <v>2.3999999999999998E-3</v>
      </c>
      <c r="U145" s="228">
        <v>82.94</v>
      </c>
      <c r="V145" s="228">
        <v>82.93</v>
      </c>
      <c r="W145" s="228">
        <v>0.01</v>
      </c>
      <c r="X145" s="229">
        <v>1E-4</v>
      </c>
      <c r="Y145" s="228">
        <v>-0.4</v>
      </c>
      <c r="Z145" s="228">
        <v>-1.1499999999999999</v>
      </c>
      <c r="AA145" s="228">
        <v>0.75</v>
      </c>
      <c r="AB145" s="229">
        <v>-4.7999999999999996E-3</v>
      </c>
      <c r="AC145" s="228">
        <v>-0.4</v>
      </c>
      <c r="AD145" s="228">
        <v>-1.1499999999999999</v>
      </c>
      <c r="AE145" s="228">
        <v>0.75</v>
      </c>
      <c r="AF145" s="229">
        <v>-4.7999999999999996E-3</v>
      </c>
      <c r="AG145" s="228">
        <v>-0.4</v>
      </c>
      <c r="AH145" s="228">
        <v>-1.06</v>
      </c>
      <c r="AI145" s="228">
        <v>0.66</v>
      </c>
      <c r="AJ145" s="229">
        <v>-4.7999999999999996E-3</v>
      </c>
      <c r="AK145" s="228">
        <v>-0.16</v>
      </c>
      <c r="AL145" s="228">
        <v>-0.63</v>
      </c>
      <c r="AM145" s="228">
        <v>0.47</v>
      </c>
      <c r="AN145" s="229">
        <v>-1.9E-3</v>
      </c>
      <c r="AO145" s="228">
        <v>82.6</v>
      </c>
      <c r="AP145" s="228">
        <v>82.59</v>
      </c>
      <c r="AQ145" s="228">
        <v>0</v>
      </c>
      <c r="AR145" s="230">
        <v>20307200</v>
      </c>
      <c r="AS145" s="230">
        <v>43148800</v>
      </c>
      <c r="AT145" s="230">
        <v>-22841600</v>
      </c>
      <c r="AU145" s="229">
        <v>-0.52939999999999998</v>
      </c>
      <c r="AV145" s="230">
        <v>15315200</v>
      </c>
      <c r="AW145" s="230">
        <v>36761600</v>
      </c>
      <c r="AX145" s="230">
        <v>-21446400</v>
      </c>
      <c r="AY145" s="229">
        <v>-0.58340000000000003</v>
      </c>
      <c r="AZ145" s="230">
        <v>4729600</v>
      </c>
      <c r="BA145" s="230">
        <v>5651200</v>
      </c>
      <c r="BB145" s="230">
        <v>-921600</v>
      </c>
      <c r="BC145" s="229">
        <v>-0.16309999999999999</v>
      </c>
      <c r="BD145" s="230">
        <v>262400</v>
      </c>
      <c r="BE145" s="230">
        <v>736000</v>
      </c>
      <c r="BF145" s="230">
        <v>-473600</v>
      </c>
      <c r="BG145" s="229">
        <v>-0.64349999999999996</v>
      </c>
      <c r="BH145" s="230">
        <v>37843200</v>
      </c>
      <c r="BI145" s="230">
        <v>60691200</v>
      </c>
      <c r="BJ145" s="230">
        <v>-22848000</v>
      </c>
      <c r="BK145" s="229">
        <v>-0.3765</v>
      </c>
      <c r="BL145" s="230">
        <v>18457600</v>
      </c>
      <c r="BM145" s="230">
        <v>25971200</v>
      </c>
      <c r="BN145" s="230">
        <v>-7513600</v>
      </c>
      <c r="BO145" s="229">
        <v>-0.2893</v>
      </c>
      <c r="BP145" s="230">
        <v>76608000</v>
      </c>
      <c r="BQ145" s="230">
        <v>129811200</v>
      </c>
      <c r="BR145" s="230">
        <v>-53203200</v>
      </c>
      <c r="BS145" s="229">
        <v>-0.40989999999999999</v>
      </c>
      <c r="BT145" s="230">
        <v>18441290</v>
      </c>
      <c r="BU145" s="230">
        <v>52883630</v>
      </c>
      <c r="BV145" s="230">
        <v>-34442340</v>
      </c>
      <c r="BW145" s="229">
        <v>-0.65129999999999999</v>
      </c>
      <c r="BX145" s="230">
        <v>87091200</v>
      </c>
      <c r="BY145" s="230">
        <v>85280000</v>
      </c>
      <c r="BZ145" s="230">
        <v>1811200</v>
      </c>
      <c r="CA145" s="229">
        <v>2.12E-2</v>
      </c>
      <c r="CB145" s="230">
        <v>79488000</v>
      </c>
      <c r="CC145" s="230">
        <v>79686400</v>
      </c>
      <c r="CD145" s="230">
        <v>-198400</v>
      </c>
      <c r="CE145" s="229">
        <v>-2.5000000000000001E-3</v>
      </c>
      <c r="CF145" s="230">
        <v>6848000</v>
      </c>
      <c r="CG145" s="230">
        <v>4825600</v>
      </c>
      <c r="CH145" s="230">
        <v>2022400</v>
      </c>
      <c r="CI145" s="229">
        <v>0.41909999999999997</v>
      </c>
      <c r="CJ145" s="230">
        <v>755200</v>
      </c>
      <c r="CK145" s="230">
        <v>768000</v>
      </c>
      <c r="CL145" s="230">
        <v>-12800</v>
      </c>
      <c r="CM145" s="229">
        <v>-1.67E-2</v>
      </c>
      <c r="CN145" s="230">
        <v>35776000</v>
      </c>
      <c r="CO145" s="230">
        <v>37728000</v>
      </c>
      <c r="CP145" s="230">
        <v>-1952000</v>
      </c>
      <c r="CQ145" s="229">
        <v>-5.1700000000000003E-2</v>
      </c>
      <c r="CR145" s="230">
        <v>30182400</v>
      </c>
      <c r="CS145" s="230">
        <v>30323200</v>
      </c>
      <c r="CT145" s="230">
        <v>-140800</v>
      </c>
      <c r="CU145" s="229">
        <v>-4.5999999999999999E-3</v>
      </c>
      <c r="CV145" s="230">
        <v>153049600</v>
      </c>
      <c r="CW145" s="230">
        <v>153331200</v>
      </c>
      <c r="CX145" s="230">
        <v>-281600</v>
      </c>
      <c r="CY145" s="229">
        <v>-1.8E-3</v>
      </c>
      <c r="CZ145" s="228">
        <v>33.93</v>
      </c>
      <c r="DA145" s="228">
        <v>31.46</v>
      </c>
      <c r="DB145" s="228">
        <v>2.4700000000000002</v>
      </c>
      <c r="DC145" s="228">
        <v>2.4700000000000002</v>
      </c>
      <c r="DD145" s="228">
        <v>34.869999999999997</v>
      </c>
      <c r="DE145" s="228">
        <v>34.950000000000003</v>
      </c>
      <c r="DF145" s="228">
        <v>-0.94</v>
      </c>
      <c r="DG145" s="228">
        <v>-0.08</v>
      </c>
      <c r="DH145" s="228">
        <v>33.630000000000003</v>
      </c>
      <c r="DI145" s="228">
        <v>31.44</v>
      </c>
      <c r="DJ145" s="228">
        <v>2.19</v>
      </c>
      <c r="DK145" s="228">
        <v>2.19</v>
      </c>
      <c r="DL145" s="228">
        <v>34.54</v>
      </c>
      <c r="DM145" s="228">
        <v>31.52</v>
      </c>
      <c r="DN145" s="228">
        <v>3.02</v>
      </c>
      <c r="DO145" s="228">
        <v>3.02</v>
      </c>
      <c r="DP145" s="228">
        <v>0.84</v>
      </c>
      <c r="DQ145" s="228">
        <v>0.8</v>
      </c>
      <c r="DR145" s="228">
        <v>0.04</v>
      </c>
      <c r="DS145" s="229">
        <v>0.05</v>
      </c>
      <c r="DT145" s="228">
        <v>90</v>
      </c>
      <c r="DU145" s="228">
        <v>77</v>
      </c>
      <c r="DV145" s="228">
        <v>0.49</v>
      </c>
      <c r="DW145" s="228">
        <v>0.43</v>
      </c>
      <c r="DX145" s="228">
        <v>0.06</v>
      </c>
      <c r="DY145" s="229">
        <v>0.13950000000000001</v>
      </c>
      <c r="DZ145" s="229">
        <v>8.7300000000000003E-2</v>
      </c>
      <c r="EA145" s="230">
        <v>5593600</v>
      </c>
      <c r="EB145" s="229">
        <v>0</v>
      </c>
      <c r="EC145" s="229">
        <v>8.7300000000000003E-2</v>
      </c>
      <c r="ED145" s="228">
        <v>-0.01</v>
      </c>
      <c r="EE145" s="229">
        <v>-1E-4</v>
      </c>
      <c r="EF145" s="230">
        <v>6220674</v>
      </c>
      <c r="EG145" s="230">
        <v>31580380</v>
      </c>
      <c r="EH145" s="229">
        <v>-0.80300000000000005</v>
      </c>
      <c r="EI145" s="229">
        <v>0.33729999999999999</v>
      </c>
      <c r="EJ145" s="231">
        <v>32564.38</v>
      </c>
      <c r="EK145" s="231">
        <v>14956.44</v>
      </c>
      <c r="EL145" s="231">
        <v>16773.5</v>
      </c>
      <c r="EM145" s="231">
        <v>3921</v>
      </c>
      <c r="EN145" s="231">
        <v>64294.32</v>
      </c>
      <c r="EO145" s="231">
        <v>108388.47</v>
      </c>
      <c r="EP145" s="231">
        <v>-44094.15</v>
      </c>
      <c r="EQ145" s="229">
        <v>-0.40679999999999999</v>
      </c>
      <c r="ER145" s="231">
        <v>29942</v>
      </c>
      <c r="ES145" s="231">
        <v>23045</v>
      </c>
      <c r="ET145" s="231">
        <v>72026</v>
      </c>
      <c r="EU145" s="231">
        <v>491233252</v>
      </c>
      <c r="EV145" s="231">
        <v>125013</v>
      </c>
      <c r="EW145" s="231">
        <v>124889</v>
      </c>
      <c r="EX145" s="228">
        <v>124</v>
      </c>
      <c r="EY145" s="229">
        <v>1E-3</v>
      </c>
      <c r="EZ145" s="229">
        <v>0.31159999999999999</v>
      </c>
      <c r="FA145" s="227" t="s">
        <v>555</v>
      </c>
      <c r="FB145" s="161">
        <f t="shared" si="3"/>
        <v>0</v>
      </c>
    </row>
    <row r="146" spans="1:158" ht="17.25" thickBot="1" x14ac:dyDescent="0.3">
      <c r="A146" s="226">
        <v>46132</v>
      </c>
      <c r="B146" s="227" t="s">
        <v>181</v>
      </c>
      <c r="C146" s="227" t="s">
        <v>266</v>
      </c>
      <c r="D146" s="228">
        <v>65</v>
      </c>
      <c r="E146" s="231">
        <v>24331.8</v>
      </c>
      <c r="F146" s="231">
        <v>24368</v>
      </c>
      <c r="G146" s="228">
        <v>-36.200000000000003</v>
      </c>
      <c r="H146" s="229">
        <v>-1.5E-3</v>
      </c>
      <c r="I146" s="231">
        <v>24364.85</v>
      </c>
      <c r="J146" s="231">
        <v>24353.55</v>
      </c>
      <c r="K146" s="228">
        <v>11.3</v>
      </c>
      <c r="L146" s="229">
        <v>5.0000000000000001E-4</v>
      </c>
      <c r="M146" s="231">
        <v>24331.8</v>
      </c>
      <c r="N146" s="231">
        <v>24368</v>
      </c>
      <c r="O146" s="228">
        <v>-36.200000000000003</v>
      </c>
      <c r="P146" s="229">
        <v>-1.5E-3</v>
      </c>
      <c r="Q146" s="231">
        <v>24471.3</v>
      </c>
      <c r="R146" s="231">
        <v>24500.400000000001</v>
      </c>
      <c r="S146" s="228">
        <v>-29.1</v>
      </c>
      <c r="T146" s="229">
        <v>-1.1999999999999999E-3</v>
      </c>
      <c r="U146" s="231">
        <v>24606.7</v>
      </c>
      <c r="V146" s="231">
        <v>24653</v>
      </c>
      <c r="W146" s="228">
        <v>-46.3</v>
      </c>
      <c r="X146" s="229">
        <v>-1.9E-3</v>
      </c>
      <c r="Y146" s="228">
        <v>-33.049999999999997</v>
      </c>
      <c r="Z146" s="228">
        <v>14.45</v>
      </c>
      <c r="AA146" s="228">
        <v>-47.5</v>
      </c>
      <c r="AB146" s="229">
        <v>-1.4E-3</v>
      </c>
      <c r="AC146" s="228">
        <v>-33.049999999999997</v>
      </c>
      <c r="AD146" s="228">
        <v>14.45</v>
      </c>
      <c r="AE146" s="228">
        <v>-47.5</v>
      </c>
      <c r="AF146" s="229">
        <v>-1.4E-3</v>
      </c>
      <c r="AG146" s="228">
        <v>106.45</v>
      </c>
      <c r="AH146" s="228">
        <v>146.85</v>
      </c>
      <c r="AI146" s="228">
        <v>-40.4</v>
      </c>
      <c r="AJ146" s="229">
        <v>4.4000000000000003E-3</v>
      </c>
      <c r="AK146" s="228">
        <v>241.85</v>
      </c>
      <c r="AL146" s="228">
        <v>299.45</v>
      </c>
      <c r="AM146" s="228">
        <v>-57.6</v>
      </c>
      <c r="AN146" s="229">
        <v>9.9000000000000008E-3</v>
      </c>
      <c r="AO146" s="231">
        <v>24379.74</v>
      </c>
      <c r="AP146" s="231">
        <v>24507.69</v>
      </c>
      <c r="AQ146" s="228">
        <v>0</v>
      </c>
      <c r="AR146" s="230">
        <v>5538520</v>
      </c>
      <c r="AS146" s="230">
        <v>4074395</v>
      </c>
      <c r="AT146" s="230">
        <v>1464125</v>
      </c>
      <c r="AU146" s="229">
        <v>0.35930000000000001</v>
      </c>
      <c r="AV146" s="230">
        <v>4426825</v>
      </c>
      <c r="AW146" s="230">
        <v>3358875</v>
      </c>
      <c r="AX146" s="230">
        <v>1067950</v>
      </c>
      <c r="AY146" s="229">
        <v>0.31790000000000002</v>
      </c>
      <c r="AZ146" s="230">
        <v>866190</v>
      </c>
      <c r="BA146" s="230">
        <v>528125</v>
      </c>
      <c r="BB146" s="230">
        <v>338065</v>
      </c>
      <c r="BC146" s="229">
        <v>0.6401</v>
      </c>
      <c r="BD146" s="230">
        <v>245505</v>
      </c>
      <c r="BE146" s="230">
        <v>187395</v>
      </c>
      <c r="BF146" s="230">
        <v>58110</v>
      </c>
      <c r="BG146" s="229">
        <v>0.31009999999999999</v>
      </c>
      <c r="BH146" s="230">
        <v>4028757070</v>
      </c>
      <c r="BI146" s="230">
        <v>2459491775</v>
      </c>
      <c r="BJ146" s="230">
        <v>1569265295</v>
      </c>
      <c r="BK146" s="229">
        <v>0.63800000000000001</v>
      </c>
      <c r="BL146" s="230">
        <v>3674246420</v>
      </c>
      <c r="BM146" s="230">
        <v>2067548600</v>
      </c>
      <c r="BN146" s="230">
        <v>1606697820</v>
      </c>
      <c r="BO146" s="229">
        <v>0.77710000000000001</v>
      </c>
      <c r="BP146" s="230">
        <v>7708542010</v>
      </c>
      <c r="BQ146" s="230">
        <v>4531114770</v>
      </c>
      <c r="BR146" s="230">
        <v>3177427240</v>
      </c>
      <c r="BS146" s="229">
        <v>0.70120000000000005</v>
      </c>
      <c r="BT146" s="228">
        <v>0</v>
      </c>
      <c r="BU146" s="228">
        <v>0</v>
      </c>
      <c r="BV146" s="228">
        <v>0</v>
      </c>
      <c r="BW146" s="229">
        <v>0</v>
      </c>
      <c r="BX146" s="230">
        <v>20196280</v>
      </c>
      <c r="BY146" s="230">
        <v>20544095</v>
      </c>
      <c r="BZ146" s="230">
        <v>-347815</v>
      </c>
      <c r="CA146" s="229">
        <v>-1.6899999999999998E-2</v>
      </c>
      <c r="CB146" s="230">
        <v>16736265</v>
      </c>
      <c r="CC146" s="230">
        <v>17201665</v>
      </c>
      <c r="CD146" s="230">
        <v>-465400</v>
      </c>
      <c r="CE146" s="229">
        <v>-2.7099999999999999E-2</v>
      </c>
      <c r="CF146" s="230">
        <v>2562625</v>
      </c>
      <c r="CG146" s="230">
        <v>2466035</v>
      </c>
      <c r="CH146" s="230">
        <v>96590</v>
      </c>
      <c r="CI146" s="229">
        <v>3.9199999999999999E-2</v>
      </c>
      <c r="CJ146" s="230">
        <v>897390</v>
      </c>
      <c r="CK146" s="230">
        <v>876395</v>
      </c>
      <c r="CL146" s="230">
        <v>20995</v>
      </c>
      <c r="CM146" s="229">
        <v>2.4E-2</v>
      </c>
      <c r="CN146" s="230">
        <v>234479125</v>
      </c>
      <c r="CO146" s="230">
        <v>237893495</v>
      </c>
      <c r="CP146" s="230">
        <v>-3414370</v>
      </c>
      <c r="CQ146" s="229">
        <v>-1.44E-2</v>
      </c>
      <c r="CR146" s="230">
        <v>265842655</v>
      </c>
      <c r="CS146" s="230">
        <v>260436530</v>
      </c>
      <c r="CT146" s="230">
        <v>5406125</v>
      </c>
      <c r="CU146" s="229">
        <v>2.0799999999999999E-2</v>
      </c>
      <c r="CV146" s="230">
        <v>520518060</v>
      </c>
      <c r="CW146" s="230">
        <v>518874120</v>
      </c>
      <c r="CX146" s="230">
        <v>1643940</v>
      </c>
      <c r="CY146" s="229">
        <v>3.2000000000000002E-3</v>
      </c>
      <c r="CZ146" s="228">
        <v>20.350000000000001</v>
      </c>
      <c r="DA146" s="228">
        <v>18.309999999999999</v>
      </c>
      <c r="DB146" s="228">
        <v>2.04</v>
      </c>
      <c r="DC146" s="228">
        <v>2.04</v>
      </c>
      <c r="DD146" s="228">
        <v>17.66</v>
      </c>
      <c r="DE146" s="228">
        <v>17.7</v>
      </c>
      <c r="DF146" s="228">
        <v>2.69</v>
      </c>
      <c r="DG146" s="228">
        <v>-0.04</v>
      </c>
      <c r="DH146" s="228">
        <v>18.809999999999999</v>
      </c>
      <c r="DI146" s="228">
        <v>15.94</v>
      </c>
      <c r="DJ146" s="228">
        <v>2.87</v>
      </c>
      <c r="DK146" s="228">
        <v>2.87</v>
      </c>
      <c r="DL146" s="228">
        <v>22.03</v>
      </c>
      <c r="DM146" s="228">
        <v>20.46</v>
      </c>
      <c r="DN146" s="228">
        <v>1.57</v>
      </c>
      <c r="DO146" s="228">
        <v>1.57</v>
      </c>
      <c r="DP146" s="228">
        <v>1.1299999999999999</v>
      </c>
      <c r="DQ146" s="228">
        <v>1.0900000000000001</v>
      </c>
      <c r="DR146" s="228">
        <v>0.04</v>
      </c>
      <c r="DS146" s="229">
        <v>3.6700000000000003E-2</v>
      </c>
      <c r="DT146" s="231">
        <v>25000</v>
      </c>
      <c r="DU146" s="231">
        <v>23500</v>
      </c>
      <c r="DV146" s="228">
        <v>0.91</v>
      </c>
      <c r="DW146" s="228">
        <v>0.84</v>
      </c>
      <c r="DX146" s="228">
        <v>7.0000000000000007E-2</v>
      </c>
      <c r="DY146" s="229">
        <v>8.3299999999999999E-2</v>
      </c>
      <c r="DZ146" s="229">
        <v>0.17130000000000001</v>
      </c>
      <c r="EA146" s="230">
        <v>3342430</v>
      </c>
      <c r="EB146" s="229">
        <v>5.7000000000000002E-3</v>
      </c>
      <c r="EC146" s="229">
        <v>0.17130000000000001</v>
      </c>
      <c r="ED146" s="228">
        <v>127.95</v>
      </c>
      <c r="EE146" s="229">
        <v>5.1999999999999998E-3</v>
      </c>
      <c r="EF146" s="228">
        <v>0</v>
      </c>
      <c r="EG146" s="228">
        <v>0</v>
      </c>
      <c r="EH146" s="229">
        <v>0</v>
      </c>
      <c r="EI146" s="229">
        <v>0</v>
      </c>
      <c r="EJ146" s="231">
        <v>999333191.29999995</v>
      </c>
      <c r="EK146" s="231">
        <v>883371203.87</v>
      </c>
      <c r="EL146" s="231">
        <v>1352056.13</v>
      </c>
      <c r="EM146" s="231">
        <v>79481</v>
      </c>
      <c r="EN146" s="231">
        <v>1884056451.3</v>
      </c>
      <c r="EO146" s="231">
        <v>1101533786.48</v>
      </c>
      <c r="EP146" s="231">
        <v>782522664.82000005</v>
      </c>
      <c r="EQ146" s="229">
        <v>0.71040000000000003</v>
      </c>
      <c r="ER146" s="231">
        <v>58670823</v>
      </c>
      <c r="ES146" s="231">
        <v>62148728</v>
      </c>
      <c r="ET146" s="231">
        <v>4920160</v>
      </c>
      <c r="EU146" s="228">
        <v>0</v>
      </c>
      <c r="EV146" s="231">
        <v>125739711</v>
      </c>
      <c r="EW146" s="231">
        <v>125287227</v>
      </c>
      <c r="EX146" s="231">
        <v>452484</v>
      </c>
      <c r="EY146" s="229">
        <v>3.5999999999999999E-3</v>
      </c>
      <c r="EZ146" s="229">
        <v>0</v>
      </c>
      <c r="FA146" s="227" t="s">
        <v>567</v>
      </c>
      <c r="FB146" s="161">
        <f t="shared" si="3"/>
        <v>0</v>
      </c>
    </row>
    <row r="147" spans="1:158" ht="17.25" thickBot="1" x14ac:dyDescent="0.3">
      <c r="A147" s="226">
        <v>46132</v>
      </c>
      <c r="B147" s="227" t="s">
        <v>181</v>
      </c>
      <c r="C147" s="227" t="s">
        <v>565</v>
      </c>
      <c r="D147" s="228">
        <v>25</v>
      </c>
      <c r="E147" s="231">
        <v>70229.600000000006</v>
      </c>
      <c r="F147" s="231">
        <v>70321.2</v>
      </c>
      <c r="G147" s="228">
        <v>-91.6</v>
      </c>
      <c r="H147" s="229">
        <v>-1.2999999999999999E-3</v>
      </c>
      <c r="I147" s="231">
        <v>70341</v>
      </c>
      <c r="J147" s="231">
        <v>70273.8</v>
      </c>
      <c r="K147" s="228">
        <v>67.2</v>
      </c>
      <c r="L147" s="229">
        <v>1E-3</v>
      </c>
      <c r="M147" s="231">
        <v>70229.600000000006</v>
      </c>
      <c r="N147" s="231">
        <v>70321.2</v>
      </c>
      <c r="O147" s="228">
        <v>-91.6</v>
      </c>
      <c r="P147" s="229">
        <v>-1.2999999999999999E-3</v>
      </c>
      <c r="Q147" s="231">
        <v>70550.8</v>
      </c>
      <c r="R147" s="231">
        <v>70620.2</v>
      </c>
      <c r="S147" s="228">
        <v>-69.400000000000006</v>
      </c>
      <c r="T147" s="229">
        <v>-1E-3</v>
      </c>
      <c r="U147" s="231">
        <v>67400</v>
      </c>
      <c r="V147" s="231">
        <v>67400</v>
      </c>
      <c r="W147" s="228">
        <v>0</v>
      </c>
      <c r="X147" s="229">
        <v>0</v>
      </c>
      <c r="Y147" s="228">
        <v>-111.4</v>
      </c>
      <c r="Z147" s="228">
        <v>47.4</v>
      </c>
      <c r="AA147" s="228">
        <v>-158.80000000000001</v>
      </c>
      <c r="AB147" s="229">
        <v>-1.6000000000000001E-3</v>
      </c>
      <c r="AC147" s="228">
        <v>-111.4</v>
      </c>
      <c r="AD147" s="228">
        <v>47.4</v>
      </c>
      <c r="AE147" s="228">
        <v>-158.80000000000001</v>
      </c>
      <c r="AF147" s="229">
        <v>-1.6000000000000001E-3</v>
      </c>
      <c r="AG147" s="228">
        <v>209.8</v>
      </c>
      <c r="AH147" s="228">
        <v>346.4</v>
      </c>
      <c r="AI147" s="228">
        <v>-136.6</v>
      </c>
      <c r="AJ147" s="229">
        <v>3.0000000000000001E-3</v>
      </c>
      <c r="AK147" s="231">
        <v>-2941</v>
      </c>
      <c r="AL147" s="231">
        <v>-2873.8</v>
      </c>
      <c r="AM147" s="228">
        <v>-67.2</v>
      </c>
      <c r="AN147" s="229">
        <v>-4.1799999999999997E-2</v>
      </c>
      <c r="AO147" s="231">
        <v>70300.89</v>
      </c>
      <c r="AP147" s="231">
        <v>70720</v>
      </c>
      <c r="AQ147" s="228">
        <v>0</v>
      </c>
      <c r="AR147" s="230">
        <v>10175</v>
      </c>
      <c r="AS147" s="230">
        <v>7700</v>
      </c>
      <c r="AT147" s="230">
        <v>2475</v>
      </c>
      <c r="AU147" s="229">
        <v>0.32140000000000002</v>
      </c>
      <c r="AV147" s="230">
        <v>7900</v>
      </c>
      <c r="AW147" s="230">
        <v>6200</v>
      </c>
      <c r="AX147" s="230">
        <v>1700</v>
      </c>
      <c r="AY147" s="229">
        <v>0.2742</v>
      </c>
      <c r="AZ147" s="230">
        <v>2275</v>
      </c>
      <c r="BA147" s="230">
        <v>1500</v>
      </c>
      <c r="BB147" s="228">
        <v>775</v>
      </c>
      <c r="BC147" s="229">
        <v>0.51670000000000005</v>
      </c>
      <c r="BD147" s="228">
        <v>0</v>
      </c>
      <c r="BE147" s="228">
        <v>0</v>
      </c>
      <c r="BF147" s="228">
        <v>0</v>
      </c>
      <c r="BG147" s="229">
        <v>0</v>
      </c>
      <c r="BH147" s="230">
        <v>14075</v>
      </c>
      <c r="BI147" s="230">
        <v>20125</v>
      </c>
      <c r="BJ147" s="230">
        <v>-6050</v>
      </c>
      <c r="BK147" s="229">
        <v>-0.30059999999999998</v>
      </c>
      <c r="BL147" s="230">
        <v>3450</v>
      </c>
      <c r="BM147" s="230">
        <v>4300</v>
      </c>
      <c r="BN147" s="228">
        <v>-850</v>
      </c>
      <c r="BO147" s="229">
        <v>-0.19769999999999999</v>
      </c>
      <c r="BP147" s="230">
        <v>27700</v>
      </c>
      <c r="BQ147" s="230">
        <v>32125</v>
      </c>
      <c r="BR147" s="230">
        <v>-4425</v>
      </c>
      <c r="BS147" s="229">
        <v>-0.13769999999999999</v>
      </c>
      <c r="BT147" s="228">
        <v>0</v>
      </c>
      <c r="BU147" s="228">
        <v>0</v>
      </c>
      <c r="BV147" s="228">
        <v>0</v>
      </c>
      <c r="BW147" s="229">
        <v>0</v>
      </c>
      <c r="BX147" s="230">
        <v>22100</v>
      </c>
      <c r="BY147" s="230">
        <v>20775</v>
      </c>
      <c r="BZ147" s="230">
        <v>1325</v>
      </c>
      <c r="CA147" s="229">
        <v>6.3799999999999996E-2</v>
      </c>
      <c r="CB147" s="230">
        <v>19050</v>
      </c>
      <c r="CC147" s="230">
        <v>18550</v>
      </c>
      <c r="CD147" s="228">
        <v>500</v>
      </c>
      <c r="CE147" s="229">
        <v>2.7E-2</v>
      </c>
      <c r="CF147" s="230">
        <v>3025</v>
      </c>
      <c r="CG147" s="230">
        <v>2200</v>
      </c>
      <c r="CH147" s="228">
        <v>825</v>
      </c>
      <c r="CI147" s="229">
        <v>0.375</v>
      </c>
      <c r="CJ147" s="228">
        <v>25</v>
      </c>
      <c r="CK147" s="228">
        <v>25</v>
      </c>
      <c r="CL147" s="228">
        <v>0</v>
      </c>
      <c r="CM147" s="229">
        <v>0</v>
      </c>
      <c r="CN147" s="230">
        <v>13650</v>
      </c>
      <c r="CO147" s="230">
        <v>13650</v>
      </c>
      <c r="CP147" s="228">
        <v>0</v>
      </c>
      <c r="CQ147" s="229">
        <v>0</v>
      </c>
      <c r="CR147" s="230">
        <v>5375</v>
      </c>
      <c r="CS147" s="230">
        <v>4900</v>
      </c>
      <c r="CT147" s="228">
        <v>475</v>
      </c>
      <c r="CU147" s="229">
        <v>9.69E-2</v>
      </c>
      <c r="CV147" s="230">
        <v>41125</v>
      </c>
      <c r="CW147" s="230">
        <v>39325</v>
      </c>
      <c r="CX147" s="230">
        <v>1800</v>
      </c>
      <c r="CY147" s="229">
        <v>4.58E-2</v>
      </c>
      <c r="CZ147" s="228">
        <v>22.25</v>
      </c>
      <c r="DA147" s="228">
        <v>19.28</v>
      </c>
      <c r="DB147" s="228">
        <v>2.97</v>
      </c>
      <c r="DC147" s="228">
        <v>2.97</v>
      </c>
      <c r="DD147" s="228">
        <v>23.23</v>
      </c>
      <c r="DE147" s="228">
        <v>23.29</v>
      </c>
      <c r="DF147" s="228">
        <v>-0.98</v>
      </c>
      <c r="DG147" s="228">
        <v>-0.06</v>
      </c>
      <c r="DH147" s="228">
        <v>23.25</v>
      </c>
      <c r="DI147" s="228">
        <v>18.98</v>
      </c>
      <c r="DJ147" s="228">
        <v>4.2699999999999996</v>
      </c>
      <c r="DK147" s="228">
        <v>4.2699999999999996</v>
      </c>
      <c r="DL147" s="228">
        <v>18.16</v>
      </c>
      <c r="DM147" s="228">
        <v>20.68</v>
      </c>
      <c r="DN147" s="228">
        <v>-2.52</v>
      </c>
      <c r="DO147" s="228">
        <v>-2.52</v>
      </c>
      <c r="DP147" s="228">
        <v>0.39</v>
      </c>
      <c r="DQ147" s="228">
        <v>0.36</v>
      </c>
      <c r="DR147" s="228">
        <v>0.03</v>
      </c>
      <c r="DS147" s="229">
        <v>8.3299999999999999E-2</v>
      </c>
      <c r="DT147" s="231">
        <v>70000</v>
      </c>
      <c r="DU147" s="231">
        <v>54000</v>
      </c>
      <c r="DV147" s="228">
        <v>0.25</v>
      </c>
      <c r="DW147" s="228">
        <v>0.21</v>
      </c>
      <c r="DX147" s="228">
        <v>0.04</v>
      </c>
      <c r="DY147" s="229">
        <v>0.1905</v>
      </c>
      <c r="DZ147" s="229">
        <v>0.13800000000000001</v>
      </c>
      <c r="EA147" s="230">
        <v>2225</v>
      </c>
      <c r="EB147" s="229">
        <v>4.5999999999999999E-3</v>
      </c>
      <c r="EC147" s="229">
        <v>0.13800000000000001</v>
      </c>
      <c r="ED147" s="228">
        <v>419.11</v>
      </c>
      <c r="EE147" s="229">
        <v>6.0000000000000001E-3</v>
      </c>
      <c r="EF147" s="228">
        <v>0</v>
      </c>
      <c r="EG147" s="228">
        <v>0</v>
      </c>
      <c r="EH147" s="229">
        <v>0</v>
      </c>
      <c r="EI147" s="229">
        <v>0</v>
      </c>
      <c r="EJ147" s="231">
        <v>10017.69</v>
      </c>
      <c r="EK147" s="231">
        <v>2342.8000000000002</v>
      </c>
      <c r="EL147" s="231">
        <v>7162.65</v>
      </c>
      <c r="EM147" s="228">
        <v>0</v>
      </c>
      <c r="EN147" s="231">
        <v>19523.14</v>
      </c>
      <c r="EO147" s="231">
        <v>22583.78</v>
      </c>
      <c r="EP147" s="231">
        <v>-3060.64</v>
      </c>
      <c r="EQ147" s="229">
        <v>-0.13550000000000001</v>
      </c>
      <c r="ER147" s="231">
        <v>9480</v>
      </c>
      <c r="ES147" s="231">
        <v>3384</v>
      </c>
      <c r="ET147" s="231">
        <v>15530</v>
      </c>
      <c r="EU147" s="228">
        <v>0</v>
      </c>
      <c r="EV147" s="231">
        <v>28394</v>
      </c>
      <c r="EW147" s="231">
        <v>27142</v>
      </c>
      <c r="EX147" s="231">
        <v>1252</v>
      </c>
      <c r="EY147" s="229">
        <v>4.6100000000000002E-2</v>
      </c>
      <c r="EZ147" s="229">
        <v>0</v>
      </c>
      <c r="FA147" s="227" t="s">
        <v>566</v>
      </c>
      <c r="FB147" s="161">
        <f t="shared" si="3"/>
        <v>0</v>
      </c>
    </row>
    <row r="148" spans="1:158" ht="17.25" thickBot="1" x14ac:dyDescent="0.3">
      <c r="A148" s="226">
        <v>46132</v>
      </c>
      <c r="B148" s="227" t="s">
        <v>227</v>
      </c>
      <c r="C148" s="227" t="s">
        <v>267</v>
      </c>
      <c r="D148" s="228">
        <v>6750</v>
      </c>
      <c r="E148" s="228">
        <v>88.77</v>
      </c>
      <c r="F148" s="228">
        <v>89.95</v>
      </c>
      <c r="G148" s="228">
        <v>-1.18</v>
      </c>
      <c r="H148" s="229">
        <v>-1.3100000000000001E-2</v>
      </c>
      <c r="I148" s="228">
        <v>88.9</v>
      </c>
      <c r="J148" s="228">
        <v>89.78</v>
      </c>
      <c r="K148" s="228">
        <v>-0.88</v>
      </c>
      <c r="L148" s="229">
        <v>-9.7999999999999997E-3</v>
      </c>
      <c r="M148" s="228">
        <v>88.77</v>
      </c>
      <c r="N148" s="228">
        <v>89.95</v>
      </c>
      <c r="O148" s="228">
        <v>-1.18</v>
      </c>
      <c r="P148" s="229">
        <v>-1.3100000000000001E-2</v>
      </c>
      <c r="Q148" s="228">
        <v>89.24</v>
      </c>
      <c r="R148" s="228">
        <v>90.45</v>
      </c>
      <c r="S148" s="228">
        <v>-1.21</v>
      </c>
      <c r="T148" s="229">
        <v>-1.34E-2</v>
      </c>
      <c r="U148" s="228">
        <v>89.87</v>
      </c>
      <c r="V148" s="228">
        <v>90.89</v>
      </c>
      <c r="W148" s="228">
        <v>-1.02</v>
      </c>
      <c r="X148" s="229">
        <v>-1.12E-2</v>
      </c>
      <c r="Y148" s="228">
        <v>-0.13</v>
      </c>
      <c r="Z148" s="228">
        <v>0.17</v>
      </c>
      <c r="AA148" s="228">
        <v>-0.3</v>
      </c>
      <c r="AB148" s="229">
        <v>-1.5E-3</v>
      </c>
      <c r="AC148" s="228">
        <v>-0.13</v>
      </c>
      <c r="AD148" s="228">
        <v>0.17</v>
      </c>
      <c r="AE148" s="228">
        <v>-0.3</v>
      </c>
      <c r="AF148" s="229">
        <v>-1.5E-3</v>
      </c>
      <c r="AG148" s="228">
        <v>0.34</v>
      </c>
      <c r="AH148" s="228">
        <v>0.67</v>
      </c>
      <c r="AI148" s="228">
        <v>-0.33</v>
      </c>
      <c r="AJ148" s="229">
        <v>3.8E-3</v>
      </c>
      <c r="AK148" s="228">
        <v>0.97</v>
      </c>
      <c r="AL148" s="228">
        <v>1.1100000000000001</v>
      </c>
      <c r="AM148" s="228">
        <v>-0.14000000000000001</v>
      </c>
      <c r="AN148" s="229">
        <v>1.09E-2</v>
      </c>
      <c r="AO148" s="228">
        <v>89.25</v>
      </c>
      <c r="AP148" s="228">
        <v>89.91</v>
      </c>
      <c r="AQ148" s="228">
        <v>0</v>
      </c>
      <c r="AR148" s="230">
        <v>37935000</v>
      </c>
      <c r="AS148" s="230">
        <v>50712750</v>
      </c>
      <c r="AT148" s="230">
        <v>-12777750</v>
      </c>
      <c r="AU148" s="229">
        <v>-0.252</v>
      </c>
      <c r="AV148" s="230">
        <v>28073250</v>
      </c>
      <c r="AW148" s="230">
        <v>39197250</v>
      </c>
      <c r="AX148" s="230">
        <v>-11124000</v>
      </c>
      <c r="AY148" s="229">
        <v>-0.2838</v>
      </c>
      <c r="AZ148" s="230">
        <v>9301500</v>
      </c>
      <c r="BA148" s="230">
        <v>6635250</v>
      </c>
      <c r="BB148" s="230">
        <v>2666250</v>
      </c>
      <c r="BC148" s="229">
        <v>0.40179999999999999</v>
      </c>
      <c r="BD148" s="230">
        <v>560250</v>
      </c>
      <c r="BE148" s="230">
        <v>4880250</v>
      </c>
      <c r="BF148" s="230">
        <v>-4320000</v>
      </c>
      <c r="BG148" s="229">
        <v>-0.88519999999999999</v>
      </c>
      <c r="BH148" s="230">
        <v>68931000</v>
      </c>
      <c r="BI148" s="230">
        <v>167042250</v>
      </c>
      <c r="BJ148" s="230">
        <v>-98111250</v>
      </c>
      <c r="BK148" s="229">
        <v>-0.58730000000000004</v>
      </c>
      <c r="BL148" s="230">
        <v>31684500</v>
      </c>
      <c r="BM148" s="230">
        <v>57354750</v>
      </c>
      <c r="BN148" s="230">
        <v>-25670250</v>
      </c>
      <c r="BO148" s="229">
        <v>-0.4476</v>
      </c>
      <c r="BP148" s="230">
        <v>138550500</v>
      </c>
      <c r="BQ148" s="230">
        <v>275109750</v>
      </c>
      <c r="BR148" s="230">
        <v>-136559250</v>
      </c>
      <c r="BS148" s="229">
        <v>-0.49640000000000001</v>
      </c>
      <c r="BT148" s="230">
        <v>32455377</v>
      </c>
      <c r="BU148" s="230">
        <v>44723434</v>
      </c>
      <c r="BV148" s="230">
        <v>-12268057</v>
      </c>
      <c r="BW148" s="229">
        <v>-0.27429999999999999</v>
      </c>
      <c r="BX148" s="230">
        <v>321441750</v>
      </c>
      <c r="BY148" s="230">
        <v>326457000</v>
      </c>
      <c r="BZ148" s="230">
        <v>-5015250</v>
      </c>
      <c r="CA148" s="229">
        <v>-1.54E-2</v>
      </c>
      <c r="CB148" s="230">
        <v>297864000</v>
      </c>
      <c r="CC148" s="230">
        <v>306652500</v>
      </c>
      <c r="CD148" s="230">
        <v>-8788500</v>
      </c>
      <c r="CE148" s="229">
        <v>-2.87E-2</v>
      </c>
      <c r="CF148" s="230">
        <v>18036000</v>
      </c>
      <c r="CG148" s="230">
        <v>14445000</v>
      </c>
      <c r="CH148" s="230">
        <v>3591000</v>
      </c>
      <c r="CI148" s="229">
        <v>0.24859999999999999</v>
      </c>
      <c r="CJ148" s="230">
        <v>5541750</v>
      </c>
      <c r="CK148" s="230">
        <v>5359500</v>
      </c>
      <c r="CL148" s="230">
        <v>182250</v>
      </c>
      <c r="CM148" s="229">
        <v>3.4000000000000002E-2</v>
      </c>
      <c r="CN148" s="230">
        <v>81189000</v>
      </c>
      <c r="CO148" s="230">
        <v>80115750</v>
      </c>
      <c r="CP148" s="230">
        <v>1073250</v>
      </c>
      <c r="CQ148" s="229">
        <v>1.34E-2</v>
      </c>
      <c r="CR148" s="230">
        <v>52683750</v>
      </c>
      <c r="CS148" s="230">
        <v>54999000</v>
      </c>
      <c r="CT148" s="230">
        <v>-2315250</v>
      </c>
      <c r="CU148" s="229">
        <v>-4.2099999999999999E-2</v>
      </c>
      <c r="CV148" s="230">
        <v>455314500</v>
      </c>
      <c r="CW148" s="230">
        <v>461571750</v>
      </c>
      <c r="CX148" s="230">
        <v>-6257250</v>
      </c>
      <c r="CY148" s="229">
        <v>-1.3599999999999999E-2</v>
      </c>
      <c r="CZ148" s="228">
        <v>35.76</v>
      </c>
      <c r="DA148" s="228">
        <v>33.1</v>
      </c>
      <c r="DB148" s="228">
        <v>2.66</v>
      </c>
      <c r="DC148" s="228">
        <v>2.66</v>
      </c>
      <c r="DD148" s="228">
        <v>39.03</v>
      </c>
      <c r="DE148" s="228">
        <v>39.090000000000003</v>
      </c>
      <c r="DF148" s="228">
        <v>-3.27</v>
      </c>
      <c r="DG148" s="228">
        <v>-0.06</v>
      </c>
      <c r="DH148" s="228">
        <v>34.729999999999997</v>
      </c>
      <c r="DI148" s="228">
        <v>32.17</v>
      </c>
      <c r="DJ148" s="228">
        <v>2.56</v>
      </c>
      <c r="DK148" s="228">
        <v>2.56</v>
      </c>
      <c r="DL148" s="228">
        <v>38.01</v>
      </c>
      <c r="DM148" s="228">
        <v>35.799999999999997</v>
      </c>
      <c r="DN148" s="228">
        <v>2.21</v>
      </c>
      <c r="DO148" s="228">
        <v>2.21</v>
      </c>
      <c r="DP148" s="228">
        <v>0.65</v>
      </c>
      <c r="DQ148" s="228">
        <v>0.69</v>
      </c>
      <c r="DR148" s="228">
        <v>-0.04</v>
      </c>
      <c r="DS148" s="229">
        <v>-5.8000000000000003E-2</v>
      </c>
      <c r="DT148" s="228">
        <v>90</v>
      </c>
      <c r="DU148" s="228">
        <v>80</v>
      </c>
      <c r="DV148" s="228">
        <v>0.46</v>
      </c>
      <c r="DW148" s="228">
        <v>0.34</v>
      </c>
      <c r="DX148" s="228">
        <v>0.12</v>
      </c>
      <c r="DY148" s="229">
        <v>0.35289999999999999</v>
      </c>
      <c r="DZ148" s="229">
        <v>7.3300000000000004E-2</v>
      </c>
      <c r="EA148" s="230">
        <v>19804500</v>
      </c>
      <c r="EB148" s="229">
        <v>5.3E-3</v>
      </c>
      <c r="EC148" s="229">
        <v>7.3300000000000004E-2</v>
      </c>
      <c r="ED148" s="228">
        <v>0.66</v>
      </c>
      <c r="EE148" s="229">
        <v>7.4000000000000003E-3</v>
      </c>
      <c r="EF148" s="230">
        <v>18402762</v>
      </c>
      <c r="EG148" s="230">
        <v>21621115</v>
      </c>
      <c r="EH148" s="229">
        <v>-0.1489</v>
      </c>
      <c r="EI148" s="229">
        <v>0.56699999999999995</v>
      </c>
      <c r="EJ148" s="231">
        <v>64259.49</v>
      </c>
      <c r="EK148" s="231">
        <v>27476.79</v>
      </c>
      <c r="EL148" s="231">
        <v>33923.74</v>
      </c>
      <c r="EM148" s="231">
        <v>6174</v>
      </c>
      <c r="EN148" s="231">
        <v>125660.02</v>
      </c>
      <c r="EO148" s="231">
        <v>249668.11</v>
      </c>
      <c r="EP148" s="231">
        <v>-124008.09</v>
      </c>
      <c r="EQ148" s="229">
        <v>-0.49669999999999997</v>
      </c>
      <c r="ER148" s="231">
        <v>71994</v>
      </c>
      <c r="ES148" s="231">
        <v>42406</v>
      </c>
      <c r="ET148" s="231">
        <v>285490</v>
      </c>
      <c r="EU148" s="231">
        <v>517037525</v>
      </c>
      <c r="EV148" s="231">
        <v>399889</v>
      </c>
      <c r="EW148" s="231">
        <v>408962</v>
      </c>
      <c r="EX148" s="231">
        <v>-9073</v>
      </c>
      <c r="EY148" s="229">
        <v>-2.2200000000000001E-2</v>
      </c>
      <c r="EZ148" s="229">
        <v>0.88060000000000005</v>
      </c>
      <c r="FA148" s="227" t="s">
        <v>567</v>
      </c>
      <c r="FB148" s="161">
        <f t="shared" si="3"/>
        <v>0</v>
      </c>
    </row>
    <row r="149" spans="1:158" ht="17.25" thickBot="1" x14ac:dyDescent="0.3">
      <c r="A149" s="226">
        <v>46132</v>
      </c>
      <c r="B149" s="227" t="s">
        <v>161</v>
      </c>
      <c r="C149" s="227" t="s">
        <v>268</v>
      </c>
      <c r="D149" s="228">
        <v>1500</v>
      </c>
      <c r="E149" s="228">
        <v>398.3</v>
      </c>
      <c r="F149" s="228">
        <v>395.2</v>
      </c>
      <c r="G149" s="228">
        <v>3.1</v>
      </c>
      <c r="H149" s="229">
        <v>7.7999999999999996E-3</v>
      </c>
      <c r="I149" s="228">
        <v>398</v>
      </c>
      <c r="J149" s="228">
        <v>393.6</v>
      </c>
      <c r="K149" s="228">
        <v>4.4000000000000004</v>
      </c>
      <c r="L149" s="229">
        <v>1.12E-2</v>
      </c>
      <c r="M149" s="228">
        <v>398.3</v>
      </c>
      <c r="N149" s="228">
        <v>395.2</v>
      </c>
      <c r="O149" s="228">
        <v>3.1</v>
      </c>
      <c r="P149" s="229">
        <v>7.7999999999999996E-3</v>
      </c>
      <c r="Q149" s="228">
        <v>400.35</v>
      </c>
      <c r="R149" s="228">
        <v>397.1</v>
      </c>
      <c r="S149" s="228">
        <v>3.25</v>
      </c>
      <c r="T149" s="229">
        <v>8.2000000000000007E-3</v>
      </c>
      <c r="U149" s="228">
        <v>403.15</v>
      </c>
      <c r="V149" s="228">
        <v>399.1</v>
      </c>
      <c r="W149" s="228">
        <v>4.05</v>
      </c>
      <c r="X149" s="229">
        <v>1.01E-2</v>
      </c>
      <c r="Y149" s="228">
        <v>0.3</v>
      </c>
      <c r="Z149" s="228">
        <v>1.6</v>
      </c>
      <c r="AA149" s="228">
        <v>-1.3</v>
      </c>
      <c r="AB149" s="229">
        <v>8.0000000000000004E-4</v>
      </c>
      <c r="AC149" s="228">
        <v>0.3</v>
      </c>
      <c r="AD149" s="228">
        <v>1.6</v>
      </c>
      <c r="AE149" s="228">
        <v>-1.3</v>
      </c>
      <c r="AF149" s="229">
        <v>8.0000000000000004E-4</v>
      </c>
      <c r="AG149" s="228">
        <v>2.35</v>
      </c>
      <c r="AH149" s="228">
        <v>3.5</v>
      </c>
      <c r="AI149" s="228">
        <v>-1.1499999999999999</v>
      </c>
      <c r="AJ149" s="229">
        <v>5.8999999999999999E-3</v>
      </c>
      <c r="AK149" s="228">
        <v>5.15</v>
      </c>
      <c r="AL149" s="228">
        <v>5.5</v>
      </c>
      <c r="AM149" s="228">
        <v>-0.35</v>
      </c>
      <c r="AN149" s="229">
        <v>1.29E-2</v>
      </c>
      <c r="AO149" s="228">
        <v>398.53</v>
      </c>
      <c r="AP149" s="228">
        <v>400.38</v>
      </c>
      <c r="AQ149" s="228">
        <v>0</v>
      </c>
      <c r="AR149" s="230">
        <v>21229500</v>
      </c>
      <c r="AS149" s="230">
        <v>20563500</v>
      </c>
      <c r="AT149" s="230">
        <v>666000</v>
      </c>
      <c r="AU149" s="229">
        <v>3.2399999999999998E-2</v>
      </c>
      <c r="AV149" s="230">
        <v>16714500</v>
      </c>
      <c r="AW149" s="230">
        <v>16773000</v>
      </c>
      <c r="AX149" s="230">
        <v>-58500</v>
      </c>
      <c r="AY149" s="229">
        <v>-3.5000000000000001E-3</v>
      </c>
      <c r="AZ149" s="230">
        <v>2767500</v>
      </c>
      <c r="BA149" s="230">
        <v>3672000</v>
      </c>
      <c r="BB149" s="230">
        <v>-904500</v>
      </c>
      <c r="BC149" s="229">
        <v>-0.24629999999999999</v>
      </c>
      <c r="BD149" s="230">
        <v>1747500</v>
      </c>
      <c r="BE149" s="230">
        <v>118500</v>
      </c>
      <c r="BF149" s="230">
        <v>1629000</v>
      </c>
      <c r="BG149" s="229">
        <v>13.7468</v>
      </c>
      <c r="BH149" s="230">
        <v>109485000</v>
      </c>
      <c r="BI149" s="230">
        <v>84981000</v>
      </c>
      <c r="BJ149" s="230">
        <v>24504000</v>
      </c>
      <c r="BK149" s="229">
        <v>0.2883</v>
      </c>
      <c r="BL149" s="230">
        <v>49761000</v>
      </c>
      <c r="BM149" s="230">
        <v>40204500</v>
      </c>
      <c r="BN149" s="230">
        <v>9556500</v>
      </c>
      <c r="BO149" s="229">
        <v>0.23769999999999999</v>
      </c>
      <c r="BP149" s="230">
        <v>180475500</v>
      </c>
      <c r="BQ149" s="230">
        <v>145749000</v>
      </c>
      <c r="BR149" s="230">
        <v>34726500</v>
      </c>
      <c r="BS149" s="229">
        <v>0.23830000000000001</v>
      </c>
      <c r="BT149" s="230">
        <v>10702238</v>
      </c>
      <c r="BU149" s="230">
        <v>15936041</v>
      </c>
      <c r="BV149" s="230">
        <v>-5233803</v>
      </c>
      <c r="BW149" s="229">
        <v>-0.32840000000000003</v>
      </c>
      <c r="BX149" s="230">
        <v>104403000</v>
      </c>
      <c r="BY149" s="230">
        <v>98035500</v>
      </c>
      <c r="BZ149" s="230">
        <v>6367500</v>
      </c>
      <c r="CA149" s="229">
        <v>6.5000000000000002E-2</v>
      </c>
      <c r="CB149" s="230">
        <v>86224500</v>
      </c>
      <c r="CC149" s="230">
        <v>82618500</v>
      </c>
      <c r="CD149" s="230">
        <v>3606000</v>
      </c>
      <c r="CE149" s="229">
        <v>4.36E-2</v>
      </c>
      <c r="CF149" s="230">
        <v>13222500</v>
      </c>
      <c r="CG149" s="230">
        <v>12052500</v>
      </c>
      <c r="CH149" s="230">
        <v>1170000</v>
      </c>
      <c r="CI149" s="229">
        <v>9.7100000000000006E-2</v>
      </c>
      <c r="CJ149" s="230">
        <v>4956000</v>
      </c>
      <c r="CK149" s="230">
        <v>3364500</v>
      </c>
      <c r="CL149" s="230">
        <v>1591500</v>
      </c>
      <c r="CM149" s="229">
        <v>0.47299999999999998</v>
      </c>
      <c r="CN149" s="230">
        <v>68433000</v>
      </c>
      <c r="CO149" s="230">
        <v>59341500</v>
      </c>
      <c r="CP149" s="230">
        <v>9091500</v>
      </c>
      <c r="CQ149" s="229">
        <v>0.1532</v>
      </c>
      <c r="CR149" s="230">
        <v>36288000</v>
      </c>
      <c r="CS149" s="230">
        <v>31327500</v>
      </c>
      <c r="CT149" s="230">
        <v>4960500</v>
      </c>
      <c r="CU149" s="229">
        <v>0.1583</v>
      </c>
      <c r="CV149" s="230">
        <v>209124000</v>
      </c>
      <c r="CW149" s="230">
        <v>188704500</v>
      </c>
      <c r="CX149" s="230">
        <v>20419500</v>
      </c>
      <c r="CY149" s="229">
        <v>0.1082</v>
      </c>
      <c r="CZ149" s="228">
        <v>21.01</v>
      </c>
      <c r="DA149" s="228">
        <v>19.97</v>
      </c>
      <c r="DB149" s="228">
        <v>1.04</v>
      </c>
      <c r="DC149" s="228">
        <v>1.04</v>
      </c>
      <c r="DD149" s="228">
        <v>27.39</v>
      </c>
      <c r="DE149" s="228">
        <v>27.42</v>
      </c>
      <c r="DF149" s="228">
        <v>-6.38</v>
      </c>
      <c r="DG149" s="228">
        <v>-0.03</v>
      </c>
      <c r="DH149" s="228">
        <v>20.3</v>
      </c>
      <c r="DI149" s="228">
        <v>19.21</v>
      </c>
      <c r="DJ149" s="228">
        <v>1.0900000000000001</v>
      </c>
      <c r="DK149" s="228">
        <v>1.0900000000000001</v>
      </c>
      <c r="DL149" s="228">
        <v>22.57</v>
      </c>
      <c r="DM149" s="228">
        <v>21.58</v>
      </c>
      <c r="DN149" s="228">
        <v>0.99</v>
      </c>
      <c r="DO149" s="228">
        <v>0.99</v>
      </c>
      <c r="DP149" s="228">
        <v>0.53</v>
      </c>
      <c r="DQ149" s="228">
        <v>0.53</v>
      </c>
      <c r="DR149" s="228">
        <v>0</v>
      </c>
      <c r="DS149" s="229">
        <v>0</v>
      </c>
      <c r="DT149" s="228">
        <v>400</v>
      </c>
      <c r="DU149" s="228">
        <v>380</v>
      </c>
      <c r="DV149" s="228">
        <v>0.45</v>
      </c>
      <c r="DW149" s="228">
        <v>0.47</v>
      </c>
      <c r="DX149" s="228">
        <v>-0.02</v>
      </c>
      <c r="DY149" s="229">
        <v>-4.2599999999999999E-2</v>
      </c>
      <c r="DZ149" s="229">
        <v>0.1741</v>
      </c>
      <c r="EA149" s="230">
        <v>15417000</v>
      </c>
      <c r="EB149" s="229">
        <v>5.1000000000000004E-3</v>
      </c>
      <c r="EC149" s="229">
        <v>0.1741</v>
      </c>
      <c r="ED149" s="228">
        <v>1.85</v>
      </c>
      <c r="EE149" s="229">
        <v>4.5999999999999999E-3</v>
      </c>
      <c r="EF149" s="230">
        <v>5815796</v>
      </c>
      <c r="EG149" s="230">
        <v>10153267</v>
      </c>
      <c r="EH149" s="229">
        <v>-0.42720000000000002</v>
      </c>
      <c r="EI149" s="229">
        <v>0.54339999999999999</v>
      </c>
      <c r="EJ149" s="231">
        <v>445336.86</v>
      </c>
      <c r="EK149" s="231">
        <v>195613.38</v>
      </c>
      <c r="EL149" s="231">
        <v>84737.83</v>
      </c>
      <c r="EM149" s="231">
        <v>10166</v>
      </c>
      <c r="EN149" s="231">
        <v>725688.07</v>
      </c>
      <c r="EO149" s="231">
        <v>580016.14</v>
      </c>
      <c r="EP149" s="231">
        <v>145671.93</v>
      </c>
      <c r="EQ149" s="229">
        <v>0.25119999999999998</v>
      </c>
      <c r="ER149" s="231">
        <v>268864</v>
      </c>
      <c r="ES149" s="231">
        <v>136554</v>
      </c>
      <c r="ET149" s="231">
        <v>416349</v>
      </c>
      <c r="EU149" s="231">
        <v>550512361</v>
      </c>
      <c r="EV149" s="231">
        <v>821767</v>
      </c>
      <c r="EW149" s="231">
        <v>736199</v>
      </c>
      <c r="EX149" s="231">
        <v>85568</v>
      </c>
      <c r="EY149" s="229">
        <v>0.1162</v>
      </c>
      <c r="EZ149" s="229">
        <v>0.37990000000000002</v>
      </c>
      <c r="FA149" s="227" t="s">
        <v>555</v>
      </c>
      <c r="FB149" s="161">
        <f t="shared" si="3"/>
        <v>0</v>
      </c>
    </row>
    <row r="150" spans="1:158" ht="17.25" thickBot="1" x14ac:dyDescent="0.3">
      <c r="A150" s="226">
        <v>46132</v>
      </c>
      <c r="B150" s="227" t="s">
        <v>175</v>
      </c>
      <c r="C150" s="227" t="s">
        <v>683</v>
      </c>
      <c r="D150" s="228">
        <v>500</v>
      </c>
      <c r="E150" s="231">
        <v>1379.9</v>
      </c>
      <c r="F150" s="231">
        <v>1394.8</v>
      </c>
      <c r="G150" s="228">
        <v>-14.9</v>
      </c>
      <c r="H150" s="229">
        <v>-1.0699999999999999E-2</v>
      </c>
      <c r="I150" s="231">
        <v>1379.1</v>
      </c>
      <c r="J150" s="231">
        <v>1400.7</v>
      </c>
      <c r="K150" s="228">
        <v>-21.6</v>
      </c>
      <c r="L150" s="229">
        <v>-1.54E-2</v>
      </c>
      <c r="M150" s="231">
        <v>1379.9</v>
      </c>
      <c r="N150" s="231">
        <v>1394.8</v>
      </c>
      <c r="O150" s="228">
        <v>-14.9</v>
      </c>
      <c r="P150" s="229">
        <v>-1.0699999999999999E-2</v>
      </c>
      <c r="Q150" s="231">
        <v>1371.4</v>
      </c>
      <c r="R150" s="231">
        <v>1384.8</v>
      </c>
      <c r="S150" s="228">
        <v>-13.4</v>
      </c>
      <c r="T150" s="229">
        <v>-9.7000000000000003E-3</v>
      </c>
      <c r="U150" s="231">
        <v>1364</v>
      </c>
      <c r="V150" s="231">
        <v>1375.9</v>
      </c>
      <c r="W150" s="228">
        <v>-11.9</v>
      </c>
      <c r="X150" s="229">
        <v>-8.6E-3</v>
      </c>
      <c r="Y150" s="228">
        <v>0.8</v>
      </c>
      <c r="Z150" s="228">
        <v>-5.9</v>
      </c>
      <c r="AA150" s="228">
        <v>6.7</v>
      </c>
      <c r="AB150" s="229">
        <v>5.9999999999999995E-4</v>
      </c>
      <c r="AC150" s="228">
        <v>0.8</v>
      </c>
      <c r="AD150" s="228">
        <v>-5.9</v>
      </c>
      <c r="AE150" s="228">
        <v>6.7</v>
      </c>
      <c r="AF150" s="229">
        <v>5.9999999999999995E-4</v>
      </c>
      <c r="AG150" s="228">
        <v>-7.7</v>
      </c>
      <c r="AH150" s="228">
        <v>-15.9</v>
      </c>
      <c r="AI150" s="228">
        <v>8.1999999999999993</v>
      </c>
      <c r="AJ150" s="229">
        <v>-5.5999999999999999E-3</v>
      </c>
      <c r="AK150" s="228">
        <v>-15.1</v>
      </c>
      <c r="AL150" s="228">
        <v>-24.8</v>
      </c>
      <c r="AM150" s="228">
        <v>9.6999999999999993</v>
      </c>
      <c r="AN150" s="229">
        <v>-1.09E-2</v>
      </c>
      <c r="AO150" s="231">
        <v>1381.47</v>
      </c>
      <c r="AP150" s="231">
        <v>1369.81</v>
      </c>
      <c r="AQ150" s="228">
        <v>0</v>
      </c>
      <c r="AR150" s="230">
        <v>412500</v>
      </c>
      <c r="AS150" s="230">
        <v>680000</v>
      </c>
      <c r="AT150" s="230">
        <v>-267500</v>
      </c>
      <c r="AU150" s="229">
        <v>-0.39340000000000003</v>
      </c>
      <c r="AV150" s="230">
        <v>338500</v>
      </c>
      <c r="AW150" s="230">
        <v>568500</v>
      </c>
      <c r="AX150" s="230">
        <v>-230000</v>
      </c>
      <c r="AY150" s="229">
        <v>-0.40460000000000002</v>
      </c>
      <c r="AZ150" s="230">
        <v>70000</v>
      </c>
      <c r="BA150" s="230">
        <v>109500</v>
      </c>
      <c r="BB150" s="230">
        <v>-39500</v>
      </c>
      <c r="BC150" s="229">
        <v>-0.36070000000000002</v>
      </c>
      <c r="BD150" s="230">
        <v>4000</v>
      </c>
      <c r="BE150" s="230">
        <v>2000</v>
      </c>
      <c r="BF150" s="230">
        <v>2000</v>
      </c>
      <c r="BG150" s="229">
        <v>1</v>
      </c>
      <c r="BH150" s="230">
        <v>1233500</v>
      </c>
      <c r="BI150" s="230">
        <v>1405000</v>
      </c>
      <c r="BJ150" s="230">
        <v>-171500</v>
      </c>
      <c r="BK150" s="229">
        <v>-0.1221</v>
      </c>
      <c r="BL150" s="230">
        <v>1856500</v>
      </c>
      <c r="BM150" s="230">
        <v>411500</v>
      </c>
      <c r="BN150" s="230">
        <v>1445000</v>
      </c>
      <c r="BO150" s="229">
        <v>3.5114999999999998</v>
      </c>
      <c r="BP150" s="230">
        <v>3502500</v>
      </c>
      <c r="BQ150" s="230">
        <v>2496500</v>
      </c>
      <c r="BR150" s="230">
        <v>1006000</v>
      </c>
      <c r="BS150" s="229">
        <v>0.40300000000000002</v>
      </c>
      <c r="BT150" s="230">
        <v>388420</v>
      </c>
      <c r="BU150" s="230">
        <v>389302</v>
      </c>
      <c r="BV150" s="228">
        <v>-882</v>
      </c>
      <c r="BW150" s="229">
        <v>-2.3E-3</v>
      </c>
      <c r="BX150" s="230">
        <v>2026000</v>
      </c>
      <c r="BY150" s="230">
        <v>2038000</v>
      </c>
      <c r="BZ150" s="230">
        <v>-12000</v>
      </c>
      <c r="CA150" s="229">
        <v>-5.8999999999999999E-3</v>
      </c>
      <c r="CB150" s="230">
        <v>1833500</v>
      </c>
      <c r="CC150" s="230">
        <v>1877500</v>
      </c>
      <c r="CD150" s="230">
        <v>-44000</v>
      </c>
      <c r="CE150" s="229">
        <v>-2.3400000000000001E-2</v>
      </c>
      <c r="CF150" s="230">
        <v>173500</v>
      </c>
      <c r="CG150" s="230">
        <v>143000</v>
      </c>
      <c r="CH150" s="230">
        <v>30500</v>
      </c>
      <c r="CI150" s="229">
        <v>0.21329999999999999</v>
      </c>
      <c r="CJ150" s="230">
        <v>19000</v>
      </c>
      <c r="CK150" s="230">
        <v>17500</v>
      </c>
      <c r="CL150" s="230">
        <v>1500</v>
      </c>
      <c r="CM150" s="229">
        <v>8.5699999999999998E-2</v>
      </c>
      <c r="CN150" s="230">
        <v>1010500</v>
      </c>
      <c r="CO150" s="230">
        <v>964000</v>
      </c>
      <c r="CP150" s="230">
        <v>46500</v>
      </c>
      <c r="CQ150" s="229">
        <v>4.82E-2</v>
      </c>
      <c r="CR150" s="230">
        <v>805500</v>
      </c>
      <c r="CS150" s="230">
        <v>815500</v>
      </c>
      <c r="CT150" s="230">
        <v>-10000</v>
      </c>
      <c r="CU150" s="229">
        <v>-1.23E-2</v>
      </c>
      <c r="CV150" s="230">
        <v>3842000</v>
      </c>
      <c r="CW150" s="230">
        <v>3817500</v>
      </c>
      <c r="CX150" s="230">
        <v>24500</v>
      </c>
      <c r="CY150" s="229">
        <v>6.4000000000000003E-3</v>
      </c>
      <c r="CZ150" s="228">
        <v>53.02</v>
      </c>
      <c r="DA150" s="228">
        <v>40.909999999999997</v>
      </c>
      <c r="DB150" s="228">
        <v>12.11</v>
      </c>
      <c r="DC150" s="228">
        <v>12.11</v>
      </c>
      <c r="DD150" s="228">
        <v>50.91</v>
      </c>
      <c r="DE150" s="228">
        <v>51.01</v>
      </c>
      <c r="DF150" s="228">
        <v>2.11</v>
      </c>
      <c r="DG150" s="228">
        <v>-0.1</v>
      </c>
      <c r="DH150" s="228">
        <v>39.229999999999997</v>
      </c>
      <c r="DI150" s="228">
        <v>38.950000000000003</v>
      </c>
      <c r="DJ150" s="228">
        <v>0.28000000000000003</v>
      </c>
      <c r="DK150" s="228">
        <v>0.28000000000000003</v>
      </c>
      <c r="DL150" s="228">
        <v>62.18</v>
      </c>
      <c r="DM150" s="228">
        <v>47.62</v>
      </c>
      <c r="DN150" s="228">
        <v>14.56</v>
      </c>
      <c r="DO150" s="228">
        <v>14.56</v>
      </c>
      <c r="DP150" s="228">
        <v>0.8</v>
      </c>
      <c r="DQ150" s="228">
        <v>0.85</v>
      </c>
      <c r="DR150" s="228">
        <v>-0.05</v>
      </c>
      <c r="DS150" s="229">
        <v>-5.8799999999999998E-2</v>
      </c>
      <c r="DT150" s="231">
        <v>1480</v>
      </c>
      <c r="DU150" s="231">
        <v>1300</v>
      </c>
      <c r="DV150" s="228">
        <v>1.51</v>
      </c>
      <c r="DW150" s="228">
        <v>0.28999999999999998</v>
      </c>
      <c r="DX150" s="228">
        <v>1.22</v>
      </c>
      <c r="DY150" s="229">
        <v>4.2069000000000001</v>
      </c>
      <c r="DZ150" s="229">
        <v>9.5000000000000001E-2</v>
      </c>
      <c r="EA150" s="230">
        <v>160500</v>
      </c>
      <c r="EB150" s="229">
        <v>-6.1999999999999998E-3</v>
      </c>
      <c r="EC150" s="229">
        <v>9.5000000000000001E-2</v>
      </c>
      <c r="ED150" s="228">
        <v>-11.66</v>
      </c>
      <c r="EE150" s="229">
        <v>-8.3999999999999995E-3</v>
      </c>
      <c r="EF150" s="230">
        <v>180486</v>
      </c>
      <c r="EG150" s="230">
        <v>169158</v>
      </c>
      <c r="EH150" s="229">
        <v>6.7000000000000004E-2</v>
      </c>
      <c r="EI150" s="229">
        <v>0.4647</v>
      </c>
      <c r="EJ150" s="231">
        <v>18383.259999999998</v>
      </c>
      <c r="EK150" s="231">
        <v>21622.76</v>
      </c>
      <c r="EL150" s="231">
        <v>5689.65</v>
      </c>
      <c r="EM150" s="228">
        <v>945</v>
      </c>
      <c r="EN150" s="231">
        <v>45695.67</v>
      </c>
      <c r="EO150" s="231">
        <v>35132.9</v>
      </c>
      <c r="EP150" s="231">
        <v>10562.77</v>
      </c>
      <c r="EQ150" s="229">
        <v>0.30070000000000002</v>
      </c>
      <c r="ER150" s="231">
        <v>13716</v>
      </c>
      <c r="ES150" s="231">
        <v>9712</v>
      </c>
      <c r="ET150" s="231">
        <v>27939</v>
      </c>
      <c r="EU150" s="231">
        <v>12490416</v>
      </c>
      <c r="EV150" s="231">
        <v>51367</v>
      </c>
      <c r="EW150" s="231">
        <v>51237</v>
      </c>
      <c r="EX150" s="228">
        <v>130</v>
      </c>
      <c r="EY150" s="229">
        <v>2.5000000000000001E-3</v>
      </c>
      <c r="EZ150" s="229">
        <v>0.30759999999999998</v>
      </c>
      <c r="FA150" s="227" t="s">
        <v>567</v>
      </c>
      <c r="FB150" s="161">
        <f t="shared" si="3"/>
        <v>0</v>
      </c>
    </row>
    <row r="151" spans="1:158" ht="17.25" thickBot="1" x14ac:dyDescent="0.3">
      <c r="A151" s="226">
        <v>46132</v>
      </c>
      <c r="B151" s="227" t="s">
        <v>614</v>
      </c>
      <c r="C151" s="227" t="s">
        <v>612</v>
      </c>
      <c r="D151" s="228">
        <v>3125</v>
      </c>
      <c r="E151" s="228">
        <v>265.18</v>
      </c>
      <c r="F151" s="228">
        <v>270.02999999999997</v>
      </c>
      <c r="G151" s="228">
        <v>-4.8499999999999996</v>
      </c>
      <c r="H151" s="229">
        <v>-1.7999999999999999E-2</v>
      </c>
      <c r="I151" s="228">
        <v>264.55</v>
      </c>
      <c r="J151" s="228">
        <v>269.66000000000003</v>
      </c>
      <c r="K151" s="228">
        <v>-5.1100000000000003</v>
      </c>
      <c r="L151" s="229">
        <v>-1.89E-2</v>
      </c>
      <c r="M151" s="228">
        <v>265.18</v>
      </c>
      <c r="N151" s="228">
        <v>270.02999999999997</v>
      </c>
      <c r="O151" s="228">
        <v>-4.8499999999999996</v>
      </c>
      <c r="P151" s="229">
        <v>-1.7999999999999999E-2</v>
      </c>
      <c r="Q151" s="228">
        <v>266.20999999999998</v>
      </c>
      <c r="R151" s="228">
        <v>270.89</v>
      </c>
      <c r="S151" s="228">
        <v>-4.68</v>
      </c>
      <c r="T151" s="229">
        <v>-1.7299999999999999E-2</v>
      </c>
      <c r="U151" s="228">
        <v>268.39999999999998</v>
      </c>
      <c r="V151" s="228">
        <v>270</v>
      </c>
      <c r="W151" s="228">
        <v>-1.6</v>
      </c>
      <c r="X151" s="229">
        <v>-5.8999999999999999E-3</v>
      </c>
      <c r="Y151" s="228">
        <v>0.63</v>
      </c>
      <c r="Z151" s="228">
        <v>0.37</v>
      </c>
      <c r="AA151" s="228">
        <v>0.26</v>
      </c>
      <c r="AB151" s="229">
        <v>2.3999999999999998E-3</v>
      </c>
      <c r="AC151" s="228">
        <v>0.63</v>
      </c>
      <c r="AD151" s="228">
        <v>0.37</v>
      </c>
      <c r="AE151" s="228">
        <v>0.26</v>
      </c>
      <c r="AF151" s="229">
        <v>2.3999999999999998E-3</v>
      </c>
      <c r="AG151" s="228">
        <v>1.66</v>
      </c>
      <c r="AH151" s="228">
        <v>1.23</v>
      </c>
      <c r="AI151" s="228">
        <v>0.43</v>
      </c>
      <c r="AJ151" s="229">
        <v>6.3E-3</v>
      </c>
      <c r="AK151" s="228">
        <v>3.85</v>
      </c>
      <c r="AL151" s="228">
        <v>0.34</v>
      </c>
      <c r="AM151" s="228">
        <v>3.51</v>
      </c>
      <c r="AN151" s="229">
        <v>1.46E-2</v>
      </c>
      <c r="AO151" s="228">
        <v>267.47000000000003</v>
      </c>
      <c r="AP151" s="228">
        <v>268.56</v>
      </c>
      <c r="AQ151" s="228">
        <v>0</v>
      </c>
      <c r="AR151" s="230">
        <v>4478125</v>
      </c>
      <c r="AS151" s="230">
        <v>4759375</v>
      </c>
      <c r="AT151" s="230">
        <v>-281250</v>
      </c>
      <c r="AU151" s="229">
        <v>-5.91E-2</v>
      </c>
      <c r="AV151" s="230">
        <v>3768750</v>
      </c>
      <c r="AW151" s="230">
        <v>4093750</v>
      </c>
      <c r="AX151" s="230">
        <v>-325000</v>
      </c>
      <c r="AY151" s="229">
        <v>-7.9399999999999998E-2</v>
      </c>
      <c r="AZ151" s="230">
        <v>693750</v>
      </c>
      <c r="BA151" s="230">
        <v>615625</v>
      </c>
      <c r="BB151" s="230">
        <v>78125</v>
      </c>
      <c r="BC151" s="229">
        <v>0.12690000000000001</v>
      </c>
      <c r="BD151" s="230">
        <v>15625</v>
      </c>
      <c r="BE151" s="230">
        <v>50000</v>
      </c>
      <c r="BF151" s="230">
        <v>-34375</v>
      </c>
      <c r="BG151" s="229">
        <v>-0.6875</v>
      </c>
      <c r="BH151" s="230">
        <v>11290625</v>
      </c>
      <c r="BI151" s="230">
        <v>12515625</v>
      </c>
      <c r="BJ151" s="230">
        <v>-1225000</v>
      </c>
      <c r="BK151" s="229">
        <v>-9.7900000000000001E-2</v>
      </c>
      <c r="BL151" s="230">
        <v>3846875</v>
      </c>
      <c r="BM151" s="230">
        <v>4665625</v>
      </c>
      <c r="BN151" s="230">
        <v>-818750</v>
      </c>
      <c r="BO151" s="229">
        <v>-0.17549999999999999</v>
      </c>
      <c r="BP151" s="230">
        <v>19615625</v>
      </c>
      <c r="BQ151" s="230">
        <v>21940625</v>
      </c>
      <c r="BR151" s="230">
        <v>-2325000</v>
      </c>
      <c r="BS151" s="229">
        <v>-0.106</v>
      </c>
      <c r="BT151" s="230">
        <v>3063217</v>
      </c>
      <c r="BU151" s="230">
        <v>3779759</v>
      </c>
      <c r="BV151" s="230">
        <v>-716542</v>
      </c>
      <c r="BW151" s="229">
        <v>-0.18959999999999999</v>
      </c>
      <c r="BX151" s="230">
        <v>45584375</v>
      </c>
      <c r="BY151" s="230">
        <v>45559375</v>
      </c>
      <c r="BZ151" s="230">
        <v>25000</v>
      </c>
      <c r="CA151" s="229">
        <v>5.0000000000000001E-4</v>
      </c>
      <c r="CB151" s="230">
        <v>43962500</v>
      </c>
      <c r="CC151" s="230">
        <v>44303125</v>
      </c>
      <c r="CD151" s="230">
        <v>-340625</v>
      </c>
      <c r="CE151" s="229">
        <v>-7.7000000000000002E-3</v>
      </c>
      <c r="CF151" s="230">
        <v>1531250</v>
      </c>
      <c r="CG151" s="230">
        <v>1175000</v>
      </c>
      <c r="CH151" s="230">
        <v>356250</v>
      </c>
      <c r="CI151" s="229">
        <v>0.30320000000000003</v>
      </c>
      <c r="CJ151" s="230">
        <v>90625</v>
      </c>
      <c r="CK151" s="230">
        <v>81250</v>
      </c>
      <c r="CL151" s="230">
        <v>9375</v>
      </c>
      <c r="CM151" s="229">
        <v>0.1154</v>
      </c>
      <c r="CN151" s="230">
        <v>11025000</v>
      </c>
      <c r="CO151" s="230">
        <v>7662500</v>
      </c>
      <c r="CP151" s="230">
        <v>3362500</v>
      </c>
      <c r="CQ151" s="229">
        <v>0.43880000000000002</v>
      </c>
      <c r="CR151" s="230">
        <v>5028125</v>
      </c>
      <c r="CS151" s="230">
        <v>5409375</v>
      </c>
      <c r="CT151" s="230">
        <v>-381250</v>
      </c>
      <c r="CU151" s="229">
        <v>-7.0499999999999993E-2</v>
      </c>
      <c r="CV151" s="230">
        <v>61637500</v>
      </c>
      <c r="CW151" s="230">
        <v>58631250</v>
      </c>
      <c r="CX151" s="230">
        <v>3006250</v>
      </c>
      <c r="CY151" s="229">
        <v>5.1299999999999998E-2</v>
      </c>
      <c r="CZ151" s="228">
        <v>34.39</v>
      </c>
      <c r="DA151" s="228">
        <v>29.56</v>
      </c>
      <c r="DB151" s="228">
        <v>4.83</v>
      </c>
      <c r="DC151" s="228">
        <v>4.83</v>
      </c>
      <c r="DD151" s="228">
        <v>36.03</v>
      </c>
      <c r="DE151" s="228">
        <v>36.020000000000003</v>
      </c>
      <c r="DF151" s="228">
        <v>-1.64</v>
      </c>
      <c r="DG151" s="228">
        <v>0.01</v>
      </c>
      <c r="DH151" s="228">
        <v>34.4</v>
      </c>
      <c r="DI151" s="228">
        <v>28.27</v>
      </c>
      <c r="DJ151" s="228">
        <v>6.13</v>
      </c>
      <c r="DK151" s="228">
        <v>6.13</v>
      </c>
      <c r="DL151" s="228">
        <v>34.36</v>
      </c>
      <c r="DM151" s="228">
        <v>33.03</v>
      </c>
      <c r="DN151" s="228">
        <v>1.33</v>
      </c>
      <c r="DO151" s="228">
        <v>1.33</v>
      </c>
      <c r="DP151" s="228">
        <v>0.46</v>
      </c>
      <c r="DQ151" s="228">
        <v>0.71</v>
      </c>
      <c r="DR151" s="228">
        <v>-0.25</v>
      </c>
      <c r="DS151" s="229">
        <v>-0.35210000000000002</v>
      </c>
      <c r="DT151" s="228">
        <v>275</v>
      </c>
      <c r="DU151" s="228">
        <v>250</v>
      </c>
      <c r="DV151" s="228">
        <v>0.34</v>
      </c>
      <c r="DW151" s="228">
        <v>0.37</v>
      </c>
      <c r="DX151" s="228">
        <v>-0.03</v>
      </c>
      <c r="DY151" s="229">
        <v>-8.1100000000000005E-2</v>
      </c>
      <c r="DZ151" s="229">
        <v>3.56E-2</v>
      </c>
      <c r="EA151" s="230">
        <v>1256250</v>
      </c>
      <c r="EB151" s="229">
        <v>3.8999999999999998E-3</v>
      </c>
      <c r="EC151" s="229">
        <v>3.56E-2</v>
      </c>
      <c r="ED151" s="228">
        <v>1.0900000000000001</v>
      </c>
      <c r="EE151" s="229">
        <v>4.1000000000000003E-3</v>
      </c>
      <c r="EF151" s="230">
        <v>1320350</v>
      </c>
      <c r="EG151" s="230">
        <v>1893254</v>
      </c>
      <c r="EH151" s="229">
        <v>-0.30259999999999998</v>
      </c>
      <c r="EI151" s="229">
        <v>0.43099999999999999</v>
      </c>
      <c r="EJ151" s="231">
        <v>31361.8</v>
      </c>
      <c r="EK151" s="231">
        <v>10100.129999999999</v>
      </c>
      <c r="EL151" s="231">
        <v>11985.35</v>
      </c>
      <c r="EM151" s="231">
        <v>1156</v>
      </c>
      <c r="EN151" s="231">
        <v>53447.28</v>
      </c>
      <c r="EO151" s="231">
        <v>59408.72</v>
      </c>
      <c r="EP151" s="231">
        <v>-5961.44</v>
      </c>
      <c r="EQ151" s="229">
        <v>-0.1003</v>
      </c>
      <c r="ER151" s="231">
        <v>29843</v>
      </c>
      <c r="ES151" s="231">
        <v>12488</v>
      </c>
      <c r="ET151" s="231">
        <v>120899</v>
      </c>
      <c r="EU151" s="231">
        <v>205669742</v>
      </c>
      <c r="EV151" s="231">
        <v>163230</v>
      </c>
      <c r="EW151" s="231">
        <v>157098</v>
      </c>
      <c r="EX151" s="231">
        <v>6132</v>
      </c>
      <c r="EY151" s="229">
        <v>3.9E-2</v>
      </c>
      <c r="EZ151" s="229">
        <v>0.29970000000000002</v>
      </c>
      <c r="FA151" s="227" t="s">
        <v>566</v>
      </c>
      <c r="FB151" s="161">
        <f t="shared" si="3"/>
        <v>0</v>
      </c>
    </row>
    <row r="152" spans="1:158" ht="17.25" thickBot="1" x14ac:dyDescent="0.3">
      <c r="A152" s="226">
        <v>46132</v>
      </c>
      <c r="B152" s="227" t="s">
        <v>206</v>
      </c>
      <c r="C152" s="227" t="s">
        <v>528</v>
      </c>
      <c r="D152" s="228">
        <v>350</v>
      </c>
      <c r="E152" s="231">
        <v>1698.8</v>
      </c>
      <c r="F152" s="231">
        <v>1713.1</v>
      </c>
      <c r="G152" s="228">
        <v>-14.3</v>
      </c>
      <c r="H152" s="229">
        <v>-8.3000000000000001E-3</v>
      </c>
      <c r="I152" s="231">
        <v>1694.9</v>
      </c>
      <c r="J152" s="231">
        <v>1710.6</v>
      </c>
      <c r="K152" s="228">
        <v>-15.7</v>
      </c>
      <c r="L152" s="229">
        <v>-9.1999999999999998E-3</v>
      </c>
      <c r="M152" s="231">
        <v>1698.8</v>
      </c>
      <c r="N152" s="231">
        <v>1713.1</v>
      </c>
      <c r="O152" s="228">
        <v>-14.3</v>
      </c>
      <c r="P152" s="229">
        <v>-8.3000000000000001E-3</v>
      </c>
      <c r="Q152" s="231">
        <v>1675.4</v>
      </c>
      <c r="R152" s="231">
        <v>1687.9</v>
      </c>
      <c r="S152" s="228">
        <v>-12.5</v>
      </c>
      <c r="T152" s="229">
        <v>-7.4000000000000003E-3</v>
      </c>
      <c r="U152" s="231">
        <v>1667.3</v>
      </c>
      <c r="V152" s="231">
        <v>1671.5</v>
      </c>
      <c r="W152" s="228">
        <v>-4.2</v>
      </c>
      <c r="X152" s="229">
        <v>-2.5000000000000001E-3</v>
      </c>
      <c r="Y152" s="228">
        <v>3.9</v>
      </c>
      <c r="Z152" s="228">
        <v>2.5</v>
      </c>
      <c r="AA152" s="228">
        <v>1.4</v>
      </c>
      <c r="AB152" s="229">
        <v>2.3E-3</v>
      </c>
      <c r="AC152" s="228">
        <v>3.9</v>
      </c>
      <c r="AD152" s="228">
        <v>2.5</v>
      </c>
      <c r="AE152" s="228">
        <v>1.4</v>
      </c>
      <c r="AF152" s="229">
        <v>2.3E-3</v>
      </c>
      <c r="AG152" s="228">
        <v>-19.5</v>
      </c>
      <c r="AH152" s="228">
        <v>-22.7</v>
      </c>
      <c r="AI152" s="228">
        <v>3.2</v>
      </c>
      <c r="AJ152" s="229">
        <v>-1.15E-2</v>
      </c>
      <c r="AK152" s="228">
        <v>-27.6</v>
      </c>
      <c r="AL152" s="228">
        <v>-39.1</v>
      </c>
      <c r="AM152" s="228">
        <v>11.5</v>
      </c>
      <c r="AN152" s="229">
        <v>-1.6299999999999999E-2</v>
      </c>
      <c r="AO152" s="231">
        <v>1704.1</v>
      </c>
      <c r="AP152" s="231">
        <v>1679.43</v>
      </c>
      <c r="AQ152" s="228">
        <v>0</v>
      </c>
      <c r="AR152" s="230">
        <v>735000</v>
      </c>
      <c r="AS152" s="230">
        <v>737450</v>
      </c>
      <c r="AT152" s="230">
        <v>-2450</v>
      </c>
      <c r="AU152" s="229">
        <v>-3.3E-3</v>
      </c>
      <c r="AV152" s="230">
        <v>661150</v>
      </c>
      <c r="AW152" s="230">
        <v>596050</v>
      </c>
      <c r="AX152" s="230">
        <v>65100</v>
      </c>
      <c r="AY152" s="229">
        <v>0.10920000000000001</v>
      </c>
      <c r="AZ152" s="230">
        <v>72450</v>
      </c>
      <c r="BA152" s="230">
        <v>140000</v>
      </c>
      <c r="BB152" s="230">
        <v>-67550</v>
      </c>
      <c r="BC152" s="229">
        <v>-0.48249999999999998</v>
      </c>
      <c r="BD152" s="230">
        <v>1400</v>
      </c>
      <c r="BE152" s="230">
        <v>1400</v>
      </c>
      <c r="BF152" s="228">
        <v>0</v>
      </c>
      <c r="BG152" s="229">
        <v>0</v>
      </c>
      <c r="BH152" s="230">
        <v>397950</v>
      </c>
      <c r="BI152" s="230">
        <v>506100</v>
      </c>
      <c r="BJ152" s="230">
        <v>-108150</v>
      </c>
      <c r="BK152" s="229">
        <v>-0.2137</v>
      </c>
      <c r="BL152" s="230">
        <v>497000</v>
      </c>
      <c r="BM152" s="230">
        <v>417900</v>
      </c>
      <c r="BN152" s="230">
        <v>79100</v>
      </c>
      <c r="BO152" s="229">
        <v>0.1893</v>
      </c>
      <c r="BP152" s="230">
        <v>1629950</v>
      </c>
      <c r="BQ152" s="230">
        <v>1661450</v>
      </c>
      <c r="BR152" s="230">
        <v>-31500</v>
      </c>
      <c r="BS152" s="229">
        <v>-1.9E-2</v>
      </c>
      <c r="BT152" s="230">
        <v>676394</v>
      </c>
      <c r="BU152" s="230">
        <v>516948</v>
      </c>
      <c r="BV152" s="230">
        <v>159446</v>
      </c>
      <c r="BW152" s="229">
        <v>0.30840000000000001</v>
      </c>
      <c r="BX152" s="230">
        <v>9753100</v>
      </c>
      <c r="BY152" s="230">
        <v>9961350</v>
      </c>
      <c r="BZ152" s="230">
        <v>-208250</v>
      </c>
      <c r="CA152" s="229">
        <v>-2.0899999999999998E-2</v>
      </c>
      <c r="CB152" s="230">
        <v>8491700</v>
      </c>
      <c r="CC152" s="230">
        <v>8706250</v>
      </c>
      <c r="CD152" s="230">
        <v>-214550</v>
      </c>
      <c r="CE152" s="229">
        <v>-2.46E-2</v>
      </c>
      <c r="CF152" s="230">
        <v>1251600</v>
      </c>
      <c r="CG152" s="230">
        <v>1246350</v>
      </c>
      <c r="CH152" s="230">
        <v>5250</v>
      </c>
      <c r="CI152" s="229">
        <v>4.1999999999999997E-3</v>
      </c>
      <c r="CJ152" s="230">
        <v>9800</v>
      </c>
      <c r="CK152" s="230">
        <v>8750</v>
      </c>
      <c r="CL152" s="230">
        <v>1050</v>
      </c>
      <c r="CM152" s="229">
        <v>0.12</v>
      </c>
      <c r="CN152" s="230">
        <v>1206100</v>
      </c>
      <c r="CO152" s="230">
        <v>1188950</v>
      </c>
      <c r="CP152" s="230">
        <v>17150</v>
      </c>
      <c r="CQ152" s="229">
        <v>1.44E-2</v>
      </c>
      <c r="CR152" s="230">
        <v>1133300</v>
      </c>
      <c r="CS152" s="230">
        <v>1105300</v>
      </c>
      <c r="CT152" s="230">
        <v>28000</v>
      </c>
      <c r="CU152" s="229">
        <v>2.53E-2</v>
      </c>
      <c r="CV152" s="230">
        <v>12092500</v>
      </c>
      <c r="CW152" s="230">
        <v>12255600</v>
      </c>
      <c r="CX152" s="230">
        <v>-163100</v>
      </c>
      <c r="CY152" s="229">
        <v>-1.3299999999999999E-2</v>
      </c>
      <c r="CZ152" s="228">
        <v>38.590000000000003</v>
      </c>
      <c r="DA152" s="228">
        <v>32.4</v>
      </c>
      <c r="DB152" s="228">
        <v>6.19</v>
      </c>
      <c r="DC152" s="228">
        <v>6.19</v>
      </c>
      <c r="DD152" s="228">
        <v>36.880000000000003</v>
      </c>
      <c r="DE152" s="228">
        <v>36.950000000000003</v>
      </c>
      <c r="DF152" s="228">
        <v>1.71</v>
      </c>
      <c r="DG152" s="228">
        <v>-7.0000000000000007E-2</v>
      </c>
      <c r="DH152" s="228">
        <v>34.68</v>
      </c>
      <c r="DI152" s="228">
        <v>30.6</v>
      </c>
      <c r="DJ152" s="228">
        <v>4.08</v>
      </c>
      <c r="DK152" s="228">
        <v>4.08</v>
      </c>
      <c r="DL152" s="228">
        <v>41.72</v>
      </c>
      <c r="DM152" s="228">
        <v>34.58</v>
      </c>
      <c r="DN152" s="228">
        <v>7.14</v>
      </c>
      <c r="DO152" s="228">
        <v>7.14</v>
      </c>
      <c r="DP152" s="228">
        <v>0.94</v>
      </c>
      <c r="DQ152" s="228">
        <v>0.93</v>
      </c>
      <c r="DR152" s="228">
        <v>0.01</v>
      </c>
      <c r="DS152" s="229">
        <v>1.0800000000000001E-2</v>
      </c>
      <c r="DT152" s="231">
        <v>1800</v>
      </c>
      <c r="DU152" s="231">
        <v>1600</v>
      </c>
      <c r="DV152" s="228">
        <v>1.25</v>
      </c>
      <c r="DW152" s="228">
        <v>0.83</v>
      </c>
      <c r="DX152" s="228">
        <v>0.42</v>
      </c>
      <c r="DY152" s="229">
        <v>0.50600000000000001</v>
      </c>
      <c r="DZ152" s="229">
        <v>0.1293</v>
      </c>
      <c r="EA152" s="230">
        <v>1255100</v>
      </c>
      <c r="EB152" s="229">
        <v>-1.38E-2</v>
      </c>
      <c r="EC152" s="229">
        <v>0.1293</v>
      </c>
      <c r="ED152" s="228">
        <v>-24.67</v>
      </c>
      <c r="EE152" s="229">
        <v>-1.4500000000000001E-2</v>
      </c>
      <c r="EF152" s="230">
        <v>350246</v>
      </c>
      <c r="EG152" s="230">
        <v>323385</v>
      </c>
      <c r="EH152" s="229">
        <v>8.3099999999999993E-2</v>
      </c>
      <c r="EI152" s="229">
        <v>0.51780000000000004</v>
      </c>
      <c r="EJ152" s="231">
        <v>7050.01</v>
      </c>
      <c r="EK152" s="231">
        <v>8086.31</v>
      </c>
      <c r="EL152" s="231">
        <v>12506.69</v>
      </c>
      <c r="EM152" s="231">
        <v>3268</v>
      </c>
      <c r="EN152" s="231">
        <v>27643.01</v>
      </c>
      <c r="EO152" s="231">
        <v>28506.639999999999</v>
      </c>
      <c r="EP152" s="228">
        <v>-863.63</v>
      </c>
      <c r="EQ152" s="229">
        <v>-3.0300000000000001E-2</v>
      </c>
      <c r="ER152" s="231">
        <v>19328</v>
      </c>
      <c r="ES152" s="231">
        <v>17320</v>
      </c>
      <c r="ET152" s="231">
        <v>165390</v>
      </c>
      <c r="EU152" s="231">
        <v>17614093</v>
      </c>
      <c r="EV152" s="231">
        <v>202038</v>
      </c>
      <c r="EW152" s="231">
        <v>206171</v>
      </c>
      <c r="EX152" s="231">
        <v>-4133</v>
      </c>
      <c r="EY152" s="229">
        <v>-0.02</v>
      </c>
      <c r="EZ152" s="229">
        <v>0.6865</v>
      </c>
      <c r="FA152" s="227" t="s">
        <v>567</v>
      </c>
      <c r="FB152" s="161">
        <f t="shared" si="3"/>
        <v>0</v>
      </c>
    </row>
    <row r="153" spans="1:158" ht="17.25" thickBot="1" x14ac:dyDescent="0.3">
      <c r="A153" s="226">
        <v>46132</v>
      </c>
      <c r="B153" s="227" t="s">
        <v>221</v>
      </c>
      <c r="C153" s="227" t="s">
        <v>518</v>
      </c>
      <c r="D153" s="228">
        <v>75</v>
      </c>
      <c r="E153" s="231">
        <v>8106</v>
      </c>
      <c r="F153" s="231">
        <v>8011.5</v>
      </c>
      <c r="G153" s="228">
        <v>94.5</v>
      </c>
      <c r="H153" s="229">
        <v>1.18E-2</v>
      </c>
      <c r="I153" s="231">
        <v>8082.5</v>
      </c>
      <c r="J153" s="231">
        <v>7992.5</v>
      </c>
      <c r="K153" s="228">
        <v>90</v>
      </c>
      <c r="L153" s="229">
        <v>1.1299999999999999E-2</v>
      </c>
      <c r="M153" s="231">
        <v>8106</v>
      </c>
      <c r="N153" s="231">
        <v>8011.5</v>
      </c>
      <c r="O153" s="228">
        <v>94.5</v>
      </c>
      <c r="P153" s="229">
        <v>1.18E-2</v>
      </c>
      <c r="Q153" s="231">
        <v>7959</v>
      </c>
      <c r="R153" s="231">
        <v>7879.5</v>
      </c>
      <c r="S153" s="228">
        <v>79.5</v>
      </c>
      <c r="T153" s="229">
        <v>1.01E-2</v>
      </c>
      <c r="U153" s="231">
        <v>7900</v>
      </c>
      <c r="V153" s="231">
        <v>7807</v>
      </c>
      <c r="W153" s="228">
        <v>93</v>
      </c>
      <c r="X153" s="229">
        <v>1.1900000000000001E-2</v>
      </c>
      <c r="Y153" s="228">
        <v>23.5</v>
      </c>
      <c r="Z153" s="228">
        <v>19</v>
      </c>
      <c r="AA153" s="228">
        <v>4.5</v>
      </c>
      <c r="AB153" s="229">
        <v>2.8999999999999998E-3</v>
      </c>
      <c r="AC153" s="228">
        <v>23.5</v>
      </c>
      <c r="AD153" s="228">
        <v>19</v>
      </c>
      <c r="AE153" s="228">
        <v>4.5</v>
      </c>
      <c r="AF153" s="229">
        <v>2.8999999999999998E-3</v>
      </c>
      <c r="AG153" s="228">
        <v>-123.5</v>
      </c>
      <c r="AH153" s="228">
        <v>-113</v>
      </c>
      <c r="AI153" s="228">
        <v>-10.5</v>
      </c>
      <c r="AJ153" s="229">
        <v>-1.5299999999999999E-2</v>
      </c>
      <c r="AK153" s="228">
        <v>-182.5</v>
      </c>
      <c r="AL153" s="228">
        <v>-185.5</v>
      </c>
      <c r="AM153" s="228">
        <v>3</v>
      </c>
      <c r="AN153" s="229">
        <v>-2.2599999999999999E-2</v>
      </c>
      <c r="AO153" s="231">
        <v>8081.62</v>
      </c>
      <c r="AP153" s="231">
        <v>7946.8</v>
      </c>
      <c r="AQ153" s="228">
        <v>0</v>
      </c>
      <c r="AR153" s="230">
        <v>490425</v>
      </c>
      <c r="AS153" s="230">
        <v>261450</v>
      </c>
      <c r="AT153" s="230">
        <v>228975</v>
      </c>
      <c r="AU153" s="229">
        <v>0.87580000000000002</v>
      </c>
      <c r="AV153" s="230">
        <v>391050</v>
      </c>
      <c r="AW153" s="230">
        <v>210450</v>
      </c>
      <c r="AX153" s="230">
        <v>180600</v>
      </c>
      <c r="AY153" s="229">
        <v>0.85819999999999996</v>
      </c>
      <c r="AZ153" s="230">
        <v>97125</v>
      </c>
      <c r="BA153" s="230">
        <v>47025</v>
      </c>
      <c r="BB153" s="230">
        <v>50100</v>
      </c>
      <c r="BC153" s="229">
        <v>1.0653999999999999</v>
      </c>
      <c r="BD153" s="230">
        <v>2250</v>
      </c>
      <c r="BE153" s="230">
        <v>3975</v>
      </c>
      <c r="BF153" s="230">
        <v>-1725</v>
      </c>
      <c r="BG153" s="229">
        <v>-0.434</v>
      </c>
      <c r="BH153" s="230">
        <v>1295550</v>
      </c>
      <c r="BI153" s="230">
        <v>1481325</v>
      </c>
      <c r="BJ153" s="230">
        <v>-185775</v>
      </c>
      <c r="BK153" s="229">
        <v>-0.12540000000000001</v>
      </c>
      <c r="BL153" s="230">
        <v>797925</v>
      </c>
      <c r="BM153" s="230">
        <v>1244625</v>
      </c>
      <c r="BN153" s="230">
        <v>-446700</v>
      </c>
      <c r="BO153" s="229">
        <v>-0.3589</v>
      </c>
      <c r="BP153" s="230">
        <v>2583900</v>
      </c>
      <c r="BQ153" s="230">
        <v>2987400</v>
      </c>
      <c r="BR153" s="230">
        <v>-403500</v>
      </c>
      <c r="BS153" s="229">
        <v>-0.1351</v>
      </c>
      <c r="BT153" s="230">
        <v>280775</v>
      </c>
      <c r="BU153" s="230">
        <v>189689</v>
      </c>
      <c r="BV153" s="230">
        <v>91086</v>
      </c>
      <c r="BW153" s="229">
        <v>0.48020000000000002</v>
      </c>
      <c r="BX153" s="230">
        <v>1541550</v>
      </c>
      <c r="BY153" s="230">
        <v>1435725</v>
      </c>
      <c r="BZ153" s="230">
        <v>105825</v>
      </c>
      <c r="CA153" s="229">
        <v>7.3700000000000002E-2</v>
      </c>
      <c r="CB153" s="230">
        <v>1420500</v>
      </c>
      <c r="CC153" s="230">
        <v>1346325</v>
      </c>
      <c r="CD153" s="230">
        <v>74175</v>
      </c>
      <c r="CE153" s="229">
        <v>5.5100000000000003E-2</v>
      </c>
      <c r="CF153" s="230">
        <v>110250</v>
      </c>
      <c r="CG153" s="230">
        <v>78525</v>
      </c>
      <c r="CH153" s="230">
        <v>31725</v>
      </c>
      <c r="CI153" s="229">
        <v>0.40400000000000003</v>
      </c>
      <c r="CJ153" s="230">
        <v>10800</v>
      </c>
      <c r="CK153" s="230">
        <v>10875</v>
      </c>
      <c r="CL153" s="228">
        <v>-75</v>
      </c>
      <c r="CM153" s="229">
        <v>-6.8999999999999999E-3</v>
      </c>
      <c r="CN153" s="230">
        <v>597750</v>
      </c>
      <c r="CO153" s="230">
        <v>531075</v>
      </c>
      <c r="CP153" s="230">
        <v>66675</v>
      </c>
      <c r="CQ153" s="229">
        <v>0.1255</v>
      </c>
      <c r="CR153" s="230">
        <v>613875</v>
      </c>
      <c r="CS153" s="230">
        <v>599925</v>
      </c>
      <c r="CT153" s="230">
        <v>13950</v>
      </c>
      <c r="CU153" s="229">
        <v>2.3300000000000001E-2</v>
      </c>
      <c r="CV153" s="230">
        <v>2753175</v>
      </c>
      <c r="CW153" s="230">
        <v>2566725</v>
      </c>
      <c r="CX153" s="230">
        <v>186450</v>
      </c>
      <c r="CY153" s="229">
        <v>7.2599999999999998E-2</v>
      </c>
      <c r="CZ153" s="228">
        <v>48.15</v>
      </c>
      <c r="DA153" s="228">
        <v>41.94</v>
      </c>
      <c r="DB153" s="228">
        <v>6.21</v>
      </c>
      <c r="DC153" s="228">
        <v>6.21</v>
      </c>
      <c r="DD153" s="228">
        <v>40.03</v>
      </c>
      <c r="DE153" s="228">
        <v>40.1</v>
      </c>
      <c r="DF153" s="228">
        <v>8.1199999999999992</v>
      </c>
      <c r="DG153" s="228">
        <v>-7.0000000000000007E-2</v>
      </c>
      <c r="DH153" s="228">
        <v>46.52</v>
      </c>
      <c r="DI153" s="228">
        <v>37.479999999999997</v>
      </c>
      <c r="DJ153" s="228">
        <v>9.0399999999999991</v>
      </c>
      <c r="DK153" s="228">
        <v>9.0399999999999991</v>
      </c>
      <c r="DL153" s="228">
        <v>50.8</v>
      </c>
      <c r="DM153" s="228">
        <v>47.25</v>
      </c>
      <c r="DN153" s="228">
        <v>3.55</v>
      </c>
      <c r="DO153" s="228">
        <v>3.55</v>
      </c>
      <c r="DP153" s="228">
        <v>1.03</v>
      </c>
      <c r="DQ153" s="228">
        <v>1.1299999999999999</v>
      </c>
      <c r="DR153" s="228">
        <v>-0.1</v>
      </c>
      <c r="DS153" s="229">
        <v>-8.8499999999999995E-2</v>
      </c>
      <c r="DT153" s="231">
        <v>8000</v>
      </c>
      <c r="DU153" s="231">
        <v>7000</v>
      </c>
      <c r="DV153" s="228">
        <v>0.62</v>
      </c>
      <c r="DW153" s="228">
        <v>0.84</v>
      </c>
      <c r="DX153" s="228">
        <v>-0.22</v>
      </c>
      <c r="DY153" s="229">
        <v>-0.26190000000000002</v>
      </c>
      <c r="DZ153" s="229">
        <v>7.85E-2</v>
      </c>
      <c r="EA153" s="230">
        <v>89400</v>
      </c>
      <c r="EB153" s="229">
        <v>-1.8100000000000002E-2</v>
      </c>
      <c r="EC153" s="229">
        <v>7.85E-2</v>
      </c>
      <c r="ED153" s="228">
        <v>-134.82</v>
      </c>
      <c r="EE153" s="229">
        <v>-1.67E-2</v>
      </c>
      <c r="EF153" s="230">
        <v>136974</v>
      </c>
      <c r="EG153" s="230">
        <v>67245</v>
      </c>
      <c r="EH153" s="229">
        <v>1.0368999999999999</v>
      </c>
      <c r="EI153" s="229">
        <v>0.48780000000000001</v>
      </c>
      <c r="EJ153" s="231">
        <v>109574.84</v>
      </c>
      <c r="EK153" s="231">
        <v>60332.81</v>
      </c>
      <c r="EL153" s="231">
        <v>39498.94</v>
      </c>
      <c r="EM153" s="231">
        <v>3330</v>
      </c>
      <c r="EN153" s="231">
        <v>209406.59</v>
      </c>
      <c r="EO153" s="231">
        <v>233577.95</v>
      </c>
      <c r="EP153" s="231">
        <v>-24171.360000000001</v>
      </c>
      <c r="EQ153" s="229">
        <v>-0.10349999999999999</v>
      </c>
      <c r="ER153" s="231">
        <v>46458</v>
      </c>
      <c r="ES153" s="231">
        <v>44240</v>
      </c>
      <c r="ET153" s="231">
        <v>124774</v>
      </c>
      <c r="EU153" s="231">
        <v>3594855</v>
      </c>
      <c r="EV153" s="231">
        <v>215471</v>
      </c>
      <c r="EW153" s="231">
        <v>198449</v>
      </c>
      <c r="EX153" s="231">
        <v>17022</v>
      </c>
      <c r="EY153" s="229">
        <v>8.5800000000000001E-2</v>
      </c>
      <c r="EZ153" s="229">
        <v>0.76590000000000003</v>
      </c>
      <c r="FA153" s="227" t="s">
        <v>555</v>
      </c>
      <c r="FB153" s="161">
        <f>BX232-CB232</f>
        <v>0</v>
      </c>
    </row>
    <row r="154" spans="1:158" ht="17.25" thickBot="1" x14ac:dyDescent="0.3">
      <c r="A154" s="226">
        <v>46132</v>
      </c>
      <c r="B154" s="227" t="s">
        <v>193</v>
      </c>
      <c r="C154" s="227" t="s">
        <v>586</v>
      </c>
      <c r="D154" s="228">
        <v>1400</v>
      </c>
      <c r="E154" s="228">
        <v>471.35</v>
      </c>
      <c r="F154" s="228">
        <v>470.6</v>
      </c>
      <c r="G154" s="228">
        <v>0.75</v>
      </c>
      <c r="H154" s="229">
        <v>1.6000000000000001E-3</v>
      </c>
      <c r="I154" s="228">
        <v>471.7</v>
      </c>
      <c r="J154" s="228">
        <v>470.1</v>
      </c>
      <c r="K154" s="228">
        <v>1.6</v>
      </c>
      <c r="L154" s="229">
        <v>3.3999999999999998E-3</v>
      </c>
      <c r="M154" s="228">
        <v>471.35</v>
      </c>
      <c r="N154" s="228">
        <v>470.6</v>
      </c>
      <c r="O154" s="228">
        <v>0.75</v>
      </c>
      <c r="P154" s="229">
        <v>1.6000000000000001E-3</v>
      </c>
      <c r="Q154" s="228">
        <v>468.9</v>
      </c>
      <c r="R154" s="228">
        <v>467.25</v>
      </c>
      <c r="S154" s="228">
        <v>1.65</v>
      </c>
      <c r="T154" s="229">
        <v>3.5000000000000001E-3</v>
      </c>
      <c r="U154" s="228">
        <v>465.9</v>
      </c>
      <c r="V154" s="228">
        <v>465.45</v>
      </c>
      <c r="W154" s="228">
        <v>0.45</v>
      </c>
      <c r="X154" s="229">
        <v>1E-3</v>
      </c>
      <c r="Y154" s="228">
        <v>-0.35</v>
      </c>
      <c r="Z154" s="228">
        <v>0.5</v>
      </c>
      <c r="AA154" s="228">
        <v>-0.85</v>
      </c>
      <c r="AB154" s="229">
        <v>-6.9999999999999999E-4</v>
      </c>
      <c r="AC154" s="228">
        <v>-0.35</v>
      </c>
      <c r="AD154" s="228">
        <v>0.5</v>
      </c>
      <c r="AE154" s="228">
        <v>-0.85</v>
      </c>
      <c r="AF154" s="229">
        <v>-6.9999999999999999E-4</v>
      </c>
      <c r="AG154" s="228">
        <v>-2.8</v>
      </c>
      <c r="AH154" s="228">
        <v>-2.85</v>
      </c>
      <c r="AI154" s="228">
        <v>0.05</v>
      </c>
      <c r="AJ154" s="229">
        <v>-5.8999999999999999E-3</v>
      </c>
      <c r="AK154" s="228">
        <v>-5.8</v>
      </c>
      <c r="AL154" s="228">
        <v>-4.6500000000000004</v>
      </c>
      <c r="AM154" s="228">
        <v>-1.1499999999999999</v>
      </c>
      <c r="AN154" s="229">
        <v>-1.23E-2</v>
      </c>
      <c r="AO154" s="228">
        <v>471.8</v>
      </c>
      <c r="AP154" s="228">
        <v>469.01</v>
      </c>
      <c r="AQ154" s="228">
        <v>0</v>
      </c>
      <c r="AR154" s="230">
        <v>3647000</v>
      </c>
      <c r="AS154" s="230">
        <v>2830800</v>
      </c>
      <c r="AT154" s="230">
        <v>816200</v>
      </c>
      <c r="AU154" s="229">
        <v>0.2883</v>
      </c>
      <c r="AV154" s="230">
        <v>2983400</v>
      </c>
      <c r="AW154" s="230">
        <v>2324000</v>
      </c>
      <c r="AX154" s="230">
        <v>659400</v>
      </c>
      <c r="AY154" s="229">
        <v>0.28370000000000001</v>
      </c>
      <c r="AZ154" s="230">
        <v>642600</v>
      </c>
      <c r="BA154" s="230">
        <v>481600</v>
      </c>
      <c r="BB154" s="230">
        <v>161000</v>
      </c>
      <c r="BC154" s="229">
        <v>0.33429999999999999</v>
      </c>
      <c r="BD154" s="230">
        <v>21000</v>
      </c>
      <c r="BE154" s="230">
        <v>25200</v>
      </c>
      <c r="BF154" s="230">
        <v>-4200</v>
      </c>
      <c r="BG154" s="229">
        <v>-0.16669999999999999</v>
      </c>
      <c r="BH154" s="230">
        <v>9416400</v>
      </c>
      <c r="BI154" s="230">
        <v>9622200</v>
      </c>
      <c r="BJ154" s="230">
        <v>-205800</v>
      </c>
      <c r="BK154" s="229">
        <v>-2.1399999999999999E-2</v>
      </c>
      <c r="BL154" s="230">
        <v>2815400</v>
      </c>
      <c r="BM154" s="230">
        <v>3122000</v>
      </c>
      <c r="BN154" s="230">
        <v>-306600</v>
      </c>
      <c r="BO154" s="229">
        <v>-9.8199999999999996E-2</v>
      </c>
      <c r="BP154" s="230">
        <v>15878800</v>
      </c>
      <c r="BQ154" s="230">
        <v>15575000</v>
      </c>
      <c r="BR154" s="230">
        <v>303800</v>
      </c>
      <c r="BS154" s="229">
        <v>1.95E-2</v>
      </c>
      <c r="BT154" s="230">
        <v>3579799</v>
      </c>
      <c r="BU154" s="230">
        <v>3719983</v>
      </c>
      <c r="BV154" s="230">
        <v>-140184</v>
      </c>
      <c r="BW154" s="229">
        <v>-3.7699999999999997E-2</v>
      </c>
      <c r="BX154" s="230">
        <v>20356000</v>
      </c>
      <c r="BY154" s="230">
        <v>21462000</v>
      </c>
      <c r="BZ154" s="230">
        <v>-1106000</v>
      </c>
      <c r="CA154" s="229">
        <v>-5.1499999999999997E-2</v>
      </c>
      <c r="CB154" s="230">
        <v>19202400</v>
      </c>
      <c r="CC154" s="230">
        <v>20428800</v>
      </c>
      <c r="CD154" s="230">
        <v>-1226400</v>
      </c>
      <c r="CE154" s="229">
        <v>-0.06</v>
      </c>
      <c r="CF154" s="230">
        <v>982800</v>
      </c>
      <c r="CG154" s="230">
        <v>852600</v>
      </c>
      <c r="CH154" s="230">
        <v>130200</v>
      </c>
      <c r="CI154" s="229">
        <v>0.1527</v>
      </c>
      <c r="CJ154" s="230">
        <v>170800</v>
      </c>
      <c r="CK154" s="230">
        <v>180600</v>
      </c>
      <c r="CL154" s="230">
        <v>-9800</v>
      </c>
      <c r="CM154" s="229">
        <v>-5.4300000000000001E-2</v>
      </c>
      <c r="CN154" s="230">
        <v>10378200</v>
      </c>
      <c r="CO154" s="230">
        <v>11179000</v>
      </c>
      <c r="CP154" s="230">
        <v>-800800</v>
      </c>
      <c r="CQ154" s="229">
        <v>-7.1599999999999997E-2</v>
      </c>
      <c r="CR154" s="230">
        <v>4659200</v>
      </c>
      <c r="CS154" s="230">
        <v>4888800</v>
      </c>
      <c r="CT154" s="230">
        <v>-229600</v>
      </c>
      <c r="CU154" s="229">
        <v>-4.7E-2</v>
      </c>
      <c r="CV154" s="230">
        <v>35393400</v>
      </c>
      <c r="CW154" s="230">
        <v>37529800</v>
      </c>
      <c r="CX154" s="230">
        <v>-2136400</v>
      </c>
      <c r="CY154" s="229">
        <v>-5.6899999999999999E-2</v>
      </c>
      <c r="CZ154" s="228">
        <v>33.78</v>
      </c>
      <c r="DA154" s="228">
        <v>31.09</v>
      </c>
      <c r="DB154" s="228">
        <v>2.69</v>
      </c>
      <c r="DC154" s="228">
        <v>2.69</v>
      </c>
      <c r="DD154" s="228">
        <v>41.53</v>
      </c>
      <c r="DE154" s="228">
        <v>41.63</v>
      </c>
      <c r="DF154" s="228">
        <v>-7.75</v>
      </c>
      <c r="DG154" s="228">
        <v>-0.1</v>
      </c>
      <c r="DH154" s="228">
        <v>33.75</v>
      </c>
      <c r="DI154" s="228">
        <v>30.89</v>
      </c>
      <c r="DJ154" s="228">
        <v>2.86</v>
      </c>
      <c r="DK154" s="228">
        <v>2.86</v>
      </c>
      <c r="DL154" s="228">
        <v>33.880000000000003</v>
      </c>
      <c r="DM154" s="228">
        <v>31.71</v>
      </c>
      <c r="DN154" s="228">
        <v>2.17</v>
      </c>
      <c r="DO154" s="228">
        <v>2.17</v>
      </c>
      <c r="DP154" s="228">
        <v>0.45</v>
      </c>
      <c r="DQ154" s="228">
        <v>0.44</v>
      </c>
      <c r="DR154" s="228">
        <v>0.01</v>
      </c>
      <c r="DS154" s="229">
        <v>2.2700000000000001E-2</v>
      </c>
      <c r="DT154" s="228">
        <v>500</v>
      </c>
      <c r="DU154" s="228">
        <v>470</v>
      </c>
      <c r="DV154" s="228">
        <v>0.3</v>
      </c>
      <c r="DW154" s="228">
        <v>0.32</v>
      </c>
      <c r="DX154" s="228">
        <v>-0.02</v>
      </c>
      <c r="DY154" s="229">
        <v>-6.25E-2</v>
      </c>
      <c r="DZ154" s="229">
        <v>5.67E-2</v>
      </c>
      <c r="EA154" s="230">
        <v>1033200</v>
      </c>
      <c r="EB154" s="229">
        <v>-5.1999999999999998E-3</v>
      </c>
      <c r="EC154" s="229">
        <v>5.67E-2</v>
      </c>
      <c r="ED154" s="228">
        <v>-2.79</v>
      </c>
      <c r="EE154" s="229">
        <v>-5.8999999999999999E-3</v>
      </c>
      <c r="EF154" s="230">
        <v>1968823</v>
      </c>
      <c r="EG154" s="230">
        <v>1962223</v>
      </c>
      <c r="EH154" s="229">
        <v>3.3999999999999998E-3</v>
      </c>
      <c r="EI154" s="229">
        <v>0.55000000000000004</v>
      </c>
      <c r="EJ154" s="231">
        <v>46565.97</v>
      </c>
      <c r="EK154" s="231">
        <v>13024.79</v>
      </c>
      <c r="EL154" s="231">
        <v>17187.59</v>
      </c>
      <c r="EM154" s="231">
        <v>2722</v>
      </c>
      <c r="EN154" s="231">
        <v>76778.350000000006</v>
      </c>
      <c r="EO154" s="231">
        <v>74784.479999999996</v>
      </c>
      <c r="EP154" s="231">
        <v>1993.87</v>
      </c>
      <c r="EQ154" s="229">
        <v>2.6700000000000002E-2</v>
      </c>
      <c r="ER154" s="231">
        <v>52129</v>
      </c>
      <c r="ES154" s="231">
        <v>21448</v>
      </c>
      <c r="ET154" s="231">
        <v>95915</v>
      </c>
      <c r="EU154" s="231">
        <v>105756420</v>
      </c>
      <c r="EV154" s="231">
        <v>169491</v>
      </c>
      <c r="EW154" s="231">
        <v>179601</v>
      </c>
      <c r="EX154" s="231">
        <v>-10110</v>
      </c>
      <c r="EY154" s="229">
        <v>-5.6300000000000003E-2</v>
      </c>
      <c r="EZ154" s="229">
        <v>0.3347</v>
      </c>
      <c r="FA154" s="227" t="s">
        <v>693</v>
      </c>
      <c r="FB154" s="161">
        <f t="shared" si="3"/>
        <v>0</v>
      </c>
    </row>
    <row r="155" spans="1:158" ht="17.25" thickBot="1" x14ac:dyDescent="0.3">
      <c r="A155" s="226">
        <v>46132</v>
      </c>
      <c r="B155" s="227" t="s">
        <v>193</v>
      </c>
      <c r="C155" s="227" t="s">
        <v>269</v>
      </c>
      <c r="D155" s="228">
        <v>2250</v>
      </c>
      <c r="E155" s="228">
        <v>284</v>
      </c>
      <c r="F155" s="228">
        <v>284.89999999999998</v>
      </c>
      <c r="G155" s="228">
        <v>-0.9</v>
      </c>
      <c r="H155" s="229">
        <v>-3.2000000000000002E-3</v>
      </c>
      <c r="I155" s="228">
        <v>283.35000000000002</v>
      </c>
      <c r="J155" s="228">
        <v>284.05</v>
      </c>
      <c r="K155" s="228">
        <v>-0.7</v>
      </c>
      <c r="L155" s="229">
        <v>-2.5000000000000001E-3</v>
      </c>
      <c r="M155" s="228">
        <v>284</v>
      </c>
      <c r="N155" s="228">
        <v>284.89999999999998</v>
      </c>
      <c r="O155" s="228">
        <v>-0.9</v>
      </c>
      <c r="P155" s="229">
        <v>-3.2000000000000002E-3</v>
      </c>
      <c r="Q155" s="228">
        <v>285.3</v>
      </c>
      <c r="R155" s="228">
        <v>286.35000000000002</v>
      </c>
      <c r="S155" s="228">
        <v>-1.05</v>
      </c>
      <c r="T155" s="229">
        <v>-3.7000000000000002E-3</v>
      </c>
      <c r="U155" s="228">
        <v>287.2</v>
      </c>
      <c r="V155" s="228">
        <v>288.10000000000002</v>
      </c>
      <c r="W155" s="228">
        <v>-0.9</v>
      </c>
      <c r="X155" s="229">
        <v>-3.0999999999999999E-3</v>
      </c>
      <c r="Y155" s="228">
        <v>0.65</v>
      </c>
      <c r="Z155" s="228">
        <v>0.85</v>
      </c>
      <c r="AA155" s="228">
        <v>-0.2</v>
      </c>
      <c r="AB155" s="229">
        <v>2.3E-3</v>
      </c>
      <c r="AC155" s="228">
        <v>0.65</v>
      </c>
      <c r="AD155" s="228">
        <v>0.85</v>
      </c>
      <c r="AE155" s="228">
        <v>-0.2</v>
      </c>
      <c r="AF155" s="229">
        <v>2.3E-3</v>
      </c>
      <c r="AG155" s="228">
        <v>1.95</v>
      </c>
      <c r="AH155" s="228">
        <v>2.2999999999999998</v>
      </c>
      <c r="AI155" s="228">
        <v>-0.35</v>
      </c>
      <c r="AJ155" s="229">
        <v>6.8999999999999999E-3</v>
      </c>
      <c r="AK155" s="228">
        <v>3.85</v>
      </c>
      <c r="AL155" s="228">
        <v>4.05</v>
      </c>
      <c r="AM155" s="228">
        <v>-0.2</v>
      </c>
      <c r="AN155" s="229">
        <v>1.3599999999999999E-2</v>
      </c>
      <c r="AO155" s="228">
        <v>284.49</v>
      </c>
      <c r="AP155" s="228">
        <v>285.98</v>
      </c>
      <c r="AQ155" s="228">
        <v>0</v>
      </c>
      <c r="AR155" s="230">
        <v>10176750</v>
      </c>
      <c r="AS155" s="230">
        <v>13473000</v>
      </c>
      <c r="AT155" s="230">
        <v>-3296250</v>
      </c>
      <c r="AU155" s="229">
        <v>-0.2447</v>
      </c>
      <c r="AV155" s="230">
        <v>7965000</v>
      </c>
      <c r="AW155" s="230">
        <v>10251000</v>
      </c>
      <c r="AX155" s="230">
        <v>-2286000</v>
      </c>
      <c r="AY155" s="229">
        <v>-0.223</v>
      </c>
      <c r="AZ155" s="230">
        <v>2117250</v>
      </c>
      <c r="BA155" s="230">
        <v>1332000</v>
      </c>
      <c r="BB155" s="230">
        <v>785250</v>
      </c>
      <c r="BC155" s="229">
        <v>0.58950000000000002</v>
      </c>
      <c r="BD155" s="230">
        <v>94500</v>
      </c>
      <c r="BE155" s="230">
        <v>1890000</v>
      </c>
      <c r="BF155" s="230">
        <v>-1795500</v>
      </c>
      <c r="BG155" s="229">
        <v>-0.95</v>
      </c>
      <c r="BH155" s="230">
        <v>62318250</v>
      </c>
      <c r="BI155" s="230">
        <v>56157750</v>
      </c>
      <c r="BJ155" s="230">
        <v>6160500</v>
      </c>
      <c r="BK155" s="229">
        <v>0.10970000000000001</v>
      </c>
      <c r="BL155" s="230">
        <v>20556000</v>
      </c>
      <c r="BM155" s="230">
        <v>24954750</v>
      </c>
      <c r="BN155" s="230">
        <v>-4398750</v>
      </c>
      <c r="BO155" s="229">
        <v>-0.17630000000000001</v>
      </c>
      <c r="BP155" s="230">
        <v>93051000</v>
      </c>
      <c r="BQ155" s="230">
        <v>94585500</v>
      </c>
      <c r="BR155" s="230">
        <v>-1534500</v>
      </c>
      <c r="BS155" s="229">
        <v>-1.6199999999999999E-2</v>
      </c>
      <c r="BT155" s="230">
        <v>11338983</v>
      </c>
      <c r="BU155" s="230">
        <v>18639168</v>
      </c>
      <c r="BV155" s="230">
        <v>-7300185</v>
      </c>
      <c r="BW155" s="229">
        <v>-0.39169999999999999</v>
      </c>
      <c r="BX155" s="230">
        <v>98196750</v>
      </c>
      <c r="BY155" s="230">
        <v>96527250</v>
      </c>
      <c r="BZ155" s="230">
        <v>1669500</v>
      </c>
      <c r="CA155" s="229">
        <v>1.7299999999999999E-2</v>
      </c>
      <c r="CB155" s="230">
        <v>86658750</v>
      </c>
      <c r="CC155" s="230">
        <v>86386500</v>
      </c>
      <c r="CD155" s="230">
        <v>272250</v>
      </c>
      <c r="CE155" s="229">
        <v>3.2000000000000002E-3</v>
      </c>
      <c r="CF155" s="230">
        <v>4612500</v>
      </c>
      <c r="CG155" s="230">
        <v>3244500</v>
      </c>
      <c r="CH155" s="230">
        <v>1368000</v>
      </c>
      <c r="CI155" s="229">
        <v>0.42159999999999997</v>
      </c>
      <c r="CJ155" s="230">
        <v>6925500</v>
      </c>
      <c r="CK155" s="230">
        <v>6896250</v>
      </c>
      <c r="CL155" s="230">
        <v>29250</v>
      </c>
      <c r="CM155" s="229">
        <v>4.1999999999999997E-3</v>
      </c>
      <c r="CN155" s="230">
        <v>95305500</v>
      </c>
      <c r="CO155" s="230">
        <v>97166250</v>
      </c>
      <c r="CP155" s="230">
        <v>-1860750</v>
      </c>
      <c r="CQ155" s="229">
        <v>-1.9199999999999998E-2</v>
      </c>
      <c r="CR155" s="230">
        <v>35788500</v>
      </c>
      <c r="CS155" s="230">
        <v>36182250</v>
      </c>
      <c r="CT155" s="230">
        <v>-393750</v>
      </c>
      <c r="CU155" s="229">
        <v>-1.09E-2</v>
      </c>
      <c r="CV155" s="230">
        <v>229290750</v>
      </c>
      <c r="CW155" s="230">
        <v>229875750</v>
      </c>
      <c r="CX155" s="230">
        <v>-585000</v>
      </c>
      <c r="CY155" s="229">
        <v>-2.5000000000000001E-3</v>
      </c>
      <c r="CZ155" s="228">
        <v>26.77</v>
      </c>
      <c r="DA155" s="228">
        <v>24.42</v>
      </c>
      <c r="DB155" s="228">
        <v>2.35</v>
      </c>
      <c r="DC155" s="228">
        <v>2.35</v>
      </c>
      <c r="DD155" s="228">
        <v>31.65</v>
      </c>
      <c r="DE155" s="228">
        <v>31.73</v>
      </c>
      <c r="DF155" s="228">
        <v>-4.88</v>
      </c>
      <c r="DG155" s="228">
        <v>-0.08</v>
      </c>
      <c r="DH155" s="228">
        <v>26.56</v>
      </c>
      <c r="DI155" s="228">
        <v>23.91</v>
      </c>
      <c r="DJ155" s="228">
        <v>2.65</v>
      </c>
      <c r="DK155" s="228">
        <v>2.65</v>
      </c>
      <c r="DL155" s="228">
        <v>27.42</v>
      </c>
      <c r="DM155" s="228">
        <v>25.58</v>
      </c>
      <c r="DN155" s="228">
        <v>1.84</v>
      </c>
      <c r="DO155" s="228">
        <v>1.84</v>
      </c>
      <c r="DP155" s="228">
        <v>0.38</v>
      </c>
      <c r="DQ155" s="228">
        <v>0.37</v>
      </c>
      <c r="DR155" s="228">
        <v>0.01</v>
      </c>
      <c r="DS155" s="229">
        <v>2.7E-2</v>
      </c>
      <c r="DT155" s="228">
        <v>290</v>
      </c>
      <c r="DU155" s="228">
        <v>270</v>
      </c>
      <c r="DV155" s="228">
        <v>0.33</v>
      </c>
      <c r="DW155" s="228">
        <v>0.44</v>
      </c>
      <c r="DX155" s="228">
        <v>-0.11</v>
      </c>
      <c r="DY155" s="229">
        <v>-0.25</v>
      </c>
      <c r="DZ155" s="229">
        <v>0.11749999999999999</v>
      </c>
      <c r="EA155" s="230">
        <v>10140750</v>
      </c>
      <c r="EB155" s="229">
        <v>4.5999999999999999E-3</v>
      </c>
      <c r="EC155" s="229">
        <v>0.11749999999999999</v>
      </c>
      <c r="ED155" s="228">
        <v>1.49</v>
      </c>
      <c r="EE155" s="229">
        <v>5.1999999999999998E-3</v>
      </c>
      <c r="EF155" s="230">
        <v>7108517</v>
      </c>
      <c r="EG155" s="230">
        <v>12382494</v>
      </c>
      <c r="EH155" s="229">
        <v>-0.4259</v>
      </c>
      <c r="EI155" s="229">
        <v>0.62690000000000001</v>
      </c>
      <c r="EJ155" s="231">
        <v>184810.6</v>
      </c>
      <c r="EK155" s="231">
        <v>57925.06</v>
      </c>
      <c r="EL155" s="231">
        <v>28985.9</v>
      </c>
      <c r="EM155" s="231">
        <v>6378</v>
      </c>
      <c r="EN155" s="231">
        <v>271721.56</v>
      </c>
      <c r="EO155" s="231">
        <v>274570.44</v>
      </c>
      <c r="EP155" s="231">
        <v>-2848.88</v>
      </c>
      <c r="EQ155" s="229">
        <v>-1.04E-2</v>
      </c>
      <c r="ER155" s="231">
        <v>281181</v>
      </c>
      <c r="ES155" s="231">
        <v>98193</v>
      </c>
      <c r="ET155" s="231">
        <v>279160</v>
      </c>
      <c r="EU155" s="231">
        <v>711370982</v>
      </c>
      <c r="EV155" s="231">
        <v>658534</v>
      </c>
      <c r="EW155" s="231">
        <v>661884</v>
      </c>
      <c r="EX155" s="231">
        <v>-3350</v>
      </c>
      <c r="EY155" s="229">
        <v>-5.1000000000000004E-3</v>
      </c>
      <c r="EZ155" s="229">
        <v>0.32229999999999998</v>
      </c>
      <c r="FA155" s="227" t="s">
        <v>566</v>
      </c>
      <c r="FB155" s="161">
        <f t="shared" si="3"/>
        <v>0</v>
      </c>
    </row>
    <row r="156" spans="1:158" ht="17.25" thickBot="1" x14ac:dyDescent="0.3">
      <c r="A156" s="226">
        <v>46132</v>
      </c>
      <c r="B156" s="227" t="s">
        <v>197</v>
      </c>
      <c r="C156" s="227" t="s">
        <v>270</v>
      </c>
      <c r="D156" s="228">
        <v>15</v>
      </c>
      <c r="E156" s="231">
        <v>38365</v>
      </c>
      <c r="F156" s="231">
        <v>37930</v>
      </c>
      <c r="G156" s="228">
        <v>435</v>
      </c>
      <c r="H156" s="229">
        <v>1.15E-2</v>
      </c>
      <c r="I156" s="231">
        <v>38405</v>
      </c>
      <c r="J156" s="231">
        <v>37975</v>
      </c>
      <c r="K156" s="228">
        <v>430</v>
      </c>
      <c r="L156" s="229">
        <v>1.1299999999999999E-2</v>
      </c>
      <c r="M156" s="231">
        <v>38365</v>
      </c>
      <c r="N156" s="231">
        <v>37930</v>
      </c>
      <c r="O156" s="228">
        <v>435</v>
      </c>
      <c r="P156" s="229">
        <v>1.15E-2</v>
      </c>
      <c r="Q156" s="231">
        <v>38175</v>
      </c>
      <c r="R156" s="231">
        <v>37715</v>
      </c>
      <c r="S156" s="228">
        <v>460</v>
      </c>
      <c r="T156" s="229">
        <v>1.2200000000000001E-2</v>
      </c>
      <c r="U156" s="231">
        <v>38085</v>
      </c>
      <c r="V156" s="231">
        <v>37590</v>
      </c>
      <c r="W156" s="228">
        <v>495</v>
      </c>
      <c r="X156" s="229">
        <v>1.32E-2</v>
      </c>
      <c r="Y156" s="228">
        <v>-40</v>
      </c>
      <c r="Z156" s="228">
        <v>-45</v>
      </c>
      <c r="AA156" s="228">
        <v>5</v>
      </c>
      <c r="AB156" s="229">
        <v>-1E-3</v>
      </c>
      <c r="AC156" s="228">
        <v>-40</v>
      </c>
      <c r="AD156" s="228">
        <v>-45</v>
      </c>
      <c r="AE156" s="228">
        <v>5</v>
      </c>
      <c r="AF156" s="229">
        <v>-1E-3</v>
      </c>
      <c r="AG156" s="228">
        <v>-230</v>
      </c>
      <c r="AH156" s="228">
        <v>-260</v>
      </c>
      <c r="AI156" s="228">
        <v>30</v>
      </c>
      <c r="AJ156" s="229">
        <v>-6.0000000000000001E-3</v>
      </c>
      <c r="AK156" s="228">
        <v>-320</v>
      </c>
      <c r="AL156" s="228">
        <v>-385</v>
      </c>
      <c r="AM156" s="228">
        <v>65</v>
      </c>
      <c r="AN156" s="229">
        <v>-8.3000000000000001E-3</v>
      </c>
      <c r="AO156" s="231">
        <v>38098.17</v>
      </c>
      <c r="AP156" s="231">
        <v>37911.24</v>
      </c>
      <c r="AQ156" s="228">
        <v>0</v>
      </c>
      <c r="AR156" s="230">
        <v>54465</v>
      </c>
      <c r="AS156" s="230">
        <v>81885</v>
      </c>
      <c r="AT156" s="230">
        <v>-27420</v>
      </c>
      <c r="AU156" s="229">
        <v>-0.33489999999999998</v>
      </c>
      <c r="AV156" s="230">
        <v>46530</v>
      </c>
      <c r="AW156" s="230">
        <v>73830</v>
      </c>
      <c r="AX156" s="230">
        <v>-27300</v>
      </c>
      <c r="AY156" s="229">
        <v>-0.36980000000000002</v>
      </c>
      <c r="AZ156" s="230">
        <v>7605</v>
      </c>
      <c r="BA156" s="230">
        <v>7530</v>
      </c>
      <c r="BB156" s="228">
        <v>75</v>
      </c>
      <c r="BC156" s="229">
        <v>0.01</v>
      </c>
      <c r="BD156" s="228">
        <v>330</v>
      </c>
      <c r="BE156" s="228">
        <v>525</v>
      </c>
      <c r="BF156" s="228">
        <v>-195</v>
      </c>
      <c r="BG156" s="229">
        <v>-0.37140000000000001</v>
      </c>
      <c r="BH156" s="230">
        <v>68535</v>
      </c>
      <c r="BI156" s="230">
        <v>168630</v>
      </c>
      <c r="BJ156" s="230">
        <v>-100095</v>
      </c>
      <c r="BK156" s="229">
        <v>-0.59360000000000002</v>
      </c>
      <c r="BL156" s="230">
        <v>126915</v>
      </c>
      <c r="BM156" s="230">
        <v>102705</v>
      </c>
      <c r="BN156" s="230">
        <v>24210</v>
      </c>
      <c r="BO156" s="229">
        <v>0.23569999999999999</v>
      </c>
      <c r="BP156" s="230">
        <v>249915</v>
      </c>
      <c r="BQ156" s="230">
        <v>353220</v>
      </c>
      <c r="BR156" s="230">
        <v>-103305</v>
      </c>
      <c r="BS156" s="229">
        <v>-0.29249999999999998</v>
      </c>
      <c r="BT156" s="230">
        <v>50015</v>
      </c>
      <c r="BU156" s="230">
        <v>66226</v>
      </c>
      <c r="BV156" s="230">
        <v>-16211</v>
      </c>
      <c r="BW156" s="229">
        <v>-0.24479999999999999</v>
      </c>
      <c r="BX156" s="230">
        <v>361005</v>
      </c>
      <c r="BY156" s="230">
        <v>361890</v>
      </c>
      <c r="BZ156" s="228">
        <v>-885</v>
      </c>
      <c r="CA156" s="229">
        <v>-2.3999999999999998E-3</v>
      </c>
      <c r="CB156" s="230">
        <v>345045</v>
      </c>
      <c r="CC156" s="230">
        <v>349440</v>
      </c>
      <c r="CD156" s="230">
        <v>-4395</v>
      </c>
      <c r="CE156" s="229">
        <v>-1.26E-2</v>
      </c>
      <c r="CF156" s="230">
        <v>14925</v>
      </c>
      <c r="CG156" s="230">
        <v>11535</v>
      </c>
      <c r="CH156" s="230">
        <v>3390</v>
      </c>
      <c r="CI156" s="229">
        <v>0.29389999999999999</v>
      </c>
      <c r="CJ156" s="230">
        <v>1035</v>
      </c>
      <c r="CK156" s="228">
        <v>915</v>
      </c>
      <c r="CL156" s="228">
        <v>120</v>
      </c>
      <c r="CM156" s="229">
        <v>0.13109999999999999</v>
      </c>
      <c r="CN156" s="230">
        <v>64680</v>
      </c>
      <c r="CO156" s="230">
        <v>67620</v>
      </c>
      <c r="CP156" s="230">
        <v>-2940</v>
      </c>
      <c r="CQ156" s="229">
        <v>-4.3499999999999997E-2</v>
      </c>
      <c r="CR156" s="230">
        <v>81480</v>
      </c>
      <c r="CS156" s="230">
        <v>73815</v>
      </c>
      <c r="CT156" s="230">
        <v>7665</v>
      </c>
      <c r="CU156" s="229">
        <v>0.1038</v>
      </c>
      <c r="CV156" s="230">
        <v>507165</v>
      </c>
      <c r="CW156" s="230">
        <v>503325</v>
      </c>
      <c r="CX156" s="230">
        <v>3840</v>
      </c>
      <c r="CY156" s="229">
        <v>7.6E-3</v>
      </c>
      <c r="CZ156" s="228">
        <v>31.69</v>
      </c>
      <c r="DA156" s="228">
        <v>29.38</v>
      </c>
      <c r="DB156" s="228">
        <v>2.31</v>
      </c>
      <c r="DC156" s="228">
        <v>2.31</v>
      </c>
      <c r="DD156" s="228">
        <v>28.91</v>
      </c>
      <c r="DE156" s="228">
        <v>28.94</v>
      </c>
      <c r="DF156" s="228">
        <v>2.78</v>
      </c>
      <c r="DG156" s="228">
        <v>-0.03</v>
      </c>
      <c r="DH156" s="228">
        <v>31.02</v>
      </c>
      <c r="DI156" s="228">
        <v>28.18</v>
      </c>
      <c r="DJ156" s="228">
        <v>2.84</v>
      </c>
      <c r="DK156" s="228">
        <v>2.84</v>
      </c>
      <c r="DL156" s="228">
        <v>32.06</v>
      </c>
      <c r="DM156" s="228">
        <v>31.35</v>
      </c>
      <c r="DN156" s="228">
        <v>0.71</v>
      </c>
      <c r="DO156" s="228">
        <v>0.71</v>
      </c>
      <c r="DP156" s="228">
        <v>1.26</v>
      </c>
      <c r="DQ156" s="228">
        <v>1.0900000000000001</v>
      </c>
      <c r="DR156" s="228">
        <v>0.17</v>
      </c>
      <c r="DS156" s="229">
        <v>0.156</v>
      </c>
      <c r="DT156" s="231">
        <v>33000</v>
      </c>
      <c r="DU156" s="231">
        <v>32000</v>
      </c>
      <c r="DV156" s="228">
        <v>1.85</v>
      </c>
      <c r="DW156" s="228">
        <v>0.61</v>
      </c>
      <c r="DX156" s="228">
        <v>1.24</v>
      </c>
      <c r="DY156" s="229">
        <v>2.0327999999999999</v>
      </c>
      <c r="DZ156" s="229">
        <v>4.4200000000000003E-2</v>
      </c>
      <c r="EA156" s="230">
        <v>12450</v>
      </c>
      <c r="EB156" s="229">
        <v>-5.0000000000000001E-3</v>
      </c>
      <c r="EC156" s="229">
        <v>4.4200000000000003E-2</v>
      </c>
      <c r="ED156" s="228">
        <v>-186.93</v>
      </c>
      <c r="EE156" s="229">
        <v>-4.8999999999999998E-3</v>
      </c>
      <c r="EF156" s="230">
        <v>30183</v>
      </c>
      <c r="EG156" s="230">
        <v>42074</v>
      </c>
      <c r="EH156" s="229">
        <v>-0.28260000000000002</v>
      </c>
      <c r="EI156" s="229">
        <v>0.60350000000000004</v>
      </c>
      <c r="EJ156" s="231">
        <v>27097.22</v>
      </c>
      <c r="EK156" s="231">
        <v>42490.97</v>
      </c>
      <c r="EL156" s="231">
        <v>20735.07</v>
      </c>
      <c r="EM156" s="231">
        <v>4438</v>
      </c>
      <c r="EN156" s="231">
        <v>90323.26</v>
      </c>
      <c r="EO156" s="231">
        <v>134201.60999999999</v>
      </c>
      <c r="EP156" s="231">
        <v>-43878.35</v>
      </c>
      <c r="EQ156" s="229">
        <v>-0.32700000000000001</v>
      </c>
      <c r="ER156" s="231">
        <v>23331</v>
      </c>
      <c r="ES156" s="231">
        <v>27974</v>
      </c>
      <c r="ET156" s="231">
        <v>138468</v>
      </c>
      <c r="EU156" s="231">
        <v>955549</v>
      </c>
      <c r="EV156" s="231">
        <v>189773</v>
      </c>
      <c r="EW156" s="231">
        <v>187079</v>
      </c>
      <c r="EX156" s="231">
        <v>2694</v>
      </c>
      <c r="EY156" s="229">
        <v>1.44E-2</v>
      </c>
      <c r="EZ156" s="229">
        <v>0.53080000000000005</v>
      </c>
      <c r="FA156" s="227" t="s">
        <v>693</v>
      </c>
      <c r="FB156" s="161">
        <f t="shared" si="3"/>
        <v>0</v>
      </c>
    </row>
    <row r="157" spans="1:158" ht="17.25" thickBot="1" x14ac:dyDescent="0.3">
      <c r="A157" s="226">
        <v>46132</v>
      </c>
      <c r="B157" s="227" t="s">
        <v>168</v>
      </c>
      <c r="C157" s="227" t="s">
        <v>664</v>
      </c>
      <c r="D157" s="228">
        <v>900</v>
      </c>
      <c r="E157" s="228">
        <v>459.5</v>
      </c>
      <c r="F157" s="228">
        <v>469</v>
      </c>
      <c r="G157" s="228">
        <v>-9.5</v>
      </c>
      <c r="H157" s="229">
        <v>-2.0299999999999999E-2</v>
      </c>
      <c r="I157" s="228">
        <v>459.65</v>
      </c>
      <c r="J157" s="228">
        <v>468.3</v>
      </c>
      <c r="K157" s="228">
        <v>-8.65</v>
      </c>
      <c r="L157" s="229">
        <v>-1.8499999999999999E-2</v>
      </c>
      <c r="M157" s="228">
        <v>459.5</v>
      </c>
      <c r="N157" s="228">
        <v>469</v>
      </c>
      <c r="O157" s="228">
        <v>-9.5</v>
      </c>
      <c r="P157" s="229">
        <v>-2.0299999999999999E-2</v>
      </c>
      <c r="Q157" s="228">
        <v>462.25</v>
      </c>
      <c r="R157" s="228">
        <v>471.4</v>
      </c>
      <c r="S157" s="228">
        <v>-9.15</v>
      </c>
      <c r="T157" s="229">
        <v>-1.9400000000000001E-2</v>
      </c>
      <c r="U157" s="228">
        <v>463.85</v>
      </c>
      <c r="V157" s="228">
        <v>473.8</v>
      </c>
      <c r="W157" s="228">
        <v>-9.9499999999999993</v>
      </c>
      <c r="X157" s="229">
        <v>-2.1000000000000001E-2</v>
      </c>
      <c r="Y157" s="228">
        <v>-0.15</v>
      </c>
      <c r="Z157" s="228">
        <v>0.7</v>
      </c>
      <c r="AA157" s="228">
        <v>-0.85</v>
      </c>
      <c r="AB157" s="229">
        <v>-2.9999999999999997E-4</v>
      </c>
      <c r="AC157" s="228">
        <v>-0.15</v>
      </c>
      <c r="AD157" s="228">
        <v>0.7</v>
      </c>
      <c r="AE157" s="228">
        <v>-0.85</v>
      </c>
      <c r="AF157" s="229">
        <v>-2.9999999999999997E-4</v>
      </c>
      <c r="AG157" s="228">
        <v>2.6</v>
      </c>
      <c r="AH157" s="228">
        <v>3.1</v>
      </c>
      <c r="AI157" s="228">
        <v>-0.5</v>
      </c>
      <c r="AJ157" s="229">
        <v>5.7000000000000002E-3</v>
      </c>
      <c r="AK157" s="228">
        <v>4.2</v>
      </c>
      <c r="AL157" s="228">
        <v>5.5</v>
      </c>
      <c r="AM157" s="228">
        <v>-1.3</v>
      </c>
      <c r="AN157" s="229">
        <v>9.1000000000000004E-3</v>
      </c>
      <c r="AO157" s="228">
        <v>461.18</v>
      </c>
      <c r="AP157" s="228">
        <v>463.26</v>
      </c>
      <c r="AQ157" s="228">
        <v>0</v>
      </c>
      <c r="AR157" s="230">
        <v>3556800</v>
      </c>
      <c r="AS157" s="230">
        <v>5481000</v>
      </c>
      <c r="AT157" s="230">
        <v>-1924200</v>
      </c>
      <c r="AU157" s="229">
        <v>-0.35110000000000002</v>
      </c>
      <c r="AV157" s="230">
        <v>2922300</v>
      </c>
      <c r="AW157" s="230">
        <v>4766400</v>
      </c>
      <c r="AX157" s="230">
        <v>-1844100</v>
      </c>
      <c r="AY157" s="229">
        <v>-0.38690000000000002</v>
      </c>
      <c r="AZ157" s="230">
        <v>613800</v>
      </c>
      <c r="BA157" s="230">
        <v>697500</v>
      </c>
      <c r="BB157" s="230">
        <v>-83700</v>
      </c>
      <c r="BC157" s="229">
        <v>-0.12</v>
      </c>
      <c r="BD157" s="230">
        <v>20700</v>
      </c>
      <c r="BE157" s="230">
        <v>17100</v>
      </c>
      <c r="BF157" s="230">
        <v>3600</v>
      </c>
      <c r="BG157" s="229">
        <v>0.21049999999999999</v>
      </c>
      <c r="BH157" s="230">
        <v>4646700</v>
      </c>
      <c r="BI157" s="230">
        <v>12480300</v>
      </c>
      <c r="BJ157" s="230">
        <v>-7833600</v>
      </c>
      <c r="BK157" s="229">
        <v>-0.62770000000000004</v>
      </c>
      <c r="BL157" s="230">
        <v>1550700</v>
      </c>
      <c r="BM157" s="230">
        <v>2666700</v>
      </c>
      <c r="BN157" s="230">
        <v>-1116000</v>
      </c>
      <c r="BO157" s="229">
        <v>-0.41849999999999998</v>
      </c>
      <c r="BP157" s="230">
        <v>9754200</v>
      </c>
      <c r="BQ157" s="230">
        <v>20628000</v>
      </c>
      <c r="BR157" s="230">
        <v>-10873800</v>
      </c>
      <c r="BS157" s="229">
        <v>-0.52710000000000001</v>
      </c>
      <c r="BT157" s="230">
        <v>2416496</v>
      </c>
      <c r="BU157" s="230">
        <v>2788424</v>
      </c>
      <c r="BV157" s="230">
        <v>-371928</v>
      </c>
      <c r="BW157" s="229">
        <v>-0.13339999999999999</v>
      </c>
      <c r="BX157" s="230">
        <v>35001900</v>
      </c>
      <c r="BY157" s="230">
        <v>34487100</v>
      </c>
      <c r="BZ157" s="230">
        <v>514800</v>
      </c>
      <c r="CA157" s="229">
        <v>1.49E-2</v>
      </c>
      <c r="CB157" s="230">
        <v>34274700</v>
      </c>
      <c r="CC157" s="230">
        <v>34015500</v>
      </c>
      <c r="CD157" s="230">
        <v>259200</v>
      </c>
      <c r="CE157" s="229">
        <v>7.6E-3</v>
      </c>
      <c r="CF157" s="230">
        <v>659700</v>
      </c>
      <c r="CG157" s="230">
        <v>419400</v>
      </c>
      <c r="CH157" s="230">
        <v>240300</v>
      </c>
      <c r="CI157" s="229">
        <v>0.57299999999999995</v>
      </c>
      <c r="CJ157" s="230">
        <v>67500</v>
      </c>
      <c r="CK157" s="230">
        <v>52200</v>
      </c>
      <c r="CL157" s="230">
        <v>15300</v>
      </c>
      <c r="CM157" s="229">
        <v>0.29310000000000003</v>
      </c>
      <c r="CN157" s="230">
        <v>5737500</v>
      </c>
      <c r="CO157" s="230">
        <v>5181300</v>
      </c>
      <c r="CP157" s="230">
        <v>556200</v>
      </c>
      <c r="CQ157" s="229">
        <v>0.10730000000000001</v>
      </c>
      <c r="CR157" s="230">
        <v>3077100</v>
      </c>
      <c r="CS157" s="230">
        <v>3031200</v>
      </c>
      <c r="CT157" s="230">
        <v>45900</v>
      </c>
      <c r="CU157" s="229">
        <v>1.5100000000000001E-2</v>
      </c>
      <c r="CV157" s="230">
        <v>43816500</v>
      </c>
      <c r="CW157" s="230">
        <v>42699600</v>
      </c>
      <c r="CX157" s="230">
        <v>1116900</v>
      </c>
      <c r="CY157" s="229">
        <v>2.6200000000000001E-2</v>
      </c>
      <c r="CZ157" s="228">
        <v>37.57</v>
      </c>
      <c r="DA157" s="228">
        <v>30.98</v>
      </c>
      <c r="DB157" s="228">
        <v>6.59</v>
      </c>
      <c r="DC157" s="228">
        <v>6.59</v>
      </c>
      <c r="DD157" s="228">
        <v>32.28</v>
      </c>
      <c r="DE157" s="228">
        <v>32.25</v>
      </c>
      <c r="DF157" s="228">
        <v>5.29</v>
      </c>
      <c r="DG157" s="228">
        <v>0.03</v>
      </c>
      <c r="DH157" s="228">
        <v>37.43</v>
      </c>
      <c r="DI157" s="228">
        <v>31.02</v>
      </c>
      <c r="DJ157" s="228">
        <v>6.41</v>
      </c>
      <c r="DK157" s="228">
        <v>6.41</v>
      </c>
      <c r="DL157" s="228">
        <v>38.01</v>
      </c>
      <c r="DM157" s="228">
        <v>30.79</v>
      </c>
      <c r="DN157" s="228">
        <v>7.22</v>
      </c>
      <c r="DO157" s="228">
        <v>7.22</v>
      </c>
      <c r="DP157" s="228">
        <v>0.54</v>
      </c>
      <c r="DQ157" s="228">
        <v>0.59</v>
      </c>
      <c r="DR157" s="228">
        <v>-0.05</v>
      </c>
      <c r="DS157" s="229">
        <v>-8.4699999999999998E-2</v>
      </c>
      <c r="DT157" s="228">
        <v>480</v>
      </c>
      <c r="DU157" s="228">
        <v>510</v>
      </c>
      <c r="DV157" s="228">
        <v>0.33</v>
      </c>
      <c r="DW157" s="228">
        <v>0.21</v>
      </c>
      <c r="DX157" s="228">
        <v>0.12</v>
      </c>
      <c r="DY157" s="229">
        <v>0.57140000000000002</v>
      </c>
      <c r="DZ157" s="229">
        <v>2.0799999999999999E-2</v>
      </c>
      <c r="EA157" s="230">
        <v>471600</v>
      </c>
      <c r="EB157" s="229">
        <v>6.0000000000000001E-3</v>
      </c>
      <c r="EC157" s="229">
        <v>2.0799999999999999E-2</v>
      </c>
      <c r="ED157" s="228">
        <v>2.08</v>
      </c>
      <c r="EE157" s="229">
        <v>4.4999999999999997E-3</v>
      </c>
      <c r="EF157" s="230">
        <v>1049104</v>
      </c>
      <c r="EG157" s="230">
        <v>1432085</v>
      </c>
      <c r="EH157" s="229">
        <v>-0.26740000000000003</v>
      </c>
      <c r="EI157" s="229">
        <v>0.43409999999999999</v>
      </c>
      <c r="EJ157" s="231">
        <v>22496.39</v>
      </c>
      <c r="EK157" s="231">
        <v>7259.58</v>
      </c>
      <c r="EL157" s="231">
        <v>16417.14</v>
      </c>
      <c r="EM157" s="231">
        <v>4115</v>
      </c>
      <c r="EN157" s="231">
        <v>46173.11</v>
      </c>
      <c r="EO157" s="231">
        <v>99731.74</v>
      </c>
      <c r="EP157" s="231">
        <v>-53558.63</v>
      </c>
      <c r="EQ157" s="229">
        <v>-0.53700000000000003</v>
      </c>
      <c r="ER157" s="231">
        <v>28001</v>
      </c>
      <c r="ES157" s="231">
        <v>14838</v>
      </c>
      <c r="ET157" s="231">
        <v>160855</v>
      </c>
      <c r="EU157" s="231">
        <v>51786533</v>
      </c>
      <c r="EV157" s="231">
        <v>203695</v>
      </c>
      <c r="EW157" s="231">
        <v>201748</v>
      </c>
      <c r="EX157" s="231">
        <v>1947</v>
      </c>
      <c r="EY157" s="229">
        <v>9.7000000000000003E-3</v>
      </c>
      <c r="EZ157" s="229">
        <v>0.84609999999999996</v>
      </c>
      <c r="FA157" s="227" t="s">
        <v>566</v>
      </c>
      <c r="FB157" s="161">
        <f t="shared" si="3"/>
        <v>0</v>
      </c>
    </row>
    <row r="158" spans="1:158" ht="17.25" thickBot="1" x14ac:dyDescent="0.3">
      <c r="A158" s="226">
        <v>46132</v>
      </c>
      <c r="B158" s="227" t="s">
        <v>614</v>
      </c>
      <c r="C158" s="227" t="s">
        <v>574</v>
      </c>
      <c r="D158" s="228">
        <v>725</v>
      </c>
      <c r="E158" s="231">
        <v>1162.7</v>
      </c>
      <c r="F158" s="231">
        <v>1161.7</v>
      </c>
      <c r="G158" s="228">
        <v>1</v>
      </c>
      <c r="H158" s="229">
        <v>8.9999999999999998E-4</v>
      </c>
      <c r="I158" s="231">
        <v>1161.3499999999999</v>
      </c>
      <c r="J158" s="231">
        <v>1161.6500000000001</v>
      </c>
      <c r="K158" s="228">
        <v>-0.3</v>
      </c>
      <c r="L158" s="229">
        <v>-2.9999999999999997E-4</v>
      </c>
      <c r="M158" s="231">
        <v>1162.7</v>
      </c>
      <c r="N158" s="231">
        <v>1161.7</v>
      </c>
      <c r="O158" s="228">
        <v>1</v>
      </c>
      <c r="P158" s="229">
        <v>8.9999999999999998E-4</v>
      </c>
      <c r="Q158" s="231">
        <v>1168.8</v>
      </c>
      <c r="R158" s="231">
        <v>1166.6500000000001</v>
      </c>
      <c r="S158" s="228">
        <v>2.15</v>
      </c>
      <c r="T158" s="229">
        <v>1.8E-3</v>
      </c>
      <c r="U158" s="231">
        <v>1174.3499999999999</v>
      </c>
      <c r="V158" s="231">
        <v>1175.8</v>
      </c>
      <c r="W158" s="228">
        <v>-1.45</v>
      </c>
      <c r="X158" s="229">
        <v>-1.1999999999999999E-3</v>
      </c>
      <c r="Y158" s="228">
        <v>1.35</v>
      </c>
      <c r="Z158" s="228">
        <v>0.05</v>
      </c>
      <c r="AA158" s="228">
        <v>1.3</v>
      </c>
      <c r="AB158" s="229">
        <v>1.1999999999999999E-3</v>
      </c>
      <c r="AC158" s="228">
        <v>1.35</v>
      </c>
      <c r="AD158" s="228">
        <v>0.05</v>
      </c>
      <c r="AE158" s="228">
        <v>1.3</v>
      </c>
      <c r="AF158" s="229">
        <v>1.1999999999999999E-3</v>
      </c>
      <c r="AG158" s="228">
        <v>7.45</v>
      </c>
      <c r="AH158" s="228">
        <v>5</v>
      </c>
      <c r="AI158" s="228">
        <v>2.4500000000000002</v>
      </c>
      <c r="AJ158" s="229">
        <v>6.4000000000000003E-3</v>
      </c>
      <c r="AK158" s="228">
        <v>13</v>
      </c>
      <c r="AL158" s="228">
        <v>14.15</v>
      </c>
      <c r="AM158" s="228">
        <v>-1.1499999999999999</v>
      </c>
      <c r="AN158" s="229">
        <v>1.12E-2</v>
      </c>
      <c r="AO158" s="231">
        <v>1167.5999999999999</v>
      </c>
      <c r="AP158" s="231">
        <v>1173.23</v>
      </c>
      <c r="AQ158" s="228">
        <v>0</v>
      </c>
      <c r="AR158" s="230">
        <v>2012600</v>
      </c>
      <c r="AS158" s="230">
        <v>2160500</v>
      </c>
      <c r="AT158" s="230">
        <v>-147900</v>
      </c>
      <c r="AU158" s="229">
        <v>-6.8500000000000005E-2</v>
      </c>
      <c r="AV158" s="230">
        <v>1642850</v>
      </c>
      <c r="AW158" s="230">
        <v>1955325</v>
      </c>
      <c r="AX158" s="230">
        <v>-312475</v>
      </c>
      <c r="AY158" s="229">
        <v>-0.1598</v>
      </c>
      <c r="AZ158" s="230">
        <v>340750</v>
      </c>
      <c r="BA158" s="230">
        <v>199375</v>
      </c>
      <c r="BB158" s="230">
        <v>141375</v>
      </c>
      <c r="BC158" s="229">
        <v>0.70909999999999995</v>
      </c>
      <c r="BD158" s="230">
        <v>29000</v>
      </c>
      <c r="BE158" s="230">
        <v>5800</v>
      </c>
      <c r="BF158" s="230">
        <v>23200</v>
      </c>
      <c r="BG158" s="229">
        <v>4</v>
      </c>
      <c r="BH158" s="230">
        <v>5380950</v>
      </c>
      <c r="BI158" s="230">
        <v>6519925</v>
      </c>
      <c r="BJ158" s="230">
        <v>-1138975</v>
      </c>
      <c r="BK158" s="229">
        <v>-0.17469999999999999</v>
      </c>
      <c r="BL158" s="230">
        <v>4186150</v>
      </c>
      <c r="BM158" s="230">
        <v>4702350</v>
      </c>
      <c r="BN158" s="230">
        <v>-516200</v>
      </c>
      <c r="BO158" s="229">
        <v>-0.10979999999999999</v>
      </c>
      <c r="BP158" s="230">
        <v>11579700</v>
      </c>
      <c r="BQ158" s="230">
        <v>13382775</v>
      </c>
      <c r="BR158" s="230">
        <v>-1803075</v>
      </c>
      <c r="BS158" s="229">
        <v>-0.13469999999999999</v>
      </c>
      <c r="BT158" s="230">
        <v>1581525</v>
      </c>
      <c r="BU158" s="230">
        <v>1766172</v>
      </c>
      <c r="BV158" s="230">
        <v>-184647</v>
      </c>
      <c r="BW158" s="229">
        <v>-0.1045</v>
      </c>
      <c r="BX158" s="230">
        <v>15347525</v>
      </c>
      <c r="BY158" s="230">
        <v>15618675</v>
      </c>
      <c r="BZ158" s="230">
        <v>-271150</v>
      </c>
      <c r="CA158" s="229">
        <v>-1.7399999999999999E-2</v>
      </c>
      <c r="CB158" s="230">
        <v>14555825</v>
      </c>
      <c r="CC158" s="230">
        <v>14884975</v>
      </c>
      <c r="CD158" s="230">
        <v>-329150</v>
      </c>
      <c r="CE158" s="229">
        <v>-2.2100000000000002E-2</v>
      </c>
      <c r="CF158" s="230">
        <v>757625</v>
      </c>
      <c r="CG158" s="230">
        <v>693100</v>
      </c>
      <c r="CH158" s="230">
        <v>64525</v>
      </c>
      <c r="CI158" s="229">
        <v>9.3100000000000002E-2</v>
      </c>
      <c r="CJ158" s="230">
        <v>34075</v>
      </c>
      <c r="CK158" s="230">
        <v>40600</v>
      </c>
      <c r="CL158" s="230">
        <v>-6525</v>
      </c>
      <c r="CM158" s="229">
        <v>-0.16070000000000001</v>
      </c>
      <c r="CN158" s="230">
        <v>6540225</v>
      </c>
      <c r="CO158" s="230">
        <v>6360425</v>
      </c>
      <c r="CP158" s="230">
        <v>179800</v>
      </c>
      <c r="CQ158" s="229">
        <v>2.8299999999999999E-2</v>
      </c>
      <c r="CR158" s="230">
        <v>6390150</v>
      </c>
      <c r="CS158" s="230">
        <v>6106675</v>
      </c>
      <c r="CT158" s="230">
        <v>283475</v>
      </c>
      <c r="CU158" s="229">
        <v>4.6399999999999997E-2</v>
      </c>
      <c r="CV158" s="230">
        <v>28277900</v>
      </c>
      <c r="CW158" s="230">
        <v>28085775</v>
      </c>
      <c r="CX158" s="230">
        <v>192125</v>
      </c>
      <c r="CY158" s="229">
        <v>6.7999999999999996E-3</v>
      </c>
      <c r="CZ158" s="228">
        <v>40.42</v>
      </c>
      <c r="DA158" s="228">
        <v>37.31</v>
      </c>
      <c r="DB158" s="228">
        <v>3.11</v>
      </c>
      <c r="DC158" s="228">
        <v>3.11</v>
      </c>
      <c r="DD158" s="228">
        <v>52.61</v>
      </c>
      <c r="DE158" s="228">
        <v>52.74</v>
      </c>
      <c r="DF158" s="228">
        <v>-12.19</v>
      </c>
      <c r="DG158" s="228">
        <v>-0.13</v>
      </c>
      <c r="DH158" s="228">
        <v>37.880000000000003</v>
      </c>
      <c r="DI158" s="228">
        <v>35.18</v>
      </c>
      <c r="DJ158" s="228">
        <v>2.7</v>
      </c>
      <c r="DK158" s="228">
        <v>2.7</v>
      </c>
      <c r="DL158" s="228">
        <v>43.69</v>
      </c>
      <c r="DM158" s="228">
        <v>40.25</v>
      </c>
      <c r="DN158" s="228">
        <v>3.44</v>
      </c>
      <c r="DO158" s="228">
        <v>3.44</v>
      </c>
      <c r="DP158" s="228">
        <v>0.98</v>
      </c>
      <c r="DQ158" s="228">
        <v>0.96</v>
      </c>
      <c r="DR158" s="228">
        <v>0.02</v>
      </c>
      <c r="DS158" s="229">
        <v>2.0799999999999999E-2</v>
      </c>
      <c r="DT158" s="231">
        <v>1100</v>
      </c>
      <c r="DU158" s="231">
        <v>1100</v>
      </c>
      <c r="DV158" s="228">
        <v>0.78</v>
      </c>
      <c r="DW158" s="228">
        <v>0.72</v>
      </c>
      <c r="DX158" s="228">
        <v>0.06</v>
      </c>
      <c r="DY158" s="229">
        <v>8.3299999999999999E-2</v>
      </c>
      <c r="DZ158" s="229">
        <v>5.16E-2</v>
      </c>
      <c r="EA158" s="230">
        <v>733700</v>
      </c>
      <c r="EB158" s="229">
        <v>5.1999999999999998E-3</v>
      </c>
      <c r="EC158" s="229">
        <v>5.16E-2</v>
      </c>
      <c r="ED158" s="228">
        <v>5.63</v>
      </c>
      <c r="EE158" s="229">
        <v>4.7999999999999996E-3</v>
      </c>
      <c r="EF158" s="230">
        <v>556365</v>
      </c>
      <c r="EG158" s="230">
        <v>716694</v>
      </c>
      <c r="EH158" s="229">
        <v>-0.22370000000000001</v>
      </c>
      <c r="EI158" s="229">
        <v>0.3518</v>
      </c>
      <c r="EJ158" s="231">
        <v>65073.72</v>
      </c>
      <c r="EK158" s="231">
        <v>46665.48</v>
      </c>
      <c r="EL158" s="231">
        <v>23521.27</v>
      </c>
      <c r="EM158" s="231">
        <v>3021</v>
      </c>
      <c r="EN158" s="231">
        <v>135260.47</v>
      </c>
      <c r="EO158" s="231">
        <v>155520.60999999999</v>
      </c>
      <c r="EP158" s="231">
        <v>-20260.14</v>
      </c>
      <c r="EQ158" s="229">
        <v>-0.1303</v>
      </c>
      <c r="ER158" s="231">
        <v>73859</v>
      </c>
      <c r="ES158" s="231">
        <v>68070</v>
      </c>
      <c r="ET158" s="231">
        <v>178496</v>
      </c>
      <c r="EU158" s="231">
        <v>95930888</v>
      </c>
      <c r="EV158" s="231">
        <v>320425</v>
      </c>
      <c r="EW158" s="231">
        <v>317765</v>
      </c>
      <c r="EX158" s="231">
        <v>2660</v>
      </c>
      <c r="EY158" s="229">
        <v>8.3999999999999995E-3</v>
      </c>
      <c r="EZ158" s="229">
        <v>0.29480000000000001</v>
      </c>
      <c r="FA158" s="227" t="s">
        <v>693</v>
      </c>
      <c r="FB158" s="161">
        <f t="shared" si="3"/>
        <v>0</v>
      </c>
    </row>
    <row r="159" spans="1:158" ht="17.25" thickBot="1" x14ac:dyDescent="0.3">
      <c r="A159" s="226">
        <v>46132</v>
      </c>
      <c r="B159" s="227" t="s">
        <v>221</v>
      </c>
      <c r="C159" s="227" t="s">
        <v>529</v>
      </c>
      <c r="D159" s="228">
        <v>100</v>
      </c>
      <c r="E159" s="231">
        <v>5330.4</v>
      </c>
      <c r="F159" s="231">
        <v>5452.2</v>
      </c>
      <c r="G159" s="228">
        <v>-121.8</v>
      </c>
      <c r="H159" s="229">
        <v>-2.23E-2</v>
      </c>
      <c r="I159" s="231">
        <v>5325.2</v>
      </c>
      <c r="J159" s="231">
        <v>5446.5</v>
      </c>
      <c r="K159" s="228">
        <v>-121.3</v>
      </c>
      <c r="L159" s="229">
        <v>-2.23E-2</v>
      </c>
      <c r="M159" s="231">
        <v>5330.4</v>
      </c>
      <c r="N159" s="231">
        <v>5452.2</v>
      </c>
      <c r="O159" s="228">
        <v>-121.8</v>
      </c>
      <c r="P159" s="229">
        <v>-2.23E-2</v>
      </c>
      <c r="Q159" s="231">
        <v>5238.8</v>
      </c>
      <c r="R159" s="231">
        <v>5359.1</v>
      </c>
      <c r="S159" s="228">
        <v>-120.3</v>
      </c>
      <c r="T159" s="229">
        <v>-2.24E-2</v>
      </c>
      <c r="U159" s="231">
        <v>5213.7</v>
      </c>
      <c r="V159" s="231">
        <v>5293.6</v>
      </c>
      <c r="W159" s="228">
        <v>-79.900000000000006</v>
      </c>
      <c r="X159" s="229">
        <v>-1.5100000000000001E-2</v>
      </c>
      <c r="Y159" s="228">
        <v>5.2</v>
      </c>
      <c r="Z159" s="228">
        <v>5.7</v>
      </c>
      <c r="AA159" s="228">
        <v>-0.5</v>
      </c>
      <c r="AB159" s="229">
        <v>1E-3</v>
      </c>
      <c r="AC159" s="228">
        <v>5.2</v>
      </c>
      <c r="AD159" s="228">
        <v>5.7</v>
      </c>
      <c r="AE159" s="228">
        <v>-0.5</v>
      </c>
      <c r="AF159" s="229">
        <v>1E-3</v>
      </c>
      <c r="AG159" s="228">
        <v>-86.4</v>
      </c>
      <c r="AH159" s="228">
        <v>-87.4</v>
      </c>
      <c r="AI159" s="228">
        <v>1</v>
      </c>
      <c r="AJ159" s="229">
        <v>-1.6199999999999999E-2</v>
      </c>
      <c r="AK159" s="228">
        <v>-111.5</v>
      </c>
      <c r="AL159" s="228">
        <v>-152.9</v>
      </c>
      <c r="AM159" s="228">
        <v>41.4</v>
      </c>
      <c r="AN159" s="229">
        <v>-2.0899999999999998E-2</v>
      </c>
      <c r="AO159" s="231">
        <v>5383.39</v>
      </c>
      <c r="AP159" s="231">
        <v>5295.29</v>
      </c>
      <c r="AQ159" s="228">
        <v>0</v>
      </c>
      <c r="AR159" s="230">
        <v>1920800</v>
      </c>
      <c r="AS159" s="230">
        <v>1548900</v>
      </c>
      <c r="AT159" s="230">
        <v>371900</v>
      </c>
      <c r="AU159" s="229">
        <v>0.24010000000000001</v>
      </c>
      <c r="AV159" s="230">
        <v>1649900</v>
      </c>
      <c r="AW159" s="230">
        <v>1351900</v>
      </c>
      <c r="AX159" s="230">
        <v>298000</v>
      </c>
      <c r="AY159" s="229">
        <v>0.22040000000000001</v>
      </c>
      <c r="AZ159" s="230">
        <v>262400</v>
      </c>
      <c r="BA159" s="230">
        <v>192300</v>
      </c>
      <c r="BB159" s="230">
        <v>70100</v>
      </c>
      <c r="BC159" s="229">
        <v>0.36449999999999999</v>
      </c>
      <c r="BD159" s="230">
        <v>8500</v>
      </c>
      <c r="BE159" s="230">
        <v>4700</v>
      </c>
      <c r="BF159" s="230">
        <v>3800</v>
      </c>
      <c r="BG159" s="229">
        <v>0.8085</v>
      </c>
      <c r="BH159" s="230">
        <v>3415600</v>
      </c>
      <c r="BI159" s="230">
        <v>2191500</v>
      </c>
      <c r="BJ159" s="230">
        <v>1224100</v>
      </c>
      <c r="BK159" s="229">
        <v>0.55859999999999999</v>
      </c>
      <c r="BL159" s="230">
        <v>2152500</v>
      </c>
      <c r="BM159" s="230">
        <v>1765600</v>
      </c>
      <c r="BN159" s="230">
        <v>386900</v>
      </c>
      <c r="BO159" s="229">
        <v>0.21909999999999999</v>
      </c>
      <c r="BP159" s="230">
        <v>7488900</v>
      </c>
      <c r="BQ159" s="230">
        <v>5506000</v>
      </c>
      <c r="BR159" s="230">
        <v>1982900</v>
      </c>
      <c r="BS159" s="229">
        <v>0.36009999999999998</v>
      </c>
      <c r="BT159" s="230">
        <v>1034959</v>
      </c>
      <c r="BU159" s="230">
        <v>854309</v>
      </c>
      <c r="BV159" s="230">
        <v>180650</v>
      </c>
      <c r="BW159" s="229">
        <v>0.21149999999999999</v>
      </c>
      <c r="BX159" s="230">
        <v>6028400</v>
      </c>
      <c r="BY159" s="230">
        <v>5995900</v>
      </c>
      <c r="BZ159" s="230">
        <v>32500</v>
      </c>
      <c r="CA159" s="229">
        <v>5.4000000000000003E-3</v>
      </c>
      <c r="CB159" s="230">
        <v>5066200</v>
      </c>
      <c r="CC159" s="230">
        <v>5197100</v>
      </c>
      <c r="CD159" s="230">
        <v>-130900</v>
      </c>
      <c r="CE159" s="229">
        <v>-2.52E-2</v>
      </c>
      <c r="CF159" s="230">
        <v>929300</v>
      </c>
      <c r="CG159" s="230">
        <v>770500</v>
      </c>
      <c r="CH159" s="230">
        <v>158800</v>
      </c>
      <c r="CI159" s="229">
        <v>0.20610000000000001</v>
      </c>
      <c r="CJ159" s="230">
        <v>32900</v>
      </c>
      <c r="CK159" s="230">
        <v>28300</v>
      </c>
      <c r="CL159" s="230">
        <v>4600</v>
      </c>
      <c r="CM159" s="229">
        <v>0.16250000000000001</v>
      </c>
      <c r="CN159" s="230">
        <v>1412000</v>
      </c>
      <c r="CO159" s="230">
        <v>1207600</v>
      </c>
      <c r="CP159" s="230">
        <v>204400</v>
      </c>
      <c r="CQ159" s="229">
        <v>0.16930000000000001</v>
      </c>
      <c r="CR159" s="230">
        <v>1117700</v>
      </c>
      <c r="CS159" s="230">
        <v>1154200</v>
      </c>
      <c r="CT159" s="230">
        <v>-36500</v>
      </c>
      <c r="CU159" s="229">
        <v>-3.1600000000000003E-2</v>
      </c>
      <c r="CV159" s="230">
        <v>8558100</v>
      </c>
      <c r="CW159" s="230">
        <v>8357700</v>
      </c>
      <c r="CX159" s="230">
        <v>200400</v>
      </c>
      <c r="CY159" s="229">
        <v>2.4E-2</v>
      </c>
      <c r="CZ159" s="228">
        <v>58.36</v>
      </c>
      <c r="DA159" s="228">
        <v>49.82</v>
      </c>
      <c r="DB159" s="228">
        <v>8.5399999999999991</v>
      </c>
      <c r="DC159" s="228">
        <v>8.5399999999999991</v>
      </c>
      <c r="DD159" s="228">
        <v>40.1</v>
      </c>
      <c r="DE159" s="228">
        <v>40.08</v>
      </c>
      <c r="DF159" s="228">
        <v>18.260000000000002</v>
      </c>
      <c r="DG159" s="228">
        <v>0.02</v>
      </c>
      <c r="DH159" s="228">
        <v>57.68</v>
      </c>
      <c r="DI159" s="228">
        <v>48.35</v>
      </c>
      <c r="DJ159" s="228">
        <v>9.33</v>
      </c>
      <c r="DK159" s="228">
        <v>9.33</v>
      </c>
      <c r="DL159" s="228">
        <v>59.42</v>
      </c>
      <c r="DM159" s="228">
        <v>51.66</v>
      </c>
      <c r="DN159" s="228">
        <v>7.76</v>
      </c>
      <c r="DO159" s="228">
        <v>7.76</v>
      </c>
      <c r="DP159" s="228">
        <v>0.79</v>
      </c>
      <c r="DQ159" s="228">
        <v>0.96</v>
      </c>
      <c r="DR159" s="228">
        <v>-0.17</v>
      </c>
      <c r="DS159" s="229">
        <v>-0.17710000000000001</v>
      </c>
      <c r="DT159" s="231">
        <v>5500</v>
      </c>
      <c r="DU159" s="231">
        <v>5300</v>
      </c>
      <c r="DV159" s="228">
        <v>0.63</v>
      </c>
      <c r="DW159" s="228">
        <v>0.81</v>
      </c>
      <c r="DX159" s="228">
        <v>-0.18</v>
      </c>
      <c r="DY159" s="229">
        <v>-0.22220000000000001</v>
      </c>
      <c r="DZ159" s="229">
        <v>0.15959999999999999</v>
      </c>
      <c r="EA159" s="230">
        <v>798800</v>
      </c>
      <c r="EB159" s="229">
        <v>-1.72E-2</v>
      </c>
      <c r="EC159" s="229">
        <v>0.15959999999999999</v>
      </c>
      <c r="ED159" s="228">
        <v>-88.1</v>
      </c>
      <c r="EE159" s="229">
        <v>-1.6400000000000001E-2</v>
      </c>
      <c r="EF159" s="230">
        <v>503071</v>
      </c>
      <c r="EG159" s="230">
        <v>285792</v>
      </c>
      <c r="EH159" s="229">
        <v>0.76029999999999998</v>
      </c>
      <c r="EI159" s="229">
        <v>0.48609999999999998</v>
      </c>
      <c r="EJ159" s="231">
        <v>193754.48</v>
      </c>
      <c r="EK159" s="231">
        <v>115533.15</v>
      </c>
      <c r="EL159" s="231">
        <v>103161.28</v>
      </c>
      <c r="EM159" s="231">
        <v>11552</v>
      </c>
      <c r="EN159" s="231">
        <v>412448.91</v>
      </c>
      <c r="EO159" s="231">
        <v>304171.61</v>
      </c>
      <c r="EP159" s="231">
        <v>108277.3</v>
      </c>
      <c r="EQ159" s="229">
        <v>0.35599999999999998</v>
      </c>
      <c r="ER159" s="231">
        <v>77234</v>
      </c>
      <c r="ES159" s="231">
        <v>55954</v>
      </c>
      <c r="ET159" s="231">
        <v>320448</v>
      </c>
      <c r="EU159" s="231">
        <v>16286398</v>
      </c>
      <c r="EV159" s="231">
        <v>453636</v>
      </c>
      <c r="EW159" s="231">
        <v>450044</v>
      </c>
      <c r="EX159" s="231">
        <v>3592</v>
      </c>
      <c r="EY159" s="229">
        <v>8.0000000000000002E-3</v>
      </c>
      <c r="EZ159" s="229">
        <v>0.52549999999999997</v>
      </c>
      <c r="FA159" s="227" t="s">
        <v>566</v>
      </c>
      <c r="FB159" s="161">
        <f t="shared" si="3"/>
        <v>0</v>
      </c>
    </row>
    <row r="160" spans="1:158" ht="17.25" thickBot="1" x14ac:dyDescent="0.3">
      <c r="A160" s="226">
        <v>46132</v>
      </c>
      <c r="B160" s="227" t="s">
        <v>193</v>
      </c>
      <c r="C160" s="227" t="s">
        <v>272</v>
      </c>
      <c r="D160" s="228">
        <v>1900</v>
      </c>
      <c r="E160" s="228">
        <v>272.26</v>
      </c>
      <c r="F160" s="228">
        <v>273.19</v>
      </c>
      <c r="G160" s="228">
        <v>-0.93</v>
      </c>
      <c r="H160" s="229">
        <v>-3.3999999999999998E-3</v>
      </c>
      <c r="I160" s="228">
        <v>272.13</v>
      </c>
      <c r="J160" s="228">
        <v>273.22000000000003</v>
      </c>
      <c r="K160" s="228">
        <v>-1.0900000000000001</v>
      </c>
      <c r="L160" s="229">
        <v>-4.0000000000000001E-3</v>
      </c>
      <c r="M160" s="228">
        <v>272.26</v>
      </c>
      <c r="N160" s="228">
        <v>273.19</v>
      </c>
      <c r="O160" s="228">
        <v>-0.93</v>
      </c>
      <c r="P160" s="229">
        <v>-3.3999999999999998E-3</v>
      </c>
      <c r="Q160" s="228">
        <v>271.42</v>
      </c>
      <c r="R160" s="228">
        <v>272.39</v>
      </c>
      <c r="S160" s="228">
        <v>-0.97</v>
      </c>
      <c r="T160" s="229">
        <v>-3.5999999999999999E-3</v>
      </c>
      <c r="U160" s="228">
        <v>272.83999999999997</v>
      </c>
      <c r="V160" s="228">
        <v>273.25</v>
      </c>
      <c r="W160" s="228">
        <v>-0.41</v>
      </c>
      <c r="X160" s="229">
        <v>-1.5E-3</v>
      </c>
      <c r="Y160" s="228">
        <v>0.13</v>
      </c>
      <c r="Z160" s="228">
        <v>-0.03</v>
      </c>
      <c r="AA160" s="228">
        <v>0.16</v>
      </c>
      <c r="AB160" s="229">
        <v>5.0000000000000001E-4</v>
      </c>
      <c r="AC160" s="228">
        <v>0.13</v>
      </c>
      <c r="AD160" s="228">
        <v>-0.03</v>
      </c>
      <c r="AE160" s="228">
        <v>0.16</v>
      </c>
      <c r="AF160" s="229">
        <v>5.0000000000000001E-4</v>
      </c>
      <c r="AG160" s="228">
        <v>-0.71</v>
      </c>
      <c r="AH160" s="228">
        <v>-0.83</v>
      </c>
      <c r="AI160" s="228">
        <v>0.12</v>
      </c>
      <c r="AJ160" s="229">
        <v>-2.5999999999999999E-3</v>
      </c>
      <c r="AK160" s="228">
        <v>0.71</v>
      </c>
      <c r="AL160" s="228">
        <v>0.03</v>
      </c>
      <c r="AM160" s="228">
        <v>0.68</v>
      </c>
      <c r="AN160" s="229">
        <v>2.5999999999999999E-3</v>
      </c>
      <c r="AO160" s="228">
        <v>272.25</v>
      </c>
      <c r="AP160" s="228">
        <v>271.86</v>
      </c>
      <c r="AQ160" s="228">
        <v>0</v>
      </c>
      <c r="AR160" s="230">
        <v>2677100</v>
      </c>
      <c r="AS160" s="230">
        <v>2787300</v>
      </c>
      <c r="AT160" s="230">
        <v>-110200</v>
      </c>
      <c r="AU160" s="229">
        <v>-3.95E-2</v>
      </c>
      <c r="AV160" s="230">
        <v>2131800</v>
      </c>
      <c r="AW160" s="230">
        <v>2264800</v>
      </c>
      <c r="AX160" s="230">
        <v>-133000</v>
      </c>
      <c r="AY160" s="229">
        <v>-5.8700000000000002E-2</v>
      </c>
      <c r="AZ160" s="230">
        <v>514900</v>
      </c>
      <c r="BA160" s="230">
        <v>494000</v>
      </c>
      <c r="BB160" s="230">
        <v>20900</v>
      </c>
      <c r="BC160" s="229">
        <v>4.2299999999999997E-2</v>
      </c>
      <c r="BD160" s="230">
        <v>30400</v>
      </c>
      <c r="BE160" s="230">
        <v>28500</v>
      </c>
      <c r="BF160" s="230">
        <v>1900</v>
      </c>
      <c r="BG160" s="229">
        <v>6.6699999999999995E-2</v>
      </c>
      <c r="BH160" s="230">
        <v>4366200</v>
      </c>
      <c r="BI160" s="230">
        <v>6644300</v>
      </c>
      <c r="BJ160" s="230">
        <v>-2278100</v>
      </c>
      <c r="BK160" s="229">
        <v>-0.34289999999999998</v>
      </c>
      <c r="BL160" s="230">
        <v>2101400</v>
      </c>
      <c r="BM160" s="230">
        <v>2897500</v>
      </c>
      <c r="BN160" s="230">
        <v>-796100</v>
      </c>
      <c r="BO160" s="229">
        <v>-0.27479999999999999</v>
      </c>
      <c r="BP160" s="230">
        <v>9144700</v>
      </c>
      <c r="BQ160" s="230">
        <v>12329100</v>
      </c>
      <c r="BR160" s="230">
        <v>-3184400</v>
      </c>
      <c r="BS160" s="229">
        <v>-0.25829999999999997</v>
      </c>
      <c r="BT160" s="230">
        <v>2667646</v>
      </c>
      <c r="BU160" s="230">
        <v>1935460</v>
      </c>
      <c r="BV160" s="230">
        <v>732186</v>
      </c>
      <c r="BW160" s="229">
        <v>0.37830000000000003</v>
      </c>
      <c r="BX160" s="230">
        <v>35379900</v>
      </c>
      <c r="BY160" s="230">
        <v>35782700</v>
      </c>
      <c r="BZ160" s="230">
        <v>-402800</v>
      </c>
      <c r="CA160" s="229">
        <v>-1.1299999999999999E-2</v>
      </c>
      <c r="CB160" s="230">
        <v>33920700</v>
      </c>
      <c r="CC160" s="230">
        <v>34445100</v>
      </c>
      <c r="CD160" s="230">
        <v>-524400</v>
      </c>
      <c r="CE160" s="229">
        <v>-1.52E-2</v>
      </c>
      <c r="CF160" s="230">
        <v>1311000</v>
      </c>
      <c r="CG160" s="230">
        <v>1202700</v>
      </c>
      <c r="CH160" s="230">
        <v>108300</v>
      </c>
      <c r="CI160" s="229">
        <v>0.09</v>
      </c>
      <c r="CJ160" s="230">
        <v>148200</v>
      </c>
      <c r="CK160" s="230">
        <v>134900</v>
      </c>
      <c r="CL160" s="230">
        <v>13300</v>
      </c>
      <c r="CM160" s="229">
        <v>9.8599999999999993E-2</v>
      </c>
      <c r="CN160" s="230">
        <v>15298800</v>
      </c>
      <c r="CO160" s="230">
        <v>15821300</v>
      </c>
      <c r="CP160" s="230">
        <v>-522500</v>
      </c>
      <c r="CQ160" s="229">
        <v>-3.3000000000000002E-2</v>
      </c>
      <c r="CR160" s="230">
        <v>9978800</v>
      </c>
      <c r="CS160" s="230">
        <v>10180200</v>
      </c>
      <c r="CT160" s="230">
        <v>-201400</v>
      </c>
      <c r="CU160" s="229">
        <v>-1.9800000000000002E-2</v>
      </c>
      <c r="CV160" s="230">
        <v>60657500</v>
      </c>
      <c r="CW160" s="230">
        <v>61784200</v>
      </c>
      <c r="CX160" s="230">
        <v>-1126700</v>
      </c>
      <c r="CY160" s="229">
        <v>-1.8200000000000001E-2</v>
      </c>
      <c r="CZ160" s="228">
        <v>42.79</v>
      </c>
      <c r="DA160" s="228">
        <v>38.69</v>
      </c>
      <c r="DB160" s="228">
        <v>4.0999999999999996</v>
      </c>
      <c r="DC160" s="228">
        <v>4.0999999999999996</v>
      </c>
      <c r="DD160" s="228">
        <v>39.06</v>
      </c>
      <c r="DE160" s="228">
        <v>39.159999999999997</v>
      </c>
      <c r="DF160" s="228">
        <v>3.73</v>
      </c>
      <c r="DG160" s="228">
        <v>-0.1</v>
      </c>
      <c r="DH160" s="228">
        <v>42.13</v>
      </c>
      <c r="DI160" s="228">
        <v>38.21</v>
      </c>
      <c r="DJ160" s="228">
        <v>3.92</v>
      </c>
      <c r="DK160" s="228">
        <v>3.92</v>
      </c>
      <c r="DL160" s="228">
        <v>44.15</v>
      </c>
      <c r="DM160" s="228">
        <v>39.770000000000003</v>
      </c>
      <c r="DN160" s="228">
        <v>4.38</v>
      </c>
      <c r="DO160" s="228">
        <v>4.38</v>
      </c>
      <c r="DP160" s="228">
        <v>0.65</v>
      </c>
      <c r="DQ160" s="228">
        <v>0.64</v>
      </c>
      <c r="DR160" s="228">
        <v>0.01</v>
      </c>
      <c r="DS160" s="229">
        <v>1.5599999999999999E-2</v>
      </c>
      <c r="DT160" s="228">
        <v>300</v>
      </c>
      <c r="DU160" s="228">
        <v>250</v>
      </c>
      <c r="DV160" s="228">
        <v>0.48</v>
      </c>
      <c r="DW160" s="228">
        <v>0.44</v>
      </c>
      <c r="DX160" s="228">
        <v>0.04</v>
      </c>
      <c r="DY160" s="229">
        <v>9.0899999999999995E-2</v>
      </c>
      <c r="DZ160" s="229">
        <v>4.1200000000000001E-2</v>
      </c>
      <c r="EA160" s="230">
        <v>1337600</v>
      </c>
      <c r="EB160" s="229">
        <v>-3.0999999999999999E-3</v>
      </c>
      <c r="EC160" s="229">
        <v>4.1200000000000001E-2</v>
      </c>
      <c r="ED160" s="228">
        <v>-0.39</v>
      </c>
      <c r="EE160" s="229">
        <v>-1.4E-3</v>
      </c>
      <c r="EF160" s="230">
        <v>1443657</v>
      </c>
      <c r="EG160" s="230">
        <v>1038202</v>
      </c>
      <c r="EH160" s="229">
        <v>0.39050000000000001</v>
      </c>
      <c r="EI160" s="229">
        <v>0.54120000000000001</v>
      </c>
      <c r="EJ160" s="231">
        <v>12635.36</v>
      </c>
      <c r="EK160" s="231">
        <v>5522.39</v>
      </c>
      <c r="EL160" s="231">
        <v>7286.58</v>
      </c>
      <c r="EM160" s="231">
        <v>1765</v>
      </c>
      <c r="EN160" s="231">
        <v>25444.33</v>
      </c>
      <c r="EO160" s="231">
        <v>34420.97</v>
      </c>
      <c r="EP160" s="231">
        <v>-8976.64</v>
      </c>
      <c r="EQ160" s="229">
        <v>-0.26079999999999998</v>
      </c>
      <c r="ER160" s="231">
        <v>43173</v>
      </c>
      <c r="ES160" s="231">
        <v>25528</v>
      </c>
      <c r="ET160" s="231">
        <v>96315</v>
      </c>
      <c r="EU160" s="231">
        <v>112500013</v>
      </c>
      <c r="EV160" s="231">
        <v>165016</v>
      </c>
      <c r="EW160" s="231">
        <v>168412</v>
      </c>
      <c r="EX160" s="231">
        <v>-3396</v>
      </c>
      <c r="EY160" s="229">
        <v>-2.0199999999999999E-2</v>
      </c>
      <c r="EZ160" s="229">
        <v>0.53920000000000001</v>
      </c>
      <c r="FA160" s="227" t="s">
        <v>567</v>
      </c>
      <c r="FB160" s="161">
        <f t="shared" si="3"/>
        <v>0</v>
      </c>
    </row>
    <row r="161" spans="1:158" ht="17.25" thickBot="1" x14ac:dyDescent="0.3">
      <c r="A161" s="226">
        <v>46132</v>
      </c>
      <c r="B161" s="227" t="s">
        <v>175</v>
      </c>
      <c r="C161" s="227" t="s">
        <v>273</v>
      </c>
      <c r="D161" s="228">
        <v>1300</v>
      </c>
      <c r="E161" s="228">
        <v>474.3</v>
      </c>
      <c r="F161" s="228">
        <v>466</v>
      </c>
      <c r="G161" s="228">
        <v>8.3000000000000007</v>
      </c>
      <c r="H161" s="229">
        <v>1.78E-2</v>
      </c>
      <c r="I161" s="228">
        <v>472.85</v>
      </c>
      <c r="J161" s="228">
        <v>464.85</v>
      </c>
      <c r="K161" s="228">
        <v>8</v>
      </c>
      <c r="L161" s="229">
        <v>1.72E-2</v>
      </c>
      <c r="M161" s="228">
        <v>474.3</v>
      </c>
      <c r="N161" s="228">
        <v>466</v>
      </c>
      <c r="O161" s="228">
        <v>8.3000000000000007</v>
      </c>
      <c r="P161" s="229">
        <v>1.78E-2</v>
      </c>
      <c r="Q161" s="228">
        <v>476.95</v>
      </c>
      <c r="R161" s="228">
        <v>468</v>
      </c>
      <c r="S161" s="228">
        <v>8.9499999999999993</v>
      </c>
      <c r="T161" s="229">
        <v>1.9099999999999999E-2</v>
      </c>
      <c r="U161" s="228">
        <v>477.2</v>
      </c>
      <c r="V161" s="228">
        <v>469.7</v>
      </c>
      <c r="W161" s="228">
        <v>7.5</v>
      </c>
      <c r="X161" s="229">
        <v>1.6E-2</v>
      </c>
      <c r="Y161" s="228">
        <v>1.45</v>
      </c>
      <c r="Z161" s="228">
        <v>1.1499999999999999</v>
      </c>
      <c r="AA161" s="228">
        <v>0.3</v>
      </c>
      <c r="AB161" s="229">
        <v>3.0999999999999999E-3</v>
      </c>
      <c r="AC161" s="228">
        <v>1.45</v>
      </c>
      <c r="AD161" s="228">
        <v>1.1499999999999999</v>
      </c>
      <c r="AE161" s="228">
        <v>0.3</v>
      </c>
      <c r="AF161" s="229">
        <v>3.0999999999999999E-3</v>
      </c>
      <c r="AG161" s="228">
        <v>4.0999999999999996</v>
      </c>
      <c r="AH161" s="228">
        <v>3.15</v>
      </c>
      <c r="AI161" s="228">
        <v>0.95</v>
      </c>
      <c r="AJ161" s="229">
        <v>8.6999999999999994E-3</v>
      </c>
      <c r="AK161" s="228">
        <v>4.3499999999999996</v>
      </c>
      <c r="AL161" s="228">
        <v>4.8499999999999996</v>
      </c>
      <c r="AM161" s="228">
        <v>-0.5</v>
      </c>
      <c r="AN161" s="229">
        <v>9.1999999999999998E-3</v>
      </c>
      <c r="AO161" s="228">
        <v>471.58</v>
      </c>
      <c r="AP161" s="228">
        <v>474.66</v>
      </c>
      <c r="AQ161" s="228">
        <v>0</v>
      </c>
      <c r="AR161" s="230">
        <v>20889700</v>
      </c>
      <c r="AS161" s="230">
        <v>11954800</v>
      </c>
      <c r="AT161" s="230">
        <v>8934900</v>
      </c>
      <c r="AU161" s="229">
        <v>0.74739999999999995</v>
      </c>
      <c r="AV161" s="230">
        <v>16071900</v>
      </c>
      <c r="AW161" s="230">
        <v>10058100</v>
      </c>
      <c r="AX161" s="230">
        <v>6013800</v>
      </c>
      <c r="AY161" s="229">
        <v>0.59789999999999999</v>
      </c>
      <c r="AZ161" s="230">
        <v>4444700</v>
      </c>
      <c r="BA161" s="230">
        <v>1584700</v>
      </c>
      <c r="BB161" s="230">
        <v>2860000</v>
      </c>
      <c r="BC161" s="229">
        <v>1.8048</v>
      </c>
      <c r="BD161" s="230">
        <v>373100</v>
      </c>
      <c r="BE161" s="230">
        <v>312000</v>
      </c>
      <c r="BF161" s="230">
        <v>61100</v>
      </c>
      <c r="BG161" s="229">
        <v>0.1958</v>
      </c>
      <c r="BH161" s="230">
        <v>61297600</v>
      </c>
      <c r="BI161" s="230">
        <v>49897900</v>
      </c>
      <c r="BJ161" s="230">
        <v>11399700</v>
      </c>
      <c r="BK161" s="229">
        <v>0.22850000000000001</v>
      </c>
      <c r="BL161" s="230">
        <v>35183200</v>
      </c>
      <c r="BM161" s="230">
        <v>26149500</v>
      </c>
      <c r="BN161" s="230">
        <v>9033700</v>
      </c>
      <c r="BO161" s="229">
        <v>0.34549999999999997</v>
      </c>
      <c r="BP161" s="230">
        <v>117370500</v>
      </c>
      <c r="BQ161" s="230">
        <v>88002200</v>
      </c>
      <c r="BR161" s="230">
        <v>29368300</v>
      </c>
      <c r="BS161" s="229">
        <v>0.3337</v>
      </c>
      <c r="BT161" s="230">
        <v>11756466</v>
      </c>
      <c r="BU161" s="230">
        <v>10884602</v>
      </c>
      <c r="BV161" s="230">
        <v>871864</v>
      </c>
      <c r="BW161" s="229">
        <v>8.0100000000000005E-2</v>
      </c>
      <c r="BX161" s="230">
        <v>61058400</v>
      </c>
      <c r="BY161" s="230">
        <v>58090500</v>
      </c>
      <c r="BZ161" s="230">
        <v>2967900</v>
      </c>
      <c r="CA161" s="229">
        <v>5.11E-2</v>
      </c>
      <c r="CB161" s="230">
        <v>50753300</v>
      </c>
      <c r="CC161" s="230">
        <v>49990200</v>
      </c>
      <c r="CD161" s="230">
        <v>763100</v>
      </c>
      <c r="CE161" s="229">
        <v>1.5299999999999999E-2</v>
      </c>
      <c r="CF161" s="230">
        <v>9796800</v>
      </c>
      <c r="CG161" s="230">
        <v>7547800</v>
      </c>
      <c r="CH161" s="230">
        <v>2249000</v>
      </c>
      <c r="CI161" s="229">
        <v>0.29799999999999999</v>
      </c>
      <c r="CJ161" s="230">
        <v>508300</v>
      </c>
      <c r="CK161" s="230">
        <v>552500</v>
      </c>
      <c r="CL161" s="230">
        <v>-44200</v>
      </c>
      <c r="CM161" s="229">
        <v>-0.08</v>
      </c>
      <c r="CN161" s="230">
        <v>26360100</v>
      </c>
      <c r="CO161" s="230">
        <v>27141400</v>
      </c>
      <c r="CP161" s="230">
        <v>-781300</v>
      </c>
      <c r="CQ161" s="229">
        <v>-2.8799999999999999E-2</v>
      </c>
      <c r="CR161" s="230">
        <v>22079200</v>
      </c>
      <c r="CS161" s="230">
        <v>19854900</v>
      </c>
      <c r="CT161" s="230">
        <v>2224300</v>
      </c>
      <c r="CU161" s="229">
        <v>0.112</v>
      </c>
      <c r="CV161" s="230">
        <v>109497700</v>
      </c>
      <c r="CW161" s="230">
        <v>105086800</v>
      </c>
      <c r="CX161" s="230">
        <v>4410900</v>
      </c>
      <c r="CY161" s="229">
        <v>4.2000000000000003E-2</v>
      </c>
      <c r="CZ161" s="228">
        <v>35.76</v>
      </c>
      <c r="DA161" s="228">
        <v>33.450000000000003</v>
      </c>
      <c r="DB161" s="228">
        <v>2.31</v>
      </c>
      <c r="DC161" s="228">
        <v>2.31</v>
      </c>
      <c r="DD161" s="228">
        <v>42.31</v>
      </c>
      <c r="DE161" s="228">
        <v>42.35</v>
      </c>
      <c r="DF161" s="228">
        <v>-6.55</v>
      </c>
      <c r="DG161" s="228">
        <v>-0.04</v>
      </c>
      <c r="DH161" s="228">
        <v>33.21</v>
      </c>
      <c r="DI161" s="228">
        <v>32.03</v>
      </c>
      <c r="DJ161" s="228">
        <v>1.18</v>
      </c>
      <c r="DK161" s="228">
        <v>1.18</v>
      </c>
      <c r="DL161" s="228">
        <v>40.21</v>
      </c>
      <c r="DM161" s="228">
        <v>36.17</v>
      </c>
      <c r="DN161" s="228">
        <v>4.04</v>
      </c>
      <c r="DO161" s="228">
        <v>4.04</v>
      </c>
      <c r="DP161" s="228">
        <v>0.84</v>
      </c>
      <c r="DQ161" s="228">
        <v>0.73</v>
      </c>
      <c r="DR161" s="228">
        <v>0.11</v>
      </c>
      <c r="DS161" s="229">
        <v>0.1507</v>
      </c>
      <c r="DT161" s="228">
        <v>400</v>
      </c>
      <c r="DU161" s="228">
        <v>450</v>
      </c>
      <c r="DV161" s="228">
        <v>0.56999999999999995</v>
      </c>
      <c r="DW161" s="228">
        <v>0.52</v>
      </c>
      <c r="DX161" s="228">
        <v>0.05</v>
      </c>
      <c r="DY161" s="229">
        <v>9.6199999999999994E-2</v>
      </c>
      <c r="DZ161" s="229">
        <v>0.16880000000000001</v>
      </c>
      <c r="EA161" s="230">
        <v>8100300</v>
      </c>
      <c r="EB161" s="229">
        <v>5.5999999999999999E-3</v>
      </c>
      <c r="EC161" s="229">
        <v>0.16880000000000001</v>
      </c>
      <c r="ED161" s="228">
        <v>3.08</v>
      </c>
      <c r="EE161" s="229">
        <v>6.4999999999999997E-3</v>
      </c>
      <c r="EF161" s="230">
        <v>5260800</v>
      </c>
      <c r="EG161" s="230">
        <v>4969953</v>
      </c>
      <c r="EH161" s="229">
        <v>5.8500000000000003E-2</v>
      </c>
      <c r="EI161" s="229">
        <v>0.44750000000000001</v>
      </c>
      <c r="EJ161" s="231">
        <v>298516.81</v>
      </c>
      <c r="EK161" s="231">
        <v>161972.70000000001</v>
      </c>
      <c r="EL161" s="231">
        <v>98665.29</v>
      </c>
      <c r="EM161" s="231">
        <v>10667</v>
      </c>
      <c r="EN161" s="231">
        <v>559154.80000000005</v>
      </c>
      <c r="EO161" s="231">
        <v>414108.75</v>
      </c>
      <c r="EP161" s="231">
        <v>145046.04999999999</v>
      </c>
      <c r="EQ161" s="229">
        <v>0.3503</v>
      </c>
      <c r="ER161" s="231">
        <v>118602</v>
      </c>
      <c r="ES161" s="231">
        <v>94449</v>
      </c>
      <c r="ET161" s="231">
        <v>289874</v>
      </c>
      <c r="EU161" s="231">
        <v>217835555</v>
      </c>
      <c r="EV161" s="231">
        <v>502925</v>
      </c>
      <c r="EW161" s="231">
        <v>475943</v>
      </c>
      <c r="EX161" s="231">
        <v>26982</v>
      </c>
      <c r="EY161" s="229">
        <v>5.67E-2</v>
      </c>
      <c r="EZ161" s="229">
        <v>0.50270000000000004</v>
      </c>
      <c r="FA161" s="227" t="s">
        <v>555</v>
      </c>
      <c r="FB161" s="161">
        <f t="shared" si="3"/>
        <v>0</v>
      </c>
    </row>
    <row r="162" spans="1:158" ht="17.25" thickBot="1" x14ac:dyDescent="0.3">
      <c r="A162" s="226">
        <v>46132</v>
      </c>
      <c r="B162" s="227" t="s">
        <v>184</v>
      </c>
      <c r="C162" s="227" t="s">
        <v>678</v>
      </c>
      <c r="D162" s="228">
        <v>950</v>
      </c>
      <c r="E162" s="228">
        <v>560.35</v>
      </c>
      <c r="F162" s="228">
        <v>562.65</v>
      </c>
      <c r="G162" s="228">
        <v>-2.2999999999999998</v>
      </c>
      <c r="H162" s="229">
        <v>-4.1000000000000003E-3</v>
      </c>
      <c r="I162" s="228">
        <v>559.04999999999995</v>
      </c>
      <c r="J162" s="228">
        <v>561.4</v>
      </c>
      <c r="K162" s="228">
        <v>-2.35</v>
      </c>
      <c r="L162" s="229">
        <v>-4.1999999999999997E-3</v>
      </c>
      <c r="M162" s="228">
        <v>560.35</v>
      </c>
      <c r="N162" s="228">
        <v>562.65</v>
      </c>
      <c r="O162" s="228">
        <v>-2.2999999999999998</v>
      </c>
      <c r="P162" s="229">
        <v>-4.1000000000000003E-3</v>
      </c>
      <c r="Q162" s="228">
        <v>549.70000000000005</v>
      </c>
      <c r="R162" s="228">
        <v>551.45000000000005</v>
      </c>
      <c r="S162" s="228">
        <v>-1.75</v>
      </c>
      <c r="T162" s="229">
        <v>-3.2000000000000002E-3</v>
      </c>
      <c r="U162" s="228">
        <v>543.85</v>
      </c>
      <c r="V162" s="228">
        <v>545.9</v>
      </c>
      <c r="W162" s="228">
        <v>-2.0499999999999998</v>
      </c>
      <c r="X162" s="229">
        <v>-3.8E-3</v>
      </c>
      <c r="Y162" s="228">
        <v>1.3</v>
      </c>
      <c r="Z162" s="228">
        <v>1.25</v>
      </c>
      <c r="AA162" s="228">
        <v>0.05</v>
      </c>
      <c r="AB162" s="229">
        <v>2.3E-3</v>
      </c>
      <c r="AC162" s="228">
        <v>1.3</v>
      </c>
      <c r="AD162" s="228">
        <v>1.25</v>
      </c>
      <c r="AE162" s="228">
        <v>0.05</v>
      </c>
      <c r="AF162" s="229">
        <v>2.3E-3</v>
      </c>
      <c r="AG162" s="228">
        <v>-9.35</v>
      </c>
      <c r="AH162" s="228">
        <v>-9.9499999999999993</v>
      </c>
      <c r="AI162" s="228">
        <v>0.6</v>
      </c>
      <c r="AJ162" s="229">
        <v>-1.67E-2</v>
      </c>
      <c r="AK162" s="228">
        <v>-15.2</v>
      </c>
      <c r="AL162" s="228">
        <v>-15.5</v>
      </c>
      <c r="AM162" s="228">
        <v>0.3</v>
      </c>
      <c r="AN162" s="229">
        <v>-2.7199999999999998E-2</v>
      </c>
      <c r="AO162" s="228">
        <v>561</v>
      </c>
      <c r="AP162" s="228">
        <v>551.21</v>
      </c>
      <c r="AQ162" s="228">
        <v>0</v>
      </c>
      <c r="AR162" s="230">
        <v>3052350</v>
      </c>
      <c r="AS162" s="230">
        <v>4114450</v>
      </c>
      <c r="AT162" s="230">
        <v>-1062100</v>
      </c>
      <c r="AU162" s="229">
        <v>-0.2581</v>
      </c>
      <c r="AV162" s="230">
        <v>2346500</v>
      </c>
      <c r="AW162" s="230">
        <v>3283200</v>
      </c>
      <c r="AX162" s="230">
        <v>-936700</v>
      </c>
      <c r="AY162" s="229">
        <v>-0.2853</v>
      </c>
      <c r="AZ162" s="230">
        <v>657400</v>
      </c>
      <c r="BA162" s="230">
        <v>720100</v>
      </c>
      <c r="BB162" s="230">
        <v>-62700</v>
      </c>
      <c r="BC162" s="229">
        <v>-8.7099999999999997E-2</v>
      </c>
      <c r="BD162" s="230">
        <v>48450</v>
      </c>
      <c r="BE162" s="230">
        <v>111150</v>
      </c>
      <c r="BF162" s="230">
        <v>-62700</v>
      </c>
      <c r="BG162" s="229">
        <v>-0.56410000000000005</v>
      </c>
      <c r="BH162" s="230">
        <v>7348250</v>
      </c>
      <c r="BI162" s="230">
        <v>10114650</v>
      </c>
      <c r="BJ162" s="230">
        <v>-2766400</v>
      </c>
      <c r="BK162" s="229">
        <v>-0.27350000000000002</v>
      </c>
      <c r="BL162" s="230">
        <v>7201000</v>
      </c>
      <c r="BM162" s="230">
        <v>10222950</v>
      </c>
      <c r="BN162" s="230">
        <v>-3021950</v>
      </c>
      <c r="BO162" s="229">
        <v>-0.29559999999999997</v>
      </c>
      <c r="BP162" s="230">
        <v>17601600</v>
      </c>
      <c r="BQ162" s="230">
        <v>24452050</v>
      </c>
      <c r="BR162" s="230">
        <v>-6850450</v>
      </c>
      <c r="BS162" s="229">
        <v>-0.2802</v>
      </c>
      <c r="BT162" s="230">
        <v>2366898</v>
      </c>
      <c r="BU162" s="230">
        <v>2973655</v>
      </c>
      <c r="BV162" s="230">
        <v>-606757</v>
      </c>
      <c r="BW162" s="229">
        <v>-0.20399999999999999</v>
      </c>
      <c r="BX162" s="230">
        <v>16036000</v>
      </c>
      <c r="BY162" s="230">
        <v>15949550</v>
      </c>
      <c r="BZ162" s="230">
        <v>86450</v>
      </c>
      <c r="CA162" s="229">
        <v>5.4000000000000003E-3</v>
      </c>
      <c r="CB162" s="230">
        <v>13397850</v>
      </c>
      <c r="CC162" s="230">
        <v>13401650</v>
      </c>
      <c r="CD162" s="230">
        <v>-3800</v>
      </c>
      <c r="CE162" s="229">
        <v>-2.9999999999999997E-4</v>
      </c>
      <c r="CF162" s="230">
        <v>2265750</v>
      </c>
      <c r="CG162" s="230">
        <v>2184050</v>
      </c>
      <c r="CH162" s="230">
        <v>81700</v>
      </c>
      <c r="CI162" s="229">
        <v>3.7400000000000003E-2</v>
      </c>
      <c r="CJ162" s="230">
        <v>372400</v>
      </c>
      <c r="CK162" s="230">
        <v>363850</v>
      </c>
      <c r="CL162" s="230">
        <v>8550</v>
      </c>
      <c r="CM162" s="229">
        <v>2.35E-2</v>
      </c>
      <c r="CN162" s="230">
        <v>8378050</v>
      </c>
      <c r="CO162" s="230">
        <v>8536700</v>
      </c>
      <c r="CP162" s="230">
        <v>-158650</v>
      </c>
      <c r="CQ162" s="229">
        <v>-1.8599999999999998E-2</v>
      </c>
      <c r="CR162" s="230">
        <v>9772650</v>
      </c>
      <c r="CS162" s="230">
        <v>10089950</v>
      </c>
      <c r="CT162" s="230">
        <v>-317300</v>
      </c>
      <c r="CU162" s="229">
        <v>-3.1399999999999997E-2</v>
      </c>
      <c r="CV162" s="230">
        <v>34186700</v>
      </c>
      <c r="CW162" s="230">
        <v>34576200</v>
      </c>
      <c r="CX162" s="230">
        <v>-389500</v>
      </c>
      <c r="CY162" s="229">
        <v>-1.1299999999999999E-2</v>
      </c>
      <c r="CZ162" s="228">
        <v>54.69</v>
      </c>
      <c r="DA162" s="228">
        <v>53.01</v>
      </c>
      <c r="DB162" s="228">
        <v>1.68</v>
      </c>
      <c r="DC162" s="228">
        <v>1.68</v>
      </c>
      <c r="DD162" s="228">
        <v>68.05</v>
      </c>
      <c r="DE162" s="228">
        <v>68.22</v>
      </c>
      <c r="DF162" s="228">
        <v>-13.36</v>
      </c>
      <c r="DG162" s="228">
        <v>-0.17</v>
      </c>
      <c r="DH162" s="228">
        <v>52.1</v>
      </c>
      <c r="DI162" s="228">
        <v>49.6</v>
      </c>
      <c r="DJ162" s="228">
        <v>2.5</v>
      </c>
      <c r="DK162" s="228">
        <v>2.5</v>
      </c>
      <c r="DL162" s="228">
        <v>57.34</v>
      </c>
      <c r="DM162" s="228">
        <v>56.38</v>
      </c>
      <c r="DN162" s="228">
        <v>0.96</v>
      </c>
      <c r="DO162" s="228">
        <v>0.96</v>
      </c>
      <c r="DP162" s="228">
        <v>1.17</v>
      </c>
      <c r="DQ162" s="228">
        <v>1.18</v>
      </c>
      <c r="DR162" s="228">
        <v>-0.01</v>
      </c>
      <c r="DS162" s="229">
        <v>-8.5000000000000006E-3</v>
      </c>
      <c r="DT162" s="228">
        <v>560</v>
      </c>
      <c r="DU162" s="228">
        <v>500</v>
      </c>
      <c r="DV162" s="228">
        <v>0.98</v>
      </c>
      <c r="DW162" s="228">
        <v>1.01</v>
      </c>
      <c r="DX162" s="228">
        <v>-0.03</v>
      </c>
      <c r="DY162" s="229">
        <v>-2.9700000000000001E-2</v>
      </c>
      <c r="DZ162" s="229">
        <v>0.16450000000000001</v>
      </c>
      <c r="EA162" s="230">
        <v>2547900</v>
      </c>
      <c r="EB162" s="229">
        <v>-1.9E-2</v>
      </c>
      <c r="EC162" s="229">
        <v>0.16450000000000001</v>
      </c>
      <c r="ED162" s="228">
        <v>-9.7899999999999991</v>
      </c>
      <c r="EE162" s="229">
        <v>-1.7500000000000002E-2</v>
      </c>
      <c r="EF162" s="230">
        <v>492217</v>
      </c>
      <c r="EG162" s="230">
        <v>752986</v>
      </c>
      <c r="EH162" s="229">
        <v>-0.3463</v>
      </c>
      <c r="EI162" s="229">
        <v>0.20799999999999999</v>
      </c>
      <c r="EJ162" s="231">
        <v>43468.53</v>
      </c>
      <c r="EK162" s="231">
        <v>38214.199999999997</v>
      </c>
      <c r="EL162" s="231">
        <v>17051.38</v>
      </c>
      <c r="EM162" s="231">
        <v>6642</v>
      </c>
      <c r="EN162" s="231">
        <v>98734.11</v>
      </c>
      <c r="EO162" s="231">
        <v>136232.92000000001</v>
      </c>
      <c r="EP162" s="231">
        <v>-37498.81</v>
      </c>
      <c r="EQ162" s="229">
        <v>-0.27529999999999999</v>
      </c>
      <c r="ER162" s="231">
        <v>45001</v>
      </c>
      <c r="ES162" s="231">
        <v>47601</v>
      </c>
      <c r="ET162" s="231">
        <v>89555</v>
      </c>
      <c r="EU162" s="231">
        <v>24101986</v>
      </c>
      <c r="EV162" s="231">
        <v>182156</v>
      </c>
      <c r="EW162" s="231">
        <v>184375</v>
      </c>
      <c r="EX162" s="231">
        <v>-2219</v>
      </c>
      <c r="EY162" s="229">
        <v>-1.2E-2</v>
      </c>
      <c r="EZ162" s="229">
        <v>1.4184000000000001</v>
      </c>
      <c r="FA162" s="227" t="s">
        <v>566</v>
      </c>
      <c r="FB162" s="161">
        <f t="shared" ref="FB162:FB194" si="4">BX233-CB233</f>
        <v>0</v>
      </c>
    </row>
    <row r="163" spans="1:158" ht="17.25" thickBot="1" x14ac:dyDescent="0.3">
      <c r="A163" s="226">
        <v>46132</v>
      </c>
      <c r="B163" s="227" t="s">
        <v>206</v>
      </c>
      <c r="C163" s="227" t="s">
        <v>644</v>
      </c>
      <c r="D163" s="228">
        <v>350</v>
      </c>
      <c r="E163" s="231">
        <v>1772.5</v>
      </c>
      <c r="F163" s="231">
        <v>1798.6</v>
      </c>
      <c r="G163" s="228">
        <v>-26.1</v>
      </c>
      <c r="H163" s="229">
        <v>-1.4500000000000001E-2</v>
      </c>
      <c r="I163" s="231">
        <v>1767.9</v>
      </c>
      <c r="J163" s="231">
        <v>1792.2</v>
      </c>
      <c r="K163" s="228">
        <v>-24.3</v>
      </c>
      <c r="L163" s="229">
        <v>-1.3599999999999999E-2</v>
      </c>
      <c r="M163" s="231">
        <v>1772.5</v>
      </c>
      <c r="N163" s="231">
        <v>1798.6</v>
      </c>
      <c r="O163" s="228">
        <v>-26.1</v>
      </c>
      <c r="P163" s="229">
        <v>-1.4500000000000001E-2</v>
      </c>
      <c r="Q163" s="231">
        <v>1778.6</v>
      </c>
      <c r="R163" s="231">
        <v>1807.9</v>
      </c>
      <c r="S163" s="228">
        <v>-29.3</v>
      </c>
      <c r="T163" s="229">
        <v>-1.6199999999999999E-2</v>
      </c>
      <c r="U163" s="231">
        <v>1801.7</v>
      </c>
      <c r="V163" s="231">
        <v>1801.7</v>
      </c>
      <c r="W163" s="228">
        <v>0</v>
      </c>
      <c r="X163" s="229">
        <v>0</v>
      </c>
      <c r="Y163" s="228">
        <v>4.5999999999999996</v>
      </c>
      <c r="Z163" s="228">
        <v>6.4</v>
      </c>
      <c r="AA163" s="228">
        <v>-1.8</v>
      </c>
      <c r="AB163" s="229">
        <v>2.5999999999999999E-3</v>
      </c>
      <c r="AC163" s="228">
        <v>4.5999999999999996</v>
      </c>
      <c r="AD163" s="228">
        <v>6.4</v>
      </c>
      <c r="AE163" s="228">
        <v>-1.8</v>
      </c>
      <c r="AF163" s="229">
        <v>2.5999999999999999E-3</v>
      </c>
      <c r="AG163" s="228">
        <v>10.7</v>
      </c>
      <c r="AH163" s="228">
        <v>15.7</v>
      </c>
      <c r="AI163" s="228">
        <v>-5</v>
      </c>
      <c r="AJ163" s="229">
        <v>6.1000000000000004E-3</v>
      </c>
      <c r="AK163" s="228">
        <v>33.799999999999997</v>
      </c>
      <c r="AL163" s="228">
        <v>9.5</v>
      </c>
      <c r="AM163" s="228">
        <v>24.3</v>
      </c>
      <c r="AN163" s="229">
        <v>1.9099999999999999E-2</v>
      </c>
      <c r="AO163" s="231">
        <v>1777.69</v>
      </c>
      <c r="AP163" s="231">
        <v>1786.6</v>
      </c>
      <c r="AQ163" s="228">
        <v>0</v>
      </c>
      <c r="AR163" s="230">
        <v>609350</v>
      </c>
      <c r="AS163" s="230">
        <v>226450</v>
      </c>
      <c r="AT163" s="230">
        <v>382900</v>
      </c>
      <c r="AU163" s="229">
        <v>1.6909000000000001</v>
      </c>
      <c r="AV163" s="230">
        <v>567700</v>
      </c>
      <c r="AW163" s="230">
        <v>217000</v>
      </c>
      <c r="AX163" s="230">
        <v>350700</v>
      </c>
      <c r="AY163" s="229">
        <v>1.6161000000000001</v>
      </c>
      <c r="AZ163" s="230">
        <v>41650</v>
      </c>
      <c r="BA163" s="230">
        <v>9450</v>
      </c>
      <c r="BB163" s="230">
        <v>32200</v>
      </c>
      <c r="BC163" s="229">
        <v>3.4074</v>
      </c>
      <c r="BD163" s="228">
        <v>0</v>
      </c>
      <c r="BE163" s="228">
        <v>0</v>
      </c>
      <c r="BF163" s="228">
        <v>0</v>
      </c>
      <c r="BG163" s="229">
        <v>0</v>
      </c>
      <c r="BH163" s="230">
        <v>274400</v>
      </c>
      <c r="BI163" s="230">
        <v>431200</v>
      </c>
      <c r="BJ163" s="230">
        <v>-156800</v>
      </c>
      <c r="BK163" s="229">
        <v>-0.36359999999999998</v>
      </c>
      <c r="BL163" s="230">
        <v>259700</v>
      </c>
      <c r="BM163" s="230">
        <v>311500</v>
      </c>
      <c r="BN163" s="230">
        <v>-51800</v>
      </c>
      <c r="BO163" s="229">
        <v>-0.1663</v>
      </c>
      <c r="BP163" s="230">
        <v>1143450</v>
      </c>
      <c r="BQ163" s="230">
        <v>969150</v>
      </c>
      <c r="BR163" s="230">
        <v>174300</v>
      </c>
      <c r="BS163" s="229">
        <v>0.17979999999999999</v>
      </c>
      <c r="BT163" s="230">
        <v>627892</v>
      </c>
      <c r="BU163" s="230">
        <v>416379</v>
      </c>
      <c r="BV163" s="230">
        <v>211513</v>
      </c>
      <c r="BW163" s="229">
        <v>0.50800000000000001</v>
      </c>
      <c r="BX163" s="230">
        <v>3846850</v>
      </c>
      <c r="BY163" s="230">
        <v>3786300</v>
      </c>
      <c r="BZ163" s="230">
        <v>60550</v>
      </c>
      <c r="CA163" s="229">
        <v>1.6E-2</v>
      </c>
      <c r="CB163" s="230">
        <v>3451000</v>
      </c>
      <c r="CC163" s="230">
        <v>3411450</v>
      </c>
      <c r="CD163" s="230">
        <v>39550</v>
      </c>
      <c r="CE163" s="229">
        <v>1.1599999999999999E-2</v>
      </c>
      <c r="CF163" s="230">
        <v>43050</v>
      </c>
      <c r="CG163" s="230">
        <v>22050</v>
      </c>
      <c r="CH163" s="230">
        <v>21000</v>
      </c>
      <c r="CI163" s="229">
        <v>0.95240000000000002</v>
      </c>
      <c r="CJ163" s="230">
        <v>352800</v>
      </c>
      <c r="CK163" s="230">
        <v>352800</v>
      </c>
      <c r="CL163" s="228">
        <v>0</v>
      </c>
      <c r="CM163" s="229">
        <v>0</v>
      </c>
      <c r="CN163" s="230">
        <v>770700</v>
      </c>
      <c r="CO163" s="230">
        <v>737450</v>
      </c>
      <c r="CP163" s="230">
        <v>33250</v>
      </c>
      <c r="CQ163" s="229">
        <v>4.5100000000000001E-2</v>
      </c>
      <c r="CR163" s="230">
        <v>617050</v>
      </c>
      <c r="CS163" s="230">
        <v>630700</v>
      </c>
      <c r="CT163" s="230">
        <v>-13650</v>
      </c>
      <c r="CU163" s="229">
        <v>-2.1600000000000001E-2</v>
      </c>
      <c r="CV163" s="230">
        <v>5234600</v>
      </c>
      <c r="CW163" s="230">
        <v>5154450</v>
      </c>
      <c r="CX163" s="230">
        <v>80150</v>
      </c>
      <c r="CY163" s="229">
        <v>1.55E-2</v>
      </c>
      <c r="CZ163" s="228">
        <v>37.26</v>
      </c>
      <c r="DA163" s="228">
        <v>34.42</v>
      </c>
      <c r="DB163" s="228">
        <v>2.84</v>
      </c>
      <c r="DC163" s="228">
        <v>2.84</v>
      </c>
      <c r="DD163" s="228">
        <v>39.97</v>
      </c>
      <c r="DE163" s="228">
        <v>40.020000000000003</v>
      </c>
      <c r="DF163" s="228">
        <v>-2.71</v>
      </c>
      <c r="DG163" s="228">
        <v>-0.05</v>
      </c>
      <c r="DH163" s="228">
        <v>32.909999999999997</v>
      </c>
      <c r="DI163" s="228">
        <v>29.09</v>
      </c>
      <c r="DJ163" s="228">
        <v>3.82</v>
      </c>
      <c r="DK163" s="228">
        <v>3.82</v>
      </c>
      <c r="DL163" s="228">
        <v>41.86</v>
      </c>
      <c r="DM163" s="228">
        <v>41.79</v>
      </c>
      <c r="DN163" s="228">
        <v>7.0000000000000007E-2</v>
      </c>
      <c r="DO163" s="228">
        <v>7.0000000000000007E-2</v>
      </c>
      <c r="DP163" s="228">
        <v>0.8</v>
      </c>
      <c r="DQ163" s="228">
        <v>0.86</v>
      </c>
      <c r="DR163" s="228">
        <v>-0.06</v>
      </c>
      <c r="DS163" s="229">
        <v>-6.9800000000000001E-2</v>
      </c>
      <c r="DT163" s="231">
        <v>1900</v>
      </c>
      <c r="DU163" s="231">
        <v>1500</v>
      </c>
      <c r="DV163" s="228">
        <v>0.95</v>
      </c>
      <c r="DW163" s="228">
        <v>0.72</v>
      </c>
      <c r="DX163" s="228">
        <v>0.23</v>
      </c>
      <c r="DY163" s="229">
        <v>0.31940000000000002</v>
      </c>
      <c r="DZ163" s="229">
        <v>0.10290000000000001</v>
      </c>
      <c r="EA163" s="230">
        <v>374850</v>
      </c>
      <c r="EB163" s="229">
        <v>3.3999999999999998E-3</v>
      </c>
      <c r="EC163" s="229">
        <v>0.10290000000000001</v>
      </c>
      <c r="ED163" s="228">
        <v>8.91</v>
      </c>
      <c r="EE163" s="229">
        <v>5.0000000000000001E-3</v>
      </c>
      <c r="EF163" s="230">
        <v>373975</v>
      </c>
      <c r="EG163" s="230">
        <v>275877</v>
      </c>
      <c r="EH163" s="229">
        <v>0.35560000000000003</v>
      </c>
      <c r="EI163" s="229">
        <v>0.59560000000000002</v>
      </c>
      <c r="EJ163" s="231">
        <v>5084.6400000000003</v>
      </c>
      <c r="EK163" s="231">
        <v>4260.4399999999996</v>
      </c>
      <c r="EL163" s="231">
        <v>10836.04</v>
      </c>
      <c r="EM163" s="231">
        <v>1295</v>
      </c>
      <c r="EN163" s="231">
        <v>20181.12</v>
      </c>
      <c r="EO163" s="231">
        <v>17134.07</v>
      </c>
      <c r="EP163" s="231">
        <v>3047.05</v>
      </c>
      <c r="EQ163" s="229">
        <v>0.17780000000000001</v>
      </c>
      <c r="ER163" s="231">
        <v>13513</v>
      </c>
      <c r="ES163" s="231">
        <v>9684</v>
      </c>
      <c r="ET163" s="231">
        <v>68291</v>
      </c>
      <c r="EU163" s="231">
        <v>21502901</v>
      </c>
      <c r="EV163" s="231">
        <v>91488</v>
      </c>
      <c r="EW163" s="231">
        <v>90900</v>
      </c>
      <c r="EX163" s="228">
        <v>588</v>
      </c>
      <c r="EY163" s="229">
        <v>6.4999999999999997E-3</v>
      </c>
      <c r="EZ163" s="229">
        <v>0.24340000000000001</v>
      </c>
      <c r="FA163" s="227" t="s">
        <v>566</v>
      </c>
      <c r="FB163" s="161">
        <f t="shared" si="4"/>
        <v>0</v>
      </c>
    </row>
    <row r="164" spans="1:158" ht="17.25" thickBot="1" x14ac:dyDescent="0.3">
      <c r="A164" s="226">
        <v>46132</v>
      </c>
      <c r="B164" s="227" t="s">
        <v>168</v>
      </c>
      <c r="C164" s="227" t="s">
        <v>274</v>
      </c>
      <c r="D164" s="228">
        <v>500</v>
      </c>
      <c r="E164" s="231">
        <v>1393.3</v>
      </c>
      <c r="F164" s="231">
        <v>1396.9</v>
      </c>
      <c r="G164" s="228">
        <v>-3.6</v>
      </c>
      <c r="H164" s="229">
        <v>-2.5999999999999999E-3</v>
      </c>
      <c r="I164" s="231">
        <v>1390.5</v>
      </c>
      <c r="J164" s="231">
        <v>1393.4</v>
      </c>
      <c r="K164" s="228">
        <v>-2.9</v>
      </c>
      <c r="L164" s="229">
        <v>-2.0999999999999999E-3</v>
      </c>
      <c r="M164" s="231">
        <v>1393.3</v>
      </c>
      <c r="N164" s="231">
        <v>1396.9</v>
      </c>
      <c r="O164" s="228">
        <v>-3.6</v>
      </c>
      <c r="P164" s="229">
        <v>-2.5999999999999999E-3</v>
      </c>
      <c r="Q164" s="231">
        <v>1397.4</v>
      </c>
      <c r="R164" s="231">
        <v>1402.3</v>
      </c>
      <c r="S164" s="228">
        <v>-4.9000000000000004</v>
      </c>
      <c r="T164" s="229">
        <v>-3.5000000000000001E-3</v>
      </c>
      <c r="U164" s="231">
        <v>1406.6</v>
      </c>
      <c r="V164" s="231">
        <v>1406.8</v>
      </c>
      <c r="W164" s="228">
        <v>-0.2</v>
      </c>
      <c r="X164" s="229">
        <v>-1E-4</v>
      </c>
      <c r="Y164" s="228">
        <v>2.8</v>
      </c>
      <c r="Z164" s="228">
        <v>3.5</v>
      </c>
      <c r="AA164" s="228">
        <v>-0.7</v>
      </c>
      <c r="AB164" s="229">
        <v>2E-3</v>
      </c>
      <c r="AC164" s="228">
        <v>2.8</v>
      </c>
      <c r="AD164" s="228">
        <v>3.5</v>
      </c>
      <c r="AE164" s="228">
        <v>-0.7</v>
      </c>
      <c r="AF164" s="229">
        <v>2E-3</v>
      </c>
      <c r="AG164" s="228">
        <v>6.9</v>
      </c>
      <c r="AH164" s="228">
        <v>8.9</v>
      </c>
      <c r="AI164" s="228">
        <v>-2</v>
      </c>
      <c r="AJ164" s="229">
        <v>5.0000000000000001E-3</v>
      </c>
      <c r="AK164" s="228">
        <v>16.100000000000001</v>
      </c>
      <c r="AL164" s="228">
        <v>13.4</v>
      </c>
      <c r="AM164" s="228">
        <v>2.7</v>
      </c>
      <c r="AN164" s="229">
        <v>1.1599999999999999E-2</v>
      </c>
      <c r="AO164" s="231">
        <v>1392.29</v>
      </c>
      <c r="AP164" s="231">
        <v>1397.29</v>
      </c>
      <c r="AQ164" s="228">
        <v>0</v>
      </c>
      <c r="AR164" s="230">
        <v>1133500</v>
      </c>
      <c r="AS164" s="230">
        <v>2698000</v>
      </c>
      <c r="AT164" s="230">
        <v>-1564500</v>
      </c>
      <c r="AU164" s="229">
        <v>-0.57989999999999997</v>
      </c>
      <c r="AV164" s="230">
        <v>1041000</v>
      </c>
      <c r="AW164" s="230">
        <v>2433000</v>
      </c>
      <c r="AX164" s="230">
        <v>-1392000</v>
      </c>
      <c r="AY164" s="229">
        <v>-0.57210000000000005</v>
      </c>
      <c r="AZ164" s="230">
        <v>83500</v>
      </c>
      <c r="BA164" s="230">
        <v>235500</v>
      </c>
      <c r="BB164" s="230">
        <v>-152000</v>
      </c>
      <c r="BC164" s="229">
        <v>-0.64539999999999997</v>
      </c>
      <c r="BD164" s="230">
        <v>9000</v>
      </c>
      <c r="BE164" s="230">
        <v>29500</v>
      </c>
      <c r="BF164" s="230">
        <v>-20500</v>
      </c>
      <c r="BG164" s="229">
        <v>-0.69489999999999996</v>
      </c>
      <c r="BH164" s="230">
        <v>1469500</v>
      </c>
      <c r="BI164" s="230">
        <v>8469500</v>
      </c>
      <c r="BJ164" s="230">
        <v>-7000000</v>
      </c>
      <c r="BK164" s="229">
        <v>-0.82650000000000001</v>
      </c>
      <c r="BL164" s="230">
        <v>894500</v>
      </c>
      <c r="BM164" s="230">
        <v>2792500</v>
      </c>
      <c r="BN164" s="230">
        <v>-1898000</v>
      </c>
      <c r="BO164" s="229">
        <v>-0.67969999999999997</v>
      </c>
      <c r="BP164" s="230">
        <v>3497500</v>
      </c>
      <c r="BQ164" s="230">
        <v>13960000</v>
      </c>
      <c r="BR164" s="230">
        <v>-10462500</v>
      </c>
      <c r="BS164" s="229">
        <v>-0.74950000000000006</v>
      </c>
      <c r="BT164" s="230">
        <v>919143</v>
      </c>
      <c r="BU164" s="230">
        <v>2394391</v>
      </c>
      <c r="BV164" s="230">
        <v>-1475248</v>
      </c>
      <c r="BW164" s="229">
        <v>-0.61609999999999998</v>
      </c>
      <c r="BX164" s="230">
        <v>8634500</v>
      </c>
      <c r="BY164" s="230">
        <v>8691000</v>
      </c>
      <c r="BZ164" s="230">
        <v>-56500</v>
      </c>
      <c r="CA164" s="229">
        <v>-6.4999999999999997E-3</v>
      </c>
      <c r="CB164" s="230">
        <v>8339500</v>
      </c>
      <c r="CC164" s="230">
        <v>8419500</v>
      </c>
      <c r="CD164" s="230">
        <v>-80000</v>
      </c>
      <c r="CE164" s="229">
        <v>-9.4999999999999998E-3</v>
      </c>
      <c r="CF164" s="230">
        <v>268000</v>
      </c>
      <c r="CG164" s="230">
        <v>248500</v>
      </c>
      <c r="CH164" s="230">
        <v>19500</v>
      </c>
      <c r="CI164" s="229">
        <v>7.85E-2</v>
      </c>
      <c r="CJ164" s="230">
        <v>27000</v>
      </c>
      <c r="CK164" s="230">
        <v>23000</v>
      </c>
      <c r="CL164" s="230">
        <v>4000</v>
      </c>
      <c r="CM164" s="229">
        <v>0.1739</v>
      </c>
      <c r="CN164" s="230">
        <v>1650500</v>
      </c>
      <c r="CO164" s="230">
        <v>1761000</v>
      </c>
      <c r="CP164" s="230">
        <v>-110500</v>
      </c>
      <c r="CQ164" s="229">
        <v>-6.2700000000000006E-2</v>
      </c>
      <c r="CR164" s="230">
        <v>1093500</v>
      </c>
      <c r="CS164" s="230">
        <v>1154000</v>
      </c>
      <c r="CT164" s="230">
        <v>-60500</v>
      </c>
      <c r="CU164" s="229">
        <v>-5.2400000000000002E-2</v>
      </c>
      <c r="CV164" s="230">
        <v>11378500</v>
      </c>
      <c r="CW164" s="230">
        <v>11606000</v>
      </c>
      <c r="CX164" s="230">
        <v>-227500</v>
      </c>
      <c r="CY164" s="229">
        <v>-1.9599999999999999E-2</v>
      </c>
      <c r="CZ164" s="228">
        <v>31.38</v>
      </c>
      <c r="DA164" s="228">
        <v>29.17</v>
      </c>
      <c r="DB164" s="228">
        <v>2.21</v>
      </c>
      <c r="DC164" s="228">
        <v>2.21</v>
      </c>
      <c r="DD164" s="228">
        <v>26.16</v>
      </c>
      <c r="DE164" s="228">
        <v>26.22</v>
      </c>
      <c r="DF164" s="228">
        <v>5.22</v>
      </c>
      <c r="DG164" s="228">
        <v>-0.06</v>
      </c>
      <c r="DH164" s="228">
        <v>30.28</v>
      </c>
      <c r="DI164" s="228">
        <v>28.45</v>
      </c>
      <c r="DJ164" s="228">
        <v>1.83</v>
      </c>
      <c r="DK164" s="228">
        <v>1.83</v>
      </c>
      <c r="DL164" s="228">
        <v>33.18</v>
      </c>
      <c r="DM164" s="228">
        <v>31.35</v>
      </c>
      <c r="DN164" s="228">
        <v>1.83</v>
      </c>
      <c r="DO164" s="228">
        <v>1.83</v>
      </c>
      <c r="DP164" s="228">
        <v>0.66</v>
      </c>
      <c r="DQ164" s="228">
        <v>0.66</v>
      </c>
      <c r="DR164" s="228">
        <v>0</v>
      </c>
      <c r="DS164" s="229">
        <v>0</v>
      </c>
      <c r="DT164" s="231">
        <v>1400</v>
      </c>
      <c r="DU164" s="231">
        <v>1300</v>
      </c>
      <c r="DV164" s="228">
        <v>0.61</v>
      </c>
      <c r="DW164" s="228">
        <v>0.33</v>
      </c>
      <c r="DX164" s="228">
        <v>0.28000000000000003</v>
      </c>
      <c r="DY164" s="229">
        <v>0.84850000000000003</v>
      </c>
      <c r="DZ164" s="229">
        <v>3.4200000000000001E-2</v>
      </c>
      <c r="EA164" s="230">
        <v>271500</v>
      </c>
      <c r="EB164" s="229">
        <v>2.8999999999999998E-3</v>
      </c>
      <c r="EC164" s="229">
        <v>3.4200000000000001E-2</v>
      </c>
      <c r="ED164" s="228">
        <v>5</v>
      </c>
      <c r="EE164" s="229">
        <v>3.5999999999999999E-3</v>
      </c>
      <c r="EF164" s="230">
        <v>596974</v>
      </c>
      <c r="EG164" s="230">
        <v>1421726</v>
      </c>
      <c r="EH164" s="229">
        <v>-0.58009999999999995</v>
      </c>
      <c r="EI164" s="229">
        <v>0.64949999999999997</v>
      </c>
      <c r="EJ164" s="231">
        <v>21206.98</v>
      </c>
      <c r="EK164" s="231">
        <v>12244.64</v>
      </c>
      <c r="EL164" s="231">
        <v>15786.86</v>
      </c>
      <c r="EM164" s="231">
        <v>4354</v>
      </c>
      <c r="EN164" s="231">
        <v>49238.48</v>
      </c>
      <c r="EO164" s="231">
        <v>195650.91</v>
      </c>
      <c r="EP164" s="231">
        <v>-146412.43</v>
      </c>
      <c r="EQ164" s="229">
        <v>-0.74829999999999997</v>
      </c>
      <c r="ER164" s="231">
        <v>23251</v>
      </c>
      <c r="ES164" s="231">
        <v>14362</v>
      </c>
      <c r="ET164" s="231">
        <v>120319</v>
      </c>
      <c r="EU164" s="231">
        <v>31214205</v>
      </c>
      <c r="EV164" s="231">
        <v>157932</v>
      </c>
      <c r="EW164" s="231">
        <v>161363</v>
      </c>
      <c r="EX164" s="231">
        <v>-3431</v>
      </c>
      <c r="EY164" s="229">
        <v>-2.1299999999999999E-2</v>
      </c>
      <c r="EZ164" s="229">
        <v>0.36449999999999999</v>
      </c>
      <c r="FA164" s="227" t="s">
        <v>567</v>
      </c>
      <c r="FB164" s="161">
        <f t="shared" si="4"/>
        <v>0</v>
      </c>
    </row>
    <row r="165" spans="1:158" ht="17.25" thickBot="1" x14ac:dyDescent="0.3">
      <c r="A165" s="226">
        <v>46132</v>
      </c>
      <c r="B165" s="227" t="s">
        <v>498</v>
      </c>
      <c r="C165" s="227" t="s">
        <v>483</v>
      </c>
      <c r="D165" s="228">
        <v>175</v>
      </c>
      <c r="E165" s="231">
        <v>3020.8</v>
      </c>
      <c r="F165" s="231">
        <v>3116.8</v>
      </c>
      <c r="G165" s="228">
        <v>-96</v>
      </c>
      <c r="H165" s="229">
        <v>-3.0800000000000001E-2</v>
      </c>
      <c r="I165" s="231">
        <v>3037</v>
      </c>
      <c r="J165" s="231">
        <v>3139.7</v>
      </c>
      <c r="K165" s="228">
        <v>-102.7</v>
      </c>
      <c r="L165" s="229">
        <v>-3.27E-2</v>
      </c>
      <c r="M165" s="231">
        <v>3020.8</v>
      </c>
      <c r="N165" s="231">
        <v>3116.8</v>
      </c>
      <c r="O165" s="228">
        <v>-96</v>
      </c>
      <c r="P165" s="229">
        <v>-3.0800000000000001E-2</v>
      </c>
      <c r="Q165" s="231">
        <v>2993.1</v>
      </c>
      <c r="R165" s="231">
        <v>3084.2</v>
      </c>
      <c r="S165" s="228">
        <v>-91.1</v>
      </c>
      <c r="T165" s="229">
        <v>-2.9499999999999998E-2</v>
      </c>
      <c r="U165" s="231">
        <v>2989</v>
      </c>
      <c r="V165" s="231">
        <v>3080.7</v>
      </c>
      <c r="W165" s="228">
        <v>-91.7</v>
      </c>
      <c r="X165" s="229">
        <v>-2.98E-2</v>
      </c>
      <c r="Y165" s="228">
        <v>-16.2</v>
      </c>
      <c r="Z165" s="228">
        <v>-22.9</v>
      </c>
      <c r="AA165" s="228">
        <v>6.7</v>
      </c>
      <c r="AB165" s="229">
        <v>-5.3E-3</v>
      </c>
      <c r="AC165" s="228">
        <v>-16.2</v>
      </c>
      <c r="AD165" s="228">
        <v>-22.9</v>
      </c>
      <c r="AE165" s="228">
        <v>6.7</v>
      </c>
      <c r="AF165" s="229">
        <v>-5.3E-3</v>
      </c>
      <c r="AG165" s="228">
        <v>-43.9</v>
      </c>
      <c r="AH165" s="228">
        <v>-55.5</v>
      </c>
      <c r="AI165" s="228">
        <v>11.6</v>
      </c>
      <c r="AJ165" s="229">
        <v>-1.4500000000000001E-2</v>
      </c>
      <c r="AK165" s="228">
        <v>-48</v>
      </c>
      <c r="AL165" s="228">
        <v>-59</v>
      </c>
      <c r="AM165" s="228">
        <v>11</v>
      </c>
      <c r="AN165" s="229">
        <v>-1.5800000000000002E-2</v>
      </c>
      <c r="AO165" s="231">
        <v>3063.04</v>
      </c>
      <c r="AP165" s="231">
        <v>3039.1</v>
      </c>
      <c r="AQ165" s="228">
        <v>0</v>
      </c>
      <c r="AR165" s="230">
        <v>543025</v>
      </c>
      <c r="AS165" s="230">
        <v>670600</v>
      </c>
      <c r="AT165" s="230">
        <v>-127575</v>
      </c>
      <c r="AU165" s="229">
        <v>-0.19020000000000001</v>
      </c>
      <c r="AV165" s="230">
        <v>389725</v>
      </c>
      <c r="AW165" s="230">
        <v>532350</v>
      </c>
      <c r="AX165" s="230">
        <v>-142625</v>
      </c>
      <c r="AY165" s="229">
        <v>-0.26790000000000003</v>
      </c>
      <c r="AZ165" s="230">
        <v>142975</v>
      </c>
      <c r="BA165" s="230">
        <v>131950</v>
      </c>
      <c r="BB165" s="230">
        <v>11025</v>
      </c>
      <c r="BC165" s="229">
        <v>8.3599999999999994E-2</v>
      </c>
      <c r="BD165" s="230">
        <v>10325</v>
      </c>
      <c r="BE165" s="230">
        <v>6300</v>
      </c>
      <c r="BF165" s="230">
        <v>4025</v>
      </c>
      <c r="BG165" s="229">
        <v>0.63890000000000002</v>
      </c>
      <c r="BH165" s="230">
        <v>612150</v>
      </c>
      <c r="BI165" s="230">
        <v>927675</v>
      </c>
      <c r="BJ165" s="230">
        <v>-315525</v>
      </c>
      <c r="BK165" s="229">
        <v>-0.34010000000000001</v>
      </c>
      <c r="BL165" s="230">
        <v>501375</v>
      </c>
      <c r="BM165" s="230">
        <v>533225</v>
      </c>
      <c r="BN165" s="230">
        <v>-31850</v>
      </c>
      <c r="BO165" s="229">
        <v>-5.9700000000000003E-2</v>
      </c>
      <c r="BP165" s="230">
        <v>1656550</v>
      </c>
      <c r="BQ165" s="230">
        <v>2131500</v>
      </c>
      <c r="BR165" s="230">
        <v>-474950</v>
      </c>
      <c r="BS165" s="229">
        <v>-0.2228</v>
      </c>
      <c r="BT165" s="230">
        <v>252905</v>
      </c>
      <c r="BU165" s="230">
        <v>477114</v>
      </c>
      <c r="BV165" s="230">
        <v>-224209</v>
      </c>
      <c r="BW165" s="229">
        <v>-0.46989999999999998</v>
      </c>
      <c r="BX165" s="230">
        <v>2776550</v>
      </c>
      <c r="BY165" s="230">
        <v>2673125</v>
      </c>
      <c r="BZ165" s="230">
        <v>103425</v>
      </c>
      <c r="CA165" s="229">
        <v>3.8699999999999998E-2</v>
      </c>
      <c r="CB165" s="230">
        <v>2545025</v>
      </c>
      <c r="CC165" s="230">
        <v>2497250</v>
      </c>
      <c r="CD165" s="230">
        <v>47775</v>
      </c>
      <c r="CE165" s="229">
        <v>1.9099999999999999E-2</v>
      </c>
      <c r="CF165" s="230">
        <v>212100</v>
      </c>
      <c r="CG165" s="230">
        <v>165025</v>
      </c>
      <c r="CH165" s="230">
        <v>47075</v>
      </c>
      <c r="CI165" s="229">
        <v>0.2853</v>
      </c>
      <c r="CJ165" s="230">
        <v>19425</v>
      </c>
      <c r="CK165" s="230">
        <v>10850</v>
      </c>
      <c r="CL165" s="230">
        <v>8575</v>
      </c>
      <c r="CM165" s="229">
        <v>0.7903</v>
      </c>
      <c r="CN165" s="230">
        <v>743050</v>
      </c>
      <c r="CO165" s="230">
        <v>668500</v>
      </c>
      <c r="CP165" s="230">
        <v>74550</v>
      </c>
      <c r="CQ165" s="229">
        <v>0.1115</v>
      </c>
      <c r="CR165" s="230">
        <v>630525</v>
      </c>
      <c r="CS165" s="230">
        <v>673575</v>
      </c>
      <c r="CT165" s="230">
        <v>-43050</v>
      </c>
      <c r="CU165" s="229">
        <v>-6.3899999999999998E-2</v>
      </c>
      <c r="CV165" s="230">
        <v>4150125</v>
      </c>
      <c r="CW165" s="230">
        <v>4015200</v>
      </c>
      <c r="CX165" s="230">
        <v>134925</v>
      </c>
      <c r="CY165" s="229">
        <v>3.3599999999999998E-2</v>
      </c>
      <c r="CZ165" s="228">
        <v>35.229999999999997</v>
      </c>
      <c r="DA165" s="228">
        <v>30.37</v>
      </c>
      <c r="DB165" s="228">
        <v>4.8600000000000003</v>
      </c>
      <c r="DC165" s="228">
        <v>4.8600000000000003</v>
      </c>
      <c r="DD165" s="228">
        <v>31.82</v>
      </c>
      <c r="DE165" s="228">
        <v>31.58</v>
      </c>
      <c r="DF165" s="228">
        <v>3.41</v>
      </c>
      <c r="DG165" s="228">
        <v>0.24</v>
      </c>
      <c r="DH165" s="228">
        <v>34.25</v>
      </c>
      <c r="DI165" s="228">
        <v>28.73</v>
      </c>
      <c r="DJ165" s="228">
        <v>5.52</v>
      </c>
      <c r="DK165" s="228">
        <v>5.52</v>
      </c>
      <c r="DL165" s="228">
        <v>36.43</v>
      </c>
      <c r="DM165" s="228">
        <v>33.22</v>
      </c>
      <c r="DN165" s="228">
        <v>3.21</v>
      </c>
      <c r="DO165" s="228">
        <v>3.21</v>
      </c>
      <c r="DP165" s="228">
        <v>0.85</v>
      </c>
      <c r="DQ165" s="228">
        <v>1.01</v>
      </c>
      <c r="DR165" s="228">
        <v>-0.16</v>
      </c>
      <c r="DS165" s="229">
        <v>-0.15840000000000001</v>
      </c>
      <c r="DT165" s="231">
        <v>3300</v>
      </c>
      <c r="DU165" s="231">
        <v>2700</v>
      </c>
      <c r="DV165" s="228">
        <v>0.82</v>
      </c>
      <c r="DW165" s="228">
        <v>0.56999999999999995</v>
      </c>
      <c r="DX165" s="228">
        <v>0.25</v>
      </c>
      <c r="DY165" s="229">
        <v>0.43859999999999999</v>
      </c>
      <c r="DZ165" s="229">
        <v>8.3400000000000002E-2</v>
      </c>
      <c r="EA165" s="230">
        <v>175875</v>
      </c>
      <c r="EB165" s="229">
        <v>-9.1999999999999998E-3</v>
      </c>
      <c r="EC165" s="229">
        <v>8.3400000000000002E-2</v>
      </c>
      <c r="ED165" s="228">
        <v>-23.94</v>
      </c>
      <c r="EE165" s="229">
        <v>-7.7999999999999996E-3</v>
      </c>
      <c r="EF165" s="230">
        <v>112284</v>
      </c>
      <c r="EG165" s="230">
        <v>232345</v>
      </c>
      <c r="EH165" s="229">
        <v>-0.51670000000000005</v>
      </c>
      <c r="EI165" s="229">
        <v>0.44400000000000001</v>
      </c>
      <c r="EJ165" s="231">
        <v>19593.189999999999</v>
      </c>
      <c r="EK165" s="231">
        <v>14899.81</v>
      </c>
      <c r="EL165" s="231">
        <v>16594.84</v>
      </c>
      <c r="EM165" s="231">
        <v>3040</v>
      </c>
      <c r="EN165" s="231">
        <v>51087.839999999997</v>
      </c>
      <c r="EO165" s="231">
        <v>66860.69</v>
      </c>
      <c r="EP165" s="231">
        <v>-15772.85</v>
      </c>
      <c r="EQ165" s="229">
        <v>-0.2359</v>
      </c>
      <c r="ER165" s="231">
        <v>23079</v>
      </c>
      <c r="ES165" s="231">
        <v>18057</v>
      </c>
      <c r="ET165" s="231">
        <v>83809</v>
      </c>
      <c r="EU165" s="231">
        <v>8178275</v>
      </c>
      <c r="EV165" s="231">
        <v>124945</v>
      </c>
      <c r="EW165" s="231">
        <v>123238</v>
      </c>
      <c r="EX165" s="231">
        <v>1707</v>
      </c>
      <c r="EY165" s="229">
        <v>1.3899999999999999E-2</v>
      </c>
      <c r="EZ165" s="229">
        <v>0.50749999999999995</v>
      </c>
      <c r="FA165" s="227" t="s">
        <v>566</v>
      </c>
      <c r="FB165" s="161">
        <f t="shared" si="4"/>
        <v>0</v>
      </c>
    </row>
    <row r="166" spans="1:158" ht="17.25" thickBot="1" x14ac:dyDescent="0.3">
      <c r="A166" s="226">
        <v>46132</v>
      </c>
      <c r="B166" s="227" t="s">
        <v>172</v>
      </c>
      <c r="C166" s="227" t="s">
        <v>275</v>
      </c>
      <c r="D166" s="228">
        <v>8000</v>
      </c>
      <c r="E166" s="228">
        <v>113.9</v>
      </c>
      <c r="F166" s="228">
        <v>114.73</v>
      </c>
      <c r="G166" s="228">
        <v>-0.83</v>
      </c>
      <c r="H166" s="229">
        <v>-7.1999999999999998E-3</v>
      </c>
      <c r="I166" s="228">
        <v>113.74</v>
      </c>
      <c r="J166" s="228">
        <v>114.48</v>
      </c>
      <c r="K166" s="228">
        <v>-0.74</v>
      </c>
      <c r="L166" s="229">
        <v>-6.4999999999999997E-3</v>
      </c>
      <c r="M166" s="228">
        <v>113.9</v>
      </c>
      <c r="N166" s="228">
        <v>114.73</v>
      </c>
      <c r="O166" s="228">
        <v>-0.83</v>
      </c>
      <c r="P166" s="229">
        <v>-7.1999999999999998E-3</v>
      </c>
      <c r="Q166" s="228">
        <v>114.48</v>
      </c>
      <c r="R166" s="228">
        <v>115.37</v>
      </c>
      <c r="S166" s="228">
        <v>-0.89</v>
      </c>
      <c r="T166" s="229">
        <v>-7.7000000000000002E-3</v>
      </c>
      <c r="U166" s="228">
        <v>115.21</v>
      </c>
      <c r="V166" s="228">
        <v>115.93</v>
      </c>
      <c r="W166" s="228">
        <v>-0.72</v>
      </c>
      <c r="X166" s="229">
        <v>-6.1999999999999998E-3</v>
      </c>
      <c r="Y166" s="228">
        <v>0.16</v>
      </c>
      <c r="Z166" s="228">
        <v>0.25</v>
      </c>
      <c r="AA166" s="228">
        <v>-0.09</v>
      </c>
      <c r="AB166" s="229">
        <v>1.4E-3</v>
      </c>
      <c r="AC166" s="228">
        <v>0.16</v>
      </c>
      <c r="AD166" s="228">
        <v>0.25</v>
      </c>
      <c r="AE166" s="228">
        <v>-0.09</v>
      </c>
      <c r="AF166" s="229">
        <v>1.4E-3</v>
      </c>
      <c r="AG166" s="228">
        <v>0.74</v>
      </c>
      <c r="AH166" s="228">
        <v>0.89</v>
      </c>
      <c r="AI166" s="228">
        <v>-0.15</v>
      </c>
      <c r="AJ166" s="229">
        <v>6.4999999999999997E-3</v>
      </c>
      <c r="AK166" s="228">
        <v>1.47</v>
      </c>
      <c r="AL166" s="228">
        <v>1.45</v>
      </c>
      <c r="AM166" s="228">
        <v>0.02</v>
      </c>
      <c r="AN166" s="229">
        <v>1.29E-2</v>
      </c>
      <c r="AO166" s="228">
        <v>114.59</v>
      </c>
      <c r="AP166" s="228">
        <v>115.12</v>
      </c>
      <c r="AQ166" s="228">
        <v>0</v>
      </c>
      <c r="AR166" s="230">
        <v>52296000</v>
      </c>
      <c r="AS166" s="230">
        <v>42152000</v>
      </c>
      <c r="AT166" s="230">
        <v>10144000</v>
      </c>
      <c r="AU166" s="229">
        <v>0.2407</v>
      </c>
      <c r="AV166" s="230">
        <v>40600000</v>
      </c>
      <c r="AW166" s="230">
        <v>33608000</v>
      </c>
      <c r="AX166" s="230">
        <v>6992000</v>
      </c>
      <c r="AY166" s="229">
        <v>0.20799999999999999</v>
      </c>
      <c r="AZ166" s="230">
        <v>10736000</v>
      </c>
      <c r="BA166" s="230">
        <v>7776000</v>
      </c>
      <c r="BB166" s="230">
        <v>2960000</v>
      </c>
      <c r="BC166" s="229">
        <v>0.38069999999999998</v>
      </c>
      <c r="BD166" s="230">
        <v>960000</v>
      </c>
      <c r="BE166" s="230">
        <v>768000</v>
      </c>
      <c r="BF166" s="230">
        <v>192000</v>
      </c>
      <c r="BG166" s="229">
        <v>0.25</v>
      </c>
      <c r="BH166" s="230">
        <v>90184000</v>
      </c>
      <c r="BI166" s="230">
        <v>82592000</v>
      </c>
      <c r="BJ166" s="230">
        <v>7592000</v>
      </c>
      <c r="BK166" s="229">
        <v>9.1899999999999996E-2</v>
      </c>
      <c r="BL166" s="230">
        <v>48728000</v>
      </c>
      <c r="BM166" s="230">
        <v>48848000</v>
      </c>
      <c r="BN166" s="230">
        <v>-120000</v>
      </c>
      <c r="BO166" s="229">
        <v>-2.5000000000000001E-3</v>
      </c>
      <c r="BP166" s="230">
        <v>191208000</v>
      </c>
      <c r="BQ166" s="230">
        <v>173592000</v>
      </c>
      <c r="BR166" s="230">
        <v>17616000</v>
      </c>
      <c r="BS166" s="229">
        <v>0.10150000000000001</v>
      </c>
      <c r="BT166" s="230">
        <v>17566851</v>
      </c>
      <c r="BU166" s="230">
        <v>15061346</v>
      </c>
      <c r="BV166" s="230">
        <v>2505505</v>
      </c>
      <c r="BW166" s="229">
        <v>0.16639999999999999</v>
      </c>
      <c r="BX166" s="230">
        <v>264080000</v>
      </c>
      <c r="BY166" s="230">
        <v>269480000</v>
      </c>
      <c r="BZ166" s="230">
        <v>-5400000</v>
      </c>
      <c r="CA166" s="229">
        <v>-0.02</v>
      </c>
      <c r="CB166" s="230">
        <v>221464000</v>
      </c>
      <c r="CC166" s="230">
        <v>232440000</v>
      </c>
      <c r="CD166" s="230">
        <v>-10976000</v>
      </c>
      <c r="CE166" s="229">
        <v>-4.7199999999999999E-2</v>
      </c>
      <c r="CF166" s="230">
        <v>31568000</v>
      </c>
      <c r="CG166" s="230">
        <v>26552000</v>
      </c>
      <c r="CH166" s="230">
        <v>5016000</v>
      </c>
      <c r="CI166" s="229">
        <v>0.18890000000000001</v>
      </c>
      <c r="CJ166" s="230">
        <v>11048000</v>
      </c>
      <c r="CK166" s="230">
        <v>10488000</v>
      </c>
      <c r="CL166" s="230">
        <v>560000</v>
      </c>
      <c r="CM166" s="229">
        <v>5.3400000000000003E-2</v>
      </c>
      <c r="CN166" s="230">
        <v>84496000</v>
      </c>
      <c r="CO166" s="230">
        <v>82656000</v>
      </c>
      <c r="CP166" s="230">
        <v>1840000</v>
      </c>
      <c r="CQ166" s="229">
        <v>2.23E-2</v>
      </c>
      <c r="CR166" s="230">
        <v>73400000</v>
      </c>
      <c r="CS166" s="230">
        <v>72608000</v>
      </c>
      <c r="CT166" s="230">
        <v>792000</v>
      </c>
      <c r="CU166" s="229">
        <v>1.09E-2</v>
      </c>
      <c r="CV166" s="230">
        <v>421976000</v>
      </c>
      <c r="CW166" s="230">
        <v>424744000</v>
      </c>
      <c r="CX166" s="230">
        <v>-2768000</v>
      </c>
      <c r="CY166" s="229">
        <v>-6.4999999999999997E-3</v>
      </c>
      <c r="CZ166" s="228">
        <v>36.590000000000003</v>
      </c>
      <c r="DA166" s="228">
        <v>33.46</v>
      </c>
      <c r="DB166" s="228">
        <v>3.13</v>
      </c>
      <c r="DC166" s="228">
        <v>3.13</v>
      </c>
      <c r="DD166" s="228">
        <v>37.89</v>
      </c>
      <c r="DE166" s="228">
        <v>37.97</v>
      </c>
      <c r="DF166" s="228">
        <v>-1.3</v>
      </c>
      <c r="DG166" s="228">
        <v>-0.08</v>
      </c>
      <c r="DH166" s="228">
        <v>35.270000000000003</v>
      </c>
      <c r="DI166" s="228">
        <v>32.090000000000003</v>
      </c>
      <c r="DJ166" s="228">
        <v>3.18</v>
      </c>
      <c r="DK166" s="228">
        <v>3.18</v>
      </c>
      <c r="DL166" s="228">
        <v>39.020000000000003</v>
      </c>
      <c r="DM166" s="228">
        <v>35.770000000000003</v>
      </c>
      <c r="DN166" s="228">
        <v>3.25</v>
      </c>
      <c r="DO166" s="228">
        <v>3.25</v>
      </c>
      <c r="DP166" s="228">
        <v>0.87</v>
      </c>
      <c r="DQ166" s="228">
        <v>0.88</v>
      </c>
      <c r="DR166" s="228">
        <v>-0.01</v>
      </c>
      <c r="DS166" s="229">
        <v>-1.14E-2</v>
      </c>
      <c r="DT166" s="228">
        <v>115</v>
      </c>
      <c r="DU166" s="228">
        <v>110</v>
      </c>
      <c r="DV166" s="228">
        <v>0.54</v>
      </c>
      <c r="DW166" s="228">
        <v>0.59</v>
      </c>
      <c r="DX166" s="228">
        <v>-0.05</v>
      </c>
      <c r="DY166" s="229">
        <v>-8.4699999999999998E-2</v>
      </c>
      <c r="DZ166" s="229">
        <v>0.16139999999999999</v>
      </c>
      <c r="EA166" s="230">
        <v>37040000</v>
      </c>
      <c r="EB166" s="229">
        <v>5.1000000000000004E-3</v>
      </c>
      <c r="EC166" s="229">
        <v>0.16139999999999999</v>
      </c>
      <c r="ED166" s="228">
        <v>0.53</v>
      </c>
      <c r="EE166" s="229">
        <v>4.5999999999999999E-3</v>
      </c>
      <c r="EF166" s="230">
        <v>7353175</v>
      </c>
      <c r="EG166" s="230">
        <v>6723442</v>
      </c>
      <c r="EH166" s="229">
        <v>9.3700000000000006E-2</v>
      </c>
      <c r="EI166" s="229">
        <v>0.41860000000000003</v>
      </c>
      <c r="EJ166" s="231">
        <v>107835.55</v>
      </c>
      <c r="EK166" s="231">
        <v>55085.09</v>
      </c>
      <c r="EL166" s="231">
        <v>59990.87</v>
      </c>
      <c r="EM166" s="231">
        <v>5666</v>
      </c>
      <c r="EN166" s="231">
        <v>222911.51</v>
      </c>
      <c r="EO166" s="231">
        <v>201712.5</v>
      </c>
      <c r="EP166" s="231">
        <v>21199.01</v>
      </c>
      <c r="EQ166" s="229">
        <v>0.1051</v>
      </c>
      <c r="ER166" s="231">
        <v>98386</v>
      </c>
      <c r="ES166" s="231">
        <v>79834</v>
      </c>
      <c r="ET166" s="231">
        <v>301115</v>
      </c>
      <c r="EU166" s="231">
        <v>515822637</v>
      </c>
      <c r="EV166" s="231">
        <v>479335</v>
      </c>
      <c r="EW166" s="231">
        <v>484649</v>
      </c>
      <c r="EX166" s="231">
        <v>-5314</v>
      </c>
      <c r="EY166" s="229">
        <v>-1.0999999999999999E-2</v>
      </c>
      <c r="EZ166" s="229">
        <v>0.81810000000000005</v>
      </c>
      <c r="FA166" s="227" t="s">
        <v>567</v>
      </c>
      <c r="FB166" s="161">
        <f t="shared" si="4"/>
        <v>0</v>
      </c>
    </row>
    <row r="167" spans="1:158" ht="17.25" thickBot="1" x14ac:dyDescent="0.3">
      <c r="A167" s="226">
        <v>46132</v>
      </c>
      <c r="B167" s="227" t="s">
        <v>175</v>
      </c>
      <c r="C167" s="227" t="s">
        <v>668</v>
      </c>
      <c r="D167" s="228">
        <v>650</v>
      </c>
      <c r="E167" s="228">
        <v>908.05</v>
      </c>
      <c r="F167" s="228">
        <v>924.4</v>
      </c>
      <c r="G167" s="228">
        <v>-16.350000000000001</v>
      </c>
      <c r="H167" s="229">
        <v>-1.77E-2</v>
      </c>
      <c r="I167" s="228">
        <v>906.75</v>
      </c>
      <c r="J167" s="228">
        <v>923.7</v>
      </c>
      <c r="K167" s="228">
        <v>-16.95</v>
      </c>
      <c r="L167" s="229">
        <v>-1.84E-2</v>
      </c>
      <c r="M167" s="228">
        <v>908.05</v>
      </c>
      <c r="N167" s="228">
        <v>924.4</v>
      </c>
      <c r="O167" s="228">
        <v>-16.350000000000001</v>
      </c>
      <c r="P167" s="229">
        <v>-1.77E-2</v>
      </c>
      <c r="Q167" s="228">
        <v>911.95</v>
      </c>
      <c r="R167" s="228">
        <v>928.45</v>
      </c>
      <c r="S167" s="228">
        <v>-16.5</v>
      </c>
      <c r="T167" s="229">
        <v>-1.78E-2</v>
      </c>
      <c r="U167" s="228">
        <v>917.95</v>
      </c>
      <c r="V167" s="228">
        <v>933</v>
      </c>
      <c r="W167" s="228">
        <v>-15.05</v>
      </c>
      <c r="X167" s="229">
        <v>-1.61E-2</v>
      </c>
      <c r="Y167" s="228">
        <v>1.3</v>
      </c>
      <c r="Z167" s="228">
        <v>0.7</v>
      </c>
      <c r="AA167" s="228">
        <v>0.6</v>
      </c>
      <c r="AB167" s="229">
        <v>1.4E-3</v>
      </c>
      <c r="AC167" s="228">
        <v>1.3</v>
      </c>
      <c r="AD167" s="228">
        <v>0.7</v>
      </c>
      <c r="AE167" s="228">
        <v>0.6</v>
      </c>
      <c r="AF167" s="229">
        <v>1.4E-3</v>
      </c>
      <c r="AG167" s="228">
        <v>5.2</v>
      </c>
      <c r="AH167" s="228">
        <v>4.75</v>
      </c>
      <c r="AI167" s="228">
        <v>0.45</v>
      </c>
      <c r="AJ167" s="229">
        <v>5.7000000000000002E-3</v>
      </c>
      <c r="AK167" s="228">
        <v>11.2</v>
      </c>
      <c r="AL167" s="228">
        <v>9.3000000000000007</v>
      </c>
      <c r="AM167" s="228">
        <v>1.9</v>
      </c>
      <c r="AN167" s="229">
        <v>1.24E-2</v>
      </c>
      <c r="AO167" s="228">
        <v>916.8</v>
      </c>
      <c r="AP167" s="228">
        <v>920.1</v>
      </c>
      <c r="AQ167" s="228">
        <v>0</v>
      </c>
      <c r="AR167" s="230">
        <v>3660150</v>
      </c>
      <c r="AS167" s="230">
        <v>4241900</v>
      </c>
      <c r="AT167" s="230">
        <v>-581750</v>
      </c>
      <c r="AU167" s="229">
        <v>-0.1371</v>
      </c>
      <c r="AV167" s="230">
        <v>3378700</v>
      </c>
      <c r="AW167" s="230">
        <v>3963700</v>
      </c>
      <c r="AX167" s="230">
        <v>-585000</v>
      </c>
      <c r="AY167" s="229">
        <v>-0.14760000000000001</v>
      </c>
      <c r="AZ167" s="230">
        <v>262600</v>
      </c>
      <c r="BA167" s="230">
        <v>271700</v>
      </c>
      <c r="BB167" s="230">
        <v>-9100</v>
      </c>
      <c r="BC167" s="229">
        <v>-3.3500000000000002E-2</v>
      </c>
      <c r="BD167" s="230">
        <v>18850</v>
      </c>
      <c r="BE167" s="230">
        <v>6500</v>
      </c>
      <c r="BF167" s="230">
        <v>12350</v>
      </c>
      <c r="BG167" s="229">
        <v>1.9</v>
      </c>
      <c r="BH167" s="230">
        <v>10899200</v>
      </c>
      <c r="BI167" s="230">
        <v>8981700</v>
      </c>
      <c r="BJ167" s="230">
        <v>1917500</v>
      </c>
      <c r="BK167" s="229">
        <v>0.2135</v>
      </c>
      <c r="BL167" s="230">
        <v>6509750</v>
      </c>
      <c r="BM167" s="230">
        <v>3048500</v>
      </c>
      <c r="BN167" s="230">
        <v>3461250</v>
      </c>
      <c r="BO167" s="229">
        <v>1.1354</v>
      </c>
      <c r="BP167" s="230">
        <v>21069100</v>
      </c>
      <c r="BQ167" s="230">
        <v>16272100</v>
      </c>
      <c r="BR167" s="230">
        <v>4797000</v>
      </c>
      <c r="BS167" s="229">
        <v>0.29480000000000001</v>
      </c>
      <c r="BT167" s="230">
        <v>1584678</v>
      </c>
      <c r="BU167" s="230">
        <v>2169893</v>
      </c>
      <c r="BV167" s="230">
        <v>-585215</v>
      </c>
      <c r="BW167" s="229">
        <v>-0.2697</v>
      </c>
      <c r="BX167" s="230">
        <v>14056250</v>
      </c>
      <c r="BY167" s="230">
        <v>13779350</v>
      </c>
      <c r="BZ167" s="230">
        <v>276900</v>
      </c>
      <c r="CA167" s="229">
        <v>2.01E-2</v>
      </c>
      <c r="CB167" s="230">
        <v>13594100</v>
      </c>
      <c r="CC167" s="230">
        <v>13418600</v>
      </c>
      <c r="CD167" s="230">
        <v>175500</v>
      </c>
      <c r="CE167" s="229">
        <v>1.3100000000000001E-2</v>
      </c>
      <c r="CF167" s="230">
        <v>433550</v>
      </c>
      <c r="CG167" s="230">
        <v>345150</v>
      </c>
      <c r="CH167" s="230">
        <v>88400</v>
      </c>
      <c r="CI167" s="229">
        <v>0.25609999999999999</v>
      </c>
      <c r="CJ167" s="230">
        <v>28600</v>
      </c>
      <c r="CK167" s="230">
        <v>15600</v>
      </c>
      <c r="CL167" s="230">
        <v>13000</v>
      </c>
      <c r="CM167" s="229">
        <v>0.83330000000000004</v>
      </c>
      <c r="CN167" s="230">
        <v>4781400</v>
      </c>
      <c r="CO167" s="230">
        <v>2565550</v>
      </c>
      <c r="CP167" s="230">
        <v>2215850</v>
      </c>
      <c r="CQ167" s="229">
        <v>0.86370000000000002</v>
      </c>
      <c r="CR167" s="230">
        <v>4161950</v>
      </c>
      <c r="CS167" s="230">
        <v>2561000</v>
      </c>
      <c r="CT167" s="230">
        <v>1600950</v>
      </c>
      <c r="CU167" s="229">
        <v>0.62509999999999999</v>
      </c>
      <c r="CV167" s="230">
        <v>22999600</v>
      </c>
      <c r="CW167" s="230">
        <v>18905900</v>
      </c>
      <c r="CX167" s="230">
        <v>4093700</v>
      </c>
      <c r="CY167" s="229">
        <v>0.2165</v>
      </c>
      <c r="CZ167" s="228">
        <v>53.87</v>
      </c>
      <c r="DA167" s="228">
        <v>48.52</v>
      </c>
      <c r="DB167" s="228">
        <v>5.35</v>
      </c>
      <c r="DC167" s="228">
        <v>5.35</v>
      </c>
      <c r="DD167" s="228">
        <v>47.24</v>
      </c>
      <c r="DE167" s="228">
        <v>47.3</v>
      </c>
      <c r="DF167" s="228">
        <v>6.63</v>
      </c>
      <c r="DG167" s="228">
        <v>-0.06</v>
      </c>
      <c r="DH167" s="228">
        <v>53.81</v>
      </c>
      <c r="DI167" s="228">
        <v>48.86</v>
      </c>
      <c r="DJ167" s="228">
        <v>4.95</v>
      </c>
      <c r="DK167" s="228">
        <v>4.95</v>
      </c>
      <c r="DL167" s="228">
        <v>53.97</v>
      </c>
      <c r="DM167" s="228">
        <v>47.54</v>
      </c>
      <c r="DN167" s="228">
        <v>6.43</v>
      </c>
      <c r="DO167" s="228">
        <v>6.43</v>
      </c>
      <c r="DP167" s="228">
        <v>0.87</v>
      </c>
      <c r="DQ167" s="228">
        <v>1</v>
      </c>
      <c r="DR167" s="228">
        <v>-0.13</v>
      </c>
      <c r="DS167" s="229">
        <v>-0.13</v>
      </c>
      <c r="DT167" s="228">
        <v>920</v>
      </c>
      <c r="DU167" s="228">
        <v>900</v>
      </c>
      <c r="DV167" s="228">
        <v>0.6</v>
      </c>
      <c r="DW167" s="228">
        <v>0.34</v>
      </c>
      <c r="DX167" s="228">
        <v>0.26</v>
      </c>
      <c r="DY167" s="229">
        <v>0.76470000000000005</v>
      </c>
      <c r="DZ167" s="229">
        <v>3.2899999999999999E-2</v>
      </c>
      <c r="EA167" s="230">
        <v>360750</v>
      </c>
      <c r="EB167" s="229">
        <v>4.3E-3</v>
      </c>
      <c r="EC167" s="229">
        <v>3.2899999999999999E-2</v>
      </c>
      <c r="ED167" s="228">
        <v>3.3</v>
      </c>
      <c r="EE167" s="229">
        <v>3.5999999999999999E-3</v>
      </c>
      <c r="EF167" s="230">
        <v>503009</v>
      </c>
      <c r="EG167" s="230">
        <v>939822</v>
      </c>
      <c r="EH167" s="229">
        <v>-0.46479999999999999</v>
      </c>
      <c r="EI167" s="229">
        <v>0.31740000000000002</v>
      </c>
      <c r="EJ167" s="231">
        <v>106065.66</v>
      </c>
      <c r="EK167" s="231">
        <v>57695.06</v>
      </c>
      <c r="EL167" s="231">
        <v>33567.019999999997</v>
      </c>
      <c r="EM167" s="231">
        <v>4206</v>
      </c>
      <c r="EN167" s="231">
        <v>197327.74</v>
      </c>
      <c r="EO167" s="231">
        <v>152097.20000000001</v>
      </c>
      <c r="EP167" s="231">
        <v>45230.54</v>
      </c>
      <c r="EQ167" s="229">
        <v>0.2974</v>
      </c>
      <c r="ER167" s="231">
        <v>44719</v>
      </c>
      <c r="ES167" s="231">
        <v>35075</v>
      </c>
      <c r="ET167" s="231">
        <v>127658</v>
      </c>
      <c r="EU167" s="231">
        <v>28118603</v>
      </c>
      <c r="EV167" s="231">
        <v>207451</v>
      </c>
      <c r="EW167" s="231">
        <v>171885</v>
      </c>
      <c r="EX167" s="231">
        <v>35566</v>
      </c>
      <c r="EY167" s="229">
        <v>0.2069</v>
      </c>
      <c r="EZ167" s="229">
        <v>0.81789999999999996</v>
      </c>
      <c r="FA167" s="227" t="s">
        <v>566</v>
      </c>
      <c r="FB167" s="161">
        <f t="shared" si="4"/>
        <v>0</v>
      </c>
    </row>
    <row r="168" spans="1:158" ht="17.25" thickBot="1" x14ac:dyDescent="0.3">
      <c r="A168" s="226">
        <v>46132</v>
      </c>
      <c r="B168" s="227" t="s">
        <v>614</v>
      </c>
      <c r="C168" s="227" t="s">
        <v>572</v>
      </c>
      <c r="D168" s="228">
        <v>350</v>
      </c>
      <c r="E168" s="231">
        <v>1613</v>
      </c>
      <c r="F168" s="231">
        <v>1601.1</v>
      </c>
      <c r="G168" s="228">
        <v>11.9</v>
      </c>
      <c r="H168" s="229">
        <v>7.4000000000000003E-3</v>
      </c>
      <c r="I168" s="231">
        <v>1616.8</v>
      </c>
      <c r="J168" s="231">
        <v>1600.6</v>
      </c>
      <c r="K168" s="228">
        <v>16.2</v>
      </c>
      <c r="L168" s="229">
        <v>1.01E-2</v>
      </c>
      <c r="M168" s="231">
        <v>1613</v>
      </c>
      <c r="N168" s="231">
        <v>1601.1</v>
      </c>
      <c r="O168" s="228">
        <v>11.9</v>
      </c>
      <c r="P168" s="229">
        <v>7.4000000000000003E-3</v>
      </c>
      <c r="Q168" s="231">
        <v>1616.8</v>
      </c>
      <c r="R168" s="231">
        <v>1604.7</v>
      </c>
      <c r="S168" s="228">
        <v>12.1</v>
      </c>
      <c r="T168" s="229">
        <v>7.4999999999999997E-3</v>
      </c>
      <c r="U168" s="231">
        <v>1620</v>
      </c>
      <c r="V168" s="231">
        <v>1613.4</v>
      </c>
      <c r="W168" s="228">
        <v>6.6</v>
      </c>
      <c r="X168" s="229">
        <v>4.1000000000000003E-3</v>
      </c>
      <c r="Y168" s="228">
        <v>-3.8</v>
      </c>
      <c r="Z168" s="228">
        <v>0.5</v>
      </c>
      <c r="AA168" s="228">
        <v>-4.3</v>
      </c>
      <c r="AB168" s="229">
        <v>-2.3999999999999998E-3</v>
      </c>
      <c r="AC168" s="228">
        <v>-3.8</v>
      </c>
      <c r="AD168" s="228">
        <v>0.5</v>
      </c>
      <c r="AE168" s="228">
        <v>-4.3</v>
      </c>
      <c r="AF168" s="229">
        <v>-2.3999999999999998E-3</v>
      </c>
      <c r="AG168" s="228">
        <v>0</v>
      </c>
      <c r="AH168" s="228">
        <v>4.0999999999999996</v>
      </c>
      <c r="AI168" s="228">
        <v>-4.0999999999999996</v>
      </c>
      <c r="AJ168" s="229">
        <v>0</v>
      </c>
      <c r="AK168" s="228">
        <v>3.2</v>
      </c>
      <c r="AL168" s="228">
        <v>12.8</v>
      </c>
      <c r="AM168" s="228">
        <v>-9.6</v>
      </c>
      <c r="AN168" s="229">
        <v>2E-3</v>
      </c>
      <c r="AO168" s="231">
        <v>1611.34</v>
      </c>
      <c r="AP168" s="231">
        <v>1613.31</v>
      </c>
      <c r="AQ168" s="228">
        <v>0</v>
      </c>
      <c r="AR168" s="230">
        <v>1402800</v>
      </c>
      <c r="AS168" s="230">
        <v>3527650</v>
      </c>
      <c r="AT168" s="230">
        <v>-2124850</v>
      </c>
      <c r="AU168" s="229">
        <v>-0.60229999999999995</v>
      </c>
      <c r="AV168" s="230">
        <v>1308650</v>
      </c>
      <c r="AW168" s="230">
        <v>3323950</v>
      </c>
      <c r="AX168" s="230">
        <v>-2015300</v>
      </c>
      <c r="AY168" s="229">
        <v>-0.60629999999999995</v>
      </c>
      <c r="AZ168" s="230">
        <v>87850</v>
      </c>
      <c r="BA168" s="230">
        <v>195300</v>
      </c>
      <c r="BB168" s="230">
        <v>-107450</v>
      </c>
      <c r="BC168" s="229">
        <v>-0.55020000000000002</v>
      </c>
      <c r="BD168" s="230">
        <v>6300</v>
      </c>
      <c r="BE168" s="230">
        <v>8400</v>
      </c>
      <c r="BF168" s="230">
        <v>-2100</v>
      </c>
      <c r="BG168" s="229">
        <v>-0.25</v>
      </c>
      <c r="BH168" s="230">
        <v>3007900</v>
      </c>
      <c r="BI168" s="230">
        <v>16956800</v>
      </c>
      <c r="BJ168" s="230">
        <v>-13948900</v>
      </c>
      <c r="BK168" s="229">
        <v>-0.8226</v>
      </c>
      <c r="BL168" s="230">
        <v>1952650</v>
      </c>
      <c r="BM168" s="230">
        <v>5894000</v>
      </c>
      <c r="BN168" s="230">
        <v>-3941350</v>
      </c>
      <c r="BO168" s="229">
        <v>-0.66869999999999996</v>
      </c>
      <c r="BP168" s="230">
        <v>6363350</v>
      </c>
      <c r="BQ168" s="230">
        <v>26378450</v>
      </c>
      <c r="BR168" s="230">
        <v>-20015100</v>
      </c>
      <c r="BS168" s="229">
        <v>-0.75880000000000003</v>
      </c>
      <c r="BT168" s="230">
        <v>1915831</v>
      </c>
      <c r="BU168" s="230">
        <v>4238023</v>
      </c>
      <c r="BV168" s="230">
        <v>-2322192</v>
      </c>
      <c r="BW168" s="229">
        <v>-0.54790000000000005</v>
      </c>
      <c r="BX168" s="230">
        <v>7592200</v>
      </c>
      <c r="BY168" s="230">
        <v>8051400</v>
      </c>
      <c r="BZ168" s="230">
        <v>-459200</v>
      </c>
      <c r="CA168" s="229">
        <v>-5.7000000000000002E-2</v>
      </c>
      <c r="CB168" s="230">
        <v>7424550</v>
      </c>
      <c r="CC168" s="230">
        <v>7896000</v>
      </c>
      <c r="CD168" s="230">
        <v>-471450</v>
      </c>
      <c r="CE168" s="229">
        <v>-5.9700000000000003E-2</v>
      </c>
      <c r="CF168" s="230">
        <v>154350</v>
      </c>
      <c r="CG168" s="230">
        <v>141400</v>
      </c>
      <c r="CH168" s="230">
        <v>12950</v>
      </c>
      <c r="CI168" s="229">
        <v>9.1600000000000001E-2</v>
      </c>
      <c r="CJ168" s="230">
        <v>13300</v>
      </c>
      <c r="CK168" s="230">
        <v>14000</v>
      </c>
      <c r="CL168" s="228">
        <v>-700</v>
      </c>
      <c r="CM168" s="229">
        <v>-0.05</v>
      </c>
      <c r="CN168" s="230">
        <v>2223550</v>
      </c>
      <c r="CO168" s="230">
        <v>2404150</v>
      </c>
      <c r="CP168" s="230">
        <v>-180600</v>
      </c>
      <c r="CQ168" s="229">
        <v>-7.51E-2</v>
      </c>
      <c r="CR168" s="230">
        <v>1644650</v>
      </c>
      <c r="CS168" s="230">
        <v>1592150</v>
      </c>
      <c r="CT168" s="230">
        <v>52500</v>
      </c>
      <c r="CU168" s="229">
        <v>3.3000000000000002E-2</v>
      </c>
      <c r="CV168" s="230">
        <v>11460400</v>
      </c>
      <c r="CW168" s="230">
        <v>12047700</v>
      </c>
      <c r="CX168" s="230">
        <v>-587300</v>
      </c>
      <c r="CY168" s="229">
        <v>-4.87E-2</v>
      </c>
      <c r="CZ168" s="228">
        <v>40.53</v>
      </c>
      <c r="DA168" s="228">
        <v>37.299999999999997</v>
      </c>
      <c r="DB168" s="228">
        <v>3.23</v>
      </c>
      <c r="DC168" s="228">
        <v>3.23</v>
      </c>
      <c r="DD168" s="228">
        <v>45.8</v>
      </c>
      <c r="DE168" s="228">
        <v>45.89</v>
      </c>
      <c r="DF168" s="228">
        <v>-5.27</v>
      </c>
      <c r="DG168" s="228">
        <v>-0.09</v>
      </c>
      <c r="DH168" s="228">
        <v>38.97</v>
      </c>
      <c r="DI168" s="228">
        <v>36.92</v>
      </c>
      <c r="DJ168" s="228">
        <v>2.0499999999999998</v>
      </c>
      <c r="DK168" s="228">
        <v>2.0499999999999998</v>
      </c>
      <c r="DL168" s="228">
        <v>42.92</v>
      </c>
      <c r="DM168" s="228">
        <v>38.39</v>
      </c>
      <c r="DN168" s="228">
        <v>4.53</v>
      </c>
      <c r="DO168" s="228">
        <v>4.53</v>
      </c>
      <c r="DP168" s="228">
        <v>0.74</v>
      </c>
      <c r="DQ168" s="228">
        <v>0.66</v>
      </c>
      <c r="DR168" s="228">
        <v>0.08</v>
      </c>
      <c r="DS168" s="229">
        <v>0.1212</v>
      </c>
      <c r="DT168" s="231">
        <v>1600</v>
      </c>
      <c r="DU168" s="231">
        <v>1500</v>
      </c>
      <c r="DV168" s="228">
        <v>0.65</v>
      </c>
      <c r="DW168" s="228">
        <v>0.35</v>
      </c>
      <c r="DX168" s="228">
        <v>0.3</v>
      </c>
      <c r="DY168" s="229">
        <v>0.85709999999999997</v>
      </c>
      <c r="DZ168" s="229">
        <v>2.2100000000000002E-2</v>
      </c>
      <c r="EA168" s="230">
        <v>155400</v>
      </c>
      <c r="EB168" s="229">
        <v>2.3999999999999998E-3</v>
      </c>
      <c r="EC168" s="229">
        <v>2.2100000000000002E-2</v>
      </c>
      <c r="ED168" s="228">
        <v>1.97</v>
      </c>
      <c r="EE168" s="229">
        <v>1.1999999999999999E-3</v>
      </c>
      <c r="EF168" s="230">
        <v>1186769</v>
      </c>
      <c r="EG168" s="230">
        <v>2260928</v>
      </c>
      <c r="EH168" s="229">
        <v>-0.47510000000000002</v>
      </c>
      <c r="EI168" s="229">
        <v>0.61950000000000005</v>
      </c>
      <c r="EJ168" s="231">
        <v>50177.29</v>
      </c>
      <c r="EK168" s="231">
        <v>30304.19</v>
      </c>
      <c r="EL168" s="231">
        <v>22605.85</v>
      </c>
      <c r="EM168" s="231">
        <v>6614</v>
      </c>
      <c r="EN168" s="231">
        <v>103087.33</v>
      </c>
      <c r="EO168" s="231">
        <v>430885.54</v>
      </c>
      <c r="EP168" s="231">
        <v>-327798.21000000002</v>
      </c>
      <c r="EQ168" s="229">
        <v>-0.76080000000000003</v>
      </c>
      <c r="ER168" s="231">
        <v>35544</v>
      </c>
      <c r="ES168" s="231">
        <v>24661</v>
      </c>
      <c r="ET168" s="231">
        <v>122469</v>
      </c>
      <c r="EU168" s="231">
        <v>69300607</v>
      </c>
      <c r="EV168" s="231">
        <v>182674</v>
      </c>
      <c r="EW168" s="231">
        <v>191007</v>
      </c>
      <c r="EX168" s="231">
        <v>-8333</v>
      </c>
      <c r="EY168" s="229">
        <v>-4.36E-2</v>
      </c>
      <c r="EZ168" s="229">
        <v>0.16539999999999999</v>
      </c>
      <c r="FA168" s="227" t="s">
        <v>693</v>
      </c>
      <c r="FB168" s="161">
        <f t="shared" si="4"/>
        <v>0</v>
      </c>
    </row>
    <row r="169" spans="1:158" ht="17.25" thickBot="1" x14ac:dyDescent="0.3">
      <c r="A169" s="226">
        <v>46132</v>
      </c>
      <c r="B169" s="227" t="s">
        <v>184</v>
      </c>
      <c r="C169" s="227" t="s">
        <v>519</v>
      </c>
      <c r="D169" s="228">
        <v>125</v>
      </c>
      <c r="E169" s="231">
        <v>8188</v>
      </c>
      <c r="F169" s="231">
        <v>8162</v>
      </c>
      <c r="G169" s="228">
        <v>26</v>
      </c>
      <c r="H169" s="229">
        <v>3.2000000000000002E-3</v>
      </c>
      <c r="I169" s="231">
        <v>8198.5</v>
      </c>
      <c r="J169" s="231">
        <v>8182.5</v>
      </c>
      <c r="K169" s="228">
        <v>16</v>
      </c>
      <c r="L169" s="229">
        <v>2E-3</v>
      </c>
      <c r="M169" s="231">
        <v>8188</v>
      </c>
      <c r="N169" s="231">
        <v>8162</v>
      </c>
      <c r="O169" s="228">
        <v>26</v>
      </c>
      <c r="P169" s="229">
        <v>3.2000000000000002E-3</v>
      </c>
      <c r="Q169" s="231">
        <v>8150</v>
      </c>
      <c r="R169" s="231">
        <v>8118</v>
      </c>
      <c r="S169" s="228">
        <v>32</v>
      </c>
      <c r="T169" s="229">
        <v>3.8999999999999998E-3</v>
      </c>
      <c r="U169" s="231">
        <v>8120</v>
      </c>
      <c r="V169" s="231">
        <v>8109</v>
      </c>
      <c r="W169" s="228">
        <v>11</v>
      </c>
      <c r="X169" s="229">
        <v>1.4E-3</v>
      </c>
      <c r="Y169" s="228">
        <v>-10.5</v>
      </c>
      <c r="Z169" s="228">
        <v>-20.5</v>
      </c>
      <c r="AA169" s="228">
        <v>10</v>
      </c>
      <c r="AB169" s="229">
        <v>-1.2999999999999999E-3</v>
      </c>
      <c r="AC169" s="228">
        <v>-10.5</v>
      </c>
      <c r="AD169" s="228">
        <v>-20.5</v>
      </c>
      <c r="AE169" s="228">
        <v>10</v>
      </c>
      <c r="AF169" s="229">
        <v>-1.2999999999999999E-3</v>
      </c>
      <c r="AG169" s="228">
        <v>-48.5</v>
      </c>
      <c r="AH169" s="228">
        <v>-64.5</v>
      </c>
      <c r="AI169" s="228">
        <v>16</v>
      </c>
      <c r="AJ169" s="229">
        <v>-5.8999999999999999E-3</v>
      </c>
      <c r="AK169" s="228">
        <v>-78.5</v>
      </c>
      <c r="AL169" s="228">
        <v>-73.5</v>
      </c>
      <c r="AM169" s="228">
        <v>-5</v>
      </c>
      <c r="AN169" s="229">
        <v>-9.5999999999999992E-3</v>
      </c>
      <c r="AO169" s="231">
        <v>8213</v>
      </c>
      <c r="AP169" s="231">
        <v>8177.62</v>
      </c>
      <c r="AQ169" s="228">
        <v>0</v>
      </c>
      <c r="AR169" s="230">
        <v>414250</v>
      </c>
      <c r="AS169" s="230">
        <v>810375</v>
      </c>
      <c r="AT169" s="230">
        <v>-396125</v>
      </c>
      <c r="AU169" s="229">
        <v>-0.48880000000000001</v>
      </c>
      <c r="AV169" s="230">
        <v>365250</v>
      </c>
      <c r="AW169" s="230">
        <v>700375</v>
      </c>
      <c r="AX169" s="230">
        <v>-335125</v>
      </c>
      <c r="AY169" s="229">
        <v>-0.47849999999999998</v>
      </c>
      <c r="AZ169" s="230">
        <v>45125</v>
      </c>
      <c r="BA169" s="230">
        <v>103625</v>
      </c>
      <c r="BB169" s="230">
        <v>-58500</v>
      </c>
      <c r="BC169" s="229">
        <v>-0.5645</v>
      </c>
      <c r="BD169" s="230">
        <v>3875</v>
      </c>
      <c r="BE169" s="230">
        <v>6375</v>
      </c>
      <c r="BF169" s="230">
        <v>-2500</v>
      </c>
      <c r="BG169" s="229">
        <v>-0.39219999999999999</v>
      </c>
      <c r="BH169" s="230">
        <v>1984500</v>
      </c>
      <c r="BI169" s="230">
        <v>6464875</v>
      </c>
      <c r="BJ169" s="230">
        <v>-4480375</v>
      </c>
      <c r="BK169" s="229">
        <v>-0.69299999999999995</v>
      </c>
      <c r="BL169" s="230">
        <v>2747750</v>
      </c>
      <c r="BM169" s="230">
        <v>4397500</v>
      </c>
      <c r="BN169" s="230">
        <v>-1649750</v>
      </c>
      <c r="BO169" s="229">
        <v>-0.37519999999999998</v>
      </c>
      <c r="BP169" s="230">
        <v>5146500</v>
      </c>
      <c r="BQ169" s="230">
        <v>11672750</v>
      </c>
      <c r="BR169" s="230">
        <v>-6526250</v>
      </c>
      <c r="BS169" s="229">
        <v>-0.55910000000000004</v>
      </c>
      <c r="BT169" s="230">
        <v>420772</v>
      </c>
      <c r="BU169" s="230">
        <v>708323</v>
      </c>
      <c r="BV169" s="230">
        <v>-287551</v>
      </c>
      <c r="BW169" s="229">
        <v>-0.40600000000000003</v>
      </c>
      <c r="BX169" s="230">
        <v>1821625</v>
      </c>
      <c r="BY169" s="230">
        <v>1866750</v>
      </c>
      <c r="BZ169" s="230">
        <v>-45125</v>
      </c>
      <c r="CA169" s="229">
        <v>-2.4199999999999999E-2</v>
      </c>
      <c r="CB169" s="230">
        <v>1715000</v>
      </c>
      <c r="CC169" s="230">
        <v>1766625</v>
      </c>
      <c r="CD169" s="230">
        <v>-51625</v>
      </c>
      <c r="CE169" s="229">
        <v>-2.92E-2</v>
      </c>
      <c r="CF169" s="230">
        <v>95875</v>
      </c>
      <c r="CG169" s="230">
        <v>91375</v>
      </c>
      <c r="CH169" s="230">
        <v>4500</v>
      </c>
      <c r="CI169" s="229">
        <v>4.9200000000000001E-2</v>
      </c>
      <c r="CJ169" s="230">
        <v>10750</v>
      </c>
      <c r="CK169" s="230">
        <v>8750</v>
      </c>
      <c r="CL169" s="230">
        <v>2000</v>
      </c>
      <c r="CM169" s="229">
        <v>0.2286</v>
      </c>
      <c r="CN169" s="230">
        <v>1130375</v>
      </c>
      <c r="CO169" s="230">
        <v>1155125</v>
      </c>
      <c r="CP169" s="230">
        <v>-24750</v>
      </c>
      <c r="CQ169" s="229">
        <v>-2.1399999999999999E-2</v>
      </c>
      <c r="CR169" s="230">
        <v>1194375</v>
      </c>
      <c r="CS169" s="230">
        <v>1435250</v>
      </c>
      <c r="CT169" s="230">
        <v>-240875</v>
      </c>
      <c r="CU169" s="229">
        <v>-0.1678</v>
      </c>
      <c r="CV169" s="230">
        <v>4146375</v>
      </c>
      <c r="CW169" s="230">
        <v>4457125</v>
      </c>
      <c r="CX169" s="230">
        <v>-310750</v>
      </c>
      <c r="CY169" s="229">
        <v>-6.9699999999999998E-2</v>
      </c>
      <c r="CZ169" s="228">
        <v>41.47</v>
      </c>
      <c r="DA169" s="228">
        <v>37.909999999999997</v>
      </c>
      <c r="DB169" s="228">
        <v>3.56</v>
      </c>
      <c r="DC169" s="228">
        <v>3.56</v>
      </c>
      <c r="DD169" s="228">
        <v>41.61</v>
      </c>
      <c r="DE169" s="228">
        <v>41.72</v>
      </c>
      <c r="DF169" s="228">
        <v>-0.14000000000000001</v>
      </c>
      <c r="DG169" s="228">
        <v>-0.11</v>
      </c>
      <c r="DH169" s="228">
        <v>37.36</v>
      </c>
      <c r="DI169" s="228">
        <v>34.340000000000003</v>
      </c>
      <c r="DJ169" s="228">
        <v>3.02</v>
      </c>
      <c r="DK169" s="228">
        <v>3.02</v>
      </c>
      <c r="DL169" s="228">
        <v>44.43</v>
      </c>
      <c r="DM169" s="228">
        <v>43.16</v>
      </c>
      <c r="DN169" s="228">
        <v>1.27</v>
      </c>
      <c r="DO169" s="228">
        <v>1.27</v>
      </c>
      <c r="DP169" s="228">
        <v>1.06</v>
      </c>
      <c r="DQ169" s="228">
        <v>1.24</v>
      </c>
      <c r="DR169" s="228">
        <v>-0.18</v>
      </c>
      <c r="DS169" s="229">
        <v>-0.1452</v>
      </c>
      <c r="DT169" s="231">
        <v>8200</v>
      </c>
      <c r="DU169" s="231">
        <v>7800</v>
      </c>
      <c r="DV169" s="228">
        <v>1.38</v>
      </c>
      <c r="DW169" s="228">
        <v>0.68</v>
      </c>
      <c r="DX169" s="228">
        <v>0.7</v>
      </c>
      <c r="DY169" s="229">
        <v>1.0294000000000001</v>
      </c>
      <c r="DZ169" s="229">
        <v>5.8500000000000003E-2</v>
      </c>
      <c r="EA169" s="230">
        <v>100125</v>
      </c>
      <c r="EB169" s="229">
        <v>-4.5999999999999999E-3</v>
      </c>
      <c r="EC169" s="229">
        <v>5.8500000000000003E-2</v>
      </c>
      <c r="ED169" s="228">
        <v>-35.380000000000003</v>
      </c>
      <c r="EE169" s="229">
        <v>-4.3E-3</v>
      </c>
      <c r="EF169" s="230">
        <v>226058</v>
      </c>
      <c r="EG169" s="230">
        <v>318541</v>
      </c>
      <c r="EH169" s="229">
        <v>-0.2903</v>
      </c>
      <c r="EI169" s="229">
        <v>0.53720000000000001</v>
      </c>
      <c r="EJ169" s="231">
        <v>169955.57</v>
      </c>
      <c r="EK169" s="231">
        <v>208797.66</v>
      </c>
      <c r="EL169" s="231">
        <v>34004.239999999998</v>
      </c>
      <c r="EM169" s="231">
        <v>5450</v>
      </c>
      <c r="EN169" s="231">
        <v>412757.47</v>
      </c>
      <c r="EO169" s="231">
        <v>947934.01</v>
      </c>
      <c r="EP169" s="231">
        <v>-535176.54</v>
      </c>
      <c r="EQ169" s="229">
        <v>-0.56459999999999999</v>
      </c>
      <c r="ER169" s="231">
        <v>91109</v>
      </c>
      <c r="ES169" s="231">
        <v>89050</v>
      </c>
      <c r="ET169" s="231">
        <v>149111</v>
      </c>
      <c r="EU169" s="231">
        <v>8693344</v>
      </c>
      <c r="EV169" s="231">
        <v>329270</v>
      </c>
      <c r="EW169" s="231">
        <v>351349</v>
      </c>
      <c r="EX169" s="231">
        <v>-22079</v>
      </c>
      <c r="EY169" s="229">
        <v>-6.2799999999999995E-2</v>
      </c>
      <c r="EZ169" s="229">
        <v>0.47699999999999998</v>
      </c>
      <c r="FA169" s="227" t="s">
        <v>693</v>
      </c>
      <c r="FB169" s="161">
        <f t="shared" si="4"/>
        <v>0</v>
      </c>
    </row>
    <row r="170" spans="1:158" ht="17.25" thickBot="1" x14ac:dyDescent="0.3">
      <c r="A170" s="226">
        <v>46132</v>
      </c>
      <c r="B170" s="227" t="s">
        <v>161</v>
      </c>
      <c r="C170" s="227" t="s">
        <v>276</v>
      </c>
      <c r="D170" s="228">
        <v>1900</v>
      </c>
      <c r="E170" s="228">
        <v>318.85000000000002</v>
      </c>
      <c r="F170" s="228">
        <v>317.64999999999998</v>
      </c>
      <c r="G170" s="228">
        <v>1.2</v>
      </c>
      <c r="H170" s="229">
        <v>3.8E-3</v>
      </c>
      <c r="I170" s="228">
        <v>319.7</v>
      </c>
      <c r="J170" s="228">
        <v>318.10000000000002</v>
      </c>
      <c r="K170" s="228">
        <v>1.6</v>
      </c>
      <c r="L170" s="229">
        <v>5.0000000000000001E-3</v>
      </c>
      <c r="M170" s="228">
        <v>318.85000000000002</v>
      </c>
      <c r="N170" s="228">
        <v>317.64999999999998</v>
      </c>
      <c r="O170" s="228">
        <v>1.2</v>
      </c>
      <c r="P170" s="229">
        <v>3.8E-3</v>
      </c>
      <c r="Q170" s="228">
        <v>320.5</v>
      </c>
      <c r="R170" s="228">
        <v>319.55</v>
      </c>
      <c r="S170" s="228">
        <v>0.95</v>
      </c>
      <c r="T170" s="229">
        <v>3.0000000000000001E-3</v>
      </c>
      <c r="U170" s="228">
        <v>322.89999999999998</v>
      </c>
      <c r="V170" s="228">
        <v>321.25</v>
      </c>
      <c r="W170" s="228">
        <v>1.65</v>
      </c>
      <c r="X170" s="229">
        <v>5.1000000000000004E-3</v>
      </c>
      <c r="Y170" s="228">
        <v>-0.85</v>
      </c>
      <c r="Z170" s="228">
        <v>-0.45</v>
      </c>
      <c r="AA170" s="228">
        <v>-0.4</v>
      </c>
      <c r="AB170" s="229">
        <v>-2.7000000000000001E-3</v>
      </c>
      <c r="AC170" s="228">
        <v>-0.85</v>
      </c>
      <c r="AD170" s="228">
        <v>-0.45</v>
      </c>
      <c r="AE170" s="228">
        <v>-0.4</v>
      </c>
      <c r="AF170" s="229">
        <v>-2.7000000000000001E-3</v>
      </c>
      <c r="AG170" s="228">
        <v>0.8</v>
      </c>
      <c r="AH170" s="228">
        <v>1.45</v>
      </c>
      <c r="AI170" s="228">
        <v>-0.65</v>
      </c>
      <c r="AJ170" s="229">
        <v>2.5000000000000001E-3</v>
      </c>
      <c r="AK170" s="228">
        <v>3.2</v>
      </c>
      <c r="AL170" s="228">
        <v>3.15</v>
      </c>
      <c r="AM170" s="228">
        <v>0.05</v>
      </c>
      <c r="AN170" s="229">
        <v>0.01</v>
      </c>
      <c r="AO170" s="228">
        <v>319.54000000000002</v>
      </c>
      <c r="AP170" s="228">
        <v>321.61</v>
      </c>
      <c r="AQ170" s="228">
        <v>0</v>
      </c>
      <c r="AR170" s="230">
        <v>22321200</v>
      </c>
      <c r="AS170" s="230">
        <v>16201300</v>
      </c>
      <c r="AT170" s="230">
        <v>6119900</v>
      </c>
      <c r="AU170" s="229">
        <v>0.37769999999999998</v>
      </c>
      <c r="AV170" s="230">
        <v>15412800</v>
      </c>
      <c r="AW170" s="230">
        <v>14060000</v>
      </c>
      <c r="AX170" s="230">
        <v>1352800</v>
      </c>
      <c r="AY170" s="229">
        <v>9.6199999999999994E-2</v>
      </c>
      <c r="AZ170" s="230">
        <v>2774000</v>
      </c>
      <c r="BA170" s="230">
        <v>1977900</v>
      </c>
      <c r="BB170" s="230">
        <v>796100</v>
      </c>
      <c r="BC170" s="229">
        <v>0.40250000000000002</v>
      </c>
      <c r="BD170" s="230">
        <v>4134400</v>
      </c>
      <c r="BE170" s="230">
        <v>163400</v>
      </c>
      <c r="BF170" s="230">
        <v>3971000</v>
      </c>
      <c r="BG170" s="229">
        <v>24.302299999999999</v>
      </c>
      <c r="BH170" s="230">
        <v>70208800</v>
      </c>
      <c r="BI170" s="230">
        <v>82796300</v>
      </c>
      <c r="BJ170" s="230">
        <v>-12587500</v>
      </c>
      <c r="BK170" s="229">
        <v>-0.152</v>
      </c>
      <c r="BL170" s="230">
        <v>24453000</v>
      </c>
      <c r="BM170" s="230">
        <v>31285400</v>
      </c>
      <c r="BN170" s="230">
        <v>-6832400</v>
      </c>
      <c r="BO170" s="229">
        <v>-0.21840000000000001</v>
      </c>
      <c r="BP170" s="230">
        <v>116983000</v>
      </c>
      <c r="BQ170" s="230">
        <v>130283000</v>
      </c>
      <c r="BR170" s="230">
        <v>-13300000</v>
      </c>
      <c r="BS170" s="229">
        <v>-0.1021</v>
      </c>
      <c r="BT170" s="230">
        <v>11257256</v>
      </c>
      <c r="BU170" s="230">
        <v>14210473</v>
      </c>
      <c r="BV170" s="230">
        <v>-2953217</v>
      </c>
      <c r="BW170" s="229">
        <v>-0.20780000000000001</v>
      </c>
      <c r="BX170" s="230">
        <v>78952600</v>
      </c>
      <c r="BY170" s="230">
        <v>79214800</v>
      </c>
      <c r="BZ170" s="230">
        <v>-262200</v>
      </c>
      <c r="CA170" s="229">
        <v>-3.3E-3</v>
      </c>
      <c r="CB170" s="230">
        <v>65240300</v>
      </c>
      <c r="CC170" s="230">
        <v>70529900</v>
      </c>
      <c r="CD170" s="230">
        <v>-5289600</v>
      </c>
      <c r="CE170" s="229">
        <v>-7.4999999999999997E-2</v>
      </c>
      <c r="CF170" s="230">
        <v>7455600</v>
      </c>
      <c r="CG170" s="230">
        <v>6397300</v>
      </c>
      <c r="CH170" s="230">
        <v>1058300</v>
      </c>
      <c r="CI170" s="229">
        <v>0.16539999999999999</v>
      </c>
      <c r="CJ170" s="230">
        <v>6256700</v>
      </c>
      <c r="CK170" s="230">
        <v>2287600</v>
      </c>
      <c r="CL170" s="230">
        <v>3969100</v>
      </c>
      <c r="CM170" s="229">
        <v>1.7350000000000001</v>
      </c>
      <c r="CN170" s="230">
        <v>40154600</v>
      </c>
      <c r="CO170" s="230">
        <v>37433800</v>
      </c>
      <c r="CP170" s="230">
        <v>2720800</v>
      </c>
      <c r="CQ170" s="229">
        <v>7.2700000000000001E-2</v>
      </c>
      <c r="CR170" s="230">
        <v>24720900</v>
      </c>
      <c r="CS170" s="230">
        <v>23620800</v>
      </c>
      <c r="CT170" s="230">
        <v>1100100</v>
      </c>
      <c r="CU170" s="229">
        <v>4.6600000000000003E-2</v>
      </c>
      <c r="CV170" s="230">
        <v>143828100</v>
      </c>
      <c r="CW170" s="230">
        <v>140269400</v>
      </c>
      <c r="CX170" s="230">
        <v>3558700</v>
      </c>
      <c r="CY170" s="229">
        <v>2.5399999999999999E-2</v>
      </c>
      <c r="CZ170" s="228">
        <v>24.67</v>
      </c>
      <c r="DA170" s="228">
        <v>23.79</v>
      </c>
      <c r="DB170" s="228">
        <v>0.88</v>
      </c>
      <c r="DC170" s="228">
        <v>0.88</v>
      </c>
      <c r="DD170" s="228">
        <v>28.97</v>
      </c>
      <c r="DE170" s="228">
        <v>29.03</v>
      </c>
      <c r="DF170" s="228">
        <v>-4.3</v>
      </c>
      <c r="DG170" s="228">
        <v>-0.06</v>
      </c>
      <c r="DH170" s="228">
        <v>24.06</v>
      </c>
      <c r="DI170" s="228">
        <v>22.97</v>
      </c>
      <c r="DJ170" s="228">
        <v>1.0900000000000001</v>
      </c>
      <c r="DK170" s="228">
        <v>1.0900000000000001</v>
      </c>
      <c r="DL170" s="228">
        <v>26.4</v>
      </c>
      <c r="DM170" s="228">
        <v>25.94</v>
      </c>
      <c r="DN170" s="228">
        <v>0.46</v>
      </c>
      <c r="DO170" s="228">
        <v>0.46</v>
      </c>
      <c r="DP170" s="228">
        <v>0.62</v>
      </c>
      <c r="DQ170" s="228">
        <v>0.63</v>
      </c>
      <c r="DR170" s="228">
        <v>-0.01</v>
      </c>
      <c r="DS170" s="229">
        <v>-1.5900000000000001E-2</v>
      </c>
      <c r="DT170" s="228">
        <v>315</v>
      </c>
      <c r="DU170" s="228">
        <v>300</v>
      </c>
      <c r="DV170" s="228">
        <v>0.35</v>
      </c>
      <c r="DW170" s="228">
        <v>0.38</v>
      </c>
      <c r="DX170" s="228">
        <v>-0.03</v>
      </c>
      <c r="DY170" s="229">
        <v>-7.8899999999999998E-2</v>
      </c>
      <c r="DZ170" s="229">
        <v>0.17369999999999999</v>
      </c>
      <c r="EA170" s="230">
        <v>8684900</v>
      </c>
      <c r="EB170" s="229">
        <v>5.1999999999999998E-3</v>
      </c>
      <c r="EC170" s="229">
        <v>0.17369999999999999</v>
      </c>
      <c r="ED170" s="228">
        <v>2.0699999999999998</v>
      </c>
      <c r="EE170" s="229">
        <v>6.4999999999999997E-3</v>
      </c>
      <c r="EF170" s="230">
        <v>6224629</v>
      </c>
      <c r="EG170" s="230">
        <v>8894487</v>
      </c>
      <c r="EH170" s="229">
        <v>-0.30020000000000002</v>
      </c>
      <c r="EI170" s="229">
        <v>0.55289999999999995</v>
      </c>
      <c r="EJ170" s="231">
        <v>229969.15</v>
      </c>
      <c r="EK170" s="231">
        <v>76351.08</v>
      </c>
      <c r="EL170" s="231">
        <v>71564.160000000003</v>
      </c>
      <c r="EM170" s="231">
        <v>9294</v>
      </c>
      <c r="EN170" s="231">
        <v>377884.39</v>
      </c>
      <c r="EO170" s="231">
        <v>416294.77</v>
      </c>
      <c r="EP170" s="231">
        <v>-38410.379999999997</v>
      </c>
      <c r="EQ170" s="229">
        <v>-9.2299999999999993E-2</v>
      </c>
      <c r="ER170" s="231">
        <v>127768</v>
      </c>
      <c r="ES170" s="231">
        <v>73373</v>
      </c>
      <c r="ET170" s="231">
        <v>252117</v>
      </c>
      <c r="EU170" s="231">
        <v>660840864</v>
      </c>
      <c r="EV170" s="231">
        <v>453258</v>
      </c>
      <c r="EW170" s="231">
        <v>439984</v>
      </c>
      <c r="EX170" s="231">
        <v>13274</v>
      </c>
      <c r="EY170" s="229">
        <v>3.0200000000000001E-2</v>
      </c>
      <c r="EZ170" s="229">
        <v>0.21759999999999999</v>
      </c>
      <c r="FA170" s="227" t="s">
        <v>693</v>
      </c>
      <c r="FB170" s="161">
        <f t="shared" si="4"/>
        <v>0</v>
      </c>
    </row>
    <row r="171" spans="1:158" ht="17.25" thickBot="1" x14ac:dyDescent="0.3">
      <c r="A171" s="226">
        <v>46132</v>
      </c>
      <c r="B171" s="227" t="s">
        <v>184</v>
      </c>
      <c r="C171" s="227" t="s">
        <v>685</v>
      </c>
      <c r="D171" s="228">
        <v>50</v>
      </c>
      <c r="E171" s="231">
        <v>29700</v>
      </c>
      <c r="F171" s="231">
        <v>28970</v>
      </c>
      <c r="G171" s="228">
        <v>730</v>
      </c>
      <c r="H171" s="229">
        <v>2.52E-2</v>
      </c>
      <c r="I171" s="231">
        <v>29645</v>
      </c>
      <c r="J171" s="231">
        <v>28925</v>
      </c>
      <c r="K171" s="228">
        <v>720</v>
      </c>
      <c r="L171" s="229">
        <v>2.4899999999999999E-2</v>
      </c>
      <c r="M171" s="231">
        <v>29700</v>
      </c>
      <c r="N171" s="231">
        <v>28970</v>
      </c>
      <c r="O171" s="228">
        <v>730</v>
      </c>
      <c r="P171" s="229">
        <v>2.52E-2</v>
      </c>
      <c r="Q171" s="231">
        <v>29690</v>
      </c>
      <c r="R171" s="231">
        <v>28910</v>
      </c>
      <c r="S171" s="228">
        <v>780</v>
      </c>
      <c r="T171" s="229">
        <v>2.7E-2</v>
      </c>
      <c r="U171" s="231">
        <v>29665</v>
      </c>
      <c r="V171" s="231">
        <v>28875</v>
      </c>
      <c r="W171" s="228">
        <v>790</v>
      </c>
      <c r="X171" s="229">
        <v>2.7400000000000001E-2</v>
      </c>
      <c r="Y171" s="228">
        <v>55</v>
      </c>
      <c r="Z171" s="228">
        <v>45</v>
      </c>
      <c r="AA171" s="228">
        <v>10</v>
      </c>
      <c r="AB171" s="229">
        <v>1.9E-3</v>
      </c>
      <c r="AC171" s="228">
        <v>55</v>
      </c>
      <c r="AD171" s="228">
        <v>45</v>
      </c>
      <c r="AE171" s="228">
        <v>10</v>
      </c>
      <c r="AF171" s="229">
        <v>1.9E-3</v>
      </c>
      <c r="AG171" s="228">
        <v>45</v>
      </c>
      <c r="AH171" s="228">
        <v>-15</v>
      </c>
      <c r="AI171" s="228">
        <v>60</v>
      </c>
      <c r="AJ171" s="229">
        <v>1.5E-3</v>
      </c>
      <c r="AK171" s="228">
        <v>20</v>
      </c>
      <c r="AL171" s="228">
        <v>-50</v>
      </c>
      <c r="AM171" s="228">
        <v>70</v>
      </c>
      <c r="AN171" s="229">
        <v>6.9999999999999999E-4</v>
      </c>
      <c r="AO171" s="231">
        <v>29644.959999999999</v>
      </c>
      <c r="AP171" s="231">
        <v>29579.16</v>
      </c>
      <c r="AQ171" s="228">
        <v>0</v>
      </c>
      <c r="AR171" s="230">
        <v>138800</v>
      </c>
      <c r="AS171" s="230">
        <v>100500</v>
      </c>
      <c r="AT171" s="230">
        <v>38300</v>
      </c>
      <c r="AU171" s="229">
        <v>0.38109999999999999</v>
      </c>
      <c r="AV171" s="230">
        <v>118650</v>
      </c>
      <c r="AW171" s="230">
        <v>88200</v>
      </c>
      <c r="AX171" s="230">
        <v>30450</v>
      </c>
      <c r="AY171" s="229">
        <v>0.34520000000000001</v>
      </c>
      <c r="AZ171" s="230">
        <v>17950</v>
      </c>
      <c r="BA171" s="230">
        <v>10650</v>
      </c>
      <c r="BB171" s="230">
        <v>7300</v>
      </c>
      <c r="BC171" s="229">
        <v>0.68540000000000001</v>
      </c>
      <c r="BD171" s="230">
        <v>2200</v>
      </c>
      <c r="BE171" s="230">
        <v>1650</v>
      </c>
      <c r="BF171" s="228">
        <v>550</v>
      </c>
      <c r="BG171" s="229">
        <v>0.33329999999999999</v>
      </c>
      <c r="BH171" s="230">
        <v>1136650</v>
      </c>
      <c r="BI171" s="230">
        <v>448800</v>
      </c>
      <c r="BJ171" s="230">
        <v>687850</v>
      </c>
      <c r="BK171" s="229">
        <v>1.5326</v>
      </c>
      <c r="BL171" s="230">
        <v>642250</v>
      </c>
      <c r="BM171" s="230">
        <v>300250</v>
      </c>
      <c r="BN171" s="230">
        <v>342000</v>
      </c>
      <c r="BO171" s="229">
        <v>1.1391</v>
      </c>
      <c r="BP171" s="230">
        <v>1917700</v>
      </c>
      <c r="BQ171" s="230">
        <v>849550</v>
      </c>
      <c r="BR171" s="230">
        <v>1068150</v>
      </c>
      <c r="BS171" s="229">
        <v>1.2573000000000001</v>
      </c>
      <c r="BT171" s="230">
        <v>189593</v>
      </c>
      <c r="BU171" s="230">
        <v>111373</v>
      </c>
      <c r="BV171" s="230">
        <v>78220</v>
      </c>
      <c r="BW171" s="229">
        <v>0.70230000000000004</v>
      </c>
      <c r="BX171" s="230">
        <v>393500</v>
      </c>
      <c r="BY171" s="230">
        <v>388950</v>
      </c>
      <c r="BZ171" s="230">
        <v>4550</v>
      </c>
      <c r="CA171" s="229">
        <v>1.17E-2</v>
      </c>
      <c r="CB171" s="230">
        <v>363700</v>
      </c>
      <c r="CC171" s="230">
        <v>362850</v>
      </c>
      <c r="CD171" s="228">
        <v>850</v>
      </c>
      <c r="CE171" s="229">
        <v>2.3E-3</v>
      </c>
      <c r="CF171" s="230">
        <v>25000</v>
      </c>
      <c r="CG171" s="230">
        <v>21350</v>
      </c>
      <c r="CH171" s="230">
        <v>3650</v>
      </c>
      <c r="CI171" s="229">
        <v>0.17100000000000001</v>
      </c>
      <c r="CJ171" s="230">
        <v>4800</v>
      </c>
      <c r="CK171" s="230">
        <v>4750</v>
      </c>
      <c r="CL171" s="228">
        <v>50</v>
      </c>
      <c r="CM171" s="229">
        <v>1.0500000000000001E-2</v>
      </c>
      <c r="CN171" s="230">
        <v>274450</v>
      </c>
      <c r="CO171" s="230">
        <v>250250</v>
      </c>
      <c r="CP171" s="230">
        <v>24200</v>
      </c>
      <c r="CQ171" s="229">
        <v>9.6699999999999994E-2</v>
      </c>
      <c r="CR171" s="230">
        <v>322900</v>
      </c>
      <c r="CS171" s="230">
        <v>263400</v>
      </c>
      <c r="CT171" s="230">
        <v>59500</v>
      </c>
      <c r="CU171" s="229">
        <v>0.22589999999999999</v>
      </c>
      <c r="CV171" s="230">
        <v>990850</v>
      </c>
      <c r="CW171" s="230">
        <v>902600</v>
      </c>
      <c r="CX171" s="230">
        <v>88250</v>
      </c>
      <c r="CY171" s="229">
        <v>9.7799999999999998E-2</v>
      </c>
      <c r="CZ171" s="228">
        <v>37.979999999999997</v>
      </c>
      <c r="DA171" s="228">
        <v>36.18</v>
      </c>
      <c r="DB171" s="228">
        <v>1.8</v>
      </c>
      <c r="DC171" s="228">
        <v>1.8</v>
      </c>
      <c r="DD171" s="228">
        <v>57.43</v>
      </c>
      <c r="DE171" s="228">
        <v>57.48</v>
      </c>
      <c r="DF171" s="228">
        <v>-19.45</v>
      </c>
      <c r="DG171" s="228">
        <v>-0.05</v>
      </c>
      <c r="DH171" s="228">
        <v>35.369999999999997</v>
      </c>
      <c r="DI171" s="228">
        <v>34.21</v>
      </c>
      <c r="DJ171" s="228">
        <v>1.1599999999999999</v>
      </c>
      <c r="DK171" s="228">
        <v>1.1599999999999999</v>
      </c>
      <c r="DL171" s="228">
        <v>42.61</v>
      </c>
      <c r="DM171" s="228">
        <v>39.14</v>
      </c>
      <c r="DN171" s="228">
        <v>3.47</v>
      </c>
      <c r="DO171" s="228">
        <v>3.47</v>
      </c>
      <c r="DP171" s="228">
        <v>1.18</v>
      </c>
      <c r="DQ171" s="228">
        <v>1.05</v>
      </c>
      <c r="DR171" s="228">
        <v>0.13</v>
      </c>
      <c r="DS171" s="229">
        <v>0.12379999999999999</v>
      </c>
      <c r="DT171" s="231">
        <v>30000</v>
      </c>
      <c r="DU171" s="231">
        <v>26000</v>
      </c>
      <c r="DV171" s="228">
        <v>0.56999999999999995</v>
      </c>
      <c r="DW171" s="228">
        <v>0.67</v>
      </c>
      <c r="DX171" s="228">
        <v>-0.1</v>
      </c>
      <c r="DY171" s="229">
        <v>-0.14929999999999999</v>
      </c>
      <c r="DZ171" s="229">
        <v>7.5700000000000003E-2</v>
      </c>
      <c r="EA171" s="230">
        <v>26100</v>
      </c>
      <c r="EB171" s="229">
        <v>-2.9999999999999997E-4</v>
      </c>
      <c r="EC171" s="229">
        <v>7.5700000000000003E-2</v>
      </c>
      <c r="ED171" s="228">
        <v>-65.8</v>
      </c>
      <c r="EE171" s="229">
        <v>-2.2000000000000001E-3</v>
      </c>
      <c r="EF171" s="230">
        <v>58413</v>
      </c>
      <c r="EG171" s="230">
        <v>38627</v>
      </c>
      <c r="EH171" s="229">
        <v>0.51219999999999999</v>
      </c>
      <c r="EI171" s="229">
        <v>0.30809999999999998</v>
      </c>
      <c r="EJ171" s="231">
        <v>352747.3</v>
      </c>
      <c r="EK171" s="231">
        <v>175607.38</v>
      </c>
      <c r="EL171" s="231">
        <v>41132.06</v>
      </c>
      <c r="EM171" s="231">
        <v>2329</v>
      </c>
      <c r="EN171" s="231">
        <v>569486.74</v>
      </c>
      <c r="EO171" s="231">
        <v>246998.06</v>
      </c>
      <c r="EP171" s="231">
        <v>322488.68</v>
      </c>
      <c r="EQ171" s="229">
        <v>1.3056000000000001</v>
      </c>
      <c r="ER171" s="231">
        <v>80066</v>
      </c>
      <c r="ES171" s="231">
        <v>85471</v>
      </c>
      <c r="ET171" s="231">
        <v>116865</v>
      </c>
      <c r="EU171" s="231">
        <v>1917916</v>
      </c>
      <c r="EV171" s="231">
        <v>282402</v>
      </c>
      <c r="EW171" s="231">
        <v>252619</v>
      </c>
      <c r="EX171" s="231">
        <v>29783</v>
      </c>
      <c r="EY171" s="229">
        <v>0.1179</v>
      </c>
      <c r="EZ171" s="229">
        <v>0.51659999999999995</v>
      </c>
      <c r="FA171" s="227" t="s">
        <v>555</v>
      </c>
      <c r="FB171" s="161">
        <f t="shared" si="4"/>
        <v>0</v>
      </c>
    </row>
    <row r="172" spans="1:158" ht="17.25" thickBot="1" x14ac:dyDescent="0.3">
      <c r="A172" s="226">
        <v>46132</v>
      </c>
      <c r="B172" s="227" t="s">
        <v>170</v>
      </c>
      <c r="C172" s="227" t="s">
        <v>676</v>
      </c>
      <c r="D172" s="228">
        <v>2625</v>
      </c>
      <c r="E172" s="228">
        <v>148.21</v>
      </c>
      <c r="F172" s="228">
        <v>148.41</v>
      </c>
      <c r="G172" s="228">
        <v>-0.2</v>
      </c>
      <c r="H172" s="229">
        <v>-1.2999999999999999E-3</v>
      </c>
      <c r="I172" s="228">
        <v>148.79</v>
      </c>
      <c r="J172" s="228">
        <v>148.85</v>
      </c>
      <c r="K172" s="228">
        <v>-0.06</v>
      </c>
      <c r="L172" s="229">
        <v>-4.0000000000000002E-4</v>
      </c>
      <c r="M172" s="228">
        <v>148.21</v>
      </c>
      <c r="N172" s="228">
        <v>148.41</v>
      </c>
      <c r="O172" s="228">
        <v>-0.2</v>
      </c>
      <c r="P172" s="229">
        <v>-1.2999999999999999E-3</v>
      </c>
      <c r="Q172" s="228">
        <v>0</v>
      </c>
      <c r="R172" s="228">
        <v>0</v>
      </c>
      <c r="S172" s="228">
        <v>0</v>
      </c>
      <c r="T172" s="229">
        <v>0</v>
      </c>
      <c r="U172" s="228">
        <v>0</v>
      </c>
      <c r="V172" s="228">
        <v>0</v>
      </c>
      <c r="W172" s="228">
        <v>0</v>
      </c>
      <c r="X172" s="229">
        <v>0</v>
      </c>
      <c r="Y172" s="228">
        <v>-0.57999999999999996</v>
      </c>
      <c r="Z172" s="228">
        <v>-0.44</v>
      </c>
      <c r="AA172" s="228">
        <v>-0.14000000000000001</v>
      </c>
      <c r="AB172" s="229">
        <v>-3.8999999999999998E-3</v>
      </c>
      <c r="AC172" s="228">
        <v>-0.57999999999999996</v>
      </c>
      <c r="AD172" s="228">
        <v>-0.44</v>
      </c>
      <c r="AE172" s="228">
        <v>-0.14000000000000001</v>
      </c>
      <c r="AF172" s="229">
        <v>-3.8999999999999998E-3</v>
      </c>
      <c r="AG172" s="228">
        <v>0</v>
      </c>
      <c r="AH172" s="228">
        <v>0</v>
      </c>
      <c r="AI172" s="228">
        <v>0</v>
      </c>
      <c r="AJ172" s="229">
        <v>0</v>
      </c>
      <c r="AK172" s="228">
        <v>0</v>
      </c>
      <c r="AL172" s="228">
        <v>0</v>
      </c>
      <c r="AM172" s="228">
        <v>0</v>
      </c>
      <c r="AN172" s="229">
        <v>0</v>
      </c>
      <c r="AO172" s="228">
        <v>148.01</v>
      </c>
      <c r="AP172" s="228">
        <v>0</v>
      </c>
      <c r="AQ172" s="228">
        <v>0</v>
      </c>
      <c r="AR172" s="230">
        <v>1417500</v>
      </c>
      <c r="AS172" s="230">
        <v>2176125</v>
      </c>
      <c r="AT172" s="230">
        <v>-758625</v>
      </c>
      <c r="AU172" s="229">
        <v>-0.34860000000000002</v>
      </c>
      <c r="AV172" s="230">
        <v>1417500</v>
      </c>
      <c r="AW172" s="230">
        <v>2176125</v>
      </c>
      <c r="AX172" s="230">
        <v>-758625</v>
      </c>
      <c r="AY172" s="229">
        <v>-0.34860000000000002</v>
      </c>
      <c r="AZ172" s="228">
        <v>0</v>
      </c>
      <c r="BA172" s="228">
        <v>0</v>
      </c>
      <c r="BB172" s="228">
        <v>0</v>
      </c>
      <c r="BC172" s="229">
        <v>0</v>
      </c>
      <c r="BD172" s="228">
        <v>0</v>
      </c>
      <c r="BE172" s="228">
        <v>0</v>
      </c>
      <c r="BF172" s="228">
        <v>0</v>
      </c>
      <c r="BG172" s="229">
        <v>0</v>
      </c>
      <c r="BH172" s="230">
        <v>3711750</v>
      </c>
      <c r="BI172" s="230">
        <v>5738250</v>
      </c>
      <c r="BJ172" s="230">
        <v>-2026500</v>
      </c>
      <c r="BK172" s="229">
        <v>-0.35320000000000001</v>
      </c>
      <c r="BL172" s="230">
        <v>1265250</v>
      </c>
      <c r="BM172" s="230">
        <v>1451625</v>
      </c>
      <c r="BN172" s="230">
        <v>-186375</v>
      </c>
      <c r="BO172" s="229">
        <v>-0.12839999999999999</v>
      </c>
      <c r="BP172" s="230">
        <v>6394500</v>
      </c>
      <c r="BQ172" s="230">
        <v>9366000</v>
      </c>
      <c r="BR172" s="230">
        <v>-2971500</v>
      </c>
      <c r="BS172" s="229">
        <v>-0.31730000000000003</v>
      </c>
      <c r="BT172" s="230">
        <v>1932281</v>
      </c>
      <c r="BU172" s="230">
        <v>2247661</v>
      </c>
      <c r="BV172" s="230">
        <v>-315380</v>
      </c>
      <c r="BW172" s="229">
        <v>-0.14030000000000001</v>
      </c>
      <c r="BX172" s="230">
        <v>11269125</v>
      </c>
      <c r="BY172" s="230">
        <v>11844000</v>
      </c>
      <c r="BZ172" s="230">
        <v>-574875</v>
      </c>
      <c r="CA172" s="229">
        <v>-4.8500000000000001E-2</v>
      </c>
      <c r="CB172" s="230">
        <v>11269125</v>
      </c>
      <c r="CC172" s="230">
        <v>11844000</v>
      </c>
      <c r="CD172" s="230">
        <v>-574875</v>
      </c>
      <c r="CE172" s="229">
        <v>-4.8500000000000001E-2</v>
      </c>
      <c r="CF172" s="228">
        <v>0</v>
      </c>
      <c r="CG172" s="228">
        <v>0</v>
      </c>
      <c r="CH172" s="228">
        <v>0</v>
      </c>
      <c r="CI172" s="229">
        <v>0</v>
      </c>
      <c r="CJ172" s="228">
        <v>0</v>
      </c>
      <c r="CK172" s="228">
        <v>0</v>
      </c>
      <c r="CL172" s="228">
        <v>0</v>
      </c>
      <c r="CM172" s="229">
        <v>0</v>
      </c>
      <c r="CN172" s="230">
        <v>5271000</v>
      </c>
      <c r="CO172" s="230">
        <v>5525625</v>
      </c>
      <c r="CP172" s="230">
        <v>-254625</v>
      </c>
      <c r="CQ172" s="229">
        <v>-4.6100000000000002E-2</v>
      </c>
      <c r="CR172" s="230">
        <v>3218250</v>
      </c>
      <c r="CS172" s="230">
        <v>3320625</v>
      </c>
      <c r="CT172" s="230">
        <v>-102375</v>
      </c>
      <c r="CU172" s="229">
        <v>-3.0800000000000001E-2</v>
      </c>
      <c r="CV172" s="230">
        <v>19758375</v>
      </c>
      <c r="CW172" s="230">
        <v>20690250</v>
      </c>
      <c r="CX172" s="230">
        <v>-931875</v>
      </c>
      <c r="CY172" s="229">
        <v>-4.4999999999999998E-2</v>
      </c>
      <c r="CZ172" s="228">
        <v>44.31</v>
      </c>
      <c r="DA172" s="228">
        <v>37.65</v>
      </c>
      <c r="DB172" s="228">
        <v>6.66</v>
      </c>
      <c r="DC172" s="228">
        <v>6.66</v>
      </c>
      <c r="DD172" s="228">
        <v>43.16</v>
      </c>
      <c r="DE172" s="228">
        <v>43.26</v>
      </c>
      <c r="DF172" s="228">
        <v>1.1499999999999999</v>
      </c>
      <c r="DG172" s="228">
        <v>-0.1</v>
      </c>
      <c r="DH172" s="228">
        <v>42.49</v>
      </c>
      <c r="DI172" s="228">
        <v>37.42</v>
      </c>
      <c r="DJ172" s="228">
        <v>5.07</v>
      </c>
      <c r="DK172" s="228">
        <v>5.07</v>
      </c>
      <c r="DL172" s="228">
        <v>49.66</v>
      </c>
      <c r="DM172" s="228">
        <v>38.58</v>
      </c>
      <c r="DN172" s="228">
        <v>11.08</v>
      </c>
      <c r="DO172" s="228">
        <v>11.08</v>
      </c>
      <c r="DP172" s="228">
        <v>0.61</v>
      </c>
      <c r="DQ172" s="228">
        <v>0.6</v>
      </c>
      <c r="DR172" s="228">
        <v>0.01</v>
      </c>
      <c r="DS172" s="229">
        <v>1.67E-2</v>
      </c>
      <c r="DT172" s="228">
        <v>150</v>
      </c>
      <c r="DU172" s="228">
        <v>150</v>
      </c>
      <c r="DV172" s="228">
        <v>0.34</v>
      </c>
      <c r="DW172" s="228">
        <v>0.25</v>
      </c>
      <c r="DX172" s="228">
        <v>0.09</v>
      </c>
      <c r="DY172" s="229">
        <v>0.36</v>
      </c>
      <c r="DZ172" s="229">
        <v>0</v>
      </c>
      <c r="EA172" s="228">
        <v>0</v>
      </c>
      <c r="EB172" s="229">
        <v>0</v>
      </c>
      <c r="EC172" s="229">
        <v>0</v>
      </c>
      <c r="ED172" s="228">
        <v>0</v>
      </c>
      <c r="EE172" s="229">
        <v>0</v>
      </c>
      <c r="EF172" s="230">
        <v>674991</v>
      </c>
      <c r="EG172" s="230">
        <v>843228</v>
      </c>
      <c r="EH172" s="229">
        <v>-0.19950000000000001</v>
      </c>
      <c r="EI172" s="229">
        <v>0.3493</v>
      </c>
      <c r="EJ172" s="231">
        <v>5764.63</v>
      </c>
      <c r="EK172" s="231">
        <v>1768.7</v>
      </c>
      <c r="EL172" s="231">
        <v>2097.9899999999998</v>
      </c>
      <c r="EM172" s="228">
        <v>980</v>
      </c>
      <c r="EN172" s="231">
        <v>9631.32</v>
      </c>
      <c r="EO172" s="231">
        <v>14287.16</v>
      </c>
      <c r="EP172" s="231">
        <v>-4655.84</v>
      </c>
      <c r="EQ172" s="229">
        <v>-0.32590000000000002</v>
      </c>
      <c r="ER172" s="231">
        <v>8256</v>
      </c>
      <c r="ES172" s="231">
        <v>4707</v>
      </c>
      <c r="ET172" s="231">
        <v>16702</v>
      </c>
      <c r="EU172" s="231">
        <v>92833839</v>
      </c>
      <c r="EV172" s="231">
        <v>29665</v>
      </c>
      <c r="EW172" s="231">
        <v>31067</v>
      </c>
      <c r="EX172" s="231">
        <v>-1402</v>
      </c>
      <c r="EY172" s="229">
        <v>-4.5100000000000001E-2</v>
      </c>
      <c r="EZ172" s="229">
        <v>0.21279999999999999</v>
      </c>
      <c r="FA172" s="227" t="s">
        <v>567</v>
      </c>
      <c r="FB172" s="161">
        <f t="shared" si="4"/>
        <v>0</v>
      </c>
    </row>
    <row r="173" spans="1:158" ht="17.25" thickBot="1" x14ac:dyDescent="0.3">
      <c r="A173" s="226">
        <v>46132</v>
      </c>
      <c r="B173" s="227" t="s">
        <v>184</v>
      </c>
      <c r="C173" s="227" t="s">
        <v>688</v>
      </c>
      <c r="D173" s="228">
        <v>575</v>
      </c>
      <c r="E173" s="231">
        <v>1004.1</v>
      </c>
      <c r="F173" s="231">
        <v>1006.65</v>
      </c>
      <c r="G173" s="228">
        <v>-2.5499999999999998</v>
      </c>
      <c r="H173" s="229">
        <v>-2.5000000000000001E-3</v>
      </c>
      <c r="I173" s="231">
        <v>1010.75</v>
      </c>
      <c r="J173" s="231">
        <v>1034.5999999999999</v>
      </c>
      <c r="K173" s="228">
        <v>-23.85</v>
      </c>
      <c r="L173" s="229">
        <v>-2.3099999999999999E-2</v>
      </c>
      <c r="M173" s="231">
        <v>1004.1</v>
      </c>
      <c r="N173" s="231">
        <v>1006.65</v>
      </c>
      <c r="O173" s="228">
        <v>-2.5499999999999998</v>
      </c>
      <c r="P173" s="229">
        <v>-2.5000000000000001E-3</v>
      </c>
      <c r="Q173" s="228">
        <v>991.2</v>
      </c>
      <c r="R173" s="228">
        <v>991.6</v>
      </c>
      <c r="S173" s="228">
        <v>-0.4</v>
      </c>
      <c r="T173" s="229">
        <v>-4.0000000000000002E-4</v>
      </c>
      <c r="U173" s="228">
        <v>980</v>
      </c>
      <c r="V173" s="231">
        <v>1001.5</v>
      </c>
      <c r="W173" s="228">
        <v>-21.5</v>
      </c>
      <c r="X173" s="229">
        <v>-2.1499999999999998E-2</v>
      </c>
      <c r="Y173" s="228">
        <v>-6.65</v>
      </c>
      <c r="Z173" s="228">
        <v>-27.95</v>
      </c>
      <c r="AA173" s="228">
        <v>21.3</v>
      </c>
      <c r="AB173" s="229">
        <v>-6.6E-3</v>
      </c>
      <c r="AC173" s="228">
        <v>-6.65</v>
      </c>
      <c r="AD173" s="228">
        <v>-27.95</v>
      </c>
      <c r="AE173" s="228">
        <v>21.3</v>
      </c>
      <c r="AF173" s="229">
        <v>-6.6E-3</v>
      </c>
      <c r="AG173" s="228">
        <v>-19.55</v>
      </c>
      <c r="AH173" s="228">
        <v>-43</v>
      </c>
      <c r="AI173" s="228">
        <v>23.45</v>
      </c>
      <c r="AJ173" s="229">
        <v>-1.9300000000000001E-2</v>
      </c>
      <c r="AK173" s="228">
        <v>-30.75</v>
      </c>
      <c r="AL173" s="228">
        <v>-33.1</v>
      </c>
      <c r="AM173" s="228">
        <v>2.35</v>
      </c>
      <c r="AN173" s="229">
        <v>-3.04E-2</v>
      </c>
      <c r="AO173" s="231">
        <v>1009.57</v>
      </c>
      <c r="AP173" s="228">
        <v>997.72</v>
      </c>
      <c r="AQ173" s="228">
        <v>0</v>
      </c>
      <c r="AR173" s="230">
        <v>3215400</v>
      </c>
      <c r="AS173" s="230">
        <v>6743025</v>
      </c>
      <c r="AT173" s="230">
        <v>-3527625</v>
      </c>
      <c r="AU173" s="229">
        <v>-0.5232</v>
      </c>
      <c r="AV173" s="230">
        <v>2460425</v>
      </c>
      <c r="AW173" s="230">
        <v>5436050</v>
      </c>
      <c r="AX173" s="230">
        <v>-2975625</v>
      </c>
      <c r="AY173" s="229">
        <v>-0.5474</v>
      </c>
      <c r="AZ173" s="230">
        <v>742325</v>
      </c>
      <c r="BA173" s="230">
        <v>1304100</v>
      </c>
      <c r="BB173" s="230">
        <v>-561775</v>
      </c>
      <c r="BC173" s="229">
        <v>-0.43080000000000002</v>
      </c>
      <c r="BD173" s="230">
        <v>12650</v>
      </c>
      <c r="BE173" s="230">
        <v>2875</v>
      </c>
      <c r="BF173" s="230">
        <v>9775</v>
      </c>
      <c r="BG173" s="229">
        <v>3.4</v>
      </c>
      <c r="BH173" s="230">
        <v>5237100</v>
      </c>
      <c r="BI173" s="230">
        <v>4509725</v>
      </c>
      <c r="BJ173" s="230">
        <v>727375</v>
      </c>
      <c r="BK173" s="229">
        <v>0.1613</v>
      </c>
      <c r="BL173" s="230">
        <v>1931425</v>
      </c>
      <c r="BM173" s="230">
        <v>3098100</v>
      </c>
      <c r="BN173" s="230">
        <v>-1166675</v>
      </c>
      <c r="BO173" s="229">
        <v>-0.37659999999999999</v>
      </c>
      <c r="BP173" s="230">
        <v>10383925</v>
      </c>
      <c r="BQ173" s="230">
        <v>14350850</v>
      </c>
      <c r="BR173" s="230">
        <v>-3966925</v>
      </c>
      <c r="BS173" s="229">
        <v>-0.27639999999999998</v>
      </c>
      <c r="BT173" s="230">
        <v>1891731</v>
      </c>
      <c r="BU173" s="230">
        <v>7485168</v>
      </c>
      <c r="BV173" s="230">
        <v>-5593437</v>
      </c>
      <c r="BW173" s="229">
        <v>-0.74729999999999996</v>
      </c>
      <c r="BX173" s="230">
        <v>13441200</v>
      </c>
      <c r="BY173" s="230">
        <v>13171525</v>
      </c>
      <c r="BZ173" s="230">
        <v>269675</v>
      </c>
      <c r="CA173" s="229">
        <v>2.0500000000000001E-2</v>
      </c>
      <c r="CB173" s="230">
        <v>11002050</v>
      </c>
      <c r="CC173" s="230">
        <v>11199850</v>
      </c>
      <c r="CD173" s="230">
        <v>-197800</v>
      </c>
      <c r="CE173" s="229">
        <v>-1.77E-2</v>
      </c>
      <c r="CF173" s="230">
        <v>2422475</v>
      </c>
      <c r="CG173" s="230">
        <v>1963050</v>
      </c>
      <c r="CH173" s="230">
        <v>459425</v>
      </c>
      <c r="CI173" s="229">
        <v>0.23400000000000001</v>
      </c>
      <c r="CJ173" s="230">
        <v>16675</v>
      </c>
      <c r="CK173" s="230">
        <v>8625</v>
      </c>
      <c r="CL173" s="230">
        <v>8050</v>
      </c>
      <c r="CM173" s="229">
        <v>0.93330000000000002</v>
      </c>
      <c r="CN173" s="230">
        <v>2670875</v>
      </c>
      <c r="CO173" s="230">
        <v>2212025</v>
      </c>
      <c r="CP173" s="230">
        <v>458850</v>
      </c>
      <c r="CQ173" s="229">
        <v>0.2074</v>
      </c>
      <c r="CR173" s="230">
        <v>2043550</v>
      </c>
      <c r="CS173" s="230">
        <v>1799175</v>
      </c>
      <c r="CT173" s="230">
        <v>244375</v>
      </c>
      <c r="CU173" s="229">
        <v>0.1358</v>
      </c>
      <c r="CV173" s="230">
        <v>18155625</v>
      </c>
      <c r="CW173" s="230">
        <v>17182725</v>
      </c>
      <c r="CX173" s="230">
        <v>972900</v>
      </c>
      <c r="CY173" s="229">
        <v>5.6599999999999998E-2</v>
      </c>
      <c r="CZ173" s="228">
        <v>44.46</v>
      </c>
      <c r="DA173" s="228">
        <v>41.62</v>
      </c>
      <c r="DB173" s="228">
        <v>2.84</v>
      </c>
      <c r="DC173" s="228">
        <v>2.84</v>
      </c>
      <c r="DD173" s="228">
        <v>48.81</v>
      </c>
      <c r="DE173" s="228">
        <v>48.93</v>
      </c>
      <c r="DF173" s="228">
        <v>-4.3499999999999996</v>
      </c>
      <c r="DG173" s="228">
        <v>-0.12</v>
      </c>
      <c r="DH173" s="228">
        <v>45.69</v>
      </c>
      <c r="DI173" s="228">
        <v>40.72</v>
      </c>
      <c r="DJ173" s="228">
        <v>4.97</v>
      </c>
      <c r="DK173" s="228">
        <v>4.97</v>
      </c>
      <c r="DL173" s="228">
        <v>41.13</v>
      </c>
      <c r="DM173" s="228">
        <v>42.92</v>
      </c>
      <c r="DN173" s="228">
        <v>-1.79</v>
      </c>
      <c r="DO173" s="228">
        <v>-1.79</v>
      </c>
      <c r="DP173" s="228">
        <v>0.77</v>
      </c>
      <c r="DQ173" s="228">
        <v>0.81</v>
      </c>
      <c r="DR173" s="228">
        <v>-0.04</v>
      </c>
      <c r="DS173" s="229">
        <v>-4.9399999999999999E-2</v>
      </c>
      <c r="DT173" s="231">
        <v>1100</v>
      </c>
      <c r="DU173" s="228">
        <v>960</v>
      </c>
      <c r="DV173" s="228">
        <v>0.37</v>
      </c>
      <c r="DW173" s="228">
        <v>0.69</v>
      </c>
      <c r="DX173" s="228">
        <v>-0.32</v>
      </c>
      <c r="DY173" s="229">
        <v>-0.46379999999999999</v>
      </c>
      <c r="DZ173" s="229">
        <v>0.18149999999999999</v>
      </c>
      <c r="EA173" s="230">
        <v>1971675</v>
      </c>
      <c r="EB173" s="229">
        <v>-1.2800000000000001E-2</v>
      </c>
      <c r="EC173" s="229">
        <v>0.18149999999999999</v>
      </c>
      <c r="ED173" s="228">
        <v>-11.85</v>
      </c>
      <c r="EE173" s="229">
        <v>-1.17E-2</v>
      </c>
      <c r="EF173" s="230">
        <v>707723</v>
      </c>
      <c r="EG173" s="230">
        <v>4650294</v>
      </c>
      <c r="EH173" s="229">
        <v>-0.8478</v>
      </c>
      <c r="EI173" s="229">
        <v>0.37409999999999999</v>
      </c>
      <c r="EJ173" s="231">
        <v>55847.46</v>
      </c>
      <c r="EK173" s="231">
        <v>19047.189999999999</v>
      </c>
      <c r="EL173" s="231">
        <v>32371.79</v>
      </c>
      <c r="EM173" s="231">
        <v>6042</v>
      </c>
      <c r="EN173" s="231">
        <v>107266.44</v>
      </c>
      <c r="EO173" s="231">
        <v>144775.88</v>
      </c>
      <c r="EP173" s="231">
        <v>-37509.440000000002</v>
      </c>
      <c r="EQ173" s="229">
        <v>-0.2591</v>
      </c>
      <c r="ER173" s="231">
        <v>26937</v>
      </c>
      <c r="ES173" s="231">
        <v>18826</v>
      </c>
      <c r="ET173" s="231">
        <v>134647</v>
      </c>
      <c r="EU173" s="231">
        <v>23961540</v>
      </c>
      <c r="EV173" s="231">
        <v>180410</v>
      </c>
      <c r="EW173" s="231">
        <v>170531</v>
      </c>
      <c r="EX173" s="231">
        <v>9879</v>
      </c>
      <c r="EY173" s="229">
        <v>5.79E-2</v>
      </c>
      <c r="EZ173" s="229">
        <v>0.75770000000000004</v>
      </c>
      <c r="FA173" s="227" t="s">
        <v>566</v>
      </c>
      <c r="FB173" s="161">
        <f t="shared" si="4"/>
        <v>0</v>
      </c>
    </row>
    <row r="174" spans="1:158" ht="17.25" thickBot="1" x14ac:dyDescent="0.3">
      <c r="A174" s="226">
        <v>46132</v>
      </c>
      <c r="B174" s="227" t="s">
        <v>206</v>
      </c>
      <c r="C174" s="227" t="s">
        <v>604</v>
      </c>
      <c r="D174" s="228">
        <v>450</v>
      </c>
      <c r="E174" s="231">
        <v>1372.2</v>
      </c>
      <c r="F174" s="231">
        <v>1357.6</v>
      </c>
      <c r="G174" s="228">
        <v>14.6</v>
      </c>
      <c r="H174" s="229">
        <v>1.0800000000000001E-2</v>
      </c>
      <c r="I174" s="231">
        <v>1373.8</v>
      </c>
      <c r="J174" s="231">
        <v>1356.8</v>
      </c>
      <c r="K174" s="228">
        <v>17</v>
      </c>
      <c r="L174" s="229">
        <v>1.2500000000000001E-2</v>
      </c>
      <c r="M174" s="231">
        <v>1372.2</v>
      </c>
      <c r="N174" s="231">
        <v>1357.6</v>
      </c>
      <c r="O174" s="228">
        <v>14.6</v>
      </c>
      <c r="P174" s="229">
        <v>1.0800000000000001E-2</v>
      </c>
      <c r="Q174" s="231">
        <v>1378.8</v>
      </c>
      <c r="R174" s="231">
        <v>1362.2</v>
      </c>
      <c r="S174" s="228">
        <v>16.600000000000001</v>
      </c>
      <c r="T174" s="229">
        <v>1.2200000000000001E-2</v>
      </c>
      <c r="U174" s="231">
        <v>1385</v>
      </c>
      <c r="V174" s="231">
        <v>1366.2</v>
      </c>
      <c r="W174" s="228">
        <v>18.8</v>
      </c>
      <c r="X174" s="229">
        <v>1.38E-2</v>
      </c>
      <c r="Y174" s="228">
        <v>-1.6</v>
      </c>
      <c r="Z174" s="228">
        <v>0.8</v>
      </c>
      <c r="AA174" s="228">
        <v>-2.4</v>
      </c>
      <c r="AB174" s="229">
        <v>-1.1999999999999999E-3</v>
      </c>
      <c r="AC174" s="228">
        <v>-1.6</v>
      </c>
      <c r="AD174" s="228">
        <v>0.8</v>
      </c>
      <c r="AE174" s="228">
        <v>-2.4</v>
      </c>
      <c r="AF174" s="229">
        <v>-1.1999999999999999E-3</v>
      </c>
      <c r="AG174" s="228">
        <v>5</v>
      </c>
      <c r="AH174" s="228">
        <v>5.4</v>
      </c>
      <c r="AI174" s="228">
        <v>-0.4</v>
      </c>
      <c r="AJ174" s="229">
        <v>3.5999999999999999E-3</v>
      </c>
      <c r="AK174" s="228">
        <v>11.2</v>
      </c>
      <c r="AL174" s="228">
        <v>9.4</v>
      </c>
      <c r="AM174" s="228">
        <v>1.8</v>
      </c>
      <c r="AN174" s="229">
        <v>8.2000000000000007E-3</v>
      </c>
      <c r="AO174" s="231">
        <v>1367.32</v>
      </c>
      <c r="AP174" s="231">
        <v>1375.41</v>
      </c>
      <c r="AQ174" s="228">
        <v>0</v>
      </c>
      <c r="AR174" s="230">
        <v>1037250</v>
      </c>
      <c r="AS174" s="230">
        <v>1077300</v>
      </c>
      <c r="AT174" s="230">
        <v>-40050</v>
      </c>
      <c r="AU174" s="229">
        <v>-3.7199999999999997E-2</v>
      </c>
      <c r="AV174" s="230">
        <v>954900</v>
      </c>
      <c r="AW174" s="230">
        <v>1047600</v>
      </c>
      <c r="AX174" s="230">
        <v>-92700</v>
      </c>
      <c r="AY174" s="229">
        <v>-8.8499999999999995E-2</v>
      </c>
      <c r="AZ174" s="230">
        <v>80100</v>
      </c>
      <c r="BA174" s="230">
        <v>27450</v>
      </c>
      <c r="BB174" s="230">
        <v>52650</v>
      </c>
      <c r="BC174" s="229">
        <v>1.9179999999999999</v>
      </c>
      <c r="BD174" s="230">
        <v>2250</v>
      </c>
      <c r="BE174" s="230">
        <v>2250</v>
      </c>
      <c r="BF174" s="228">
        <v>0</v>
      </c>
      <c r="BG174" s="229">
        <v>0</v>
      </c>
      <c r="BH174" s="230">
        <v>2502900</v>
      </c>
      <c r="BI174" s="230">
        <v>2472300</v>
      </c>
      <c r="BJ174" s="230">
        <v>30600</v>
      </c>
      <c r="BK174" s="229">
        <v>1.24E-2</v>
      </c>
      <c r="BL174" s="230">
        <v>1610100</v>
      </c>
      <c r="BM174" s="230">
        <v>1057950</v>
      </c>
      <c r="BN174" s="230">
        <v>552150</v>
      </c>
      <c r="BO174" s="229">
        <v>0.52190000000000003</v>
      </c>
      <c r="BP174" s="230">
        <v>5150250</v>
      </c>
      <c r="BQ174" s="230">
        <v>4607550</v>
      </c>
      <c r="BR174" s="230">
        <v>542700</v>
      </c>
      <c r="BS174" s="229">
        <v>0.1178</v>
      </c>
      <c r="BT174" s="230">
        <v>1012543</v>
      </c>
      <c r="BU174" s="230">
        <v>856464</v>
      </c>
      <c r="BV174" s="230">
        <v>156079</v>
      </c>
      <c r="BW174" s="229">
        <v>0.1822</v>
      </c>
      <c r="BX174" s="230">
        <v>6693750</v>
      </c>
      <c r="BY174" s="230">
        <v>6934500</v>
      </c>
      <c r="BZ174" s="230">
        <v>-240750</v>
      </c>
      <c r="CA174" s="229">
        <v>-3.4700000000000002E-2</v>
      </c>
      <c r="CB174" s="230">
        <v>6582150</v>
      </c>
      <c r="CC174" s="230">
        <v>6848100</v>
      </c>
      <c r="CD174" s="230">
        <v>-265950</v>
      </c>
      <c r="CE174" s="229">
        <v>-3.8800000000000001E-2</v>
      </c>
      <c r="CF174" s="230">
        <v>104400</v>
      </c>
      <c r="CG174" s="230">
        <v>79200</v>
      </c>
      <c r="CH174" s="230">
        <v>25200</v>
      </c>
      <c r="CI174" s="229">
        <v>0.31819999999999998</v>
      </c>
      <c r="CJ174" s="230">
        <v>7200</v>
      </c>
      <c r="CK174" s="230">
        <v>7200</v>
      </c>
      <c r="CL174" s="228">
        <v>0</v>
      </c>
      <c r="CM174" s="229">
        <v>0</v>
      </c>
      <c r="CN174" s="230">
        <v>2157750</v>
      </c>
      <c r="CO174" s="230">
        <v>2209050</v>
      </c>
      <c r="CP174" s="230">
        <v>-51300</v>
      </c>
      <c r="CQ174" s="229">
        <v>-2.3199999999999998E-2</v>
      </c>
      <c r="CR174" s="230">
        <v>1378350</v>
      </c>
      <c r="CS174" s="230">
        <v>1644300</v>
      </c>
      <c r="CT174" s="230">
        <v>-265950</v>
      </c>
      <c r="CU174" s="229">
        <v>-0.16170000000000001</v>
      </c>
      <c r="CV174" s="230">
        <v>10229850</v>
      </c>
      <c r="CW174" s="230">
        <v>10787850</v>
      </c>
      <c r="CX174" s="230">
        <v>-558000</v>
      </c>
      <c r="CY174" s="229">
        <v>-5.1700000000000003E-2</v>
      </c>
      <c r="CZ174" s="228">
        <v>45.98</v>
      </c>
      <c r="DA174" s="228">
        <v>40.200000000000003</v>
      </c>
      <c r="DB174" s="228">
        <v>5.78</v>
      </c>
      <c r="DC174" s="228">
        <v>5.78</v>
      </c>
      <c r="DD174" s="228">
        <v>44.82</v>
      </c>
      <c r="DE174" s="228">
        <v>44.91</v>
      </c>
      <c r="DF174" s="228">
        <v>1.1599999999999999</v>
      </c>
      <c r="DG174" s="228">
        <v>-0.09</v>
      </c>
      <c r="DH174" s="228">
        <v>40.700000000000003</v>
      </c>
      <c r="DI174" s="228">
        <v>37.4</v>
      </c>
      <c r="DJ174" s="228">
        <v>3.3</v>
      </c>
      <c r="DK174" s="228">
        <v>3.3</v>
      </c>
      <c r="DL174" s="228">
        <v>54.18</v>
      </c>
      <c r="DM174" s="228">
        <v>46.74</v>
      </c>
      <c r="DN174" s="228">
        <v>7.44</v>
      </c>
      <c r="DO174" s="228">
        <v>7.44</v>
      </c>
      <c r="DP174" s="228">
        <v>0.64</v>
      </c>
      <c r="DQ174" s="228">
        <v>0.74</v>
      </c>
      <c r="DR174" s="228">
        <v>-0.1</v>
      </c>
      <c r="DS174" s="229">
        <v>-0.1351</v>
      </c>
      <c r="DT174" s="231">
        <v>1400</v>
      </c>
      <c r="DU174" s="231">
        <v>1200</v>
      </c>
      <c r="DV174" s="228">
        <v>0.64</v>
      </c>
      <c r="DW174" s="228">
        <v>0.43</v>
      </c>
      <c r="DX174" s="228">
        <v>0.21</v>
      </c>
      <c r="DY174" s="229">
        <v>0.4884</v>
      </c>
      <c r="DZ174" s="229">
        <v>1.67E-2</v>
      </c>
      <c r="EA174" s="230">
        <v>86400</v>
      </c>
      <c r="EB174" s="229">
        <v>4.7999999999999996E-3</v>
      </c>
      <c r="EC174" s="229">
        <v>1.67E-2</v>
      </c>
      <c r="ED174" s="228">
        <v>8.09</v>
      </c>
      <c r="EE174" s="229">
        <v>5.8999999999999999E-3</v>
      </c>
      <c r="EF174" s="230">
        <v>620130</v>
      </c>
      <c r="EG174" s="230">
        <v>449840</v>
      </c>
      <c r="EH174" s="229">
        <v>0.37859999999999999</v>
      </c>
      <c r="EI174" s="229">
        <v>0.61240000000000006</v>
      </c>
      <c r="EJ174" s="231">
        <v>35632.019999999997</v>
      </c>
      <c r="EK174" s="231">
        <v>20122.79</v>
      </c>
      <c r="EL174" s="231">
        <v>14189.17</v>
      </c>
      <c r="EM174" s="231">
        <v>2284</v>
      </c>
      <c r="EN174" s="231">
        <v>69943.98</v>
      </c>
      <c r="EO174" s="231">
        <v>63583.77</v>
      </c>
      <c r="EP174" s="231">
        <v>6360.21</v>
      </c>
      <c r="EQ174" s="229">
        <v>0.1</v>
      </c>
      <c r="ER174" s="231">
        <v>29594</v>
      </c>
      <c r="ES174" s="231">
        <v>16924</v>
      </c>
      <c r="ET174" s="231">
        <v>91859</v>
      </c>
      <c r="EU174" s="231">
        <v>25234534</v>
      </c>
      <c r="EV174" s="231">
        <v>138378</v>
      </c>
      <c r="EW174" s="231">
        <v>144437</v>
      </c>
      <c r="EX174" s="231">
        <v>-6059</v>
      </c>
      <c r="EY174" s="229">
        <v>-4.19E-2</v>
      </c>
      <c r="EZ174" s="229">
        <v>0.40539999999999998</v>
      </c>
      <c r="FA174" s="227" t="s">
        <v>693</v>
      </c>
      <c r="FB174" s="161">
        <f t="shared" si="4"/>
        <v>0</v>
      </c>
    </row>
    <row r="175" spans="1:158" ht="17.25" thickBot="1" x14ac:dyDescent="0.3">
      <c r="A175" s="226">
        <v>46132</v>
      </c>
      <c r="B175" s="227" t="s">
        <v>172</v>
      </c>
      <c r="C175" s="227" t="s">
        <v>279</v>
      </c>
      <c r="D175" s="228">
        <v>3175</v>
      </c>
      <c r="E175" s="228">
        <v>317.35000000000002</v>
      </c>
      <c r="F175" s="228">
        <v>316.64999999999998</v>
      </c>
      <c r="G175" s="228">
        <v>0.7</v>
      </c>
      <c r="H175" s="229">
        <v>2.2000000000000001E-3</v>
      </c>
      <c r="I175" s="228">
        <v>317.5</v>
      </c>
      <c r="J175" s="228">
        <v>315.55</v>
      </c>
      <c r="K175" s="228">
        <v>1.95</v>
      </c>
      <c r="L175" s="229">
        <v>6.1999999999999998E-3</v>
      </c>
      <c r="M175" s="228">
        <v>317.35000000000002</v>
      </c>
      <c r="N175" s="228">
        <v>316.64999999999998</v>
      </c>
      <c r="O175" s="228">
        <v>0.7</v>
      </c>
      <c r="P175" s="229">
        <v>2.2000000000000001E-3</v>
      </c>
      <c r="Q175" s="228">
        <v>319.60000000000002</v>
      </c>
      <c r="R175" s="228">
        <v>318.2</v>
      </c>
      <c r="S175" s="228">
        <v>1.4</v>
      </c>
      <c r="T175" s="229">
        <v>4.4000000000000003E-3</v>
      </c>
      <c r="U175" s="228">
        <v>321.05</v>
      </c>
      <c r="V175" s="228">
        <v>317.5</v>
      </c>
      <c r="W175" s="228">
        <v>3.55</v>
      </c>
      <c r="X175" s="229">
        <v>1.12E-2</v>
      </c>
      <c r="Y175" s="228">
        <v>-0.15</v>
      </c>
      <c r="Z175" s="228">
        <v>1.1000000000000001</v>
      </c>
      <c r="AA175" s="228">
        <v>-1.25</v>
      </c>
      <c r="AB175" s="229">
        <v>-5.0000000000000001E-4</v>
      </c>
      <c r="AC175" s="228">
        <v>-0.15</v>
      </c>
      <c r="AD175" s="228">
        <v>1.1000000000000001</v>
      </c>
      <c r="AE175" s="228">
        <v>-1.25</v>
      </c>
      <c r="AF175" s="229">
        <v>-5.0000000000000001E-4</v>
      </c>
      <c r="AG175" s="228">
        <v>2.1</v>
      </c>
      <c r="AH175" s="228">
        <v>2.65</v>
      </c>
      <c r="AI175" s="228">
        <v>-0.55000000000000004</v>
      </c>
      <c r="AJ175" s="229">
        <v>6.6E-3</v>
      </c>
      <c r="AK175" s="228">
        <v>3.55</v>
      </c>
      <c r="AL175" s="228">
        <v>1.95</v>
      </c>
      <c r="AM175" s="228">
        <v>1.6</v>
      </c>
      <c r="AN175" s="229">
        <v>1.12E-2</v>
      </c>
      <c r="AO175" s="228">
        <v>316.86</v>
      </c>
      <c r="AP175" s="228">
        <v>318.99</v>
      </c>
      <c r="AQ175" s="228">
        <v>0</v>
      </c>
      <c r="AR175" s="230">
        <v>10756900</v>
      </c>
      <c r="AS175" s="230">
        <v>7807325</v>
      </c>
      <c r="AT175" s="230">
        <v>2949575</v>
      </c>
      <c r="AU175" s="229">
        <v>0.37780000000000002</v>
      </c>
      <c r="AV175" s="230">
        <v>8223250</v>
      </c>
      <c r="AW175" s="230">
        <v>7118350</v>
      </c>
      <c r="AX175" s="230">
        <v>1104900</v>
      </c>
      <c r="AY175" s="229">
        <v>0.1552</v>
      </c>
      <c r="AZ175" s="230">
        <v>2511425</v>
      </c>
      <c r="BA175" s="230">
        <v>657225</v>
      </c>
      <c r="BB175" s="230">
        <v>1854200</v>
      </c>
      <c r="BC175" s="229">
        <v>2.8212999999999999</v>
      </c>
      <c r="BD175" s="230">
        <v>22225</v>
      </c>
      <c r="BE175" s="230">
        <v>31750</v>
      </c>
      <c r="BF175" s="230">
        <v>-9525</v>
      </c>
      <c r="BG175" s="229">
        <v>-0.3</v>
      </c>
      <c r="BH175" s="230">
        <v>18056225</v>
      </c>
      <c r="BI175" s="230">
        <v>34442400</v>
      </c>
      <c r="BJ175" s="230">
        <v>-16386175</v>
      </c>
      <c r="BK175" s="229">
        <v>-0.4758</v>
      </c>
      <c r="BL175" s="230">
        <v>8464550</v>
      </c>
      <c r="BM175" s="230">
        <v>13430250</v>
      </c>
      <c r="BN175" s="230">
        <v>-4965700</v>
      </c>
      <c r="BO175" s="229">
        <v>-0.36969999999999997</v>
      </c>
      <c r="BP175" s="230">
        <v>37277675</v>
      </c>
      <c r="BQ175" s="230">
        <v>55679975</v>
      </c>
      <c r="BR175" s="230">
        <v>-18402300</v>
      </c>
      <c r="BS175" s="229">
        <v>-0.33050000000000002</v>
      </c>
      <c r="BT175" s="230">
        <v>4881362</v>
      </c>
      <c r="BU175" s="230">
        <v>3345655</v>
      </c>
      <c r="BV175" s="230">
        <v>1535707</v>
      </c>
      <c r="BW175" s="229">
        <v>0.45900000000000002</v>
      </c>
      <c r="BX175" s="230">
        <v>59690000</v>
      </c>
      <c r="BY175" s="230">
        <v>61518800</v>
      </c>
      <c r="BZ175" s="230">
        <v>-1828800</v>
      </c>
      <c r="CA175" s="229">
        <v>-2.9700000000000001E-2</v>
      </c>
      <c r="CB175" s="230">
        <v>56502300</v>
      </c>
      <c r="CC175" s="230">
        <v>60182125</v>
      </c>
      <c r="CD175" s="230">
        <v>-3679825</v>
      </c>
      <c r="CE175" s="229">
        <v>-6.1100000000000002E-2</v>
      </c>
      <c r="CF175" s="230">
        <v>3057525</v>
      </c>
      <c r="CG175" s="230">
        <v>1216025</v>
      </c>
      <c r="CH175" s="230">
        <v>1841500</v>
      </c>
      <c r="CI175" s="229">
        <v>1.5144</v>
      </c>
      <c r="CJ175" s="230">
        <v>130175</v>
      </c>
      <c r="CK175" s="230">
        <v>120650</v>
      </c>
      <c r="CL175" s="230">
        <v>9525</v>
      </c>
      <c r="CM175" s="229">
        <v>7.8899999999999998E-2</v>
      </c>
      <c r="CN175" s="230">
        <v>29311600</v>
      </c>
      <c r="CO175" s="230">
        <v>30740350</v>
      </c>
      <c r="CP175" s="230">
        <v>-1428750</v>
      </c>
      <c r="CQ175" s="229">
        <v>-4.65E-2</v>
      </c>
      <c r="CR175" s="230">
        <v>26606500</v>
      </c>
      <c r="CS175" s="230">
        <v>27689175</v>
      </c>
      <c r="CT175" s="230">
        <v>-1082675</v>
      </c>
      <c r="CU175" s="229">
        <v>-3.9100000000000003E-2</v>
      </c>
      <c r="CV175" s="230">
        <v>115608100</v>
      </c>
      <c r="CW175" s="230">
        <v>119948325</v>
      </c>
      <c r="CX175" s="230">
        <v>-4340225</v>
      </c>
      <c r="CY175" s="229">
        <v>-3.6200000000000003E-2</v>
      </c>
      <c r="CZ175" s="228">
        <v>35.47</v>
      </c>
      <c r="DA175" s="228">
        <v>31.87</v>
      </c>
      <c r="DB175" s="228">
        <v>3.6</v>
      </c>
      <c r="DC175" s="228">
        <v>3.6</v>
      </c>
      <c r="DD175" s="228">
        <v>43.09</v>
      </c>
      <c r="DE175" s="228">
        <v>43.19</v>
      </c>
      <c r="DF175" s="228">
        <v>-7.62</v>
      </c>
      <c r="DG175" s="228">
        <v>-0.1</v>
      </c>
      <c r="DH175" s="228">
        <v>34.56</v>
      </c>
      <c r="DI175" s="228">
        <v>31.67</v>
      </c>
      <c r="DJ175" s="228">
        <v>2.89</v>
      </c>
      <c r="DK175" s="228">
        <v>2.89</v>
      </c>
      <c r="DL175" s="228">
        <v>37.39</v>
      </c>
      <c r="DM175" s="228">
        <v>32.39</v>
      </c>
      <c r="DN175" s="228">
        <v>5</v>
      </c>
      <c r="DO175" s="228">
        <v>5</v>
      </c>
      <c r="DP175" s="228">
        <v>0.91</v>
      </c>
      <c r="DQ175" s="228">
        <v>0.9</v>
      </c>
      <c r="DR175" s="228">
        <v>0.01</v>
      </c>
      <c r="DS175" s="229">
        <v>1.11E-2</v>
      </c>
      <c r="DT175" s="228">
        <v>300</v>
      </c>
      <c r="DU175" s="228">
        <v>280</v>
      </c>
      <c r="DV175" s="228">
        <v>0.47</v>
      </c>
      <c r="DW175" s="228">
        <v>0.39</v>
      </c>
      <c r="DX175" s="228">
        <v>0.08</v>
      </c>
      <c r="DY175" s="229">
        <v>0.2051</v>
      </c>
      <c r="DZ175" s="229">
        <v>5.3400000000000003E-2</v>
      </c>
      <c r="EA175" s="230">
        <v>1336675</v>
      </c>
      <c r="EB175" s="229">
        <v>7.1000000000000004E-3</v>
      </c>
      <c r="EC175" s="229">
        <v>5.3400000000000003E-2</v>
      </c>
      <c r="ED175" s="228">
        <v>2.13</v>
      </c>
      <c r="EE175" s="229">
        <v>6.7000000000000002E-3</v>
      </c>
      <c r="EF175" s="230">
        <v>2576939</v>
      </c>
      <c r="EG175" s="230">
        <v>1368788</v>
      </c>
      <c r="EH175" s="229">
        <v>0.88260000000000005</v>
      </c>
      <c r="EI175" s="229">
        <v>0.52790000000000004</v>
      </c>
      <c r="EJ175" s="231">
        <v>59487.32</v>
      </c>
      <c r="EK175" s="231">
        <v>26549.08</v>
      </c>
      <c r="EL175" s="231">
        <v>34138.67</v>
      </c>
      <c r="EM175" s="231">
        <v>2599</v>
      </c>
      <c r="EN175" s="231">
        <v>120175.07</v>
      </c>
      <c r="EO175" s="231">
        <v>179531.07</v>
      </c>
      <c r="EP175" s="231">
        <v>-59356</v>
      </c>
      <c r="EQ175" s="229">
        <v>-0.3306</v>
      </c>
      <c r="ER175" s="231">
        <v>93157</v>
      </c>
      <c r="ES175" s="231">
        <v>79742</v>
      </c>
      <c r="ET175" s="231">
        <v>189500</v>
      </c>
      <c r="EU175" s="231">
        <v>92573471</v>
      </c>
      <c r="EV175" s="231">
        <v>362399</v>
      </c>
      <c r="EW175" s="231">
        <v>375578</v>
      </c>
      <c r="EX175" s="231">
        <v>-13179</v>
      </c>
      <c r="EY175" s="229">
        <v>-3.5099999999999999E-2</v>
      </c>
      <c r="EZ175" s="229">
        <v>1.2487999999999999</v>
      </c>
      <c r="FA175" s="227" t="s">
        <v>693</v>
      </c>
      <c r="FB175" s="161">
        <f t="shared" si="4"/>
        <v>0</v>
      </c>
    </row>
    <row r="176" spans="1:158" ht="17.25" thickBot="1" x14ac:dyDescent="0.3">
      <c r="A176" s="226">
        <v>46132</v>
      </c>
      <c r="B176" s="227" t="s">
        <v>175</v>
      </c>
      <c r="C176" s="227" t="s">
        <v>280</v>
      </c>
      <c r="D176" s="228">
        <v>1400</v>
      </c>
      <c r="E176" s="228">
        <v>382.2</v>
      </c>
      <c r="F176" s="228">
        <v>374.45</v>
      </c>
      <c r="G176" s="228">
        <v>7.75</v>
      </c>
      <c r="H176" s="229">
        <v>2.07E-2</v>
      </c>
      <c r="I176" s="228">
        <v>382.7</v>
      </c>
      <c r="J176" s="228">
        <v>373.3</v>
      </c>
      <c r="K176" s="228">
        <v>9.4</v>
      </c>
      <c r="L176" s="229">
        <v>2.52E-2</v>
      </c>
      <c r="M176" s="228">
        <v>382.2</v>
      </c>
      <c r="N176" s="228">
        <v>374.45</v>
      </c>
      <c r="O176" s="228">
        <v>7.75</v>
      </c>
      <c r="P176" s="229">
        <v>2.07E-2</v>
      </c>
      <c r="Q176" s="228">
        <v>383.6</v>
      </c>
      <c r="R176" s="228">
        <v>376.5</v>
      </c>
      <c r="S176" s="228">
        <v>7.1</v>
      </c>
      <c r="T176" s="229">
        <v>1.89E-2</v>
      </c>
      <c r="U176" s="228">
        <v>385.75</v>
      </c>
      <c r="V176" s="228">
        <v>378.35</v>
      </c>
      <c r="W176" s="228">
        <v>7.4</v>
      </c>
      <c r="X176" s="229">
        <v>1.9599999999999999E-2</v>
      </c>
      <c r="Y176" s="228">
        <v>-0.5</v>
      </c>
      <c r="Z176" s="228">
        <v>1.1499999999999999</v>
      </c>
      <c r="AA176" s="228">
        <v>-1.65</v>
      </c>
      <c r="AB176" s="229">
        <v>-1.2999999999999999E-3</v>
      </c>
      <c r="AC176" s="228">
        <v>-0.5</v>
      </c>
      <c r="AD176" s="228">
        <v>1.1499999999999999</v>
      </c>
      <c r="AE176" s="228">
        <v>-1.65</v>
      </c>
      <c r="AF176" s="229">
        <v>-1.2999999999999999E-3</v>
      </c>
      <c r="AG176" s="228">
        <v>0.9</v>
      </c>
      <c r="AH176" s="228">
        <v>3.2</v>
      </c>
      <c r="AI176" s="228">
        <v>-2.2999999999999998</v>
      </c>
      <c r="AJ176" s="229">
        <v>2.3999999999999998E-3</v>
      </c>
      <c r="AK176" s="228">
        <v>3.05</v>
      </c>
      <c r="AL176" s="228">
        <v>5.05</v>
      </c>
      <c r="AM176" s="228">
        <v>-2</v>
      </c>
      <c r="AN176" s="229">
        <v>8.0000000000000002E-3</v>
      </c>
      <c r="AO176" s="228">
        <v>380.33</v>
      </c>
      <c r="AP176" s="228">
        <v>384.41</v>
      </c>
      <c r="AQ176" s="228">
        <v>0</v>
      </c>
      <c r="AR176" s="230">
        <v>18586400</v>
      </c>
      <c r="AS176" s="230">
        <v>15696800</v>
      </c>
      <c r="AT176" s="230">
        <v>2889600</v>
      </c>
      <c r="AU176" s="229">
        <v>0.18410000000000001</v>
      </c>
      <c r="AV176" s="230">
        <v>12493600</v>
      </c>
      <c r="AW176" s="230">
        <v>11600400</v>
      </c>
      <c r="AX176" s="230">
        <v>893200</v>
      </c>
      <c r="AY176" s="229">
        <v>7.6999999999999999E-2</v>
      </c>
      <c r="AZ176" s="230">
        <v>5616800</v>
      </c>
      <c r="BA176" s="230">
        <v>2359000</v>
      </c>
      <c r="BB176" s="230">
        <v>3257800</v>
      </c>
      <c r="BC176" s="229">
        <v>1.381</v>
      </c>
      <c r="BD176" s="230">
        <v>476000</v>
      </c>
      <c r="BE176" s="230">
        <v>1737400</v>
      </c>
      <c r="BF176" s="230">
        <v>-1261400</v>
      </c>
      <c r="BG176" s="229">
        <v>-0.72599999999999998</v>
      </c>
      <c r="BH176" s="230">
        <v>59915800</v>
      </c>
      <c r="BI176" s="230">
        <v>54629400</v>
      </c>
      <c r="BJ176" s="230">
        <v>5286400</v>
      </c>
      <c r="BK176" s="229">
        <v>9.6799999999999997E-2</v>
      </c>
      <c r="BL176" s="230">
        <v>34470800</v>
      </c>
      <c r="BM176" s="230">
        <v>32384800</v>
      </c>
      <c r="BN176" s="230">
        <v>2086000</v>
      </c>
      <c r="BO176" s="229">
        <v>6.4399999999999999E-2</v>
      </c>
      <c r="BP176" s="230">
        <v>112973000</v>
      </c>
      <c r="BQ176" s="230">
        <v>102711000</v>
      </c>
      <c r="BR176" s="230">
        <v>10262000</v>
      </c>
      <c r="BS176" s="229">
        <v>9.9900000000000003E-2</v>
      </c>
      <c r="BT176" s="230">
        <v>13273855</v>
      </c>
      <c r="BU176" s="230">
        <v>15535938</v>
      </c>
      <c r="BV176" s="230">
        <v>-2262083</v>
      </c>
      <c r="BW176" s="229">
        <v>-0.14560000000000001</v>
      </c>
      <c r="BX176" s="230">
        <v>66381000</v>
      </c>
      <c r="BY176" s="230">
        <v>67349800</v>
      </c>
      <c r="BZ176" s="230">
        <v>-968800</v>
      </c>
      <c r="CA176" s="229">
        <v>-1.44E-2</v>
      </c>
      <c r="CB176" s="230">
        <v>54300400</v>
      </c>
      <c r="CC176" s="230">
        <v>58644600</v>
      </c>
      <c r="CD176" s="230">
        <v>-4344200</v>
      </c>
      <c r="CE176" s="229">
        <v>-7.4099999999999999E-2</v>
      </c>
      <c r="CF176" s="230">
        <v>10264800</v>
      </c>
      <c r="CG176" s="230">
        <v>7005600</v>
      </c>
      <c r="CH176" s="230">
        <v>3259200</v>
      </c>
      <c r="CI176" s="229">
        <v>0.4652</v>
      </c>
      <c r="CJ176" s="230">
        <v>1815800</v>
      </c>
      <c r="CK176" s="230">
        <v>1699600</v>
      </c>
      <c r="CL176" s="230">
        <v>116200</v>
      </c>
      <c r="CM176" s="229">
        <v>6.8400000000000002E-2</v>
      </c>
      <c r="CN176" s="230">
        <v>28225400</v>
      </c>
      <c r="CO176" s="230">
        <v>27228600</v>
      </c>
      <c r="CP176" s="230">
        <v>996800</v>
      </c>
      <c r="CQ176" s="229">
        <v>3.6600000000000001E-2</v>
      </c>
      <c r="CR176" s="230">
        <v>25555600</v>
      </c>
      <c r="CS176" s="230">
        <v>25022200</v>
      </c>
      <c r="CT176" s="230">
        <v>533400</v>
      </c>
      <c r="CU176" s="229">
        <v>2.1299999999999999E-2</v>
      </c>
      <c r="CV176" s="230">
        <v>120162000</v>
      </c>
      <c r="CW176" s="230">
        <v>119600600</v>
      </c>
      <c r="CX176" s="230">
        <v>561400</v>
      </c>
      <c r="CY176" s="229">
        <v>4.7000000000000002E-3</v>
      </c>
      <c r="CZ176" s="228">
        <v>36.9</v>
      </c>
      <c r="DA176" s="228">
        <v>33.53</v>
      </c>
      <c r="DB176" s="228">
        <v>3.37</v>
      </c>
      <c r="DC176" s="228">
        <v>3.37</v>
      </c>
      <c r="DD176" s="228">
        <v>42.79</v>
      </c>
      <c r="DE176" s="228">
        <v>42.81</v>
      </c>
      <c r="DF176" s="228">
        <v>-5.89</v>
      </c>
      <c r="DG176" s="228">
        <v>-0.02</v>
      </c>
      <c r="DH176" s="228">
        <v>34.450000000000003</v>
      </c>
      <c r="DI176" s="228">
        <v>31.48</v>
      </c>
      <c r="DJ176" s="228">
        <v>2.97</v>
      </c>
      <c r="DK176" s="228">
        <v>2.97</v>
      </c>
      <c r="DL176" s="228">
        <v>41.16</v>
      </c>
      <c r="DM176" s="228">
        <v>36.979999999999997</v>
      </c>
      <c r="DN176" s="228">
        <v>4.18</v>
      </c>
      <c r="DO176" s="228">
        <v>4.18</v>
      </c>
      <c r="DP176" s="228">
        <v>0.91</v>
      </c>
      <c r="DQ176" s="228">
        <v>0.92</v>
      </c>
      <c r="DR176" s="228">
        <v>-0.01</v>
      </c>
      <c r="DS176" s="229">
        <v>-1.09E-2</v>
      </c>
      <c r="DT176" s="228">
        <v>400</v>
      </c>
      <c r="DU176" s="228">
        <v>330</v>
      </c>
      <c r="DV176" s="228">
        <v>0.57999999999999996</v>
      </c>
      <c r="DW176" s="228">
        <v>0.59</v>
      </c>
      <c r="DX176" s="228">
        <v>-0.01</v>
      </c>
      <c r="DY176" s="229">
        <v>-1.6899999999999998E-2</v>
      </c>
      <c r="DZ176" s="229">
        <v>0.182</v>
      </c>
      <c r="EA176" s="230">
        <v>8705200</v>
      </c>
      <c r="EB176" s="229">
        <v>3.7000000000000002E-3</v>
      </c>
      <c r="EC176" s="229">
        <v>0.182</v>
      </c>
      <c r="ED176" s="228">
        <v>4.08</v>
      </c>
      <c r="EE176" s="229">
        <v>1.0699999999999999E-2</v>
      </c>
      <c r="EF176" s="230">
        <v>6320988</v>
      </c>
      <c r="EG176" s="230">
        <v>7778504</v>
      </c>
      <c r="EH176" s="229">
        <v>-0.18740000000000001</v>
      </c>
      <c r="EI176" s="229">
        <v>0.47620000000000001</v>
      </c>
      <c r="EJ176" s="231">
        <v>236422.55</v>
      </c>
      <c r="EK176" s="231">
        <v>125372.99</v>
      </c>
      <c r="EL176" s="231">
        <v>70940.28</v>
      </c>
      <c r="EM176" s="231">
        <v>8534</v>
      </c>
      <c r="EN176" s="231">
        <v>432735.82</v>
      </c>
      <c r="EO176" s="231">
        <v>385708.05</v>
      </c>
      <c r="EP176" s="231">
        <v>47027.77</v>
      </c>
      <c r="EQ176" s="229">
        <v>0.12189999999999999</v>
      </c>
      <c r="ER176" s="231">
        <v>102970</v>
      </c>
      <c r="ES176" s="231">
        <v>87746</v>
      </c>
      <c r="ET176" s="231">
        <v>253916</v>
      </c>
      <c r="EU176" s="231">
        <v>187084550</v>
      </c>
      <c r="EV176" s="231">
        <v>444633</v>
      </c>
      <c r="EW176" s="231">
        <v>435663</v>
      </c>
      <c r="EX176" s="231">
        <v>8970</v>
      </c>
      <c r="EY176" s="229">
        <v>2.06E-2</v>
      </c>
      <c r="EZ176" s="229">
        <v>0.64229999999999998</v>
      </c>
      <c r="FA176" s="227" t="s">
        <v>693</v>
      </c>
      <c r="FB176" s="161">
        <f t="shared" si="4"/>
        <v>0</v>
      </c>
    </row>
    <row r="177" spans="1:158" ht="17.25" thickBot="1" x14ac:dyDescent="0.3">
      <c r="A177" s="226">
        <v>46132</v>
      </c>
      <c r="B177" s="227" t="s">
        <v>193</v>
      </c>
      <c r="C177" s="227" t="s">
        <v>281</v>
      </c>
      <c r="D177" s="228">
        <v>500</v>
      </c>
      <c r="E177" s="231">
        <v>1362.4</v>
      </c>
      <c r="F177" s="231">
        <v>1366.3</v>
      </c>
      <c r="G177" s="228">
        <v>-3.9</v>
      </c>
      <c r="H177" s="229">
        <v>-2.8999999999999998E-3</v>
      </c>
      <c r="I177" s="231">
        <v>1363.3</v>
      </c>
      <c r="J177" s="231">
        <v>1365</v>
      </c>
      <c r="K177" s="228">
        <v>-1.7</v>
      </c>
      <c r="L177" s="229">
        <v>-1.1999999999999999E-3</v>
      </c>
      <c r="M177" s="231">
        <v>1362.4</v>
      </c>
      <c r="N177" s="231">
        <v>1366.3</v>
      </c>
      <c r="O177" s="228">
        <v>-3.9</v>
      </c>
      <c r="P177" s="229">
        <v>-2.8999999999999998E-3</v>
      </c>
      <c r="Q177" s="231">
        <v>1370.2</v>
      </c>
      <c r="R177" s="231">
        <v>1373.6</v>
      </c>
      <c r="S177" s="228">
        <v>-3.4</v>
      </c>
      <c r="T177" s="229">
        <v>-2.5000000000000001E-3</v>
      </c>
      <c r="U177" s="231">
        <v>1378.5</v>
      </c>
      <c r="V177" s="231">
        <v>1383.2</v>
      </c>
      <c r="W177" s="228">
        <v>-4.7</v>
      </c>
      <c r="X177" s="229">
        <v>-3.3999999999999998E-3</v>
      </c>
      <c r="Y177" s="228">
        <v>-0.9</v>
      </c>
      <c r="Z177" s="228">
        <v>1.3</v>
      </c>
      <c r="AA177" s="228">
        <v>-2.2000000000000002</v>
      </c>
      <c r="AB177" s="229">
        <v>-6.9999999999999999E-4</v>
      </c>
      <c r="AC177" s="228">
        <v>-0.9</v>
      </c>
      <c r="AD177" s="228">
        <v>1.3</v>
      </c>
      <c r="AE177" s="228">
        <v>-2.2000000000000002</v>
      </c>
      <c r="AF177" s="229">
        <v>-6.9999999999999999E-4</v>
      </c>
      <c r="AG177" s="228">
        <v>6.9</v>
      </c>
      <c r="AH177" s="228">
        <v>8.6</v>
      </c>
      <c r="AI177" s="228">
        <v>-1.7</v>
      </c>
      <c r="AJ177" s="229">
        <v>5.1000000000000004E-3</v>
      </c>
      <c r="AK177" s="228">
        <v>15.2</v>
      </c>
      <c r="AL177" s="228">
        <v>18.2</v>
      </c>
      <c r="AM177" s="228">
        <v>-3</v>
      </c>
      <c r="AN177" s="229">
        <v>1.11E-2</v>
      </c>
      <c r="AO177" s="231">
        <v>1365.65</v>
      </c>
      <c r="AP177" s="231">
        <v>1373.47</v>
      </c>
      <c r="AQ177" s="228">
        <v>0</v>
      </c>
      <c r="AR177" s="230">
        <v>13371000</v>
      </c>
      <c r="AS177" s="230">
        <v>13348500</v>
      </c>
      <c r="AT177" s="230">
        <v>22500</v>
      </c>
      <c r="AU177" s="229">
        <v>1.6999999999999999E-3</v>
      </c>
      <c r="AV177" s="230">
        <v>10419000</v>
      </c>
      <c r="AW177" s="230">
        <v>10753000</v>
      </c>
      <c r="AX177" s="230">
        <v>-334000</v>
      </c>
      <c r="AY177" s="229">
        <v>-3.1099999999999999E-2</v>
      </c>
      <c r="AZ177" s="230">
        <v>2548000</v>
      </c>
      <c r="BA177" s="230">
        <v>1706000</v>
      </c>
      <c r="BB177" s="230">
        <v>842000</v>
      </c>
      <c r="BC177" s="229">
        <v>0.49359999999999998</v>
      </c>
      <c r="BD177" s="230">
        <v>404000</v>
      </c>
      <c r="BE177" s="230">
        <v>889500</v>
      </c>
      <c r="BF177" s="230">
        <v>-485500</v>
      </c>
      <c r="BG177" s="229">
        <v>-0.54579999999999995</v>
      </c>
      <c r="BH177" s="230">
        <v>71423000</v>
      </c>
      <c r="BI177" s="230">
        <v>103088000</v>
      </c>
      <c r="BJ177" s="230">
        <v>-31665000</v>
      </c>
      <c r="BK177" s="229">
        <v>-0.30719999999999997</v>
      </c>
      <c r="BL177" s="230">
        <v>37918000</v>
      </c>
      <c r="BM177" s="230">
        <v>49570500</v>
      </c>
      <c r="BN177" s="230">
        <v>-11652500</v>
      </c>
      <c r="BO177" s="229">
        <v>-0.2351</v>
      </c>
      <c r="BP177" s="230">
        <v>122712000</v>
      </c>
      <c r="BQ177" s="230">
        <v>166007000</v>
      </c>
      <c r="BR177" s="230">
        <v>-43295000</v>
      </c>
      <c r="BS177" s="229">
        <v>-0.26079999999999998</v>
      </c>
      <c r="BT177" s="230">
        <v>14223567</v>
      </c>
      <c r="BU177" s="230">
        <v>15236906</v>
      </c>
      <c r="BV177" s="230">
        <v>-1013339</v>
      </c>
      <c r="BW177" s="229">
        <v>-6.6500000000000004E-2</v>
      </c>
      <c r="BX177" s="230">
        <v>95601000</v>
      </c>
      <c r="BY177" s="230">
        <v>96256500</v>
      </c>
      <c r="BZ177" s="230">
        <v>-655500</v>
      </c>
      <c r="CA177" s="229">
        <v>-6.7999999999999996E-3</v>
      </c>
      <c r="CB177" s="230">
        <v>74045500</v>
      </c>
      <c r="CC177" s="230">
        <v>76190500</v>
      </c>
      <c r="CD177" s="230">
        <v>-2145000</v>
      </c>
      <c r="CE177" s="229">
        <v>-2.8199999999999999E-2</v>
      </c>
      <c r="CF177" s="230">
        <v>16949000</v>
      </c>
      <c r="CG177" s="230">
        <v>15668500</v>
      </c>
      <c r="CH177" s="230">
        <v>1280500</v>
      </c>
      <c r="CI177" s="229">
        <v>8.1699999999999995E-2</v>
      </c>
      <c r="CJ177" s="230">
        <v>4606500</v>
      </c>
      <c r="CK177" s="230">
        <v>4397500</v>
      </c>
      <c r="CL177" s="230">
        <v>209000</v>
      </c>
      <c r="CM177" s="229">
        <v>4.7500000000000001E-2</v>
      </c>
      <c r="CN177" s="230">
        <v>78316000</v>
      </c>
      <c r="CO177" s="230">
        <v>79750000</v>
      </c>
      <c r="CP177" s="230">
        <v>-1434000</v>
      </c>
      <c r="CQ177" s="229">
        <v>-1.7999999999999999E-2</v>
      </c>
      <c r="CR177" s="230">
        <v>38233500</v>
      </c>
      <c r="CS177" s="230">
        <v>38565000</v>
      </c>
      <c r="CT177" s="230">
        <v>-331500</v>
      </c>
      <c r="CU177" s="229">
        <v>-8.6E-3</v>
      </c>
      <c r="CV177" s="230">
        <v>212150500</v>
      </c>
      <c r="CW177" s="230">
        <v>214571500</v>
      </c>
      <c r="CX177" s="230">
        <v>-2421000</v>
      </c>
      <c r="CY177" s="229">
        <v>-1.1299999999999999E-2</v>
      </c>
      <c r="CZ177" s="228">
        <v>26.76</v>
      </c>
      <c r="DA177" s="228">
        <v>23.58</v>
      </c>
      <c r="DB177" s="228">
        <v>3.18</v>
      </c>
      <c r="DC177" s="228">
        <v>3.18</v>
      </c>
      <c r="DD177" s="228">
        <v>26.4</v>
      </c>
      <c r="DE177" s="228">
        <v>26.47</v>
      </c>
      <c r="DF177" s="228">
        <v>0.36</v>
      </c>
      <c r="DG177" s="228">
        <v>-7.0000000000000007E-2</v>
      </c>
      <c r="DH177" s="228">
        <v>26.68</v>
      </c>
      <c r="DI177" s="228">
        <v>23.11</v>
      </c>
      <c r="DJ177" s="228">
        <v>3.57</v>
      </c>
      <c r="DK177" s="228">
        <v>3.57</v>
      </c>
      <c r="DL177" s="228">
        <v>26.92</v>
      </c>
      <c r="DM177" s="228">
        <v>24.53</v>
      </c>
      <c r="DN177" s="228">
        <v>2.39</v>
      </c>
      <c r="DO177" s="228">
        <v>2.39</v>
      </c>
      <c r="DP177" s="228">
        <v>0.49</v>
      </c>
      <c r="DQ177" s="228">
        <v>0.48</v>
      </c>
      <c r="DR177" s="228">
        <v>0.01</v>
      </c>
      <c r="DS177" s="229">
        <v>2.0799999999999999E-2</v>
      </c>
      <c r="DT177" s="231">
        <v>1400</v>
      </c>
      <c r="DU177" s="231">
        <v>1300</v>
      </c>
      <c r="DV177" s="228">
        <v>0.53</v>
      </c>
      <c r="DW177" s="228">
        <v>0.48</v>
      </c>
      <c r="DX177" s="228">
        <v>0.05</v>
      </c>
      <c r="DY177" s="229">
        <v>0.1042</v>
      </c>
      <c r="DZ177" s="229">
        <v>0.22550000000000001</v>
      </c>
      <c r="EA177" s="230">
        <v>20066000</v>
      </c>
      <c r="EB177" s="229">
        <v>5.7000000000000002E-3</v>
      </c>
      <c r="EC177" s="229">
        <v>0.22550000000000001</v>
      </c>
      <c r="ED177" s="228">
        <v>7.82</v>
      </c>
      <c r="EE177" s="229">
        <v>5.7000000000000002E-3</v>
      </c>
      <c r="EF177" s="230">
        <v>6287233</v>
      </c>
      <c r="EG177" s="230">
        <v>7056605</v>
      </c>
      <c r="EH177" s="229">
        <v>-0.109</v>
      </c>
      <c r="EI177" s="229">
        <v>0.442</v>
      </c>
      <c r="EJ177" s="231">
        <v>1009543.96</v>
      </c>
      <c r="EK177" s="231">
        <v>513170.86</v>
      </c>
      <c r="EL177" s="231">
        <v>182865.8</v>
      </c>
      <c r="EM177" s="231">
        <v>27078</v>
      </c>
      <c r="EN177" s="231">
        <v>1705580.62</v>
      </c>
      <c r="EO177" s="231">
        <v>2297538.46</v>
      </c>
      <c r="EP177" s="231">
        <v>-591957.84</v>
      </c>
      <c r="EQ177" s="229">
        <v>-0.2576</v>
      </c>
      <c r="ER177" s="231">
        <v>1099634</v>
      </c>
      <c r="ES177" s="231">
        <v>513775</v>
      </c>
      <c r="ET177" s="231">
        <v>1304532</v>
      </c>
      <c r="EU177" s="231">
        <v>664381721</v>
      </c>
      <c r="EV177" s="231">
        <v>2917940</v>
      </c>
      <c r="EW177" s="231">
        <v>2953496</v>
      </c>
      <c r="EX177" s="231">
        <v>-35556</v>
      </c>
      <c r="EY177" s="229">
        <v>-1.2E-2</v>
      </c>
      <c r="EZ177" s="229">
        <v>0.31929999999999997</v>
      </c>
      <c r="FA177" s="227" t="s">
        <v>567</v>
      </c>
      <c r="FB177" s="161">
        <f t="shared" si="4"/>
        <v>0</v>
      </c>
    </row>
    <row r="178" spans="1:158" ht="17.25" thickBot="1" x14ac:dyDescent="0.3">
      <c r="A178" s="226">
        <v>46132</v>
      </c>
      <c r="B178" s="227" t="s">
        <v>215</v>
      </c>
      <c r="C178" s="227" t="s">
        <v>673</v>
      </c>
      <c r="D178" s="228">
        <v>1525</v>
      </c>
      <c r="E178" s="228">
        <v>294.82</v>
      </c>
      <c r="F178" s="228">
        <v>299.66000000000003</v>
      </c>
      <c r="G178" s="228">
        <v>-4.84</v>
      </c>
      <c r="H178" s="229">
        <v>-1.6199999999999999E-2</v>
      </c>
      <c r="I178" s="228">
        <v>296.33</v>
      </c>
      <c r="J178" s="228">
        <v>303.06</v>
      </c>
      <c r="K178" s="228">
        <v>-6.73</v>
      </c>
      <c r="L178" s="229">
        <v>-2.2200000000000001E-2</v>
      </c>
      <c r="M178" s="228">
        <v>294.82</v>
      </c>
      <c r="N178" s="228">
        <v>299.66000000000003</v>
      </c>
      <c r="O178" s="228">
        <v>-4.84</v>
      </c>
      <c r="P178" s="229">
        <v>-1.6199999999999999E-2</v>
      </c>
      <c r="Q178" s="228">
        <v>280.5</v>
      </c>
      <c r="R178" s="228">
        <v>285.35000000000002</v>
      </c>
      <c r="S178" s="228">
        <v>-4.8499999999999996</v>
      </c>
      <c r="T178" s="229">
        <v>-1.7000000000000001E-2</v>
      </c>
      <c r="U178" s="228">
        <v>273.31</v>
      </c>
      <c r="V178" s="228">
        <v>278.02999999999997</v>
      </c>
      <c r="W178" s="228">
        <v>-4.72</v>
      </c>
      <c r="X178" s="229">
        <v>-1.7000000000000001E-2</v>
      </c>
      <c r="Y178" s="228">
        <v>-1.51</v>
      </c>
      <c r="Z178" s="228">
        <v>-3.4</v>
      </c>
      <c r="AA178" s="228">
        <v>1.89</v>
      </c>
      <c r="AB178" s="229">
        <v>-5.1000000000000004E-3</v>
      </c>
      <c r="AC178" s="228">
        <v>-1.51</v>
      </c>
      <c r="AD178" s="228">
        <v>-3.4</v>
      </c>
      <c r="AE178" s="228">
        <v>1.89</v>
      </c>
      <c r="AF178" s="229">
        <v>-5.1000000000000004E-3</v>
      </c>
      <c r="AG178" s="228">
        <v>-15.83</v>
      </c>
      <c r="AH178" s="228">
        <v>-17.71</v>
      </c>
      <c r="AI178" s="228">
        <v>1.88</v>
      </c>
      <c r="AJ178" s="229">
        <v>-5.3400000000000003E-2</v>
      </c>
      <c r="AK178" s="228">
        <v>-23.02</v>
      </c>
      <c r="AL178" s="228">
        <v>-25.03</v>
      </c>
      <c r="AM178" s="228">
        <v>2.0099999999999998</v>
      </c>
      <c r="AN178" s="229">
        <v>-7.7700000000000005E-2</v>
      </c>
      <c r="AO178" s="228">
        <v>296.74</v>
      </c>
      <c r="AP178" s="228">
        <v>282.49</v>
      </c>
      <c r="AQ178" s="228">
        <v>0</v>
      </c>
      <c r="AR178" s="230">
        <v>11054725</v>
      </c>
      <c r="AS178" s="230">
        <v>27189225</v>
      </c>
      <c r="AT178" s="230">
        <v>-16134500</v>
      </c>
      <c r="AU178" s="229">
        <v>-0.59340000000000004</v>
      </c>
      <c r="AV178" s="230">
        <v>6746600</v>
      </c>
      <c r="AW178" s="230">
        <v>17930950</v>
      </c>
      <c r="AX178" s="230">
        <v>-11184350</v>
      </c>
      <c r="AY178" s="229">
        <v>-0.62370000000000003</v>
      </c>
      <c r="AZ178" s="230">
        <v>3990925</v>
      </c>
      <c r="BA178" s="230">
        <v>8096225</v>
      </c>
      <c r="BB178" s="230">
        <v>-4105300</v>
      </c>
      <c r="BC178" s="229">
        <v>-0.5071</v>
      </c>
      <c r="BD178" s="230">
        <v>317200</v>
      </c>
      <c r="BE178" s="230">
        <v>1162050</v>
      </c>
      <c r="BF178" s="230">
        <v>-844850</v>
      </c>
      <c r="BG178" s="229">
        <v>-0.72699999999999998</v>
      </c>
      <c r="BH178" s="230">
        <v>23719850</v>
      </c>
      <c r="BI178" s="230">
        <v>117882500</v>
      </c>
      <c r="BJ178" s="230">
        <v>-94162650</v>
      </c>
      <c r="BK178" s="229">
        <v>-0.79879999999999995</v>
      </c>
      <c r="BL178" s="230">
        <v>10708550</v>
      </c>
      <c r="BM178" s="230">
        <v>35575200</v>
      </c>
      <c r="BN178" s="230">
        <v>-24866650</v>
      </c>
      <c r="BO178" s="229">
        <v>-0.69899999999999995</v>
      </c>
      <c r="BP178" s="230">
        <v>45483125</v>
      </c>
      <c r="BQ178" s="230">
        <v>180646925</v>
      </c>
      <c r="BR178" s="230">
        <v>-135163800</v>
      </c>
      <c r="BS178" s="229">
        <v>-0.74819999999999998</v>
      </c>
      <c r="BT178" s="230">
        <v>8227699</v>
      </c>
      <c r="BU178" s="230">
        <v>40222724</v>
      </c>
      <c r="BV178" s="230">
        <v>-31995025</v>
      </c>
      <c r="BW178" s="229">
        <v>-0.7954</v>
      </c>
      <c r="BX178" s="230">
        <v>68001275</v>
      </c>
      <c r="BY178" s="230">
        <v>65759525</v>
      </c>
      <c r="BZ178" s="230">
        <v>2241750</v>
      </c>
      <c r="CA178" s="229">
        <v>3.4099999999999998E-2</v>
      </c>
      <c r="CB178" s="230">
        <v>50186225</v>
      </c>
      <c r="CC178" s="230">
        <v>49888850</v>
      </c>
      <c r="CD178" s="230">
        <v>297375</v>
      </c>
      <c r="CE178" s="229">
        <v>6.0000000000000001E-3</v>
      </c>
      <c r="CF178" s="230">
        <v>15753250</v>
      </c>
      <c r="CG178" s="230">
        <v>13906475</v>
      </c>
      <c r="CH178" s="230">
        <v>1846775</v>
      </c>
      <c r="CI178" s="229">
        <v>0.1328</v>
      </c>
      <c r="CJ178" s="230">
        <v>2061800</v>
      </c>
      <c r="CK178" s="230">
        <v>1964200</v>
      </c>
      <c r="CL178" s="230">
        <v>97600</v>
      </c>
      <c r="CM178" s="229">
        <v>4.9700000000000001E-2</v>
      </c>
      <c r="CN178" s="230">
        <v>24602825</v>
      </c>
      <c r="CO178" s="230">
        <v>24621125</v>
      </c>
      <c r="CP178" s="230">
        <v>-18300</v>
      </c>
      <c r="CQ178" s="229">
        <v>-6.9999999999999999E-4</v>
      </c>
      <c r="CR178" s="230">
        <v>16187875</v>
      </c>
      <c r="CS178" s="230">
        <v>16265650</v>
      </c>
      <c r="CT178" s="230">
        <v>-77775</v>
      </c>
      <c r="CU178" s="229">
        <v>-4.7999999999999996E-3</v>
      </c>
      <c r="CV178" s="230">
        <v>108791975</v>
      </c>
      <c r="CW178" s="230">
        <v>106646300</v>
      </c>
      <c r="CX178" s="230">
        <v>2145675</v>
      </c>
      <c r="CY178" s="229">
        <v>2.01E-2</v>
      </c>
      <c r="CZ178" s="228">
        <v>50.87</v>
      </c>
      <c r="DA178" s="228">
        <v>45.66</v>
      </c>
      <c r="DB178" s="228">
        <v>5.21</v>
      </c>
      <c r="DC178" s="228">
        <v>5.21</v>
      </c>
      <c r="DD178" s="228">
        <v>58.28</v>
      </c>
      <c r="DE178" s="228">
        <v>58.38</v>
      </c>
      <c r="DF178" s="228">
        <v>-7.41</v>
      </c>
      <c r="DG178" s="228">
        <v>-0.1</v>
      </c>
      <c r="DH178" s="228">
        <v>50.14</v>
      </c>
      <c r="DI178" s="228">
        <v>45.43</v>
      </c>
      <c r="DJ178" s="228">
        <v>4.71</v>
      </c>
      <c r="DK178" s="228">
        <v>4.71</v>
      </c>
      <c r="DL178" s="228">
        <v>52.49</v>
      </c>
      <c r="DM178" s="228">
        <v>46.43</v>
      </c>
      <c r="DN178" s="228">
        <v>6.06</v>
      </c>
      <c r="DO178" s="228">
        <v>6.06</v>
      </c>
      <c r="DP178" s="228">
        <v>0.66</v>
      </c>
      <c r="DQ178" s="228">
        <v>0.66</v>
      </c>
      <c r="DR178" s="228">
        <v>0</v>
      </c>
      <c r="DS178" s="229">
        <v>0</v>
      </c>
      <c r="DT178" s="228">
        <v>300</v>
      </c>
      <c r="DU178" s="228">
        <v>280</v>
      </c>
      <c r="DV178" s="228">
        <v>0.45</v>
      </c>
      <c r="DW178" s="228">
        <v>0.3</v>
      </c>
      <c r="DX178" s="228">
        <v>0.15</v>
      </c>
      <c r="DY178" s="229">
        <v>0.5</v>
      </c>
      <c r="DZ178" s="229">
        <v>0.26200000000000001</v>
      </c>
      <c r="EA178" s="230">
        <v>15870675</v>
      </c>
      <c r="EB178" s="229">
        <v>-4.8599999999999997E-2</v>
      </c>
      <c r="EC178" s="229">
        <v>0.26200000000000001</v>
      </c>
      <c r="ED178" s="228">
        <v>-14.25</v>
      </c>
      <c r="EE178" s="229">
        <v>-4.8000000000000001E-2</v>
      </c>
      <c r="EF178" s="230">
        <v>2392843</v>
      </c>
      <c r="EG178" s="230">
        <v>5972143</v>
      </c>
      <c r="EH178" s="229">
        <v>-0.59930000000000005</v>
      </c>
      <c r="EI178" s="229">
        <v>0.2908</v>
      </c>
      <c r="EJ178" s="231">
        <v>75165.59</v>
      </c>
      <c r="EK178" s="231">
        <v>30832.81</v>
      </c>
      <c r="EL178" s="231">
        <v>32165.62</v>
      </c>
      <c r="EM178" s="231">
        <v>11138</v>
      </c>
      <c r="EN178" s="231">
        <v>138164.01999999999</v>
      </c>
      <c r="EO178" s="231">
        <v>559767.81000000006</v>
      </c>
      <c r="EP178" s="231">
        <v>-421603.79</v>
      </c>
      <c r="EQ178" s="229">
        <v>-0.75319999999999998</v>
      </c>
      <c r="ER178" s="231">
        <v>74964</v>
      </c>
      <c r="ES178" s="231">
        <v>44608</v>
      </c>
      <c r="ET178" s="231">
        <v>197782</v>
      </c>
      <c r="EU178" s="231">
        <v>84941460</v>
      </c>
      <c r="EV178" s="231">
        <v>317354</v>
      </c>
      <c r="EW178" s="231">
        <v>314474</v>
      </c>
      <c r="EX178" s="231">
        <v>2880</v>
      </c>
      <c r="EY178" s="229">
        <v>9.1999999999999998E-3</v>
      </c>
      <c r="EZ178" s="229">
        <v>1.2807999999999999</v>
      </c>
      <c r="FA178" s="227" t="s">
        <v>566</v>
      </c>
      <c r="FB178" s="161">
        <f t="shared" si="4"/>
        <v>0</v>
      </c>
    </row>
    <row r="179" spans="1:158" ht="17.25" thickBot="1" x14ac:dyDescent="0.3">
      <c r="A179" s="226">
        <v>46132</v>
      </c>
      <c r="B179" s="227" t="s">
        <v>227</v>
      </c>
      <c r="C179" s="227" t="s">
        <v>282</v>
      </c>
      <c r="D179" s="228">
        <v>4700</v>
      </c>
      <c r="E179" s="228">
        <v>172.69</v>
      </c>
      <c r="F179" s="228">
        <v>173.23</v>
      </c>
      <c r="G179" s="228">
        <v>-0.54</v>
      </c>
      <c r="H179" s="229">
        <v>-3.0999999999999999E-3</v>
      </c>
      <c r="I179" s="228">
        <v>172.71</v>
      </c>
      <c r="J179" s="228">
        <v>173.33</v>
      </c>
      <c r="K179" s="228">
        <v>-0.62</v>
      </c>
      <c r="L179" s="229">
        <v>-3.5999999999999999E-3</v>
      </c>
      <c r="M179" s="228">
        <v>172.69</v>
      </c>
      <c r="N179" s="228">
        <v>173.23</v>
      </c>
      <c r="O179" s="228">
        <v>-0.54</v>
      </c>
      <c r="P179" s="229">
        <v>-3.0999999999999999E-3</v>
      </c>
      <c r="Q179" s="228">
        <v>172.5</v>
      </c>
      <c r="R179" s="228">
        <v>173.94</v>
      </c>
      <c r="S179" s="228">
        <v>-1.44</v>
      </c>
      <c r="T179" s="229">
        <v>-8.3000000000000001E-3</v>
      </c>
      <c r="U179" s="228">
        <v>173.12</v>
      </c>
      <c r="V179" s="228">
        <v>175.39</v>
      </c>
      <c r="W179" s="228">
        <v>-2.27</v>
      </c>
      <c r="X179" s="229">
        <v>-1.29E-2</v>
      </c>
      <c r="Y179" s="228">
        <v>-0.02</v>
      </c>
      <c r="Z179" s="228">
        <v>-0.1</v>
      </c>
      <c r="AA179" s="228">
        <v>0.08</v>
      </c>
      <c r="AB179" s="229">
        <v>-1E-4</v>
      </c>
      <c r="AC179" s="228">
        <v>-0.02</v>
      </c>
      <c r="AD179" s="228">
        <v>-0.1</v>
      </c>
      <c r="AE179" s="228">
        <v>0.08</v>
      </c>
      <c r="AF179" s="229">
        <v>-1E-4</v>
      </c>
      <c r="AG179" s="228">
        <v>-0.21</v>
      </c>
      <c r="AH179" s="228">
        <v>0.61</v>
      </c>
      <c r="AI179" s="228">
        <v>-0.82</v>
      </c>
      <c r="AJ179" s="229">
        <v>-1.1999999999999999E-3</v>
      </c>
      <c r="AK179" s="228">
        <v>0.41</v>
      </c>
      <c r="AL179" s="228">
        <v>2.06</v>
      </c>
      <c r="AM179" s="228">
        <v>-1.65</v>
      </c>
      <c r="AN179" s="229">
        <v>2.3999999999999998E-3</v>
      </c>
      <c r="AO179" s="228">
        <v>172.55</v>
      </c>
      <c r="AP179" s="228">
        <v>172.72</v>
      </c>
      <c r="AQ179" s="228">
        <v>0</v>
      </c>
      <c r="AR179" s="230">
        <v>1950500</v>
      </c>
      <c r="AS179" s="230">
        <v>2293600</v>
      </c>
      <c r="AT179" s="230">
        <v>-343100</v>
      </c>
      <c r="AU179" s="229">
        <v>-0.14960000000000001</v>
      </c>
      <c r="AV179" s="230">
        <v>1386500</v>
      </c>
      <c r="AW179" s="230">
        <v>1851800</v>
      </c>
      <c r="AX179" s="230">
        <v>-465300</v>
      </c>
      <c r="AY179" s="229">
        <v>-0.25130000000000002</v>
      </c>
      <c r="AZ179" s="230">
        <v>502900</v>
      </c>
      <c r="BA179" s="230">
        <v>437100</v>
      </c>
      <c r="BB179" s="230">
        <v>65800</v>
      </c>
      <c r="BC179" s="229">
        <v>0.15049999999999999</v>
      </c>
      <c r="BD179" s="230">
        <v>61100</v>
      </c>
      <c r="BE179" s="230">
        <v>4700</v>
      </c>
      <c r="BF179" s="230">
        <v>56400</v>
      </c>
      <c r="BG179" s="229">
        <v>12</v>
      </c>
      <c r="BH179" s="230">
        <v>197400</v>
      </c>
      <c r="BI179" s="230">
        <v>559300</v>
      </c>
      <c r="BJ179" s="230">
        <v>-361900</v>
      </c>
      <c r="BK179" s="229">
        <v>-0.64710000000000001</v>
      </c>
      <c r="BL179" s="230">
        <v>733200</v>
      </c>
      <c r="BM179" s="230">
        <v>296100</v>
      </c>
      <c r="BN179" s="230">
        <v>437100</v>
      </c>
      <c r="BO179" s="229">
        <v>1.4762</v>
      </c>
      <c r="BP179" s="230">
        <v>2881100</v>
      </c>
      <c r="BQ179" s="230">
        <v>3149000</v>
      </c>
      <c r="BR179" s="230">
        <v>-267900</v>
      </c>
      <c r="BS179" s="229">
        <v>-8.5099999999999995E-2</v>
      </c>
      <c r="BT179" s="230">
        <v>19095492</v>
      </c>
      <c r="BU179" s="230">
        <v>26783817</v>
      </c>
      <c r="BV179" s="230">
        <v>-7688325</v>
      </c>
      <c r="BW179" s="229">
        <v>-0.28710000000000002</v>
      </c>
      <c r="BX179" s="230">
        <v>199693600</v>
      </c>
      <c r="BY179" s="230">
        <v>201042500</v>
      </c>
      <c r="BZ179" s="230">
        <v>-1348900</v>
      </c>
      <c r="CA179" s="229">
        <v>-6.7000000000000002E-3</v>
      </c>
      <c r="CB179" s="230">
        <v>164133400</v>
      </c>
      <c r="CC179" s="230">
        <v>165106300</v>
      </c>
      <c r="CD179" s="230">
        <v>-972900</v>
      </c>
      <c r="CE179" s="229">
        <v>-5.8999999999999999E-3</v>
      </c>
      <c r="CF179" s="230">
        <v>35264100</v>
      </c>
      <c r="CG179" s="230">
        <v>35593100</v>
      </c>
      <c r="CH179" s="230">
        <v>-329000</v>
      </c>
      <c r="CI179" s="229">
        <v>-9.1999999999999998E-3</v>
      </c>
      <c r="CJ179" s="230">
        <v>296100</v>
      </c>
      <c r="CK179" s="230">
        <v>343100</v>
      </c>
      <c r="CL179" s="230">
        <v>-47000</v>
      </c>
      <c r="CM179" s="229">
        <v>-0.13700000000000001</v>
      </c>
      <c r="CN179" s="230">
        <v>10560900</v>
      </c>
      <c r="CO179" s="230">
        <v>10631400</v>
      </c>
      <c r="CP179" s="230">
        <v>-70500</v>
      </c>
      <c r="CQ179" s="229">
        <v>-6.6E-3</v>
      </c>
      <c r="CR179" s="230">
        <v>7834900</v>
      </c>
      <c r="CS179" s="230">
        <v>7910100</v>
      </c>
      <c r="CT179" s="230">
        <v>-75200</v>
      </c>
      <c r="CU179" s="229">
        <v>-9.4999999999999998E-3</v>
      </c>
      <c r="CV179" s="230">
        <v>218089400</v>
      </c>
      <c r="CW179" s="230">
        <v>219584000</v>
      </c>
      <c r="CX179" s="230">
        <v>-1494600</v>
      </c>
      <c r="CY179" s="229">
        <v>-6.7999999999999996E-3</v>
      </c>
      <c r="CZ179" s="228">
        <v>52.61</v>
      </c>
      <c r="DA179" s="228">
        <v>37.69</v>
      </c>
      <c r="DB179" s="228">
        <v>14.92</v>
      </c>
      <c r="DC179" s="228">
        <v>14.92</v>
      </c>
      <c r="DD179" s="228">
        <v>44.49</v>
      </c>
      <c r="DE179" s="228">
        <v>44.6</v>
      </c>
      <c r="DF179" s="228">
        <v>8.1199999999999992</v>
      </c>
      <c r="DG179" s="228">
        <v>-0.11</v>
      </c>
      <c r="DH179" s="228">
        <v>39.659999999999997</v>
      </c>
      <c r="DI179" s="228">
        <v>35.229999999999997</v>
      </c>
      <c r="DJ179" s="228">
        <v>4.43</v>
      </c>
      <c r="DK179" s="228">
        <v>4.43</v>
      </c>
      <c r="DL179" s="228">
        <v>56.1</v>
      </c>
      <c r="DM179" s="228">
        <v>42.32</v>
      </c>
      <c r="DN179" s="228">
        <v>13.78</v>
      </c>
      <c r="DO179" s="228">
        <v>13.78</v>
      </c>
      <c r="DP179" s="228">
        <v>0.74</v>
      </c>
      <c r="DQ179" s="228">
        <v>0.74</v>
      </c>
      <c r="DR179" s="228">
        <v>0</v>
      </c>
      <c r="DS179" s="229">
        <v>0</v>
      </c>
      <c r="DT179" s="228">
        <v>170</v>
      </c>
      <c r="DU179" s="228">
        <v>160</v>
      </c>
      <c r="DV179" s="228">
        <v>3.71</v>
      </c>
      <c r="DW179" s="228">
        <v>0.53</v>
      </c>
      <c r="DX179" s="228">
        <v>3.18</v>
      </c>
      <c r="DY179" s="229">
        <v>6</v>
      </c>
      <c r="DZ179" s="229">
        <v>0.17810000000000001</v>
      </c>
      <c r="EA179" s="230">
        <v>35936200</v>
      </c>
      <c r="EB179" s="229">
        <v>-1.1000000000000001E-3</v>
      </c>
      <c r="EC179" s="229">
        <v>0.17810000000000001</v>
      </c>
      <c r="ED179" s="228">
        <v>0.17</v>
      </c>
      <c r="EE179" s="229">
        <v>1E-3</v>
      </c>
      <c r="EF179" s="230">
        <v>8580393</v>
      </c>
      <c r="EG179" s="230">
        <v>11913679</v>
      </c>
      <c r="EH179" s="229">
        <v>-0.27979999999999999</v>
      </c>
      <c r="EI179" s="229">
        <v>0.44929999999999998</v>
      </c>
      <c r="EJ179" s="228">
        <v>345.46</v>
      </c>
      <c r="EK179" s="231">
        <v>1131.93</v>
      </c>
      <c r="EL179" s="231">
        <v>3367.06</v>
      </c>
      <c r="EM179" s="228">
        <v>515</v>
      </c>
      <c r="EN179" s="231">
        <v>4844.45</v>
      </c>
      <c r="EO179" s="231">
        <v>5408.67</v>
      </c>
      <c r="EP179" s="228">
        <v>-564.22</v>
      </c>
      <c r="EQ179" s="229">
        <v>-0.1043</v>
      </c>
      <c r="ER179" s="231">
        <v>17551</v>
      </c>
      <c r="ES179" s="231">
        <v>12018</v>
      </c>
      <c r="ET179" s="231">
        <v>344785</v>
      </c>
      <c r="EU179" s="231">
        <v>216861410</v>
      </c>
      <c r="EV179" s="231">
        <v>374355</v>
      </c>
      <c r="EW179" s="231">
        <v>378331</v>
      </c>
      <c r="EX179" s="231">
        <v>-3976</v>
      </c>
      <c r="EY179" s="229">
        <v>-1.0500000000000001E-2</v>
      </c>
      <c r="EZ179" s="229">
        <v>1.0057</v>
      </c>
      <c r="FA179" s="227" t="s">
        <v>567</v>
      </c>
      <c r="FB179" s="161">
        <f t="shared" si="4"/>
        <v>0</v>
      </c>
    </row>
    <row r="180" spans="1:158" ht="17.25" thickBot="1" x14ac:dyDescent="0.3">
      <c r="A180" s="226">
        <v>46132</v>
      </c>
      <c r="B180" s="227" t="s">
        <v>175</v>
      </c>
      <c r="C180" s="227" t="s">
        <v>684</v>
      </c>
      <c r="D180" s="228">
        <v>4300</v>
      </c>
      <c r="E180" s="228">
        <v>153.02000000000001</v>
      </c>
      <c r="F180" s="228">
        <v>154.51</v>
      </c>
      <c r="G180" s="228">
        <v>-1.49</v>
      </c>
      <c r="H180" s="229">
        <v>-9.5999999999999992E-3</v>
      </c>
      <c r="I180" s="228">
        <v>152.07</v>
      </c>
      <c r="J180" s="228">
        <v>154.53</v>
      </c>
      <c r="K180" s="228">
        <v>-2.46</v>
      </c>
      <c r="L180" s="229">
        <v>-1.5900000000000001E-2</v>
      </c>
      <c r="M180" s="228">
        <v>153.02000000000001</v>
      </c>
      <c r="N180" s="228">
        <v>154.51</v>
      </c>
      <c r="O180" s="228">
        <v>-1.49</v>
      </c>
      <c r="P180" s="229">
        <v>-9.5999999999999992E-3</v>
      </c>
      <c r="Q180" s="228">
        <v>153.91</v>
      </c>
      <c r="R180" s="228">
        <v>155.5</v>
      </c>
      <c r="S180" s="228">
        <v>-1.59</v>
      </c>
      <c r="T180" s="229">
        <v>-1.0200000000000001E-2</v>
      </c>
      <c r="U180" s="228">
        <v>155</v>
      </c>
      <c r="V180" s="228">
        <v>156</v>
      </c>
      <c r="W180" s="228">
        <v>-1</v>
      </c>
      <c r="X180" s="229">
        <v>-6.4000000000000003E-3</v>
      </c>
      <c r="Y180" s="228">
        <v>0.95</v>
      </c>
      <c r="Z180" s="228">
        <v>-0.02</v>
      </c>
      <c r="AA180" s="228">
        <v>0.97</v>
      </c>
      <c r="AB180" s="229">
        <v>6.1999999999999998E-3</v>
      </c>
      <c r="AC180" s="228">
        <v>0.95</v>
      </c>
      <c r="AD180" s="228">
        <v>-0.02</v>
      </c>
      <c r="AE180" s="228">
        <v>0.97</v>
      </c>
      <c r="AF180" s="229">
        <v>6.1999999999999998E-3</v>
      </c>
      <c r="AG180" s="228">
        <v>1.84</v>
      </c>
      <c r="AH180" s="228">
        <v>0.97</v>
      </c>
      <c r="AI180" s="228">
        <v>0.87</v>
      </c>
      <c r="AJ180" s="229">
        <v>1.21E-2</v>
      </c>
      <c r="AK180" s="228">
        <v>2.93</v>
      </c>
      <c r="AL180" s="228">
        <v>1.47</v>
      </c>
      <c r="AM180" s="228">
        <v>1.46</v>
      </c>
      <c r="AN180" s="229">
        <v>1.9300000000000001E-2</v>
      </c>
      <c r="AO180" s="228">
        <v>153.01</v>
      </c>
      <c r="AP180" s="228">
        <v>153.84</v>
      </c>
      <c r="AQ180" s="228">
        <v>0</v>
      </c>
      <c r="AR180" s="230">
        <v>2154300</v>
      </c>
      <c r="AS180" s="230">
        <v>1849000</v>
      </c>
      <c r="AT180" s="230">
        <v>305300</v>
      </c>
      <c r="AU180" s="229">
        <v>0.1651</v>
      </c>
      <c r="AV180" s="230">
        <v>2107000</v>
      </c>
      <c r="AW180" s="230">
        <v>1711400</v>
      </c>
      <c r="AX180" s="230">
        <v>395600</v>
      </c>
      <c r="AY180" s="229">
        <v>0.23119999999999999</v>
      </c>
      <c r="AZ180" s="230">
        <v>34400</v>
      </c>
      <c r="BA180" s="230">
        <v>120400</v>
      </c>
      <c r="BB180" s="230">
        <v>-86000</v>
      </c>
      <c r="BC180" s="229">
        <v>-0.71430000000000005</v>
      </c>
      <c r="BD180" s="230">
        <v>12900</v>
      </c>
      <c r="BE180" s="230">
        <v>17200</v>
      </c>
      <c r="BF180" s="230">
        <v>-4300</v>
      </c>
      <c r="BG180" s="229">
        <v>-0.25</v>
      </c>
      <c r="BH180" s="230">
        <v>141900</v>
      </c>
      <c r="BI180" s="230">
        <v>163400</v>
      </c>
      <c r="BJ180" s="230">
        <v>-21500</v>
      </c>
      <c r="BK180" s="229">
        <v>-0.13159999999999999</v>
      </c>
      <c r="BL180" s="230">
        <v>51600</v>
      </c>
      <c r="BM180" s="230">
        <v>159100</v>
      </c>
      <c r="BN180" s="230">
        <v>-107500</v>
      </c>
      <c r="BO180" s="229">
        <v>-0.67569999999999997</v>
      </c>
      <c r="BP180" s="230">
        <v>2347800</v>
      </c>
      <c r="BQ180" s="230">
        <v>2171500</v>
      </c>
      <c r="BR180" s="230">
        <v>176300</v>
      </c>
      <c r="BS180" s="229">
        <v>8.1199999999999994E-2</v>
      </c>
      <c r="BT180" s="230">
        <v>10727665</v>
      </c>
      <c r="BU180" s="230">
        <v>8668918</v>
      </c>
      <c r="BV180" s="230">
        <v>2058747</v>
      </c>
      <c r="BW180" s="229">
        <v>0.23749999999999999</v>
      </c>
      <c r="BX180" s="230">
        <v>97218700</v>
      </c>
      <c r="BY180" s="230">
        <v>98371100</v>
      </c>
      <c r="BZ180" s="230">
        <v>-1152400</v>
      </c>
      <c r="CA180" s="229">
        <v>-1.17E-2</v>
      </c>
      <c r="CB180" s="230">
        <v>93112200</v>
      </c>
      <c r="CC180" s="230">
        <v>94290400</v>
      </c>
      <c r="CD180" s="230">
        <v>-1178200</v>
      </c>
      <c r="CE180" s="229">
        <v>-1.2500000000000001E-2</v>
      </c>
      <c r="CF180" s="230">
        <v>3878600</v>
      </c>
      <c r="CG180" s="230">
        <v>3861400</v>
      </c>
      <c r="CH180" s="230">
        <v>17200</v>
      </c>
      <c r="CI180" s="229">
        <v>4.4999999999999997E-3</v>
      </c>
      <c r="CJ180" s="230">
        <v>227900</v>
      </c>
      <c r="CK180" s="230">
        <v>219300</v>
      </c>
      <c r="CL180" s="230">
        <v>8600</v>
      </c>
      <c r="CM180" s="229">
        <v>3.9199999999999999E-2</v>
      </c>
      <c r="CN180" s="230">
        <v>17466600</v>
      </c>
      <c r="CO180" s="230">
        <v>17505300</v>
      </c>
      <c r="CP180" s="230">
        <v>-38700</v>
      </c>
      <c r="CQ180" s="229">
        <v>-2.2000000000000001E-3</v>
      </c>
      <c r="CR180" s="230">
        <v>18868400</v>
      </c>
      <c r="CS180" s="230">
        <v>18907100</v>
      </c>
      <c r="CT180" s="230">
        <v>-38700</v>
      </c>
      <c r="CU180" s="229">
        <v>-2E-3</v>
      </c>
      <c r="CV180" s="230">
        <v>133553700</v>
      </c>
      <c r="CW180" s="230">
        <v>134783500</v>
      </c>
      <c r="CX180" s="230">
        <v>-1229800</v>
      </c>
      <c r="CY180" s="229">
        <v>-9.1000000000000004E-3</v>
      </c>
      <c r="CZ180" s="228">
        <v>39.85</v>
      </c>
      <c r="DA180" s="228">
        <v>35.32</v>
      </c>
      <c r="DB180" s="228">
        <v>4.53</v>
      </c>
      <c r="DC180" s="228">
        <v>4.53</v>
      </c>
      <c r="DD180" s="228">
        <v>53.3</v>
      </c>
      <c r="DE180" s="228">
        <v>53.42</v>
      </c>
      <c r="DF180" s="228">
        <v>-13.45</v>
      </c>
      <c r="DG180" s="228">
        <v>-0.12</v>
      </c>
      <c r="DH180" s="228">
        <v>40.049999999999997</v>
      </c>
      <c r="DI180" s="228">
        <v>33.26</v>
      </c>
      <c r="DJ180" s="228">
        <v>6.79</v>
      </c>
      <c r="DK180" s="228">
        <v>6.79</v>
      </c>
      <c r="DL180" s="228">
        <v>39.29</v>
      </c>
      <c r="DM180" s="228">
        <v>37.44</v>
      </c>
      <c r="DN180" s="228">
        <v>1.85</v>
      </c>
      <c r="DO180" s="228">
        <v>1.85</v>
      </c>
      <c r="DP180" s="228">
        <v>1.08</v>
      </c>
      <c r="DQ180" s="228">
        <v>1.08</v>
      </c>
      <c r="DR180" s="228">
        <v>0</v>
      </c>
      <c r="DS180" s="229">
        <v>0</v>
      </c>
      <c r="DT180" s="228">
        <v>150</v>
      </c>
      <c r="DU180" s="228">
        <v>140</v>
      </c>
      <c r="DV180" s="228">
        <v>0.36</v>
      </c>
      <c r="DW180" s="228">
        <v>0.97</v>
      </c>
      <c r="DX180" s="228">
        <v>-0.61</v>
      </c>
      <c r="DY180" s="229">
        <v>-0.62890000000000001</v>
      </c>
      <c r="DZ180" s="229">
        <v>4.2200000000000001E-2</v>
      </c>
      <c r="EA180" s="230">
        <v>4080700</v>
      </c>
      <c r="EB180" s="229">
        <v>5.7999999999999996E-3</v>
      </c>
      <c r="EC180" s="229">
        <v>4.2200000000000001E-2</v>
      </c>
      <c r="ED180" s="228">
        <v>0.83</v>
      </c>
      <c r="EE180" s="229">
        <v>5.4000000000000003E-3</v>
      </c>
      <c r="EF180" s="230">
        <v>5502321</v>
      </c>
      <c r="EG180" s="230">
        <v>4554925</v>
      </c>
      <c r="EH180" s="229">
        <v>0.20799999999999999</v>
      </c>
      <c r="EI180" s="229">
        <v>0.51290000000000002</v>
      </c>
      <c r="EJ180" s="228">
        <v>228.22</v>
      </c>
      <c r="EK180" s="228">
        <v>74.09</v>
      </c>
      <c r="EL180" s="231">
        <v>3296.8</v>
      </c>
      <c r="EM180" s="228">
        <v>315</v>
      </c>
      <c r="EN180" s="231">
        <v>3599.11</v>
      </c>
      <c r="EO180" s="231">
        <v>3341.75</v>
      </c>
      <c r="EP180" s="228">
        <v>257.36</v>
      </c>
      <c r="EQ180" s="229">
        <v>7.6999999999999999E-2</v>
      </c>
      <c r="ER180" s="231">
        <v>27205</v>
      </c>
      <c r="ES180" s="231">
        <v>26617</v>
      </c>
      <c r="ET180" s="231">
        <v>148803</v>
      </c>
      <c r="EU180" s="231">
        <v>122372064</v>
      </c>
      <c r="EV180" s="231">
        <v>202625</v>
      </c>
      <c r="EW180" s="231">
        <v>205974</v>
      </c>
      <c r="EX180" s="231">
        <v>-3349</v>
      </c>
      <c r="EY180" s="229">
        <v>-1.6299999999999999E-2</v>
      </c>
      <c r="EZ180" s="229">
        <v>1.0913999999999999</v>
      </c>
      <c r="FA180" s="227" t="s">
        <v>567</v>
      </c>
      <c r="FB180" s="161">
        <f t="shared" si="4"/>
        <v>0</v>
      </c>
    </row>
    <row r="181" spans="1:158" ht="17.25" thickBot="1" x14ac:dyDescent="0.3">
      <c r="A181" s="226">
        <v>46132</v>
      </c>
      <c r="B181" s="227" t="s">
        <v>175</v>
      </c>
      <c r="C181" s="227" t="s">
        <v>536</v>
      </c>
      <c r="D181" s="228">
        <v>800</v>
      </c>
      <c r="E181" s="228">
        <v>671.3</v>
      </c>
      <c r="F181" s="228">
        <v>696.1</v>
      </c>
      <c r="G181" s="228">
        <v>-24.8</v>
      </c>
      <c r="H181" s="229">
        <v>-3.56E-2</v>
      </c>
      <c r="I181" s="228">
        <v>675.3</v>
      </c>
      <c r="J181" s="228">
        <v>695.2</v>
      </c>
      <c r="K181" s="228">
        <v>-19.899999999999999</v>
      </c>
      <c r="L181" s="229">
        <v>-2.86E-2</v>
      </c>
      <c r="M181" s="228">
        <v>671.3</v>
      </c>
      <c r="N181" s="228">
        <v>696.1</v>
      </c>
      <c r="O181" s="228">
        <v>-24.8</v>
      </c>
      <c r="P181" s="229">
        <v>-3.56E-2</v>
      </c>
      <c r="Q181" s="228">
        <v>651.15</v>
      </c>
      <c r="R181" s="228">
        <v>673.85</v>
      </c>
      <c r="S181" s="228">
        <v>-22.7</v>
      </c>
      <c r="T181" s="229">
        <v>-3.3700000000000001E-2</v>
      </c>
      <c r="U181" s="228">
        <v>643.45000000000005</v>
      </c>
      <c r="V181" s="228">
        <v>660.85</v>
      </c>
      <c r="W181" s="228">
        <v>-17.399999999999999</v>
      </c>
      <c r="X181" s="229">
        <v>-2.63E-2</v>
      </c>
      <c r="Y181" s="228">
        <v>-4</v>
      </c>
      <c r="Z181" s="228">
        <v>0.9</v>
      </c>
      <c r="AA181" s="228">
        <v>-4.9000000000000004</v>
      </c>
      <c r="AB181" s="229">
        <v>-5.8999999999999999E-3</v>
      </c>
      <c r="AC181" s="228">
        <v>-4</v>
      </c>
      <c r="AD181" s="228">
        <v>0.9</v>
      </c>
      <c r="AE181" s="228">
        <v>-4.9000000000000004</v>
      </c>
      <c r="AF181" s="229">
        <v>-5.8999999999999999E-3</v>
      </c>
      <c r="AG181" s="228">
        <v>-24.15</v>
      </c>
      <c r="AH181" s="228">
        <v>-21.35</v>
      </c>
      <c r="AI181" s="228">
        <v>-2.8</v>
      </c>
      <c r="AJ181" s="229">
        <v>-3.5799999999999998E-2</v>
      </c>
      <c r="AK181" s="228">
        <v>-31.85</v>
      </c>
      <c r="AL181" s="228">
        <v>-34.35</v>
      </c>
      <c r="AM181" s="228">
        <v>2.5</v>
      </c>
      <c r="AN181" s="229">
        <v>-4.7199999999999999E-2</v>
      </c>
      <c r="AO181" s="228">
        <v>680.66</v>
      </c>
      <c r="AP181" s="228">
        <v>661.25</v>
      </c>
      <c r="AQ181" s="228">
        <v>0</v>
      </c>
      <c r="AR181" s="230">
        <v>8982400</v>
      </c>
      <c r="AS181" s="230">
        <v>4532800</v>
      </c>
      <c r="AT181" s="230">
        <v>4449600</v>
      </c>
      <c r="AU181" s="229">
        <v>0.98160000000000003</v>
      </c>
      <c r="AV181" s="230">
        <v>6745600</v>
      </c>
      <c r="AW181" s="230">
        <v>3001600</v>
      </c>
      <c r="AX181" s="230">
        <v>3744000</v>
      </c>
      <c r="AY181" s="229">
        <v>1.2473000000000001</v>
      </c>
      <c r="AZ181" s="230">
        <v>1968800</v>
      </c>
      <c r="BA181" s="230">
        <v>1293600</v>
      </c>
      <c r="BB181" s="230">
        <v>675200</v>
      </c>
      <c r="BC181" s="229">
        <v>0.52200000000000002</v>
      </c>
      <c r="BD181" s="230">
        <v>268000</v>
      </c>
      <c r="BE181" s="230">
        <v>237600</v>
      </c>
      <c r="BF181" s="230">
        <v>30400</v>
      </c>
      <c r="BG181" s="229">
        <v>0.12790000000000001</v>
      </c>
      <c r="BH181" s="230">
        <v>8382400</v>
      </c>
      <c r="BI181" s="230">
        <v>4957600</v>
      </c>
      <c r="BJ181" s="230">
        <v>3424800</v>
      </c>
      <c r="BK181" s="229">
        <v>0.69079999999999997</v>
      </c>
      <c r="BL181" s="230">
        <v>5065600</v>
      </c>
      <c r="BM181" s="230">
        <v>2805600</v>
      </c>
      <c r="BN181" s="230">
        <v>2260000</v>
      </c>
      <c r="BO181" s="229">
        <v>0.80549999999999999</v>
      </c>
      <c r="BP181" s="230">
        <v>22430400</v>
      </c>
      <c r="BQ181" s="230">
        <v>12296000</v>
      </c>
      <c r="BR181" s="230">
        <v>10134400</v>
      </c>
      <c r="BS181" s="229">
        <v>0.82420000000000004</v>
      </c>
      <c r="BT181" s="230">
        <v>1122420</v>
      </c>
      <c r="BU181" s="230">
        <v>785495</v>
      </c>
      <c r="BV181" s="230">
        <v>336925</v>
      </c>
      <c r="BW181" s="229">
        <v>0.4289</v>
      </c>
      <c r="BX181" s="230">
        <v>29908800</v>
      </c>
      <c r="BY181" s="230">
        <v>27661600</v>
      </c>
      <c r="BZ181" s="230">
        <v>2247200</v>
      </c>
      <c r="CA181" s="229">
        <v>8.1199999999999994E-2</v>
      </c>
      <c r="CB181" s="230">
        <v>24398400</v>
      </c>
      <c r="CC181" s="230">
        <v>23277600</v>
      </c>
      <c r="CD181" s="230">
        <v>1120800</v>
      </c>
      <c r="CE181" s="229">
        <v>4.8099999999999997E-2</v>
      </c>
      <c r="CF181" s="230">
        <v>4544000</v>
      </c>
      <c r="CG181" s="230">
        <v>3563200</v>
      </c>
      <c r="CH181" s="230">
        <v>980800</v>
      </c>
      <c r="CI181" s="229">
        <v>0.27529999999999999</v>
      </c>
      <c r="CJ181" s="230">
        <v>966400</v>
      </c>
      <c r="CK181" s="230">
        <v>820800</v>
      </c>
      <c r="CL181" s="230">
        <v>145600</v>
      </c>
      <c r="CM181" s="229">
        <v>0.1774</v>
      </c>
      <c r="CN181" s="230">
        <v>8350400</v>
      </c>
      <c r="CO181" s="230">
        <v>7652800</v>
      </c>
      <c r="CP181" s="230">
        <v>697600</v>
      </c>
      <c r="CQ181" s="229">
        <v>9.1200000000000003E-2</v>
      </c>
      <c r="CR181" s="230">
        <v>6619200</v>
      </c>
      <c r="CS181" s="230">
        <v>5695200</v>
      </c>
      <c r="CT181" s="230">
        <v>924000</v>
      </c>
      <c r="CU181" s="229">
        <v>0.16220000000000001</v>
      </c>
      <c r="CV181" s="230">
        <v>44878400</v>
      </c>
      <c r="CW181" s="230">
        <v>41009600</v>
      </c>
      <c r="CX181" s="230">
        <v>3868800</v>
      </c>
      <c r="CY181" s="229">
        <v>9.4299999999999995E-2</v>
      </c>
      <c r="CZ181" s="228">
        <v>40.49</v>
      </c>
      <c r="DA181" s="228">
        <v>35.619999999999997</v>
      </c>
      <c r="DB181" s="228">
        <v>4.87</v>
      </c>
      <c r="DC181" s="228">
        <v>4.87</v>
      </c>
      <c r="DD181" s="228">
        <v>32.33</v>
      </c>
      <c r="DE181" s="228">
        <v>32.18</v>
      </c>
      <c r="DF181" s="228">
        <v>8.16</v>
      </c>
      <c r="DG181" s="228">
        <v>0.15</v>
      </c>
      <c r="DH181" s="228">
        <v>41.07</v>
      </c>
      <c r="DI181" s="228">
        <v>34.93</v>
      </c>
      <c r="DJ181" s="228">
        <v>6.14</v>
      </c>
      <c r="DK181" s="228">
        <v>6.14</v>
      </c>
      <c r="DL181" s="228">
        <v>39.520000000000003</v>
      </c>
      <c r="DM181" s="228">
        <v>36.83</v>
      </c>
      <c r="DN181" s="228">
        <v>2.69</v>
      </c>
      <c r="DO181" s="228">
        <v>2.69</v>
      </c>
      <c r="DP181" s="228">
        <v>0.79</v>
      </c>
      <c r="DQ181" s="228">
        <v>0.74</v>
      </c>
      <c r="DR181" s="228">
        <v>0.05</v>
      </c>
      <c r="DS181" s="229">
        <v>6.7599999999999993E-2</v>
      </c>
      <c r="DT181" s="228">
        <v>800</v>
      </c>
      <c r="DU181" s="228">
        <v>680</v>
      </c>
      <c r="DV181" s="228">
        <v>0.6</v>
      </c>
      <c r="DW181" s="228">
        <v>0.56999999999999995</v>
      </c>
      <c r="DX181" s="228">
        <v>0.03</v>
      </c>
      <c r="DY181" s="229">
        <v>5.2600000000000001E-2</v>
      </c>
      <c r="DZ181" s="229">
        <v>0.1842</v>
      </c>
      <c r="EA181" s="230">
        <v>4384000</v>
      </c>
      <c r="EB181" s="229">
        <v>-0.03</v>
      </c>
      <c r="EC181" s="229">
        <v>0.1842</v>
      </c>
      <c r="ED181" s="228">
        <v>-19.41</v>
      </c>
      <c r="EE181" s="229">
        <v>-2.8500000000000001E-2</v>
      </c>
      <c r="EF181" s="230">
        <v>484997</v>
      </c>
      <c r="EG181" s="230">
        <v>284169</v>
      </c>
      <c r="EH181" s="229">
        <v>0.70669999999999999</v>
      </c>
      <c r="EI181" s="229">
        <v>0.43209999999999998</v>
      </c>
      <c r="EJ181" s="231">
        <v>60483.64</v>
      </c>
      <c r="EK181" s="231">
        <v>34802.82</v>
      </c>
      <c r="EL181" s="231">
        <v>60680.959999999999</v>
      </c>
      <c r="EM181" s="231">
        <v>5041</v>
      </c>
      <c r="EN181" s="231">
        <v>155967.42000000001</v>
      </c>
      <c r="EO181" s="231">
        <v>86330.36</v>
      </c>
      <c r="EP181" s="231">
        <v>69637.06</v>
      </c>
      <c r="EQ181" s="229">
        <v>0.80659999999999998</v>
      </c>
      <c r="ER181" s="231">
        <v>59803</v>
      </c>
      <c r="ES181" s="231">
        <v>44135</v>
      </c>
      <c r="ET181" s="231">
        <v>199593</v>
      </c>
      <c r="EU181" s="231">
        <v>44841373</v>
      </c>
      <c r="EV181" s="231">
        <v>303531</v>
      </c>
      <c r="EW181" s="231">
        <v>284189</v>
      </c>
      <c r="EX181" s="231">
        <v>19342</v>
      </c>
      <c r="EY181" s="229">
        <v>6.8099999999999994E-2</v>
      </c>
      <c r="EZ181" s="229">
        <v>1.0007999999999999</v>
      </c>
      <c r="FA181" s="227" t="s">
        <v>566</v>
      </c>
      <c r="FB181" s="161">
        <f t="shared" si="4"/>
        <v>0</v>
      </c>
    </row>
    <row r="182" spans="1:158" ht="17.25" thickBot="1" x14ac:dyDescent="0.3">
      <c r="A182" s="226">
        <v>46132</v>
      </c>
      <c r="B182" s="227" t="s">
        <v>175</v>
      </c>
      <c r="C182" s="227" t="s">
        <v>462</v>
      </c>
      <c r="D182" s="228">
        <v>375</v>
      </c>
      <c r="E182" s="231">
        <v>1984.3</v>
      </c>
      <c r="F182" s="231">
        <v>1970.4</v>
      </c>
      <c r="G182" s="228">
        <v>13.9</v>
      </c>
      <c r="H182" s="229">
        <v>7.1000000000000004E-3</v>
      </c>
      <c r="I182" s="231">
        <v>1982.5</v>
      </c>
      <c r="J182" s="231">
        <v>1970.9</v>
      </c>
      <c r="K182" s="228">
        <v>11.6</v>
      </c>
      <c r="L182" s="229">
        <v>5.8999999999999999E-3</v>
      </c>
      <c r="M182" s="231">
        <v>1984.3</v>
      </c>
      <c r="N182" s="231">
        <v>1970.4</v>
      </c>
      <c r="O182" s="228">
        <v>13.9</v>
      </c>
      <c r="P182" s="229">
        <v>7.1000000000000004E-3</v>
      </c>
      <c r="Q182" s="231">
        <v>1995.7</v>
      </c>
      <c r="R182" s="231">
        <v>1982</v>
      </c>
      <c r="S182" s="228">
        <v>13.7</v>
      </c>
      <c r="T182" s="229">
        <v>6.8999999999999999E-3</v>
      </c>
      <c r="U182" s="231">
        <v>2010</v>
      </c>
      <c r="V182" s="231">
        <v>1994.2</v>
      </c>
      <c r="W182" s="228">
        <v>15.8</v>
      </c>
      <c r="X182" s="229">
        <v>7.9000000000000008E-3</v>
      </c>
      <c r="Y182" s="228">
        <v>1.8</v>
      </c>
      <c r="Z182" s="228">
        <v>-0.5</v>
      </c>
      <c r="AA182" s="228">
        <v>2.2999999999999998</v>
      </c>
      <c r="AB182" s="229">
        <v>8.9999999999999998E-4</v>
      </c>
      <c r="AC182" s="228">
        <v>1.8</v>
      </c>
      <c r="AD182" s="228">
        <v>-0.5</v>
      </c>
      <c r="AE182" s="228">
        <v>2.2999999999999998</v>
      </c>
      <c r="AF182" s="229">
        <v>8.9999999999999998E-4</v>
      </c>
      <c r="AG182" s="228">
        <v>13.2</v>
      </c>
      <c r="AH182" s="228">
        <v>11.1</v>
      </c>
      <c r="AI182" s="228">
        <v>2.1</v>
      </c>
      <c r="AJ182" s="229">
        <v>6.7000000000000002E-3</v>
      </c>
      <c r="AK182" s="228">
        <v>27.5</v>
      </c>
      <c r="AL182" s="228">
        <v>23.3</v>
      </c>
      <c r="AM182" s="228">
        <v>4.2</v>
      </c>
      <c r="AN182" s="229">
        <v>1.3899999999999999E-2</v>
      </c>
      <c r="AO182" s="231">
        <v>1979.9</v>
      </c>
      <c r="AP182" s="231">
        <v>1993.31</v>
      </c>
      <c r="AQ182" s="228">
        <v>0</v>
      </c>
      <c r="AR182" s="230">
        <v>1750125</v>
      </c>
      <c r="AS182" s="230">
        <v>666375</v>
      </c>
      <c r="AT182" s="230">
        <v>1083750</v>
      </c>
      <c r="AU182" s="229">
        <v>1.6263000000000001</v>
      </c>
      <c r="AV182" s="230">
        <v>1308750</v>
      </c>
      <c r="AW182" s="230">
        <v>639375</v>
      </c>
      <c r="AX182" s="230">
        <v>669375</v>
      </c>
      <c r="AY182" s="229">
        <v>1.0468999999999999</v>
      </c>
      <c r="AZ182" s="230">
        <v>151500</v>
      </c>
      <c r="BA182" s="230">
        <v>24375</v>
      </c>
      <c r="BB182" s="230">
        <v>127125</v>
      </c>
      <c r="BC182" s="229">
        <v>5.2153999999999998</v>
      </c>
      <c r="BD182" s="230">
        <v>289875</v>
      </c>
      <c r="BE182" s="230">
        <v>2625</v>
      </c>
      <c r="BF182" s="230">
        <v>287250</v>
      </c>
      <c r="BG182" s="229">
        <v>109.4286</v>
      </c>
      <c r="BH182" s="230">
        <v>2696250</v>
      </c>
      <c r="BI182" s="230">
        <v>2588250</v>
      </c>
      <c r="BJ182" s="230">
        <v>108000</v>
      </c>
      <c r="BK182" s="229">
        <v>4.1700000000000001E-2</v>
      </c>
      <c r="BL182" s="230">
        <v>955125</v>
      </c>
      <c r="BM182" s="230">
        <v>1128375</v>
      </c>
      <c r="BN182" s="230">
        <v>-173250</v>
      </c>
      <c r="BO182" s="229">
        <v>-0.1535</v>
      </c>
      <c r="BP182" s="230">
        <v>5401500</v>
      </c>
      <c r="BQ182" s="230">
        <v>4383000</v>
      </c>
      <c r="BR182" s="230">
        <v>1018500</v>
      </c>
      <c r="BS182" s="229">
        <v>0.2324</v>
      </c>
      <c r="BT182" s="230">
        <v>1041717</v>
      </c>
      <c r="BU182" s="230">
        <v>539992</v>
      </c>
      <c r="BV182" s="230">
        <v>501725</v>
      </c>
      <c r="BW182" s="229">
        <v>0.92910000000000004</v>
      </c>
      <c r="BX182" s="230">
        <v>10657125</v>
      </c>
      <c r="BY182" s="230">
        <v>10581000</v>
      </c>
      <c r="BZ182" s="230">
        <v>76125</v>
      </c>
      <c r="CA182" s="229">
        <v>7.1999999999999998E-3</v>
      </c>
      <c r="CB182" s="230">
        <v>9595500</v>
      </c>
      <c r="CC182" s="230">
        <v>9892125</v>
      </c>
      <c r="CD182" s="230">
        <v>-296625</v>
      </c>
      <c r="CE182" s="229">
        <v>-0.03</v>
      </c>
      <c r="CF182" s="230">
        <v>359625</v>
      </c>
      <c r="CG182" s="230">
        <v>270375</v>
      </c>
      <c r="CH182" s="230">
        <v>89250</v>
      </c>
      <c r="CI182" s="229">
        <v>0.3301</v>
      </c>
      <c r="CJ182" s="230">
        <v>702000</v>
      </c>
      <c r="CK182" s="230">
        <v>418500</v>
      </c>
      <c r="CL182" s="230">
        <v>283500</v>
      </c>
      <c r="CM182" s="229">
        <v>0.6774</v>
      </c>
      <c r="CN182" s="230">
        <v>3738375</v>
      </c>
      <c r="CO182" s="230">
        <v>3708375</v>
      </c>
      <c r="CP182" s="230">
        <v>30000</v>
      </c>
      <c r="CQ182" s="229">
        <v>8.0999999999999996E-3</v>
      </c>
      <c r="CR182" s="230">
        <v>2306625</v>
      </c>
      <c r="CS182" s="230">
        <v>2247000</v>
      </c>
      <c r="CT182" s="230">
        <v>59625</v>
      </c>
      <c r="CU182" s="229">
        <v>2.6499999999999999E-2</v>
      </c>
      <c r="CV182" s="230">
        <v>16702125</v>
      </c>
      <c r="CW182" s="230">
        <v>16536375</v>
      </c>
      <c r="CX182" s="230">
        <v>165750</v>
      </c>
      <c r="CY182" s="229">
        <v>0.01</v>
      </c>
      <c r="CZ182" s="228">
        <v>28.24</v>
      </c>
      <c r="DA182" s="228">
        <v>24.35</v>
      </c>
      <c r="DB182" s="228">
        <v>3.89</v>
      </c>
      <c r="DC182" s="228">
        <v>3.89</v>
      </c>
      <c r="DD182" s="228">
        <v>25.87</v>
      </c>
      <c r="DE182" s="228">
        <v>25.92</v>
      </c>
      <c r="DF182" s="228">
        <v>2.37</v>
      </c>
      <c r="DG182" s="228">
        <v>-0.05</v>
      </c>
      <c r="DH182" s="228">
        <v>27.41</v>
      </c>
      <c r="DI182" s="228">
        <v>23.66</v>
      </c>
      <c r="DJ182" s="228">
        <v>3.75</v>
      </c>
      <c r="DK182" s="228">
        <v>3.75</v>
      </c>
      <c r="DL182" s="228">
        <v>30.57</v>
      </c>
      <c r="DM182" s="228">
        <v>25.94</v>
      </c>
      <c r="DN182" s="228">
        <v>4.63</v>
      </c>
      <c r="DO182" s="228">
        <v>4.63</v>
      </c>
      <c r="DP182" s="228">
        <v>0.62</v>
      </c>
      <c r="DQ182" s="228">
        <v>0.61</v>
      </c>
      <c r="DR182" s="228">
        <v>0.01</v>
      </c>
      <c r="DS182" s="229">
        <v>1.6400000000000001E-2</v>
      </c>
      <c r="DT182" s="231">
        <v>2000</v>
      </c>
      <c r="DU182" s="231">
        <v>1960</v>
      </c>
      <c r="DV182" s="228">
        <v>0.35</v>
      </c>
      <c r="DW182" s="228">
        <v>0.44</v>
      </c>
      <c r="DX182" s="228">
        <v>-0.09</v>
      </c>
      <c r="DY182" s="229">
        <v>-0.20449999999999999</v>
      </c>
      <c r="DZ182" s="229">
        <v>9.9599999999999994E-2</v>
      </c>
      <c r="EA182" s="230">
        <v>688875</v>
      </c>
      <c r="EB182" s="229">
        <v>5.7000000000000002E-3</v>
      </c>
      <c r="EC182" s="229">
        <v>9.9599999999999994E-2</v>
      </c>
      <c r="ED182" s="228">
        <v>13.41</v>
      </c>
      <c r="EE182" s="229">
        <v>6.7999999999999996E-3</v>
      </c>
      <c r="EF182" s="230">
        <v>653293</v>
      </c>
      <c r="EG182" s="230">
        <v>337862</v>
      </c>
      <c r="EH182" s="229">
        <v>0.93359999999999999</v>
      </c>
      <c r="EI182" s="229">
        <v>0.62709999999999999</v>
      </c>
      <c r="EJ182" s="231">
        <v>55076.74</v>
      </c>
      <c r="EK182" s="231">
        <v>18514.830000000002</v>
      </c>
      <c r="EL182" s="231">
        <v>34735.32</v>
      </c>
      <c r="EM182" s="231">
        <v>3055</v>
      </c>
      <c r="EN182" s="231">
        <v>108326.89</v>
      </c>
      <c r="EO182" s="231">
        <v>88081.14</v>
      </c>
      <c r="EP182" s="231">
        <v>20245.75</v>
      </c>
      <c r="EQ182" s="229">
        <v>0.22989999999999999</v>
      </c>
      <c r="ER182" s="231">
        <v>74223</v>
      </c>
      <c r="ES182" s="231">
        <v>42125</v>
      </c>
      <c r="ET182" s="231">
        <v>211691</v>
      </c>
      <c r="EU182" s="231">
        <v>45527821</v>
      </c>
      <c r="EV182" s="231">
        <v>328039</v>
      </c>
      <c r="EW182" s="231">
        <v>323035</v>
      </c>
      <c r="EX182" s="231">
        <v>5004</v>
      </c>
      <c r="EY182" s="229">
        <v>1.55E-2</v>
      </c>
      <c r="EZ182" s="229">
        <v>0.3669</v>
      </c>
      <c r="FA182" s="227" t="s">
        <v>555</v>
      </c>
      <c r="FB182" s="161">
        <f t="shared" si="4"/>
        <v>0</v>
      </c>
    </row>
    <row r="183" spans="1:158" ht="17.25" thickBot="1" x14ac:dyDescent="0.3">
      <c r="A183" s="226">
        <v>46132</v>
      </c>
      <c r="B183" s="227" t="s">
        <v>172</v>
      </c>
      <c r="C183" s="227" t="s">
        <v>283</v>
      </c>
      <c r="D183" s="228">
        <v>750</v>
      </c>
      <c r="E183" s="231">
        <v>1106.3</v>
      </c>
      <c r="F183" s="231">
        <v>1082.8</v>
      </c>
      <c r="G183" s="228">
        <v>23.5</v>
      </c>
      <c r="H183" s="229">
        <v>2.1700000000000001E-2</v>
      </c>
      <c r="I183" s="231">
        <v>1107.8499999999999</v>
      </c>
      <c r="J183" s="231">
        <v>1080.25</v>
      </c>
      <c r="K183" s="228">
        <v>27.6</v>
      </c>
      <c r="L183" s="229">
        <v>2.5499999999999998E-2</v>
      </c>
      <c r="M183" s="231">
        <v>1106.3</v>
      </c>
      <c r="N183" s="231">
        <v>1082.8</v>
      </c>
      <c r="O183" s="228">
        <v>23.5</v>
      </c>
      <c r="P183" s="229">
        <v>2.1700000000000001E-2</v>
      </c>
      <c r="Q183" s="231">
        <v>1100.0999999999999</v>
      </c>
      <c r="R183" s="231">
        <v>1077.0999999999999</v>
      </c>
      <c r="S183" s="228">
        <v>23</v>
      </c>
      <c r="T183" s="229">
        <v>2.1399999999999999E-2</v>
      </c>
      <c r="U183" s="231">
        <v>1102.5</v>
      </c>
      <c r="V183" s="231">
        <v>1078.7</v>
      </c>
      <c r="W183" s="228">
        <v>23.8</v>
      </c>
      <c r="X183" s="229">
        <v>2.2100000000000002E-2</v>
      </c>
      <c r="Y183" s="228">
        <v>-1.55</v>
      </c>
      <c r="Z183" s="228">
        <v>2.5499999999999998</v>
      </c>
      <c r="AA183" s="228">
        <v>-4.0999999999999996</v>
      </c>
      <c r="AB183" s="229">
        <v>-1.4E-3</v>
      </c>
      <c r="AC183" s="228">
        <v>-1.55</v>
      </c>
      <c r="AD183" s="228">
        <v>2.5499999999999998</v>
      </c>
      <c r="AE183" s="228">
        <v>-4.0999999999999996</v>
      </c>
      <c r="AF183" s="229">
        <v>-1.4E-3</v>
      </c>
      <c r="AG183" s="228">
        <v>-7.75</v>
      </c>
      <c r="AH183" s="228">
        <v>-3.15</v>
      </c>
      <c r="AI183" s="228">
        <v>-4.5999999999999996</v>
      </c>
      <c r="AJ183" s="229">
        <v>-7.0000000000000001E-3</v>
      </c>
      <c r="AK183" s="228">
        <v>-5.35</v>
      </c>
      <c r="AL183" s="228">
        <v>-1.55</v>
      </c>
      <c r="AM183" s="228">
        <v>-3.8</v>
      </c>
      <c r="AN183" s="229">
        <v>-4.7999999999999996E-3</v>
      </c>
      <c r="AO183" s="231">
        <v>1107.5</v>
      </c>
      <c r="AP183" s="231">
        <v>1101.73</v>
      </c>
      <c r="AQ183" s="228">
        <v>0</v>
      </c>
      <c r="AR183" s="230">
        <v>27639000</v>
      </c>
      <c r="AS183" s="230">
        <v>12119250</v>
      </c>
      <c r="AT183" s="230">
        <v>15519750</v>
      </c>
      <c r="AU183" s="229">
        <v>1.2806</v>
      </c>
      <c r="AV183" s="230">
        <v>21505500</v>
      </c>
      <c r="AW183" s="230">
        <v>9500250</v>
      </c>
      <c r="AX183" s="230">
        <v>12005250</v>
      </c>
      <c r="AY183" s="229">
        <v>1.2637</v>
      </c>
      <c r="AZ183" s="230">
        <v>4065000</v>
      </c>
      <c r="BA183" s="230">
        <v>2392500</v>
      </c>
      <c r="BB183" s="230">
        <v>1672500</v>
      </c>
      <c r="BC183" s="229">
        <v>0.69910000000000005</v>
      </c>
      <c r="BD183" s="230">
        <v>2068500</v>
      </c>
      <c r="BE183" s="230">
        <v>226500</v>
      </c>
      <c r="BF183" s="230">
        <v>1842000</v>
      </c>
      <c r="BG183" s="229">
        <v>8.1325000000000003</v>
      </c>
      <c r="BH183" s="230">
        <v>186557250</v>
      </c>
      <c r="BI183" s="230">
        <v>57024000</v>
      </c>
      <c r="BJ183" s="230">
        <v>129533250</v>
      </c>
      <c r="BK183" s="229">
        <v>2.2715999999999998</v>
      </c>
      <c r="BL183" s="230">
        <v>101702250</v>
      </c>
      <c r="BM183" s="230">
        <v>35200500</v>
      </c>
      <c r="BN183" s="230">
        <v>66501750</v>
      </c>
      <c r="BO183" s="229">
        <v>1.8892</v>
      </c>
      <c r="BP183" s="230">
        <v>315898500</v>
      </c>
      <c r="BQ183" s="230">
        <v>104343750</v>
      </c>
      <c r="BR183" s="230">
        <v>211554750</v>
      </c>
      <c r="BS183" s="229">
        <v>2.0274999999999999</v>
      </c>
      <c r="BT183" s="230">
        <v>32565522</v>
      </c>
      <c r="BU183" s="230">
        <v>17533119</v>
      </c>
      <c r="BV183" s="230">
        <v>15032403</v>
      </c>
      <c r="BW183" s="229">
        <v>0.85740000000000005</v>
      </c>
      <c r="BX183" s="230">
        <v>78059250</v>
      </c>
      <c r="BY183" s="230">
        <v>80589750</v>
      </c>
      <c r="BZ183" s="230">
        <v>-2530500</v>
      </c>
      <c r="CA183" s="229">
        <v>-3.1399999999999997E-2</v>
      </c>
      <c r="CB183" s="230">
        <v>66411750</v>
      </c>
      <c r="CC183" s="230">
        <v>71784750</v>
      </c>
      <c r="CD183" s="230">
        <v>-5373000</v>
      </c>
      <c r="CE183" s="229">
        <v>-7.4800000000000005E-2</v>
      </c>
      <c r="CF183" s="230">
        <v>8328000</v>
      </c>
      <c r="CG183" s="230">
        <v>7102500</v>
      </c>
      <c r="CH183" s="230">
        <v>1225500</v>
      </c>
      <c r="CI183" s="229">
        <v>0.17249999999999999</v>
      </c>
      <c r="CJ183" s="230">
        <v>3319500</v>
      </c>
      <c r="CK183" s="230">
        <v>1702500</v>
      </c>
      <c r="CL183" s="230">
        <v>1617000</v>
      </c>
      <c r="CM183" s="229">
        <v>0.94979999999999998</v>
      </c>
      <c r="CN183" s="230">
        <v>45209250</v>
      </c>
      <c r="CO183" s="230">
        <v>44845500</v>
      </c>
      <c r="CP183" s="230">
        <v>363750</v>
      </c>
      <c r="CQ183" s="229">
        <v>8.0999999999999996E-3</v>
      </c>
      <c r="CR183" s="230">
        <v>40200000</v>
      </c>
      <c r="CS183" s="230">
        <v>36129000</v>
      </c>
      <c r="CT183" s="230">
        <v>4071000</v>
      </c>
      <c r="CU183" s="229">
        <v>0.11269999999999999</v>
      </c>
      <c r="CV183" s="230">
        <v>163468500</v>
      </c>
      <c r="CW183" s="230">
        <v>161564250</v>
      </c>
      <c r="CX183" s="230">
        <v>1904250</v>
      </c>
      <c r="CY183" s="229">
        <v>1.18E-2</v>
      </c>
      <c r="CZ183" s="228">
        <v>30.42</v>
      </c>
      <c r="DA183" s="228">
        <v>27.52</v>
      </c>
      <c r="DB183" s="228">
        <v>2.9</v>
      </c>
      <c r="DC183" s="228">
        <v>2.9</v>
      </c>
      <c r="DD183" s="228">
        <v>29.31</v>
      </c>
      <c r="DE183" s="228">
        <v>29.18</v>
      </c>
      <c r="DF183" s="228">
        <v>1.1100000000000001</v>
      </c>
      <c r="DG183" s="228">
        <v>0.13</v>
      </c>
      <c r="DH183" s="228">
        <v>29.2</v>
      </c>
      <c r="DI183" s="228">
        <v>26.09</v>
      </c>
      <c r="DJ183" s="228">
        <v>3.11</v>
      </c>
      <c r="DK183" s="228">
        <v>3.11</v>
      </c>
      <c r="DL183" s="228">
        <v>32.659999999999997</v>
      </c>
      <c r="DM183" s="228">
        <v>29.85</v>
      </c>
      <c r="DN183" s="228">
        <v>2.81</v>
      </c>
      <c r="DO183" s="228">
        <v>2.81</v>
      </c>
      <c r="DP183" s="228">
        <v>0.89</v>
      </c>
      <c r="DQ183" s="228">
        <v>0.81</v>
      </c>
      <c r="DR183" s="228">
        <v>0.08</v>
      </c>
      <c r="DS183" s="229">
        <v>9.8799999999999999E-2</v>
      </c>
      <c r="DT183" s="231">
        <v>1200</v>
      </c>
      <c r="DU183" s="231">
        <v>1000</v>
      </c>
      <c r="DV183" s="228">
        <v>0.55000000000000004</v>
      </c>
      <c r="DW183" s="228">
        <v>0.62</v>
      </c>
      <c r="DX183" s="228">
        <v>-7.0000000000000007E-2</v>
      </c>
      <c r="DY183" s="229">
        <v>-0.1129</v>
      </c>
      <c r="DZ183" s="229">
        <v>0.1492</v>
      </c>
      <c r="EA183" s="230">
        <v>8805000</v>
      </c>
      <c r="EB183" s="229">
        <v>-5.5999999999999999E-3</v>
      </c>
      <c r="EC183" s="229">
        <v>0.1492</v>
      </c>
      <c r="ED183" s="228">
        <v>-5.77</v>
      </c>
      <c r="EE183" s="229">
        <v>-5.1999999999999998E-3</v>
      </c>
      <c r="EF183" s="230">
        <v>18962424</v>
      </c>
      <c r="EG183" s="230">
        <v>11113948</v>
      </c>
      <c r="EH183" s="229">
        <v>0.70620000000000005</v>
      </c>
      <c r="EI183" s="229">
        <v>0.58230000000000004</v>
      </c>
      <c r="EJ183" s="231">
        <v>2134040.64</v>
      </c>
      <c r="EK183" s="231">
        <v>1093451.1399999999</v>
      </c>
      <c r="EL183" s="231">
        <v>305837.56</v>
      </c>
      <c r="EM183" s="231">
        <v>16519</v>
      </c>
      <c r="EN183" s="231">
        <v>3533329.34</v>
      </c>
      <c r="EO183" s="231">
        <v>1137477.3700000001</v>
      </c>
      <c r="EP183" s="231">
        <v>2395851.9700000002</v>
      </c>
      <c r="EQ183" s="229">
        <v>2.1063000000000001</v>
      </c>
      <c r="ER183" s="231">
        <v>504541</v>
      </c>
      <c r="ES183" s="231">
        <v>416624</v>
      </c>
      <c r="ET183" s="231">
        <v>862927</v>
      </c>
      <c r="EU183" s="231">
        <v>580324288</v>
      </c>
      <c r="EV183" s="231">
        <v>1784092</v>
      </c>
      <c r="EW183" s="231">
        <v>1738909</v>
      </c>
      <c r="EX183" s="231">
        <v>45183</v>
      </c>
      <c r="EY183" s="229">
        <v>2.5999999999999999E-2</v>
      </c>
      <c r="EZ183" s="229">
        <v>0.28170000000000001</v>
      </c>
      <c r="FA183" s="227" t="s">
        <v>693</v>
      </c>
      <c r="FB183" s="161">
        <f t="shared" si="4"/>
        <v>0</v>
      </c>
    </row>
    <row r="184" spans="1:158" ht="17.25" thickBot="1" x14ac:dyDescent="0.3">
      <c r="A184" s="226">
        <v>46132</v>
      </c>
      <c r="B184" s="227" t="s">
        <v>157</v>
      </c>
      <c r="C184" s="227" t="s">
        <v>284</v>
      </c>
      <c r="D184" s="228">
        <v>25</v>
      </c>
      <c r="E184" s="231">
        <v>25365</v>
      </c>
      <c r="F184" s="231">
        <v>25280</v>
      </c>
      <c r="G184" s="228">
        <v>85</v>
      </c>
      <c r="H184" s="229">
        <v>3.3999999999999998E-3</v>
      </c>
      <c r="I184" s="231">
        <v>25490</v>
      </c>
      <c r="J184" s="231">
        <v>25290</v>
      </c>
      <c r="K184" s="228">
        <v>200</v>
      </c>
      <c r="L184" s="229">
        <v>7.9000000000000008E-3</v>
      </c>
      <c r="M184" s="231">
        <v>25365</v>
      </c>
      <c r="N184" s="231">
        <v>25280</v>
      </c>
      <c r="O184" s="228">
        <v>85</v>
      </c>
      <c r="P184" s="229">
        <v>3.3999999999999998E-3</v>
      </c>
      <c r="Q184" s="231">
        <v>25190</v>
      </c>
      <c r="R184" s="231">
        <v>25135</v>
      </c>
      <c r="S184" s="228">
        <v>55</v>
      </c>
      <c r="T184" s="229">
        <v>2.2000000000000001E-3</v>
      </c>
      <c r="U184" s="231">
        <v>25100</v>
      </c>
      <c r="V184" s="231">
        <v>25050</v>
      </c>
      <c r="W184" s="228">
        <v>50</v>
      </c>
      <c r="X184" s="229">
        <v>2E-3</v>
      </c>
      <c r="Y184" s="228">
        <v>-125</v>
      </c>
      <c r="Z184" s="228">
        <v>-10</v>
      </c>
      <c r="AA184" s="228">
        <v>-115</v>
      </c>
      <c r="AB184" s="229">
        <v>-4.8999999999999998E-3</v>
      </c>
      <c r="AC184" s="228">
        <v>-125</v>
      </c>
      <c r="AD184" s="228">
        <v>-10</v>
      </c>
      <c r="AE184" s="228">
        <v>-115</v>
      </c>
      <c r="AF184" s="229">
        <v>-4.8999999999999998E-3</v>
      </c>
      <c r="AG184" s="228">
        <v>-300</v>
      </c>
      <c r="AH184" s="228">
        <v>-155</v>
      </c>
      <c r="AI184" s="228">
        <v>-145</v>
      </c>
      <c r="AJ184" s="229">
        <v>-1.18E-2</v>
      </c>
      <c r="AK184" s="228">
        <v>-390</v>
      </c>
      <c r="AL184" s="228">
        <v>-240</v>
      </c>
      <c r="AM184" s="228">
        <v>-150</v>
      </c>
      <c r="AN184" s="229">
        <v>-1.5299999999999999E-2</v>
      </c>
      <c r="AO184" s="231">
        <v>25376.78</v>
      </c>
      <c r="AP184" s="231">
        <v>25196.35</v>
      </c>
      <c r="AQ184" s="228">
        <v>0</v>
      </c>
      <c r="AR184" s="230">
        <v>56850</v>
      </c>
      <c r="AS184" s="230">
        <v>26700</v>
      </c>
      <c r="AT184" s="230">
        <v>30150</v>
      </c>
      <c r="AU184" s="229">
        <v>1.1292</v>
      </c>
      <c r="AV184" s="230">
        <v>51425</v>
      </c>
      <c r="AW184" s="230">
        <v>22100</v>
      </c>
      <c r="AX184" s="230">
        <v>29325</v>
      </c>
      <c r="AY184" s="229">
        <v>1.3269</v>
      </c>
      <c r="AZ184" s="230">
        <v>5200</v>
      </c>
      <c r="BA184" s="230">
        <v>4000</v>
      </c>
      <c r="BB184" s="230">
        <v>1200</v>
      </c>
      <c r="BC184" s="229">
        <v>0.3</v>
      </c>
      <c r="BD184" s="228">
        <v>225</v>
      </c>
      <c r="BE184" s="228">
        <v>600</v>
      </c>
      <c r="BF184" s="228">
        <v>-375</v>
      </c>
      <c r="BG184" s="229">
        <v>-0.625</v>
      </c>
      <c r="BH184" s="230">
        <v>34300</v>
      </c>
      <c r="BI184" s="230">
        <v>31725</v>
      </c>
      <c r="BJ184" s="230">
        <v>2575</v>
      </c>
      <c r="BK184" s="229">
        <v>8.1199999999999994E-2</v>
      </c>
      <c r="BL184" s="230">
        <v>13200</v>
      </c>
      <c r="BM184" s="230">
        <v>6200</v>
      </c>
      <c r="BN184" s="230">
        <v>7000</v>
      </c>
      <c r="BO184" s="229">
        <v>1.129</v>
      </c>
      <c r="BP184" s="230">
        <v>104350</v>
      </c>
      <c r="BQ184" s="230">
        <v>64625</v>
      </c>
      <c r="BR184" s="230">
        <v>39725</v>
      </c>
      <c r="BS184" s="229">
        <v>0.61470000000000002</v>
      </c>
      <c r="BT184" s="230">
        <v>35615</v>
      </c>
      <c r="BU184" s="230">
        <v>16544</v>
      </c>
      <c r="BV184" s="230">
        <v>19071</v>
      </c>
      <c r="BW184" s="229">
        <v>1.1527000000000001</v>
      </c>
      <c r="BX184" s="230">
        <v>399250</v>
      </c>
      <c r="BY184" s="230">
        <v>378800</v>
      </c>
      <c r="BZ184" s="230">
        <v>20450</v>
      </c>
      <c r="CA184" s="229">
        <v>5.3999999999999999E-2</v>
      </c>
      <c r="CB184" s="230">
        <v>380450</v>
      </c>
      <c r="CC184" s="230">
        <v>361850</v>
      </c>
      <c r="CD184" s="230">
        <v>18600</v>
      </c>
      <c r="CE184" s="229">
        <v>5.1400000000000001E-2</v>
      </c>
      <c r="CF184" s="230">
        <v>18075</v>
      </c>
      <c r="CG184" s="230">
        <v>16250</v>
      </c>
      <c r="CH184" s="230">
        <v>1825</v>
      </c>
      <c r="CI184" s="229">
        <v>0.1123</v>
      </c>
      <c r="CJ184" s="228">
        <v>725</v>
      </c>
      <c r="CK184" s="228">
        <v>700</v>
      </c>
      <c r="CL184" s="228">
        <v>25</v>
      </c>
      <c r="CM184" s="229">
        <v>3.5700000000000003E-2</v>
      </c>
      <c r="CN184" s="230">
        <v>58175</v>
      </c>
      <c r="CO184" s="230">
        <v>56275</v>
      </c>
      <c r="CP184" s="230">
        <v>1900</v>
      </c>
      <c r="CQ184" s="229">
        <v>3.3799999999999997E-2</v>
      </c>
      <c r="CR184" s="230">
        <v>51725</v>
      </c>
      <c r="CS184" s="230">
        <v>47825</v>
      </c>
      <c r="CT184" s="230">
        <v>3900</v>
      </c>
      <c r="CU184" s="229">
        <v>8.1500000000000003E-2</v>
      </c>
      <c r="CV184" s="230">
        <v>509150</v>
      </c>
      <c r="CW184" s="230">
        <v>482900</v>
      </c>
      <c r="CX184" s="230">
        <v>26250</v>
      </c>
      <c r="CY184" s="229">
        <v>5.4399999999999997E-2</v>
      </c>
      <c r="CZ184" s="228">
        <v>28.63</v>
      </c>
      <c r="DA184" s="228">
        <v>25.91</v>
      </c>
      <c r="DB184" s="228">
        <v>2.72</v>
      </c>
      <c r="DC184" s="228">
        <v>2.72</v>
      </c>
      <c r="DD184" s="228">
        <v>27.74</v>
      </c>
      <c r="DE184" s="228">
        <v>27.8</v>
      </c>
      <c r="DF184" s="228">
        <v>0.89</v>
      </c>
      <c r="DG184" s="228">
        <v>-0.06</v>
      </c>
      <c r="DH184" s="228">
        <v>27.47</v>
      </c>
      <c r="DI184" s="228">
        <v>25.23</v>
      </c>
      <c r="DJ184" s="228">
        <v>2.2400000000000002</v>
      </c>
      <c r="DK184" s="228">
        <v>2.2400000000000002</v>
      </c>
      <c r="DL184" s="228">
        <v>31.66</v>
      </c>
      <c r="DM184" s="228">
        <v>29.39</v>
      </c>
      <c r="DN184" s="228">
        <v>2.27</v>
      </c>
      <c r="DO184" s="228">
        <v>2.27</v>
      </c>
      <c r="DP184" s="228">
        <v>0.89</v>
      </c>
      <c r="DQ184" s="228">
        <v>0.85</v>
      </c>
      <c r="DR184" s="228">
        <v>0.04</v>
      </c>
      <c r="DS184" s="229">
        <v>4.7100000000000003E-2</v>
      </c>
      <c r="DT184" s="231">
        <v>25000</v>
      </c>
      <c r="DU184" s="231">
        <v>24000</v>
      </c>
      <c r="DV184" s="228">
        <v>0.38</v>
      </c>
      <c r="DW184" s="228">
        <v>0.2</v>
      </c>
      <c r="DX184" s="228">
        <v>0.18</v>
      </c>
      <c r="DY184" s="229">
        <v>0.9</v>
      </c>
      <c r="DZ184" s="229">
        <v>4.7100000000000003E-2</v>
      </c>
      <c r="EA184" s="230">
        <v>16950</v>
      </c>
      <c r="EB184" s="229">
        <v>-6.8999999999999999E-3</v>
      </c>
      <c r="EC184" s="229">
        <v>4.7100000000000003E-2</v>
      </c>
      <c r="ED184" s="228">
        <v>-180.43</v>
      </c>
      <c r="EE184" s="229">
        <v>-7.1000000000000004E-3</v>
      </c>
      <c r="EF184" s="230">
        <v>26963</v>
      </c>
      <c r="EG184" s="230">
        <v>10153</v>
      </c>
      <c r="EH184" s="229">
        <v>1.6556999999999999</v>
      </c>
      <c r="EI184" s="229">
        <v>0.7571</v>
      </c>
      <c r="EJ184" s="231">
        <v>8939.6</v>
      </c>
      <c r="EK184" s="231">
        <v>3308.25</v>
      </c>
      <c r="EL184" s="231">
        <v>14416.6</v>
      </c>
      <c r="EM184" s="231">
        <v>1708</v>
      </c>
      <c r="EN184" s="231">
        <v>26664.45</v>
      </c>
      <c r="EO184" s="231">
        <v>16506.099999999999</v>
      </c>
      <c r="EP184" s="231">
        <v>10158.35</v>
      </c>
      <c r="EQ184" s="229">
        <v>0.61539999999999995</v>
      </c>
      <c r="ER184" s="231">
        <v>14171</v>
      </c>
      <c r="ES184" s="231">
        <v>12206</v>
      </c>
      <c r="ET184" s="231">
        <v>101236</v>
      </c>
      <c r="EU184" s="231">
        <v>1655049</v>
      </c>
      <c r="EV184" s="231">
        <v>127613</v>
      </c>
      <c r="EW184" s="231">
        <v>120641</v>
      </c>
      <c r="EX184" s="231">
        <v>6972</v>
      </c>
      <c r="EY184" s="229">
        <v>5.7799999999999997E-2</v>
      </c>
      <c r="EZ184" s="229">
        <v>0.30759999999999998</v>
      </c>
      <c r="FA184" s="227" t="s">
        <v>555</v>
      </c>
      <c r="FB184" s="161">
        <f t="shared" si="4"/>
        <v>0</v>
      </c>
    </row>
    <row r="185" spans="1:158" ht="17.25" thickBot="1" x14ac:dyDescent="0.3">
      <c r="A185" s="226">
        <v>46132</v>
      </c>
      <c r="B185" s="227" t="s">
        <v>175</v>
      </c>
      <c r="C185" s="227" t="s">
        <v>561</v>
      </c>
      <c r="D185" s="228">
        <v>825</v>
      </c>
      <c r="E185" s="231">
        <v>1043.9000000000001</v>
      </c>
      <c r="F185" s="231">
        <v>1036.7</v>
      </c>
      <c r="G185" s="228">
        <v>7.2</v>
      </c>
      <c r="H185" s="229">
        <v>6.8999999999999999E-3</v>
      </c>
      <c r="I185" s="231">
        <v>1045.1500000000001</v>
      </c>
      <c r="J185" s="231">
        <v>1036.95</v>
      </c>
      <c r="K185" s="228">
        <v>8.1999999999999993</v>
      </c>
      <c r="L185" s="229">
        <v>7.9000000000000008E-3</v>
      </c>
      <c r="M185" s="231">
        <v>1043.9000000000001</v>
      </c>
      <c r="N185" s="231">
        <v>1036.7</v>
      </c>
      <c r="O185" s="228">
        <v>7.2</v>
      </c>
      <c r="P185" s="229">
        <v>6.8999999999999999E-3</v>
      </c>
      <c r="Q185" s="231">
        <v>1049.3499999999999</v>
      </c>
      <c r="R185" s="231">
        <v>1042.4000000000001</v>
      </c>
      <c r="S185" s="228">
        <v>6.95</v>
      </c>
      <c r="T185" s="229">
        <v>6.7000000000000002E-3</v>
      </c>
      <c r="U185" s="231">
        <v>1056.4000000000001</v>
      </c>
      <c r="V185" s="231">
        <v>1047.45</v>
      </c>
      <c r="W185" s="228">
        <v>8.9499999999999993</v>
      </c>
      <c r="X185" s="229">
        <v>8.5000000000000006E-3</v>
      </c>
      <c r="Y185" s="228">
        <v>-1.25</v>
      </c>
      <c r="Z185" s="228">
        <v>-0.25</v>
      </c>
      <c r="AA185" s="228">
        <v>-1</v>
      </c>
      <c r="AB185" s="229">
        <v>-1.1999999999999999E-3</v>
      </c>
      <c r="AC185" s="228">
        <v>-1.25</v>
      </c>
      <c r="AD185" s="228">
        <v>-0.25</v>
      </c>
      <c r="AE185" s="228">
        <v>-1</v>
      </c>
      <c r="AF185" s="229">
        <v>-1.1999999999999999E-3</v>
      </c>
      <c r="AG185" s="228">
        <v>4.2</v>
      </c>
      <c r="AH185" s="228">
        <v>5.45</v>
      </c>
      <c r="AI185" s="228">
        <v>-1.25</v>
      </c>
      <c r="AJ185" s="229">
        <v>4.0000000000000001E-3</v>
      </c>
      <c r="AK185" s="228">
        <v>11.25</v>
      </c>
      <c r="AL185" s="228">
        <v>10.5</v>
      </c>
      <c r="AM185" s="228">
        <v>0.75</v>
      </c>
      <c r="AN185" s="229">
        <v>1.0800000000000001E-2</v>
      </c>
      <c r="AO185" s="231">
        <v>1043.33</v>
      </c>
      <c r="AP185" s="231">
        <v>1048.72</v>
      </c>
      <c r="AQ185" s="228">
        <v>0</v>
      </c>
      <c r="AR185" s="230">
        <v>7520700</v>
      </c>
      <c r="AS185" s="230">
        <v>5782425</v>
      </c>
      <c r="AT185" s="230">
        <v>1738275</v>
      </c>
      <c r="AU185" s="229">
        <v>0.30059999999999998</v>
      </c>
      <c r="AV185" s="230">
        <v>5484600</v>
      </c>
      <c r="AW185" s="230">
        <v>4305675</v>
      </c>
      <c r="AX185" s="230">
        <v>1178925</v>
      </c>
      <c r="AY185" s="229">
        <v>0.27379999999999999</v>
      </c>
      <c r="AZ185" s="230">
        <v>1121175</v>
      </c>
      <c r="BA185" s="230">
        <v>532125</v>
      </c>
      <c r="BB185" s="230">
        <v>589050</v>
      </c>
      <c r="BC185" s="229">
        <v>1.107</v>
      </c>
      <c r="BD185" s="230">
        <v>914925</v>
      </c>
      <c r="BE185" s="230">
        <v>944625</v>
      </c>
      <c r="BF185" s="230">
        <v>-29700</v>
      </c>
      <c r="BG185" s="229">
        <v>-3.1399999999999997E-2</v>
      </c>
      <c r="BH185" s="230">
        <v>15821850</v>
      </c>
      <c r="BI185" s="230">
        <v>13279200</v>
      </c>
      <c r="BJ185" s="230">
        <v>2542650</v>
      </c>
      <c r="BK185" s="229">
        <v>0.1915</v>
      </c>
      <c r="BL185" s="230">
        <v>7455525</v>
      </c>
      <c r="BM185" s="230">
        <v>6029100</v>
      </c>
      <c r="BN185" s="230">
        <v>1426425</v>
      </c>
      <c r="BO185" s="229">
        <v>0.2366</v>
      </c>
      <c r="BP185" s="230">
        <v>30798075</v>
      </c>
      <c r="BQ185" s="230">
        <v>25090725</v>
      </c>
      <c r="BR185" s="230">
        <v>5707350</v>
      </c>
      <c r="BS185" s="229">
        <v>0.22750000000000001</v>
      </c>
      <c r="BT185" s="230">
        <v>4829055</v>
      </c>
      <c r="BU185" s="230">
        <v>4455463</v>
      </c>
      <c r="BV185" s="230">
        <v>373592</v>
      </c>
      <c r="BW185" s="229">
        <v>8.3900000000000002E-2</v>
      </c>
      <c r="BX185" s="230">
        <v>40288050</v>
      </c>
      <c r="BY185" s="230">
        <v>40702200</v>
      </c>
      <c r="BZ185" s="230">
        <v>-414150</v>
      </c>
      <c r="CA185" s="229">
        <v>-1.0200000000000001E-2</v>
      </c>
      <c r="CB185" s="230">
        <v>34145100</v>
      </c>
      <c r="CC185" s="230">
        <v>35898225</v>
      </c>
      <c r="CD185" s="230">
        <v>-1753125</v>
      </c>
      <c r="CE185" s="229">
        <v>-4.8800000000000003E-2</v>
      </c>
      <c r="CF185" s="230">
        <v>3234000</v>
      </c>
      <c r="CG185" s="230">
        <v>2737350</v>
      </c>
      <c r="CH185" s="230">
        <v>496650</v>
      </c>
      <c r="CI185" s="229">
        <v>0.18140000000000001</v>
      </c>
      <c r="CJ185" s="230">
        <v>2908950</v>
      </c>
      <c r="CK185" s="230">
        <v>2066625</v>
      </c>
      <c r="CL185" s="230">
        <v>842325</v>
      </c>
      <c r="CM185" s="229">
        <v>0.40760000000000002</v>
      </c>
      <c r="CN185" s="230">
        <v>13866600</v>
      </c>
      <c r="CO185" s="230">
        <v>14006850</v>
      </c>
      <c r="CP185" s="230">
        <v>-140250</v>
      </c>
      <c r="CQ185" s="229">
        <v>-0.01</v>
      </c>
      <c r="CR185" s="230">
        <v>10170600</v>
      </c>
      <c r="CS185" s="230">
        <v>10157400</v>
      </c>
      <c r="CT185" s="230">
        <v>13200</v>
      </c>
      <c r="CU185" s="229">
        <v>1.2999999999999999E-3</v>
      </c>
      <c r="CV185" s="230">
        <v>64325250</v>
      </c>
      <c r="CW185" s="230">
        <v>64866450</v>
      </c>
      <c r="CX185" s="230">
        <v>-541200</v>
      </c>
      <c r="CY185" s="229">
        <v>-8.3000000000000001E-3</v>
      </c>
      <c r="CZ185" s="228">
        <v>48.14</v>
      </c>
      <c r="DA185" s="228">
        <v>44.04</v>
      </c>
      <c r="DB185" s="228">
        <v>4.0999999999999996</v>
      </c>
      <c r="DC185" s="228">
        <v>4.0999999999999996</v>
      </c>
      <c r="DD185" s="228">
        <v>45.01</v>
      </c>
      <c r="DE185" s="228">
        <v>45.11</v>
      </c>
      <c r="DF185" s="228">
        <v>3.13</v>
      </c>
      <c r="DG185" s="228">
        <v>-0.1</v>
      </c>
      <c r="DH185" s="228">
        <v>47.04</v>
      </c>
      <c r="DI185" s="228">
        <v>43.22</v>
      </c>
      <c r="DJ185" s="228">
        <v>3.82</v>
      </c>
      <c r="DK185" s="228">
        <v>3.82</v>
      </c>
      <c r="DL185" s="228">
        <v>50.47</v>
      </c>
      <c r="DM185" s="228">
        <v>45.85</v>
      </c>
      <c r="DN185" s="228">
        <v>4.62</v>
      </c>
      <c r="DO185" s="228">
        <v>4.62</v>
      </c>
      <c r="DP185" s="228">
        <v>0.73</v>
      </c>
      <c r="DQ185" s="228">
        <v>0.73</v>
      </c>
      <c r="DR185" s="228">
        <v>0</v>
      </c>
      <c r="DS185" s="229">
        <v>0</v>
      </c>
      <c r="DT185" s="231">
        <v>1100</v>
      </c>
      <c r="DU185" s="231">
        <v>1000</v>
      </c>
      <c r="DV185" s="228">
        <v>0.47</v>
      </c>
      <c r="DW185" s="228">
        <v>0.45</v>
      </c>
      <c r="DX185" s="228">
        <v>0.02</v>
      </c>
      <c r="DY185" s="229">
        <v>4.4400000000000002E-2</v>
      </c>
      <c r="DZ185" s="229">
        <v>0.1525</v>
      </c>
      <c r="EA185" s="230">
        <v>4803975</v>
      </c>
      <c r="EB185" s="229">
        <v>5.1999999999999998E-3</v>
      </c>
      <c r="EC185" s="229">
        <v>0.1525</v>
      </c>
      <c r="ED185" s="228">
        <v>5.39</v>
      </c>
      <c r="EE185" s="229">
        <v>5.1999999999999998E-3</v>
      </c>
      <c r="EF185" s="230">
        <v>2737651</v>
      </c>
      <c r="EG185" s="230">
        <v>2239567</v>
      </c>
      <c r="EH185" s="229">
        <v>0.22239999999999999</v>
      </c>
      <c r="EI185" s="229">
        <v>0.56689999999999996</v>
      </c>
      <c r="EJ185" s="231">
        <v>172685.43</v>
      </c>
      <c r="EK185" s="231">
        <v>75989.279999999999</v>
      </c>
      <c r="EL185" s="231">
        <v>78659.66</v>
      </c>
      <c r="EM185" s="231">
        <v>8664</v>
      </c>
      <c r="EN185" s="231">
        <v>327334.37</v>
      </c>
      <c r="EO185" s="231">
        <v>264959.69</v>
      </c>
      <c r="EP185" s="231">
        <v>62374.68</v>
      </c>
      <c r="EQ185" s="229">
        <v>0.2354</v>
      </c>
      <c r="ER185" s="231">
        <v>143629</v>
      </c>
      <c r="ES185" s="231">
        <v>96657</v>
      </c>
      <c r="ET185" s="231">
        <v>421107</v>
      </c>
      <c r="EU185" s="231">
        <v>210567108</v>
      </c>
      <c r="EV185" s="231">
        <v>661392</v>
      </c>
      <c r="EW185" s="231">
        <v>662982</v>
      </c>
      <c r="EX185" s="231">
        <v>-1590</v>
      </c>
      <c r="EY185" s="229">
        <v>-2.3999999999999998E-3</v>
      </c>
      <c r="EZ185" s="229">
        <v>0.30549999999999999</v>
      </c>
      <c r="FA185" s="227" t="s">
        <v>693</v>
      </c>
      <c r="FB185" s="161">
        <f t="shared" si="4"/>
        <v>0</v>
      </c>
    </row>
    <row r="186" spans="1:158" ht="17.25" thickBot="1" x14ac:dyDescent="0.3">
      <c r="A186" s="226">
        <v>46132</v>
      </c>
      <c r="B186" s="227" t="s">
        <v>184</v>
      </c>
      <c r="C186" s="227" t="s">
        <v>285</v>
      </c>
      <c r="D186" s="228">
        <v>175</v>
      </c>
      <c r="E186" s="231">
        <v>3708.5</v>
      </c>
      <c r="F186" s="231">
        <v>3708.6</v>
      </c>
      <c r="G186" s="228">
        <v>-0.1</v>
      </c>
      <c r="H186" s="229">
        <v>0</v>
      </c>
      <c r="I186" s="231">
        <v>3709</v>
      </c>
      <c r="J186" s="231">
        <v>3707.9</v>
      </c>
      <c r="K186" s="228">
        <v>1.1000000000000001</v>
      </c>
      <c r="L186" s="229">
        <v>2.9999999999999997E-4</v>
      </c>
      <c r="M186" s="231">
        <v>3708.5</v>
      </c>
      <c r="N186" s="231">
        <v>3708.6</v>
      </c>
      <c r="O186" s="228">
        <v>-0.1</v>
      </c>
      <c r="P186" s="229">
        <v>0</v>
      </c>
      <c r="Q186" s="231">
        <v>3686.5</v>
      </c>
      <c r="R186" s="231">
        <v>3692.7</v>
      </c>
      <c r="S186" s="228">
        <v>-6.2</v>
      </c>
      <c r="T186" s="229">
        <v>-1.6999999999999999E-3</v>
      </c>
      <c r="U186" s="231">
        <v>3677</v>
      </c>
      <c r="V186" s="231">
        <v>3685.2</v>
      </c>
      <c r="W186" s="228">
        <v>-8.1999999999999993</v>
      </c>
      <c r="X186" s="229">
        <v>-2.2000000000000001E-3</v>
      </c>
      <c r="Y186" s="228">
        <v>-0.5</v>
      </c>
      <c r="Z186" s="228">
        <v>0.7</v>
      </c>
      <c r="AA186" s="228">
        <v>-1.2</v>
      </c>
      <c r="AB186" s="229">
        <v>-1E-4</v>
      </c>
      <c r="AC186" s="228">
        <v>-0.5</v>
      </c>
      <c r="AD186" s="228">
        <v>0.7</v>
      </c>
      <c r="AE186" s="228">
        <v>-1.2</v>
      </c>
      <c r="AF186" s="229">
        <v>-1E-4</v>
      </c>
      <c r="AG186" s="228">
        <v>-22.5</v>
      </c>
      <c r="AH186" s="228">
        <v>-15.2</v>
      </c>
      <c r="AI186" s="228">
        <v>-7.3</v>
      </c>
      <c r="AJ186" s="229">
        <v>-6.1000000000000004E-3</v>
      </c>
      <c r="AK186" s="228">
        <v>-32</v>
      </c>
      <c r="AL186" s="228">
        <v>-22.7</v>
      </c>
      <c r="AM186" s="228">
        <v>-9.3000000000000007</v>
      </c>
      <c r="AN186" s="229">
        <v>-8.6E-3</v>
      </c>
      <c r="AO186" s="231">
        <v>3727.84</v>
      </c>
      <c r="AP186" s="231">
        <v>3710.05</v>
      </c>
      <c r="AQ186" s="228">
        <v>0</v>
      </c>
      <c r="AR186" s="230">
        <v>916475</v>
      </c>
      <c r="AS186" s="230">
        <v>1145025</v>
      </c>
      <c r="AT186" s="230">
        <v>-228550</v>
      </c>
      <c r="AU186" s="229">
        <v>-0.1996</v>
      </c>
      <c r="AV186" s="230">
        <v>708400</v>
      </c>
      <c r="AW186" s="230">
        <v>960925</v>
      </c>
      <c r="AX186" s="230">
        <v>-252525</v>
      </c>
      <c r="AY186" s="229">
        <v>-0.26279999999999998</v>
      </c>
      <c r="AZ186" s="230">
        <v>195300</v>
      </c>
      <c r="BA186" s="230">
        <v>171325</v>
      </c>
      <c r="BB186" s="230">
        <v>23975</v>
      </c>
      <c r="BC186" s="229">
        <v>0.1399</v>
      </c>
      <c r="BD186" s="230">
        <v>12775</v>
      </c>
      <c r="BE186" s="230">
        <v>12775</v>
      </c>
      <c r="BF186" s="228">
        <v>0</v>
      </c>
      <c r="BG186" s="229">
        <v>0</v>
      </c>
      <c r="BH186" s="230">
        <v>4345075</v>
      </c>
      <c r="BI186" s="230">
        <v>9022475</v>
      </c>
      <c r="BJ186" s="230">
        <v>-4677400</v>
      </c>
      <c r="BK186" s="229">
        <v>-0.51839999999999997</v>
      </c>
      <c r="BL186" s="230">
        <v>2289525</v>
      </c>
      <c r="BM186" s="230">
        <v>4194400</v>
      </c>
      <c r="BN186" s="230">
        <v>-1904875</v>
      </c>
      <c r="BO186" s="229">
        <v>-0.4541</v>
      </c>
      <c r="BP186" s="230">
        <v>7551075</v>
      </c>
      <c r="BQ186" s="230">
        <v>14361900</v>
      </c>
      <c r="BR186" s="230">
        <v>-6810825</v>
      </c>
      <c r="BS186" s="229">
        <v>-0.47420000000000001</v>
      </c>
      <c r="BT186" s="230">
        <v>702296</v>
      </c>
      <c r="BU186" s="230">
        <v>1105747</v>
      </c>
      <c r="BV186" s="230">
        <v>-403451</v>
      </c>
      <c r="BW186" s="229">
        <v>-0.3649</v>
      </c>
      <c r="BX186" s="230">
        <v>3465175</v>
      </c>
      <c r="BY186" s="230">
        <v>3456775</v>
      </c>
      <c r="BZ186" s="230">
        <v>8400</v>
      </c>
      <c r="CA186" s="229">
        <v>2.3999999999999998E-3</v>
      </c>
      <c r="CB186" s="230">
        <v>3133550</v>
      </c>
      <c r="CC186" s="230">
        <v>3193050</v>
      </c>
      <c r="CD186" s="230">
        <v>-59500</v>
      </c>
      <c r="CE186" s="229">
        <v>-1.8599999999999998E-2</v>
      </c>
      <c r="CF186" s="230">
        <v>313950</v>
      </c>
      <c r="CG186" s="230">
        <v>245875</v>
      </c>
      <c r="CH186" s="230">
        <v>68075</v>
      </c>
      <c r="CI186" s="229">
        <v>0.27689999999999998</v>
      </c>
      <c r="CJ186" s="230">
        <v>17675</v>
      </c>
      <c r="CK186" s="230">
        <v>17850</v>
      </c>
      <c r="CL186" s="228">
        <v>-175</v>
      </c>
      <c r="CM186" s="229">
        <v>-9.7999999999999997E-3</v>
      </c>
      <c r="CN186" s="230">
        <v>1519875</v>
      </c>
      <c r="CO186" s="230">
        <v>1396500</v>
      </c>
      <c r="CP186" s="230">
        <v>123375</v>
      </c>
      <c r="CQ186" s="229">
        <v>8.8300000000000003E-2</v>
      </c>
      <c r="CR186" s="230">
        <v>1348900</v>
      </c>
      <c r="CS186" s="230">
        <v>1331225</v>
      </c>
      <c r="CT186" s="230">
        <v>17675</v>
      </c>
      <c r="CU186" s="229">
        <v>1.3299999999999999E-2</v>
      </c>
      <c r="CV186" s="230">
        <v>6333950</v>
      </c>
      <c r="CW186" s="230">
        <v>6184500</v>
      </c>
      <c r="CX186" s="230">
        <v>149450</v>
      </c>
      <c r="CY186" s="229">
        <v>2.4199999999999999E-2</v>
      </c>
      <c r="CZ186" s="228">
        <v>42.53</v>
      </c>
      <c r="DA186" s="228">
        <v>39.270000000000003</v>
      </c>
      <c r="DB186" s="228">
        <v>3.26</v>
      </c>
      <c r="DC186" s="228">
        <v>3.26</v>
      </c>
      <c r="DD186" s="228">
        <v>41.09</v>
      </c>
      <c r="DE186" s="228">
        <v>41.19</v>
      </c>
      <c r="DF186" s="228">
        <v>1.44</v>
      </c>
      <c r="DG186" s="228">
        <v>-0.1</v>
      </c>
      <c r="DH186" s="228">
        <v>41.44</v>
      </c>
      <c r="DI186" s="228">
        <v>37.94</v>
      </c>
      <c r="DJ186" s="228">
        <v>3.5</v>
      </c>
      <c r="DK186" s="228">
        <v>3.5</v>
      </c>
      <c r="DL186" s="228">
        <v>44.59</v>
      </c>
      <c r="DM186" s="228">
        <v>42.14</v>
      </c>
      <c r="DN186" s="228">
        <v>2.4500000000000002</v>
      </c>
      <c r="DO186" s="228">
        <v>2.4500000000000002</v>
      </c>
      <c r="DP186" s="228">
        <v>0.89</v>
      </c>
      <c r="DQ186" s="228">
        <v>0.95</v>
      </c>
      <c r="DR186" s="228">
        <v>-0.06</v>
      </c>
      <c r="DS186" s="229">
        <v>-6.3200000000000006E-2</v>
      </c>
      <c r="DT186" s="231">
        <v>3900</v>
      </c>
      <c r="DU186" s="231">
        <v>3500</v>
      </c>
      <c r="DV186" s="228">
        <v>0.53</v>
      </c>
      <c r="DW186" s="228">
        <v>0.46</v>
      </c>
      <c r="DX186" s="228">
        <v>7.0000000000000007E-2</v>
      </c>
      <c r="DY186" s="229">
        <v>0.1522</v>
      </c>
      <c r="DZ186" s="229">
        <v>9.5699999999999993E-2</v>
      </c>
      <c r="EA186" s="230">
        <v>263725</v>
      </c>
      <c r="EB186" s="229">
        <v>-5.8999999999999999E-3</v>
      </c>
      <c r="EC186" s="229">
        <v>9.5699999999999993E-2</v>
      </c>
      <c r="ED186" s="228">
        <v>-17.79</v>
      </c>
      <c r="EE186" s="229">
        <v>-4.7999999999999996E-3</v>
      </c>
      <c r="EF186" s="230">
        <v>257559</v>
      </c>
      <c r="EG186" s="230">
        <v>375812</v>
      </c>
      <c r="EH186" s="229">
        <v>-0.31469999999999998</v>
      </c>
      <c r="EI186" s="229">
        <v>0.36670000000000003</v>
      </c>
      <c r="EJ186" s="231">
        <v>169894.56</v>
      </c>
      <c r="EK186" s="231">
        <v>81032.84</v>
      </c>
      <c r="EL186" s="231">
        <v>34126.559999999998</v>
      </c>
      <c r="EM186" s="231">
        <v>6966</v>
      </c>
      <c r="EN186" s="231">
        <v>285053.96000000002</v>
      </c>
      <c r="EO186" s="231">
        <v>527588.92000000004</v>
      </c>
      <c r="EP186" s="231">
        <v>-242534.96</v>
      </c>
      <c r="EQ186" s="229">
        <v>-0.4597</v>
      </c>
      <c r="ER186" s="231">
        <v>56114</v>
      </c>
      <c r="ES186" s="231">
        <v>45323</v>
      </c>
      <c r="ET186" s="231">
        <v>128431</v>
      </c>
      <c r="EU186" s="231">
        <v>10374894</v>
      </c>
      <c r="EV186" s="231">
        <v>229869</v>
      </c>
      <c r="EW186" s="231">
        <v>223393</v>
      </c>
      <c r="EX186" s="231">
        <v>6476</v>
      </c>
      <c r="EY186" s="229">
        <v>2.9000000000000001E-2</v>
      </c>
      <c r="EZ186" s="229">
        <v>0.61050000000000004</v>
      </c>
      <c r="FA186" s="227" t="s">
        <v>237</v>
      </c>
      <c r="FB186" s="161">
        <f t="shared" si="4"/>
        <v>0</v>
      </c>
    </row>
    <row r="187" spans="1:158" ht="17.25" thickBot="1" x14ac:dyDescent="0.3">
      <c r="A187" s="226">
        <v>46132</v>
      </c>
      <c r="B187" s="227" t="s">
        <v>498</v>
      </c>
      <c r="C187" s="227" t="s">
        <v>645</v>
      </c>
      <c r="D187" s="228">
        <v>50</v>
      </c>
      <c r="E187" s="231">
        <v>14937</v>
      </c>
      <c r="F187" s="231">
        <v>15140</v>
      </c>
      <c r="G187" s="228">
        <v>-203</v>
      </c>
      <c r="H187" s="229">
        <v>-1.34E-2</v>
      </c>
      <c r="I187" s="231">
        <v>14907</v>
      </c>
      <c r="J187" s="231">
        <v>15089</v>
      </c>
      <c r="K187" s="228">
        <v>-182</v>
      </c>
      <c r="L187" s="229">
        <v>-1.21E-2</v>
      </c>
      <c r="M187" s="231">
        <v>14937</v>
      </c>
      <c r="N187" s="231">
        <v>15140</v>
      </c>
      <c r="O187" s="228">
        <v>-203</v>
      </c>
      <c r="P187" s="229">
        <v>-1.34E-2</v>
      </c>
      <c r="Q187" s="231">
        <v>14995</v>
      </c>
      <c r="R187" s="231">
        <v>15208</v>
      </c>
      <c r="S187" s="228">
        <v>-213</v>
      </c>
      <c r="T187" s="229">
        <v>-1.4E-2</v>
      </c>
      <c r="U187" s="231">
        <v>15068</v>
      </c>
      <c r="V187" s="231">
        <v>15286</v>
      </c>
      <c r="W187" s="228">
        <v>-218</v>
      </c>
      <c r="X187" s="229">
        <v>-1.43E-2</v>
      </c>
      <c r="Y187" s="228">
        <v>30</v>
      </c>
      <c r="Z187" s="228">
        <v>51</v>
      </c>
      <c r="AA187" s="228">
        <v>-21</v>
      </c>
      <c r="AB187" s="229">
        <v>2E-3</v>
      </c>
      <c r="AC187" s="228">
        <v>30</v>
      </c>
      <c r="AD187" s="228">
        <v>51</v>
      </c>
      <c r="AE187" s="228">
        <v>-21</v>
      </c>
      <c r="AF187" s="229">
        <v>2E-3</v>
      </c>
      <c r="AG187" s="228">
        <v>88</v>
      </c>
      <c r="AH187" s="228">
        <v>119</v>
      </c>
      <c r="AI187" s="228">
        <v>-31</v>
      </c>
      <c r="AJ187" s="229">
        <v>5.8999999999999999E-3</v>
      </c>
      <c r="AK187" s="228">
        <v>161</v>
      </c>
      <c r="AL187" s="228">
        <v>197</v>
      </c>
      <c r="AM187" s="228">
        <v>-36</v>
      </c>
      <c r="AN187" s="229">
        <v>1.0800000000000001E-2</v>
      </c>
      <c r="AO187" s="231">
        <v>15008.47</v>
      </c>
      <c r="AP187" s="231">
        <v>15060</v>
      </c>
      <c r="AQ187" s="228">
        <v>0</v>
      </c>
      <c r="AR187" s="230">
        <v>78500</v>
      </c>
      <c r="AS187" s="230">
        <v>124900</v>
      </c>
      <c r="AT187" s="230">
        <v>-46400</v>
      </c>
      <c r="AU187" s="229">
        <v>-0.3715</v>
      </c>
      <c r="AV187" s="230">
        <v>55850</v>
      </c>
      <c r="AW187" s="230">
        <v>87400</v>
      </c>
      <c r="AX187" s="230">
        <v>-31550</v>
      </c>
      <c r="AY187" s="229">
        <v>-0.36099999999999999</v>
      </c>
      <c r="AZ187" s="230">
        <v>20150</v>
      </c>
      <c r="BA187" s="230">
        <v>23650</v>
      </c>
      <c r="BB187" s="230">
        <v>-3500</v>
      </c>
      <c r="BC187" s="229">
        <v>-0.14799999999999999</v>
      </c>
      <c r="BD187" s="230">
        <v>2500</v>
      </c>
      <c r="BE187" s="230">
        <v>13850</v>
      </c>
      <c r="BF187" s="230">
        <v>-11350</v>
      </c>
      <c r="BG187" s="229">
        <v>-0.81950000000000001</v>
      </c>
      <c r="BH187" s="230">
        <v>161600</v>
      </c>
      <c r="BI187" s="230">
        <v>313300</v>
      </c>
      <c r="BJ187" s="230">
        <v>-151700</v>
      </c>
      <c r="BK187" s="229">
        <v>-0.48420000000000002</v>
      </c>
      <c r="BL187" s="230">
        <v>172450</v>
      </c>
      <c r="BM187" s="230">
        <v>848550</v>
      </c>
      <c r="BN187" s="230">
        <v>-676100</v>
      </c>
      <c r="BO187" s="229">
        <v>-0.79679999999999995</v>
      </c>
      <c r="BP187" s="230">
        <v>412550</v>
      </c>
      <c r="BQ187" s="230">
        <v>1286750</v>
      </c>
      <c r="BR187" s="230">
        <v>-874200</v>
      </c>
      <c r="BS187" s="229">
        <v>-0.6794</v>
      </c>
      <c r="BT187" s="230">
        <v>102404</v>
      </c>
      <c r="BU187" s="230">
        <v>135419</v>
      </c>
      <c r="BV187" s="230">
        <v>-33015</v>
      </c>
      <c r="BW187" s="229">
        <v>-0.24379999999999999</v>
      </c>
      <c r="BX187" s="230">
        <v>791850</v>
      </c>
      <c r="BY187" s="230">
        <v>784300</v>
      </c>
      <c r="BZ187" s="230">
        <v>7550</v>
      </c>
      <c r="CA187" s="229">
        <v>9.5999999999999992E-3</v>
      </c>
      <c r="CB187" s="230">
        <v>658050</v>
      </c>
      <c r="CC187" s="230">
        <v>658600</v>
      </c>
      <c r="CD187" s="228">
        <v>-550</v>
      </c>
      <c r="CE187" s="229">
        <v>-8.0000000000000004E-4</v>
      </c>
      <c r="CF187" s="230">
        <v>101350</v>
      </c>
      <c r="CG187" s="230">
        <v>95000</v>
      </c>
      <c r="CH187" s="230">
        <v>6350</v>
      </c>
      <c r="CI187" s="229">
        <v>6.6799999999999998E-2</v>
      </c>
      <c r="CJ187" s="230">
        <v>32450</v>
      </c>
      <c r="CK187" s="230">
        <v>30700</v>
      </c>
      <c r="CL187" s="230">
        <v>1750</v>
      </c>
      <c r="CM187" s="229">
        <v>5.7000000000000002E-2</v>
      </c>
      <c r="CN187" s="230">
        <v>308100</v>
      </c>
      <c r="CO187" s="230">
        <v>302000</v>
      </c>
      <c r="CP187" s="230">
        <v>6100</v>
      </c>
      <c r="CQ187" s="229">
        <v>2.0199999999999999E-2</v>
      </c>
      <c r="CR187" s="230">
        <v>212000</v>
      </c>
      <c r="CS187" s="230">
        <v>230850</v>
      </c>
      <c r="CT187" s="230">
        <v>-18850</v>
      </c>
      <c r="CU187" s="229">
        <v>-8.1699999999999995E-2</v>
      </c>
      <c r="CV187" s="230">
        <v>1311950</v>
      </c>
      <c r="CW187" s="230">
        <v>1317150</v>
      </c>
      <c r="CX187" s="230">
        <v>-5200</v>
      </c>
      <c r="CY187" s="229">
        <v>-3.8999999999999998E-3</v>
      </c>
      <c r="CZ187" s="228">
        <v>43</v>
      </c>
      <c r="DA187" s="228">
        <v>48.79</v>
      </c>
      <c r="DB187" s="228">
        <v>-5.79</v>
      </c>
      <c r="DC187" s="228">
        <v>-5.79</v>
      </c>
      <c r="DD187" s="228">
        <v>41.51</v>
      </c>
      <c r="DE187" s="228">
        <v>41.58</v>
      </c>
      <c r="DF187" s="228">
        <v>1.49</v>
      </c>
      <c r="DG187" s="228">
        <v>-7.0000000000000007E-2</v>
      </c>
      <c r="DH187" s="228">
        <v>37.979999999999997</v>
      </c>
      <c r="DI187" s="228">
        <v>33.82</v>
      </c>
      <c r="DJ187" s="228">
        <v>4.16</v>
      </c>
      <c r="DK187" s="228">
        <v>4.16</v>
      </c>
      <c r="DL187" s="228">
        <v>47.71</v>
      </c>
      <c r="DM187" s="228">
        <v>54.32</v>
      </c>
      <c r="DN187" s="228">
        <v>-6.61</v>
      </c>
      <c r="DO187" s="228">
        <v>-6.61</v>
      </c>
      <c r="DP187" s="228">
        <v>0.69</v>
      </c>
      <c r="DQ187" s="228">
        <v>0.76</v>
      </c>
      <c r="DR187" s="228">
        <v>-7.0000000000000007E-2</v>
      </c>
      <c r="DS187" s="229">
        <v>-9.2100000000000001E-2</v>
      </c>
      <c r="DT187" s="231">
        <v>15000</v>
      </c>
      <c r="DU187" s="231">
        <v>13000</v>
      </c>
      <c r="DV187" s="228">
        <v>1.07</v>
      </c>
      <c r="DW187" s="228">
        <v>2.71</v>
      </c>
      <c r="DX187" s="228">
        <v>-1.64</v>
      </c>
      <c r="DY187" s="229">
        <v>-0.60519999999999996</v>
      </c>
      <c r="DZ187" s="229">
        <v>0.16900000000000001</v>
      </c>
      <c r="EA187" s="230">
        <v>125700</v>
      </c>
      <c r="EB187" s="229">
        <v>3.8999999999999998E-3</v>
      </c>
      <c r="EC187" s="229">
        <v>0.16900000000000001</v>
      </c>
      <c r="ED187" s="228">
        <v>51.53</v>
      </c>
      <c r="EE187" s="229">
        <v>3.3999999999999998E-3</v>
      </c>
      <c r="EF187" s="230">
        <v>49761</v>
      </c>
      <c r="EG187" s="230">
        <v>57310</v>
      </c>
      <c r="EH187" s="229">
        <v>-0.13170000000000001</v>
      </c>
      <c r="EI187" s="229">
        <v>0.4859</v>
      </c>
      <c r="EJ187" s="231">
        <v>25388.2</v>
      </c>
      <c r="EK187" s="231">
        <v>23435.31</v>
      </c>
      <c r="EL187" s="231">
        <v>11794.34</v>
      </c>
      <c r="EM187" s="231">
        <v>3002</v>
      </c>
      <c r="EN187" s="231">
        <v>60617.85</v>
      </c>
      <c r="EO187" s="231">
        <v>174820.31</v>
      </c>
      <c r="EP187" s="231">
        <v>-114202.46</v>
      </c>
      <c r="EQ187" s="229">
        <v>-0.65329999999999999</v>
      </c>
      <c r="ER187" s="231">
        <v>45570</v>
      </c>
      <c r="ES187" s="231">
        <v>28099</v>
      </c>
      <c r="ET187" s="231">
        <v>118380</v>
      </c>
      <c r="EU187" s="231">
        <v>3644817</v>
      </c>
      <c r="EV187" s="231">
        <v>192049</v>
      </c>
      <c r="EW187" s="231">
        <v>193970</v>
      </c>
      <c r="EX187" s="231">
        <v>-1921</v>
      </c>
      <c r="EY187" s="229">
        <v>-9.9000000000000008E-3</v>
      </c>
      <c r="EZ187" s="229">
        <v>0.3599</v>
      </c>
      <c r="FA187" s="227" t="s">
        <v>566</v>
      </c>
      <c r="FB187" s="161">
        <f t="shared" si="4"/>
        <v>0</v>
      </c>
    </row>
    <row r="188" spans="1:158" ht="17.25" thickBot="1" x14ac:dyDescent="0.3">
      <c r="A188" s="226">
        <v>46132</v>
      </c>
      <c r="B188" s="227" t="s">
        <v>162</v>
      </c>
      <c r="C188" s="227" t="s">
        <v>613</v>
      </c>
      <c r="D188" s="228">
        <v>1225</v>
      </c>
      <c r="E188" s="228">
        <v>576.54999999999995</v>
      </c>
      <c r="F188" s="228">
        <v>594.95000000000005</v>
      </c>
      <c r="G188" s="228">
        <v>-18.399999999999999</v>
      </c>
      <c r="H188" s="229">
        <v>-3.09E-2</v>
      </c>
      <c r="I188" s="228">
        <v>576.54999999999995</v>
      </c>
      <c r="J188" s="228">
        <v>593.85</v>
      </c>
      <c r="K188" s="228">
        <v>-17.3</v>
      </c>
      <c r="L188" s="229">
        <v>-2.9100000000000001E-2</v>
      </c>
      <c r="M188" s="228">
        <v>576.54999999999995</v>
      </c>
      <c r="N188" s="228">
        <v>594.95000000000005</v>
      </c>
      <c r="O188" s="228">
        <v>-18.399999999999999</v>
      </c>
      <c r="P188" s="229">
        <v>-3.09E-2</v>
      </c>
      <c r="Q188" s="228">
        <v>580.04999999999995</v>
      </c>
      <c r="R188" s="228">
        <v>597.54999999999995</v>
      </c>
      <c r="S188" s="228">
        <v>-17.5</v>
      </c>
      <c r="T188" s="229">
        <v>-2.93E-2</v>
      </c>
      <c r="U188" s="228">
        <v>583.65</v>
      </c>
      <c r="V188" s="228">
        <v>599.75</v>
      </c>
      <c r="W188" s="228">
        <v>-16.100000000000001</v>
      </c>
      <c r="X188" s="229">
        <v>-2.6800000000000001E-2</v>
      </c>
      <c r="Y188" s="228">
        <v>0</v>
      </c>
      <c r="Z188" s="228">
        <v>1.1000000000000001</v>
      </c>
      <c r="AA188" s="228">
        <v>-1.1000000000000001</v>
      </c>
      <c r="AB188" s="229">
        <v>0</v>
      </c>
      <c r="AC188" s="228">
        <v>0</v>
      </c>
      <c r="AD188" s="228">
        <v>1.1000000000000001</v>
      </c>
      <c r="AE188" s="228">
        <v>-1.1000000000000001</v>
      </c>
      <c r="AF188" s="229">
        <v>0</v>
      </c>
      <c r="AG188" s="228">
        <v>3.5</v>
      </c>
      <c r="AH188" s="228">
        <v>3.7</v>
      </c>
      <c r="AI188" s="228">
        <v>-0.2</v>
      </c>
      <c r="AJ188" s="229">
        <v>6.1000000000000004E-3</v>
      </c>
      <c r="AK188" s="228">
        <v>7.1</v>
      </c>
      <c r="AL188" s="228">
        <v>5.9</v>
      </c>
      <c r="AM188" s="228">
        <v>1.2</v>
      </c>
      <c r="AN188" s="229">
        <v>1.23E-2</v>
      </c>
      <c r="AO188" s="228">
        <v>584.38</v>
      </c>
      <c r="AP188" s="228">
        <v>586.88</v>
      </c>
      <c r="AQ188" s="228">
        <v>0</v>
      </c>
      <c r="AR188" s="230">
        <v>2772175</v>
      </c>
      <c r="AS188" s="230">
        <v>3994725</v>
      </c>
      <c r="AT188" s="230">
        <v>-1222550</v>
      </c>
      <c r="AU188" s="229">
        <v>-0.30599999999999999</v>
      </c>
      <c r="AV188" s="230">
        <v>2413250</v>
      </c>
      <c r="AW188" s="230">
        <v>3519425</v>
      </c>
      <c r="AX188" s="230">
        <v>-1106175</v>
      </c>
      <c r="AY188" s="229">
        <v>-0.31430000000000002</v>
      </c>
      <c r="AZ188" s="230">
        <v>323400</v>
      </c>
      <c r="BA188" s="230">
        <v>439775</v>
      </c>
      <c r="BB188" s="230">
        <v>-116375</v>
      </c>
      <c r="BC188" s="229">
        <v>-0.2646</v>
      </c>
      <c r="BD188" s="230">
        <v>35525</v>
      </c>
      <c r="BE188" s="230">
        <v>35525</v>
      </c>
      <c r="BF188" s="228">
        <v>0</v>
      </c>
      <c r="BG188" s="229">
        <v>0</v>
      </c>
      <c r="BH188" s="230">
        <v>3700725</v>
      </c>
      <c r="BI188" s="230">
        <v>10296125</v>
      </c>
      <c r="BJ188" s="230">
        <v>-6595400</v>
      </c>
      <c r="BK188" s="229">
        <v>-0.64059999999999995</v>
      </c>
      <c r="BL188" s="230">
        <v>2350775</v>
      </c>
      <c r="BM188" s="230">
        <v>3644375</v>
      </c>
      <c r="BN188" s="230">
        <v>-1293600</v>
      </c>
      <c r="BO188" s="229">
        <v>-0.35499999999999998</v>
      </c>
      <c r="BP188" s="230">
        <v>8823675</v>
      </c>
      <c r="BQ188" s="230">
        <v>17935225</v>
      </c>
      <c r="BR188" s="230">
        <v>-9111550</v>
      </c>
      <c r="BS188" s="229">
        <v>-0.50800000000000001</v>
      </c>
      <c r="BT188" s="230">
        <v>1405708</v>
      </c>
      <c r="BU188" s="230">
        <v>3694058</v>
      </c>
      <c r="BV188" s="230">
        <v>-2288350</v>
      </c>
      <c r="BW188" s="229">
        <v>-0.61950000000000005</v>
      </c>
      <c r="BX188" s="230">
        <v>14357000</v>
      </c>
      <c r="BY188" s="230">
        <v>14274925</v>
      </c>
      <c r="BZ188" s="230">
        <v>82075</v>
      </c>
      <c r="CA188" s="229">
        <v>5.7000000000000002E-3</v>
      </c>
      <c r="CB188" s="230">
        <v>13745725</v>
      </c>
      <c r="CC188" s="230">
        <v>13820450</v>
      </c>
      <c r="CD188" s="230">
        <v>-74725</v>
      </c>
      <c r="CE188" s="229">
        <v>-5.4000000000000003E-3</v>
      </c>
      <c r="CF188" s="230">
        <v>529200</v>
      </c>
      <c r="CG188" s="230">
        <v>395675</v>
      </c>
      <c r="CH188" s="230">
        <v>133525</v>
      </c>
      <c r="CI188" s="229">
        <v>0.33750000000000002</v>
      </c>
      <c r="CJ188" s="230">
        <v>82075</v>
      </c>
      <c r="CK188" s="230">
        <v>58800</v>
      </c>
      <c r="CL188" s="230">
        <v>23275</v>
      </c>
      <c r="CM188" s="229">
        <v>0.39579999999999999</v>
      </c>
      <c r="CN188" s="230">
        <v>4327925</v>
      </c>
      <c r="CO188" s="230">
        <v>4523925</v>
      </c>
      <c r="CP188" s="230">
        <v>-196000</v>
      </c>
      <c r="CQ188" s="229">
        <v>-4.3299999999999998E-2</v>
      </c>
      <c r="CR188" s="230">
        <v>3376100</v>
      </c>
      <c r="CS188" s="230">
        <v>3552500</v>
      </c>
      <c r="CT188" s="230">
        <v>-176400</v>
      </c>
      <c r="CU188" s="229">
        <v>-4.9700000000000001E-2</v>
      </c>
      <c r="CV188" s="230">
        <v>22061025</v>
      </c>
      <c r="CW188" s="230">
        <v>22351350</v>
      </c>
      <c r="CX188" s="230">
        <v>-290325</v>
      </c>
      <c r="CY188" s="229">
        <v>-1.2999999999999999E-2</v>
      </c>
      <c r="CZ188" s="228">
        <v>41.73</v>
      </c>
      <c r="DA188" s="228">
        <v>38.270000000000003</v>
      </c>
      <c r="DB188" s="228">
        <v>3.46</v>
      </c>
      <c r="DC188" s="228">
        <v>3.46</v>
      </c>
      <c r="DD188" s="228">
        <v>41.54</v>
      </c>
      <c r="DE188" s="228">
        <v>41.42</v>
      </c>
      <c r="DF188" s="228">
        <v>0.19</v>
      </c>
      <c r="DG188" s="228">
        <v>0.12</v>
      </c>
      <c r="DH188" s="228">
        <v>41.52</v>
      </c>
      <c r="DI188" s="228">
        <v>37.78</v>
      </c>
      <c r="DJ188" s="228">
        <v>3.74</v>
      </c>
      <c r="DK188" s="228">
        <v>3.74</v>
      </c>
      <c r="DL188" s="228">
        <v>42.06</v>
      </c>
      <c r="DM188" s="228">
        <v>39.67</v>
      </c>
      <c r="DN188" s="228">
        <v>2.39</v>
      </c>
      <c r="DO188" s="228">
        <v>2.39</v>
      </c>
      <c r="DP188" s="228">
        <v>0.78</v>
      </c>
      <c r="DQ188" s="228">
        <v>0.79</v>
      </c>
      <c r="DR188" s="228">
        <v>-0.01</v>
      </c>
      <c r="DS188" s="229">
        <v>-1.2699999999999999E-2</v>
      </c>
      <c r="DT188" s="228">
        <v>600</v>
      </c>
      <c r="DU188" s="228">
        <v>580</v>
      </c>
      <c r="DV188" s="228">
        <v>0.64</v>
      </c>
      <c r="DW188" s="228">
        <v>0.35</v>
      </c>
      <c r="DX188" s="228">
        <v>0.28999999999999998</v>
      </c>
      <c r="DY188" s="229">
        <v>0.8286</v>
      </c>
      <c r="DZ188" s="229">
        <v>4.2599999999999999E-2</v>
      </c>
      <c r="EA188" s="230">
        <v>454475</v>
      </c>
      <c r="EB188" s="229">
        <v>6.1000000000000004E-3</v>
      </c>
      <c r="EC188" s="229">
        <v>4.2599999999999999E-2</v>
      </c>
      <c r="ED188" s="228">
        <v>2.5</v>
      </c>
      <c r="EE188" s="229">
        <v>4.3E-3</v>
      </c>
      <c r="EF188" s="230">
        <v>645532</v>
      </c>
      <c r="EG188" s="230">
        <v>2150134</v>
      </c>
      <c r="EH188" s="229">
        <v>-0.69979999999999998</v>
      </c>
      <c r="EI188" s="229">
        <v>0.4592</v>
      </c>
      <c r="EJ188" s="231">
        <v>22595.15</v>
      </c>
      <c r="EK188" s="231">
        <v>13484.84</v>
      </c>
      <c r="EL188" s="231">
        <v>16210.87</v>
      </c>
      <c r="EM188" s="231">
        <v>4448</v>
      </c>
      <c r="EN188" s="231">
        <v>52290.86</v>
      </c>
      <c r="EO188" s="231">
        <v>108158.77</v>
      </c>
      <c r="EP188" s="231">
        <v>-55867.91</v>
      </c>
      <c r="EQ188" s="229">
        <v>-0.51649999999999996</v>
      </c>
      <c r="ER188" s="231">
        <v>24845</v>
      </c>
      <c r="ES188" s="231">
        <v>18014</v>
      </c>
      <c r="ET188" s="231">
        <v>82800</v>
      </c>
      <c r="EU188" s="231">
        <v>61283708</v>
      </c>
      <c r="EV188" s="231">
        <v>125659</v>
      </c>
      <c r="EW188" s="231">
        <v>130004</v>
      </c>
      <c r="EX188" s="231">
        <v>-4345</v>
      </c>
      <c r="EY188" s="229">
        <v>-3.3399999999999999E-2</v>
      </c>
      <c r="EZ188" s="229">
        <v>0.36</v>
      </c>
      <c r="FA188" s="227" t="s">
        <v>566</v>
      </c>
      <c r="FB188" s="161">
        <f t="shared" si="4"/>
        <v>0</v>
      </c>
    </row>
    <row r="189" spans="1:158" ht="17.25" thickBot="1" x14ac:dyDescent="0.3">
      <c r="A189" s="226">
        <v>46132</v>
      </c>
      <c r="B189" s="227" t="s">
        <v>197</v>
      </c>
      <c r="C189" s="227" t="s">
        <v>286</v>
      </c>
      <c r="D189" s="228">
        <v>200</v>
      </c>
      <c r="E189" s="231">
        <v>2466.6</v>
      </c>
      <c r="F189" s="231">
        <v>2495.3000000000002</v>
      </c>
      <c r="G189" s="228">
        <v>-28.7</v>
      </c>
      <c r="H189" s="229">
        <v>-1.15E-2</v>
      </c>
      <c r="I189" s="231">
        <v>2465.1</v>
      </c>
      <c r="J189" s="231">
        <v>2494.5</v>
      </c>
      <c r="K189" s="228">
        <v>-29.4</v>
      </c>
      <c r="L189" s="229">
        <v>-1.18E-2</v>
      </c>
      <c r="M189" s="231">
        <v>2466.6</v>
      </c>
      <c r="N189" s="231">
        <v>2495.3000000000002</v>
      </c>
      <c r="O189" s="228">
        <v>-28.7</v>
      </c>
      <c r="P189" s="229">
        <v>-1.15E-2</v>
      </c>
      <c r="Q189" s="231">
        <v>2475.4</v>
      </c>
      <c r="R189" s="231">
        <v>2503.1999999999998</v>
      </c>
      <c r="S189" s="228">
        <v>-27.8</v>
      </c>
      <c r="T189" s="229">
        <v>-1.11E-2</v>
      </c>
      <c r="U189" s="231">
        <v>2490.4</v>
      </c>
      <c r="V189" s="231">
        <v>2518.6999999999998</v>
      </c>
      <c r="W189" s="228">
        <v>-28.3</v>
      </c>
      <c r="X189" s="229">
        <v>-1.12E-2</v>
      </c>
      <c r="Y189" s="228">
        <v>1.5</v>
      </c>
      <c r="Z189" s="228">
        <v>0.8</v>
      </c>
      <c r="AA189" s="228">
        <v>0.7</v>
      </c>
      <c r="AB189" s="229">
        <v>5.9999999999999995E-4</v>
      </c>
      <c r="AC189" s="228">
        <v>1.5</v>
      </c>
      <c r="AD189" s="228">
        <v>0.8</v>
      </c>
      <c r="AE189" s="228">
        <v>0.7</v>
      </c>
      <c r="AF189" s="229">
        <v>5.9999999999999995E-4</v>
      </c>
      <c r="AG189" s="228">
        <v>10.3</v>
      </c>
      <c r="AH189" s="228">
        <v>8.6999999999999993</v>
      </c>
      <c r="AI189" s="228">
        <v>1.6</v>
      </c>
      <c r="AJ189" s="229">
        <v>4.1999999999999997E-3</v>
      </c>
      <c r="AK189" s="228">
        <v>25.3</v>
      </c>
      <c r="AL189" s="228">
        <v>24.2</v>
      </c>
      <c r="AM189" s="228">
        <v>1.1000000000000001</v>
      </c>
      <c r="AN189" s="229">
        <v>1.03E-2</v>
      </c>
      <c r="AO189" s="231">
        <v>2480.06</v>
      </c>
      <c r="AP189" s="231">
        <v>2489.09</v>
      </c>
      <c r="AQ189" s="228">
        <v>0</v>
      </c>
      <c r="AR189" s="230">
        <v>457600</v>
      </c>
      <c r="AS189" s="230">
        <v>710800</v>
      </c>
      <c r="AT189" s="230">
        <v>-253200</v>
      </c>
      <c r="AU189" s="229">
        <v>-0.35620000000000002</v>
      </c>
      <c r="AV189" s="230">
        <v>358800</v>
      </c>
      <c r="AW189" s="230">
        <v>620600</v>
      </c>
      <c r="AX189" s="230">
        <v>-261800</v>
      </c>
      <c r="AY189" s="229">
        <v>-0.42180000000000001</v>
      </c>
      <c r="AZ189" s="230">
        <v>90600</v>
      </c>
      <c r="BA189" s="230">
        <v>83800</v>
      </c>
      <c r="BB189" s="230">
        <v>6800</v>
      </c>
      <c r="BC189" s="229">
        <v>8.1100000000000005E-2</v>
      </c>
      <c r="BD189" s="230">
        <v>8200</v>
      </c>
      <c r="BE189" s="230">
        <v>6400</v>
      </c>
      <c r="BF189" s="230">
        <v>1800</v>
      </c>
      <c r="BG189" s="229">
        <v>0.28129999999999999</v>
      </c>
      <c r="BH189" s="230">
        <v>1931600</v>
      </c>
      <c r="BI189" s="230">
        <v>2604400</v>
      </c>
      <c r="BJ189" s="230">
        <v>-672800</v>
      </c>
      <c r="BK189" s="229">
        <v>-0.25829999999999997</v>
      </c>
      <c r="BL189" s="230">
        <v>641400</v>
      </c>
      <c r="BM189" s="230">
        <v>903000</v>
      </c>
      <c r="BN189" s="230">
        <v>-261600</v>
      </c>
      <c r="BO189" s="229">
        <v>-0.28970000000000001</v>
      </c>
      <c r="BP189" s="230">
        <v>3030600</v>
      </c>
      <c r="BQ189" s="230">
        <v>4218200</v>
      </c>
      <c r="BR189" s="230">
        <v>-1187600</v>
      </c>
      <c r="BS189" s="229">
        <v>-0.28149999999999997</v>
      </c>
      <c r="BT189" s="230">
        <v>355072</v>
      </c>
      <c r="BU189" s="230">
        <v>289743</v>
      </c>
      <c r="BV189" s="230">
        <v>65329</v>
      </c>
      <c r="BW189" s="229">
        <v>0.22550000000000001</v>
      </c>
      <c r="BX189" s="230">
        <v>4253600</v>
      </c>
      <c r="BY189" s="230">
        <v>4230200</v>
      </c>
      <c r="BZ189" s="230">
        <v>23400</v>
      </c>
      <c r="CA189" s="229">
        <v>5.4999999999999997E-3</v>
      </c>
      <c r="CB189" s="230">
        <v>4016200</v>
      </c>
      <c r="CC189" s="230">
        <v>4040200</v>
      </c>
      <c r="CD189" s="230">
        <v>-24000</v>
      </c>
      <c r="CE189" s="229">
        <v>-5.8999999999999999E-3</v>
      </c>
      <c r="CF189" s="230">
        <v>212800</v>
      </c>
      <c r="CG189" s="230">
        <v>168200</v>
      </c>
      <c r="CH189" s="230">
        <v>44600</v>
      </c>
      <c r="CI189" s="229">
        <v>0.26519999999999999</v>
      </c>
      <c r="CJ189" s="230">
        <v>24600</v>
      </c>
      <c r="CK189" s="230">
        <v>21800</v>
      </c>
      <c r="CL189" s="230">
        <v>2800</v>
      </c>
      <c r="CM189" s="229">
        <v>0.12839999999999999</v>
      </c>
      <c r="CN189" s="230">
        <v>2104000</v>
      </c>
      <c r="CO189" s="230">
        <v>2055600</v>
      </c>
      <c r="CP189" s="230">
        <v>48400</v>
      </c>
      <c r="CQ189" s="229">
        <v>2.35E-2</v>
      </c>
      <c r="CR189" s="230">
        <v>1157800</v>
      </c>
      <c r="CS189" s="230">
        <v>1203000</v>
      </c>
      <c r="CT189" s="230">
        <v>-45200</v>
      </c>
      <c r="CU189" s="229">
        <v>-3.7600000000000001E-2</v>
      </c>
      <c r="CV189" s="230">
        <v>7515400</v>
      </c>
      <c r="CW189" s="230">
        <v>7488800</v>
      </c>
      <c r="CX189" s="230">
        <v>26600</v>
      </c>
      <c r="CY189" s="229">
        <v>3.5999999999999999E-3</v>
      </c>
      <c r="CZ189" s="228">
        <v>37.64</v>
      </c>
      <c r="DA189" s="228">
        <v>33.340000000000003</v>
      </c>
      <c r="DB189" s="228">
        <v>4.3</v>
      </c>
      <c r="DC189" s="228">
        <v>4.3</v>
      </c>
      <c r="DD189" s="228">
        <v>36.549999999999997</v>
      </c>
      <c r="DE189" s="228">
        <v>36.61</v>
      </c>
      <c r="DF189" s="228">
        <v>1.0900000000000001</v>
      </c>
      <c r="DG189" s="228">
        <v>-0.06</v>
      </c>
      <c r="DH189" s="228">
        <v>37.42</v>
      </c>
      <c r="DI189" s="228">
        <v>33.06</v>
      </c>
      <c r="DJ189" s="228">
        <v>4.3600000000000003</v>
      </c>
      <c r="DK189" s="228">
        <v>4.3600000000000003</v>
      </c>
      <c r="DL189" s="228">
        <v>38.32</v>
      </c>
      <c r="DM189" s="228">
        <v>34.159999999999997</v>
      </c>
      <c r="DN189" s="228">
        <v>4.16</v>
      </c>
      <c r="DO189" s="228">
        <v>4.16</v>
      </c>
      <c r="DP189" s="228">
        <v>0.55000000000000004</v>
      </c>
      <c r="DQ189" s="228">
        <v>0.59</v>
      </c>
      <c r="DR189" s="228">
        <v>-0.04</v>
      </c>
      <c r="DS189" s="229">
        <v>-6.7799999999999999E-2</v>
      </c>
      <c r="DT189" s="231">
        <v>2500</v>
      </c>
      <c r="DU189" s="231">
        <v>2400</v>
      </c>
      <c r="DV189" s="228">
        <v>0.33</v>
      </c>
      <c r="DW189" s="228">
        <v>0.35</v>
      </c>
      <c r="DX189" s="228">
        <v>-0.02</v>
      </c>
      <c r="DY189" s="229">
        <v>-5.7099999999999998E-2</v>
      </c>
      <c r="DZ189" s="229">
        <v>5.5800000000000002E-2</v>
      </c>
      <c r="EA189" s="230">
        <v>190000</v>
      </c>
      <c r="EB189" s="229">
        <v>3.5999999999999999E-3</v>
      </c>
      <c r="EC189" s="229">
        <v>5.5800000000000002E-2</v>
      </c>
      <c r="ED189" s="228">
        <v>9.0299999999999994</v>
      </c>
      <c r="EE189" s="229">
        <v>3.5999999999999999E-3</v>
      </c>
      <c r="EF189" s="230">
        <v>134782</v>
      </c>
      <c r="EG189" s="230">
        <v>125436</v>
      </c>
      <c r="EH189" s="229">
        <v>7.4499999999999997E-2</v>
      </c>
      <c r="EI189" s="229">
        <v>0.37959999999999999</v>
      </c>
      <c r="EJ189" s="231">
        <v>49845.919999999998</v>
      </c>
      <c r="EK189" s="231">
        <v>15903.85</v>
      </c>
      <c r="EL189" s="231">
        <v>11359.17</v>
      </c>
      <c r="EM189" s="231">
        <v>3183</v>
      </c>
      <c r="EN189" s="231">
        <v>77108.94</v>
      </c>
      <c r="EO189" s="231">
        <v>107906.77</v>
      </c>
      <c r="EP189" s="231">
        <v>-30797.83</v>
      </c>
      <c r="EQ189" s="229">
        <v>-0.28539999999999999</v>
      </c>
      <c r="ER189" s="231">
        <v>54194</v>
      </c>
      <c r="ES189" s="231">
        <v>28171</v>
      </c>
      <c r="ET189" s="231">
        <v>104944</v>
      </c>
      <c r="EU189" s="231">
        <v>19721628</v>
      </c>
      <c r="EV189" s="231">
        <v>187309</v>
      </c>
      <c r="EW189" s="231">
        <v>187834</v>
      </c>
      <c r="EX189" s="228">
        <v>-525</v>
      </c>
      <c r="EY189" s="229">
        <v>-2.8E-3</v>
      </c>
      <c r="EZ189" s="229">
        <v>0.38109999999999999</v>
      </c>
      <c r="FA189" s="227" t="s">
        <v>566</v>
      </c>
      <c r="FB189" s="161">
        <f t="shared" si="4"/>
        <v>0</v>
      </c>
    </row>
    <row r="190" spans="1:158" ht="17.25" thickBot="1" x14ac:dyDescent="0.3">
      <c r="A190" s="226">
        <v>46132</v>
      </c>
      <c r="B190" s="227" t="s">
        <v>170</v>
      </c>
      <c r="C190" s="227" t="s">
        <v>288</v>
      </c>
      <c r="D190" s="228">
        <v>350</v>
      </c>
      <c r="E190" s="231">
        <v>1667.3</v>
      </c>
      <c r="F190" s="231">
        <v>1674.9</v>
      </c>
      <c r="G190" s="228">
        <v>-7.6</v>
      </c>
      <c r="H190" s="229">
        <v>-4.4999999999999997E-3</v>
      </c>
      <c r="I190" s="231">
        <v>1668.6</v>
      </c>
      <c r="J190" s="231">
        <v>1675.5</v>
      </c>
      <c r="K190" s="228">
        <v>-6.9</v>
      </c>
      <c r="L190" s="229">
        <v>-4.1000000000000003E-3</v>
      </c>
      <c r="M190" s="231">
        <v>1667.3</v>
      </c>
      <c r="N190" s="231">
        <v>1674.9</v>
      </c>
      <c r="O190" s="228">
        <v>-7.6</v>
      </c>
      <c r="P190" s="229">
        <v>-4.4999999999999997E-3</v>
      </c>
      <c r="Q190" s="231">
        <v>1676.8</v>
      </c>
      <c r="R190" s="231">
        <v>1684.2</v>
      </c>
      <c r="S190" s="228">
        <v>-7.4</v>
      </c>
      <c r="T190" s="229">
        <v>-4.4000000000000003E-3</v>
      </c>
      <c r="U190" s="231">
        <v>1688.6</v>
      </c>
      <c r="V190" s="231">
        <v>1696.3</v>
      </c>
      <c r="W190" s="228">
        <v>-7.7</v>
      </c>
      <c r="X190" s="229">
        <v>-4.4999999999999997E-3</v>
      </c>
      <c r="Y190" s="228">
        <v>-1.3</v>
      </c>
      <c r="Z190" s="228">
        <v>-0.6</v>
      </c>
      <c r="AA190" s="228">
        <v>-0.7</v>
      </c>
      <c r="AB190" s="229">
        <v>-8.0000000000000004E-4</v>
      </c>
      <c r="AC190" s="228">
        <v>-1.3</v>
      </c>
      <c r="AD190" s="228">
        <v>-0.6</v>
      </c>
      <c r="AE190" s="228">
        <v>-0.7</v>
      </c>
      <c r="AF190" s="229">
        <v>-8.0000000000000004E-4</v>
      </c>
      <c r="AG190" s="228">
        <v>8.1999999999999993</v>
      </c>
      <c r="AH190" s="228">
        <v>8.6999999999999993</v>
      </c>
      <c r="AI190" s="228">
        <v>-0.5</v>
      </c>
      <c r="AJ190" s="229">
        <v>4.8999999999999998E-3</v>
      </c>
      <c r="AK190" s="228">
        <v>20</v>
      </c>
      <c r="AL190" s="228">
        <v>20.8</v>
      </c>
      <c r="AM190" s="228">
        <v>-0.8</v>
      </c>
      <c r="AN190" s="229">
        <v>1.2E-2</v>
      </c>
      <c r="AO190" s="231">
        <v>1670.7</v>
      </c>
      <c r="AP190" s="231">
        <v>1680.82</v>
      </c>
      <c r="AQ190" s="228">
        <v>0</v>
      </c>
      <c r="AR190" s="230">
        <v>1848000</v>
      </c>
      <c r="AS190" s="230">
        <v>2747500</v>
      </c>
      <c r="AT190" s="230">
        <v>-899500</v>
      </c>
      <c r="AU190" s="229">
        <v>-0.32740000000000002</v>
      </c>
      <c r="AV190" s="230">
        <v>1306550</v>
      </c>
      <c r="AW190" s="230">
        <v>2127300</v>
      </c>
      <c r="AX190" s="230">
        <v>-820750</v>
      </c>
      <c r="AY190" s="229">
        <v>-0.38579999999999998</v>
      </c>
      <c r="AZ190" s="230">
        <v>191800</v>
      </c>
      <c r="BA190" s="230">
        <v>200200</v>
      </c>
      <c r="BB190" s="230">
        <v>-8400</v>
      </c>
      <c r="BC190" s="229">
        <v>-4.2000000000000003E-2</v>
      </c>
      <c r="BD190" s="230">
        <v>349650</v>
      </c>
      <c r="BE190" s="230">
        <v>420000</v>
      </c>
      <c r="BF190" s="230">
        <v>-70350</v>
      </c>
      <c r="BG190" s="229">
        <v>-0.16750000000000001</v>
      </c>
      <c r="BH190" s="230">
        <v>6804350</v>
      </c>
      <c r="BI190" s="230">
        <v>9800000</v>
      </c>
      <c r="BJ190" s="230">
        <v>-2995650</v>
      </c>
      <c r="BK190" s="229">
        <v>-0.30570000000000003</v>
      </c>
      <c r="BL190" s="230">
        <v>3355450</v>
      </c>
      <c r="BM190" s="230">
        <v>7228550</v>
      </c>
      <c r="BN190" s="230">
        <v>-3873100</v>
      </c>
      <c r="BO190" s="229">
        <v>-0.53580000000000005</v>
      </c>
      <c r="BP190" s="230">
        <v>12007800</v>
      </c>
      <c r="BQ190" s="230">
        <v>19776050</v>
      </c>
      <c r="BR190" s="230">
        <v>-7768250</v>
      </c>
      <c r="BS190" s="229">
        <v>-0.39279999999999998</v>
      </c>
      <c r="BT190" s="230">
        <v>1876428</v>
      </c>
      <c r="BU190" s="230">
        <v>3328143</v>
      </c>
      <c r="BV190" s="230">
        <v>-1451715</v>
      </c>
      <c r="BW190" s="229">
        <v>-0.43619999999999998</v>
      </c>
      <c r="BX190" s="230">
        <v>18735150</v>
      </c>
      <c r="BY190" s="230">
        <v>18700500</v>
      </c>
      <c r="BZ190" s="230">
        <v>34650</v>
      </c>
      <c r="CA190" s="229">
        <v>1.9E-3</v>
      </c>
      <c r="CB190" s="230">
        <v>14505750</v>
      </c>
      <c r="CC190" s="230">
        <v>14903350</v>
      </c>
      <c r="CD190" s="230">
        <v>-397600</v>
      </c>
      <c r="CE190" s="229">
        <v>-2.6700000000000002E-2</v>
      </c>
      <c r="CF190" s="230">
        <v>2597000</v>
      </c>
      <c r="CG190" s="230">
        <v>2503200</v>
      </c>
      <c r="CH190" s="230">
        <v>93800</v>
      </c>
      <c r="CI190" s="229">
        <v>3.7499999999999999E-2</v>
      </c>
      <c r="CJ190" s="230">
        <v>1632400</v>
      </c>
      <c r="CK190" s="230">
        <v>1293950</v>
      </c>
      <c r="CL190" s="230">
        <v>338450</v>
      </c>
      <c r="CM190" s="229">
        <v>0.2616</v>
      </c>
      <c r="CN190" s="230">
        <v>8292200</v>
      </c>
      <c r="CO190" s="230">
        <v>8200500</v>
      </c>
      <c r="CP190" s="230">
        <v>91700</v>
      </c>
      <c r="CQ190" s="229">
        <v>1.12E-2</v>
      </c>
      <c r="CR190" s="230">
        <v>5504450</v>
      </c>
      <c r="CS190" s="230">
        <v>5840800</v>
      </c>
      <c r="CT190" s="230">
        <v>-336350</v>
      </c>
      <c r="CU190" s="229">
        <v>-5.7599999999999998E-2</v>
      </c>
      <c r="CV190" s="230">
        <v>32531800</v>
      </c>
      <c r="CW190" s="230">
        <v>32741800</v>
      </c>
      <c r="CX190" s="230">
        <v>-210000</v>
      </c>
      <c r="CY190" s="229">
        <v>-6.4000000000000003E-3</v>
      </c>
      <c r="CZ190" s="228">
        <v>27.36</v>
      </c>
      <c r="DA190" s="228">
        <v>25.71</v>
      </c>
      <c r="DB190" s="228">
        <v>1.65</v>
      </c>
      <c r="DC190" s="228">
        <v>1.65</v>
      </c>
      <c r="DD190" s="228">
        <v>23.69</v>
      </c>
      <c r="DE190" s="228">
        <v>23.75</v>
      </c>
      <c r="DF190" s="228">
        <v>3.67</v>
      </c>
      <c r="DG190" s="228">
        <v>-0.06</v>
      </c>
      <c r="DH190" s="228">
        <v>26.92</v>
      </c>
      <c r="DI190" s="228">
        <v>24.87</v>
      </c>
      <c r="DJ190" s="228">
        <v>2.0499999999999998</v>
      </c>
      <c r="DK190" s="228">
        <v>2.0499999999999998</v>
      </c>
      <c r="DL190" s="228">
        <v>28.25</v>
      </c>
      <c r="DM190" s="228">
        <v>26.86</v>
      </c>
      <c r="DN190" s="228">
        <v>1.39</v>
      </c>
      <c r="DO190" s="228">
        <v>1.39</v>
      </c>
      <c r="DP190" s="228">
        <v>0.66</v>
      </c>
      <c r="DQ190" s="228">
        <v>0.71</v>
      </c>
      <c r="DR190" s="228">
        <v>-0.05</v>
      </c>
      <c r="DS190" s="229">
        <v>-7.0400000000000004E-2</v>
      </c>
      <c r="DT190" s="231">
        <v>1800</v>
      </c>
      <c r="DU190" s="231">
        <v>1600</v>
      </c>
      <c r="DV190" s="228">
        <v>0.49</v>
      </c>
      <c r="DW190" s="228">
        <v>0.74</v>
      </c>
      <c r="DX190" s="228">
        <v>-0.25</v>
      </c>
      <c r="DY190" s="229">
        <v>-0.33779999999999999</v>
      </c>
      <c r="DZ190" s="229">
        <v>0.22570000000000001</v>
      </c>
      <c r="EA190" s="230">
        <v>3797150</v>
      </c>
      <c r="EB190" s="229">
        <v>5.7000000000000002E-3</v>
      </c>
      <c r="EC190" s="229">
        <v>0.22570000000000001</v>
      </c>
      <c r="ED190" s="228">
        <v>10.119999999999999</v>
      </c>
      <c r="EE190" s="229">
        <v>6.1000000000000004E-3</v>
      </c>
      <c r="EF190" s="230">
        <v>1143577</v>
      </c>
      <c r="EG190" s="230">
        <v>2209790</v>
      </c>
      <c r="EH190" s="229">
        <v>-0.48249999999999998</v>
      </c>
      <c r="EI190" s="229">
        <v>0.60940000000000005</v>
      </c>
      <c r="EJ190" s="231">
        <v>117809.27</v>
      </c>
      <c r="EK190" s="231">
        <v>55599.05</v>
      </c>
      <c r="EL190" s="231">
        <v>30962.07</v>
      </c>
      <c r="EM190" s="231">
        <v>8617</v>
      </c>
      <c r="EN190" s="231">
        <v>204370.39</v>
      </c>
      <c r="EO190" s="231">
        <v>336802.97</v>
      </c>
      <c r="EP190" s="231">
        <v>-132432.57999999999</v>
      </c>
      <c r="EQ190" s="229">
        <v>-0.39319999999999999</v>
      </c>
      <c r="ER190" s="231">
        <v>145309</v>
      </c>
      <c r="ES190" s="231">
        <v>90664</v>
      </c>
      <c r="ET190" s="231">
        <v>312966</v>
      </c>
      <c r="EU190" s="231">
        <v>121755902</v>
      </c>
      <c r="EV190" s="231">
        <v>548939</v>
      </c>
      <c r="EW190" s="231">
        <v>553497</v>
      </c>
      <c r="EX190" s="231">
        <v>-4558</v>
      </c>
      <c r="EY190" s="229">
        <v>-8.2000000000000007E-3</v>
      </c>
      <c r="EZ190" s="229">
        <v>0.26719999999999999</v>
      </c>
      <c r="FA190" s="227" t="s">
        <v>566</v>
      </c>
      <c r="FB190" s="161">
        <f t="shared" si="4"/>
        <v>0</v>
      </c>
    </row>
    <row r="191" spans="1:158" ht="17.25" thickBot="1" x14ac:dyDescent="0.3">
      <c r="A191" s="226">
        <v>46132</v>
      </c>
      <c r="B191" s="227" t="s">
        <v>184</v>
      </c>
      <c r="C191" s="227" t="s">
        <v>573</v>
      </c>
      <c r="D191" s="228">
        <v>175</v>
      </c>
      <c r="E191" s="231">
        <v>3715.2</v>
      </c>
      <c r="F191" s="231">
        <v>3720.7</v>
      </c>
      <c r="G191" s="228">
        <v>-5.5</v>
      </c>
      <c r="H191" s="229">
        <v>-1.5E-3</v>
      </c>
      <c r="I191" s="231">
        <v>3711.8</v>
      </c>
      <c r="J191" s="231">
        <v>3709</v>
      </c>
      <c r="K191" s="228">
        <v>2.8</v>
      </c>
      <c r="L191" s="229">
        <v>8.0000000000000004E-4</v>
      </c>
      <c r="M191" s="231">
        <v>3715.2</v>
      </c>
      <c r="N191" s="231">
        <v>3720.7</v>
      </c>
      <c r="O191" s="228">
        <v>-5.5</v>
      </c>
      <c r="P191" s="229">
        <v>-1.5E-3</v>
      </c>
      <c r="Q191" s="231">
        <v>3717.1</v>
      </c>
      <c r="R191" s="231">
        <v>3720.7</v>
      </c>
      <c r="S191" s="228">
        <v>-3.6</v>
      </c>
      <c r="T191" s="229">
        <v>-1E-3</v>
      </c>
      <c r="U191" s="231">
        <v>3710.9</v>
      </c>
      <c r="V191" s="231">
        <v>3715.5</v>
      </c>
      <c r="W191" s="228">
        <v>-4.5999999999999996</v>
      </c>
      <c r="X191" s="229">
        <v>-1.1999999999999999E-3</v>
      </c>
      <c r="Y191" s="228">
        <v>3.4</v>
      </c>
      <c r="Z191" s="228">
        <v>11.7</v>
      </c>
      <c r="AA191" s="228">
        <v>-8.3000000000000007</v>
      </c>
      <c r="AB191" s="229">
        <v>8.9999999999999998E-4</v>
      </c>
      <c r="AC191" s="228">
        <v>3.4</v>
      </c>
      <c r="AD191" s="228">
        <v>11.7</v>
      </c>
      <c r="AE191" s="228">
        <v>-8.3000000000000007</v>
      </c>
      <c r="AF191" s="229">
        <v>8.9999999999999998E-4</v>
      </c>
      <c r="AG191" s="228">
        <v>5.3</v>
      </c>
      <c r="AH191" s="228">
        <v>11.7</v>
      </c>
      <c r="AI191" s="228">
        <v>-6.4</v>
      </c>
      <c r="AJ191" s="229">
        <v>1.4E-3</v>
      </c>
      <c r="AK191" s="228">
        <v>-0.9</v>
      </c>
      <c r="AL191" s="228">
        <v>6.5</v>
      </c>
      <c r="AM191" s="228">
        <v>-7.4</v>
      </c>
      <c r="AN191" s="229">
        <v>-2.0000000000000001E-4</v>
      </c>
      <c r="AO191" s="231">
        <v>3724.86</v>
      </c>
      <c r="AP191" s="231">
        <v>3728.91</v>
      </c>
      <c r="AQ191" s="228">
        <v>0</v>
      </c>
      <c r="AR191" s="230">
        <v>269325</v>
      </c>
      <c r="AS191" s="230">
        <v>758800</v>
      </c>
      <c r="AT191" s="230">
        <v>-489475</v>
      </c>
      <c r="AU191" s="229">
        <v>-0.64510000000000001</v>
      </c>
      <c r="AV191" s="230">
        <v>238875</v>
      </c>
      <c r="AW191" s="230">
        <v>701750</v>
      </c>
      <c r="AX191" s="230">
        <v>-462875</v>
      </c>
      <c r="AY191" s="229">
        <v>-0.65959999999999996</v>
      </c>
      <c r="AZ191" s="230">
        <v>29400</v>
      </c>
      <c r="BA191" s="230">
        <v>53025</v>
      </c>
      <c r="BB191" s="230">
        <v>-23625</v>
      </c>
      <c r="BC191" s="229">
        <v>-0.44550000000000001</v>
      </c>
      <c r="BD191" s="230">
        <v>1050</v>
      </c>
      <c r="BE191" s="230">
        <v>4025</v>
      </c>
      <c r="BF191" s="230">
        <v>-2975</v>
      </c>
      <c r="BG191" s="229">
        <v>-0.73909999999999998</v>
      </c>
      <c r="BH191" s="230">
        <v>835800</v>
      </c>
      <c r="BI191" s="230">
        <v>1099175</v>
      </c>
      <c r="BJ191" s="230">
        <v>-263375</v>
      </c>
      <c r="BK191" s="229">
        <v>-0.23960000000000001</v>
      </c>
      <c r="BL191" s="230">
        <v>304150</v>
      </c>
      <c r="BM191" s="230">
        <v>460075</v>
      </c>
      <c r="BN191" s="230">
        <v>-155925</v>
      </c>
      <c r="BO191" s="229">
        <v>-0.33889999999999998</v>
      </c>
      <c r="BP191" s="230">
        <v>1409275</v>
      </c>
      <c r="BQ191" s="230">
        <v>2318050</v>
      </c>
      <c r="BR191" s="230">
        <v>-908775</v>
      </c>
      <c r="BS191" s="229">
        <v>-0.39200000000000002</v>
      </c>
      <c r="BT191" s="230">
        <v>148830</v>
      </c>
      <c r="BU191" s="230">
        <v>1191794</v>
      </c>
      <c r="BV191" s="230">
        <v>-1042964</v>
      </c>
      <c r="BW191" s="229">
        <v>-0.87509999999999999</v>
      </c>
      <c r="BX191" s="230">
        <v>2184175</v>
      </c>
      <c r="BY191" s="230">
        <v>2161775</v>
      </c>
      <c r="BZ191" s="230">
        <v>22400</v>
      </c>
      <c r="CA191" s="229">
        <v>1.04E-2</v>
      </c>
      <c r="CB191" s="230">
        <v>2105075</v>
      </c>
      <c r="CC191" s="230">
        <v>2090550</v>
      </c>
      <c r="CD191" s="230">
        <v>14525</v>
      </c>
      <c r="CE191" s="229">
        <v>6.8999999999999999E-3</v>
      </c>
      <c r="CF191" s="230">
        <v>72450</v>
      </c>
      <c r="CG191" s="230">
        <v>65100</v>
      </c>
      <c r="CH191" s="230">
        <v>7350</v>
      </c>
      <c r="CI191" s="229">
        <v>0.1129</v>
      </c>
      <c r="CJ191" s="230">
        <v>6650</v>
      </c>
      <c r="CK191" s="230">
        <v>6125</v>
      </c>
      <c r="CL191" s="228">
        <v>525</v>
      </c>
      <c r="CM191" s="229">
        <v>8.5699999999999998E-2</v>
      </c>
      <c r="CN191" s="230">
        <v>862225</v>
      </c>
      <c r="CO191" s="230">
        <v>785750</v>
      </c>
      <c r="CP191" s="230">
        <v>76475</v>
      </c>
      <c r="CQ191" s="229">
        <v>9.7299999999999998E-2</v>
      </c>
      <c r="CR191" s="230">
        <v>432250</v>
      </c>
      <c r="CS191" s="230">
        <v>410550</v>
      </c>
      <c r="CT191" s="230">
        <v>21700</v>
      </c>
      <c r="CU191" s="229">
        <v>5.2900000000000003E-2</v>
      </c>
      <c r="CV191" s="230">
        <v>3478650</v>
      </c>
      <c r="CW191" s="230">
        <v>3358075</v>
      </c>
      <c r="CX191" s="230">
        <v>120575</v>
      </c>
      <c r="CY191" s="229">
        <v>3.5900000000000001E-2</v>
      </c>
      <c r="CZ191" s="228">
        <v>45.4</v>
      </c>
      <c r="DA191" s="228">
        <v>40.44</v>
      </c>
      <c r="DB191" s="228">
        <v>4.96</v>
      </c>
      <c r="DC191" s="228">
        <v>4.96</v>
      </c>
      <c r="DD191" s="228">
        <v>38.270000000000003</v>
      </c>
      <c r="DE191" s="228">
        <v>38.36</v>
      </c>
      <c r="DF191" s="228">
        <v>7.13</v>
      </c>
      <c r="DG191" s="228">
        <v>-0.09</v>
      </c>
      <c r="DH191" s="228">
        <v>44.85</v>
      </c>
      <c r="DI191" s="228">
        <v>39.25</v>
      </c>
      <c r="DJ191" s="228">
        <v>5.6</v>
      </c>
      <c r="DK191" s="228">
        <v>5.6</v>
      </c>
      <c r="DL191" s="228">
        <v>46.92</v>
      </c>
      <c r="DM191" s="228">
        <v>43.27</v>
      </c>
      <c r="DN191" s="228">
        <v>3.65</v>
      </c>
      <c r="DO191" s="228">
        <v>3.65</v>
      </c>
      <c r="DP191" s="228">
        <v>0.5</v>
      </c>
      <c r="DQ191" s="228">
        <v>0.52</v>
      </c>
      <c r="DR191" s="228">
        <v>-0.02</v>
      </c>
      <c r="DS191" s="229">
        <v>-3.85E-2</v>
      </c>
      <c r="DT191" s="231">
        <v>3700</v>
      </c>
      <c r="DU191" s="231">
        <v>3500</v>
      </c>
      <c r="DV191" s="228">
        <v>0.36</v>
      </c>
      <c r="DW191" s="228">
        <v>0.42</v>
      </c>
      <c r="DX191" s="228">
        <v>-0.06</v>
      </c>
      <c r="DY191" s="229">
        <v>-0.1429</v>
      </c>
      <c r="DZ191" s="229">
        <v>3.6200000000000003E-2</v>
      </c>
      <c r="EA191" s="230">
        <v>71225</v>
      </c>
      <c r="EB191" s="229">
        <v>5.0000000000000001E-4</v>
      </c>
      <c r="EC191" s="229">
        <v>3.6200000000000003E-2</v>
      </c>
      <c r="ED191" s="228">
        <v>4.05</v>
      </c>
      <c r="EE191" s="229">
        <v>1.1000000000000001E-3</v>
      </c>
      <c r="EF191" s="230">
        <v>58158</v>
      </c>
      <c r="EG191" s="230">
        <v>662757</v>
      </c>
      <c r="EH191" s="229">
        <v>-0.91220000000000001</v>
      </c>
      <c r="EI191" s="229">
        <v>0.39079999999999998</v>
      </c>
      <c r="EJ191" s="231">
        <v>33245.71</v>
      </c>
      <c r="EK191" s="231">
        <v>11131.77</v>
      </c>
      <c r="EL191" s="231">
        <v>10032.959999999999</v>
      </c>
      <c r="EM191" s="231">
        <v>2674</v>
      </c>
      <c r="EN191" s="231">
        <v>54410.44</v>
      </c>
      <c r="EO191" s="231">
        <v>88158.42</v>
      </c>
      <c r="EP191" s="231">
        <v>-33747.980000000003</v>
      </c>
      <c r="EQ191" s="229">
        <v>-0.38279999999999997</v>
      </c>
      <c r="ER191" s="231">
        <v>34149</v>
      </c>
      <c r="ES191" s="231">
        <v>15541</v>
      </c>
      <c r="ET191" s="231">
        <v>81148</v>
      </c>
      <c r="EU191" s="231">
        <v>9724371</v>
      </c>
      <c r="EV191" s="231">
        <v>130838</v>
      </c>
      <c r="EW191" s="231">
        <v>126827</v>
      </c>
      <c r="EX191" s="231">
        <v>4011</v>
      </c>
      <c r="EY191" s="229">
        <v>3.1600000000000003E-2</v>
      </c>
      <c r="EZ191" s="229">
        <v>0.35770000000000002</v>
      </c>
      <c r="FA191" s="227" t="s">
        <v>566</v>
      </c>
      <c r="FB191" s="161">
        <f t="shared" si="4"/>
        <v>0</v>
      </c>
    </row>
    <row r="192" spans="1:158" ht="17.25" thickBot="1" x14ac:dyDescent="0.3">
      <c r="A192" s="226">
        <v>46132</v>
      </c>
      <c r="B192" s="227" t="s">
        <v>161</v>
      </c>
      <c r="C192" s="227" t="s">
        <v>682</v>
      </c>
      <c r="D192" s="228">
        <v>9025</v>
      </c>
      <c r="E192" s="228">
        <v>52.44</v>
      </c>
      <c r="F192" s="228">
        <v>52.96</v>
      </c>
      <c r="G192" s="228">
        <v>-0.52</v>
      </c>
      <c r="H192" s="229">
        <v>-9.7999999999999997E-3</v>
      </c>
      <c r="I192" s="228">
        <v>52.5</v>
      </c>
      <c r="J192" s="228">
        <v>52.93</v>
      </c>
      <c r="K192" s="228">
        <v>-0.43</v>
      </c>
      <c r="L192" s="229">
        <v>-8.0999999999999996E-3</v>
      </c>
      <c r="M192" s="228">
        <v>52.44</v>
      </c>
      <c r="N192" s="228">
        <v>52.96</v>
      </c>
      <c r="O192" s="228">
        <v>-0.52</v>
      </c>
      <c r="P192" s="229">
        <v>-9.7999999999999997E-3</v>
      </c>
      <c r="Q192" s="228">
        <v>52.72</v>
      </c>
      <c r="R192" s="228">
        <v>53.34</v>
      </c>
      <c r="S192" s="228">
        <v>-0.62</v>
      </c>
      <c r="T192" s="229">
        <v>-1.1599999999999999E-2</v>
      </c>
      <c r="U192" s="228">
        <v>53.06</v>
      </c>
      <c r="V192" s="228">
        <v>53.77</v>
      </c>
      <c r="W192" s="228">
        <v>-0.71</v>
      </c>
      <c r="X192" s="229">
        <v>-1.32E-2</v>
      </c>
      <c r="Y192" s="228">
        <v>-0.06</v>
      </c>
      <c r="Z192" s="228">
        <v>0.03</v>
      </c>
      <c r="AA192" s="228">
        <v>-0.09</v>
      </c>
      <c r="AB192" s="229">
        <v>-1.1000000000000001E-3</v>
      </c>
      <c r="AC192" s="228">
        <v>-0.06</v>
      </c>
      <c r="AD192" s="228">
        <v>0.03</v>
      </c>
      <c r="AE192" s="228">
        <v>-0.09</v>
      </c>
      <c r="AF192" s="229">
        <v>-1.1000000000000001E-3</v>
      </c>
      <c r="AG192" s="228">
        <v>0.22</v>
      </c>
      <c r="AH192" s="228">
        <v>0.41</v>
      </c>
      <c r="AI192" s="228">
        <v>-0.19</v>
      </c>
      <c r="AJ192" s="229">
        <v>4.1999999999999997E-3</v>
      </c>
      <c r="AK192" s="228">
        <v>0.56000000000000005</v>
      </c>
      <c r="AL192" s="228">
        <v>0.84</v>
      </c>
      <c r="AM192" s="228">
        <v>-0.28000000000000003</v>
      </c>
      <c r="AN192" s="229">
        <v>1.0699999999999999E-2</v>
      </c>
      <c r="AO192" s="228">
        <v>52.5</v>
      </c>
      <c r="AP192" s="228">
        <v>52.75</v>
      </c>
      <c r="AQ192" s="228">
        <v>0</v>
      </c>
      <c r="AR192" s="230">
        <v>102496925</v>
      </c>
      <c r="AS192" s="230">
        <v>204244775</v>
      </c>
      <c r="AT192" s="230">
        <v>-101747850</v>
      </c>
      <c r="AU192" s="229">
        <v>-0.49819999999999998</v>
      </c>
      <c r="AV192" s="230">
        <v>72407575</v>
      </c>
      <c r="AW192" s="230">
        <v>166574425</v>
      </c>
      <c r="AX192" s="230">
        <v>-94166850</v>
      </c>
      <c r="AY192" s="229">
        <v>-0.56530000000000002</v>
      </c>
      <c r="AZ192" s="230">
        <v>27065975</v>
      </c>
      <c r="BA192" s="230">
        <v>32769775</v>
      </c>
      <c r="BB192" s="230">
        <v>-5703800</v>
      </c>
      <c r="BC192" s="229">
        <v>-0.1741</v>
      </c>
      <c r="BD192" s="230">
        <v>3023375</v>
      </c>
      <c r="BE192" s="230">
        <v>4900575</v>
      </c>
      <c r="BF192" s="230">
        <v>-1877200</v>
      </c>
      <c r="BG192" s="229">
        <v>-0.3831</v>
      </c>
      <c r="BH192" s="230">
        <v>313645825</v>
      </c>
      <c r="BI192" s="230">
        <v>623564325</v>
      </c>
      <c r="BJ192" s="230">
        <v>-309918500</v>
      </c>
      <c r="BK192" s="229">
        <v>-0.497</v>
      </c>
      <c r="BL192" s="230">
        <v>175734800</v>
      </c>
      <c r="BM192" s="230">
        <v>292734900</v>
      </c>
      <c r="BN192" s="230">
        <v>-117000100</v>
      </c>
      <c r="BO192" s="229">
        <v>-0.3997</v>
      </c>
      <c r="BP192" s="230">
        <v>591877550</v>
      </c>
      <c r="BQ192" s="230">
        <v>1120544000</v>
      </c>
      <c r="BR192" s="230">
        <v>-528666450</v>
      </c>
      <c r="BS192" s="229">
        <v>-0.4718</v>
      </c>
      <c r="BT192" s="230">
        <v>169907360</v>
      </c>
      <c r="BU192" s="230">
        <v>359683061</v>
      </c>
      <c r="BV192" s="230">
        <v>-189775701</v>
      </c>
      <c r="BW192" s="229">
        <v>-0.52759999999999996</v>
      </c>
      <c r="BX192" s="230">
        <v>369510575</v>
      </c>
      <c r="BY192" s="230">
        <v>359817725</v>
      </c>
      <c r="BZ192" s="230">
        <v>9692850</v>
      </c>
      <c r="CA192" s="229">
        <v>2.69E-2</v>
      </c>
      <c r="CB192" s="230">
        <v>305333800</v>
      </c>
      <c r="CC192" s="230">
        <v>309647750</v>
      </c>
      <c r="CD192" s="230">
        <v>-4313950</v>
      </c>
      <c r="CE192" s="229">
        <v>-1.3899999999999999E-2</v>
      </c>
      <c r="CF192" s="230">
        <v>47805425</v>
      </c>
      <c r="CG192" s="230">
        <v>34962850</v>
      </c>
      <c r="CH192" s="230">
        <v>12842575</v>
      </c>
      <c r="CI192" s="229">
        <v>0.36730000000000002</v>
      </c>
      <c r="CJ192" s="230">
        <v>16371350</v>
      </c>
      <c r="CK192" s="230">
        <v>15207125</v>
      </c>
      <c r="CL192" s="230">
        <v>1164225</v>
      </c>
      <c r="CM192" s="229">
        <v>7.6600000000000001E-2</v>
      </c>
      <c r="CN192" s="230">
        <v>207141800</v>
      </c>
      <c r="CO192" s="230">
        <v>177341250</v>
      </c>
      <c r="CP192" s="230">
        <v>29800550</v>
      </c>
      <c r="CQ192" s="229">
        <v>0.16800000000000001</v>
      </c>
      <c r="CR192" s="230">
        <v>169715125</v>
      </c>
      <c r="CS192" s="230">
        <v>172449700</v>
      </c>
      <c r="CT192" s="230">
        <v>-2734575</v>
      </c>
      <c r="CU192" s="229">
        <v>-1.5900000000000001E-2</v>
      </c>
      <c r="CV192" s="230">
        <v>746367500</v>
      </c>
      <c r="CW192" s="230">
        <v>709608675</v>
      </c>
      <c r="CX192" s="230">
        <v>36758825</v>
      </c>
      <c r="CY192" s="229">
        <v>5.1799999999999999E-2</v>
      </c>
      <c r="CZ192" s="228">
        <v>50.07</v>
      </c>
      <c r="DA192" s="228">
        <v>44.96</v>
      </c>
      <c r="DB192" s="228">
        <v>5.1100000000000003</v>
      </c>
      <c r="DC192" s="228">
        <v>5.1100000000000003</v>
      </c>
      <c r="DD192" s="228">
        <v>47.39</v>
      </c>
      <c r="DE192" s="228">
        <v>47.49</v>
      </c>
      <c r="DF192" s="228">
        <v>2.68</v>
      </c>
      <c r="DG192" s="228">
        <v>-0.1</v>
      </c>
      <c r="DH192" s="228">
        <v>49.93</v>
      </c>
      <c r="DI192" s="228">
        <v>44.04</v>
      </c>
      <c r="DJ192" s="228">
        <v>5.89</v>
      </c>
      <c r="DK192" s="228">
        <v>5.89</v>
      </c>
      <c r="DL192" s="228">
        <v>50.33</v>
      </c>
      <c r="DM192" s="228">
        <v>46.91</v>
      </c>
      <c r="DN192" s="228">
        <v>3.42</v>
      </c>
      <c r="DO192" s="228">
        <v>3.42</v>
      </c>
      <c r="DP192" s="228">
        <v>0.82</v>
      </c>
      <c r="DQ192" s="228">
        <v>0.97</v>
      </c>
      <c r="DR192" s="228">
        <v>-0.15</v>
      </c>
      <c r="DS192" s="229">
        <v>-0.15459999999999999</v>
      </c>
      <c r="DT192" s="228">
        <v>45</v>
      </c>
      <c r="DU192" s="228">
        <v>46</v>
      </c>
      <c r="DV192" s="228">
        <v>0.56000000000000005</v>
      </c>
      <c r="DW192" s="228">
        <v>0.47</v>
      </c>
      <c r="DX192" s="228">
        <v>0.09</v>
      </c>
      <c r="DY192" s="229">
        <v>0.1915</v>
      </c>
      <c r="DZ192" s="229">
        <v>0.17369999999999999</v>
      </c>
      <c r="EA192" s="230">
        <v>50169975</v>
      </c>
      <c r="EB192" s="229">
        <v>5.3E-3</v>
      </c>
      <c r="EC192" s="229">
        <v>0.17369999999999999</v>
      </c>
      <c r="ED192" s="228">
        <v>0.25</v>
      </c>
      <c r="EE192" s="229">
        <v>4.7999999999999996E-3</v>
      </c>
      <c r="EF192" s="230">
        <v>68134167</v>
      </c>
      <c r="EG192" s="230">
        <v>152863510</v>
      </c>
      <c r="EH192" s="229">
        <v>-0.55430000000000001</v>
      </c>
      <c r="EI192" s="229">
        <v>0.40100000000000002</v>
      </c>
      <c r="EJ192" s="231">
        <v>175301.16</v>
      </c>
      <c r="EK192" s="231">
        <v>87389.24</v>
      </c>
      <c r="EL192" s="231">
        <v>53898.35</v>
      </c>
      <c r="EM192" s="231">
        <v>14500</v>
      </c>
      <c r="EN192" s="231">
        <v>316588.75</v>
      </c>
      <c r="EO192" s="231">
        <v>591571.34</v>
      </c>
      <c r="EP192" s="231">
        <v>-274982.59000000003</v>
      </c>
      <c r="EQ192" s="229">
        <v>-0.46479999999999999</v>
      </c>
      <c r="ER192" s="231">
        <v>105134</v>
      </c>
      <c r="ES192" s="231">
        <v>77734</v>
      </c>
      <c r="ET192" s="231">
        <v>194007</v>
      </c>
      <c r="EU192" s="231">
        <v>1815546735</v>
      </c>
      <c r="EV192" s="231">
        <v>376875</v>
      </c>
      <c r="EW192" s="231">
        <v>357182</v>
      </c>
      <c r="EX192" s="231">
        <v>19693</v>
      </c>
      <c r="EY192" s="229">
        <v>5.5100000000000003E-2</v>
      </c>
      <c r="EZ192" s="229">
        <v>0.41110000000000002</v>
      </c>
      <c r="FA192" s="227" t="s">
        <v>566</v>
      </c>
      <c r="FB192" s="161">
        <f t="shared" si="4"/>
        <v>0</v>
      </c>
    </row>
    <row r="193" spans="1:158" ht="17.25" thickBot="1" x14ac:dyDescent="0.3">
      <c r="A193" s="226">
        <v>46132</v>
      </c>
      <c r="B193" s="227" t="s">
        <v>614</v>
      </c>
      <c r="C193" s="227" t="s">
        <v>691</v>
      </c>
      <c r="D193" s="228">
        <v>1300</v>
      </c>
      <c r="E193" s="228">
        <v>279.14999999999998</v>
      </c>
      <c r="F193" s="228">
        <v>277.45</v>
      </c>
      <c r="G193" s="228">
        <v>1.7</v>
      </c>
      <c r="H193" s="229">
        <v>6.1000000000000004E-3</v>
      </c>
      <c r="I193" s="228">
        <v>279.14999999999998</v>
      </c>
      <c r="J193" s="228">
        <v>277.45</v>
      </c>
      <c r="K193" s="228">
        <v>1.7</v>
      </c>
      <c r="L193" s="229">
        <v>6.1000000000000004E-3</v>
      </c>
      <c r="M193" s="228">
        <v>279.14999999999998</v>
      </c>
      <c r="N193" s="228">
        <v>277.45</v>
      </c>
      <c r="O193" s="228">
        <v>1.7</v>
      </c>
      <c r="P193" s="229">
        <v>6.1000000000000004E-3</v>
      </c>
      <c r="Q193" s="228">
        <v>277.64999999999998</v>
      </c>
      <c r="R193" s="228">
        <v>275.45</v>
      </c>
      <c r="S193" s="228">
        <v>2.2000000000000002</v>
      </c>
      <c r="T193" s="229">
        <v>8.0000000000000002E-3</v>
      </c>
      <c r="U193" s="228">
        <v>277.39999999999998</v>
      </c>
      <c r="V193" s="228">
        <v>275.2</v>
      </c>
      <c r="W193" s="228">
        <v>2.2000000000000002</v>
      </c>
      <c r="X193" s="229">
        <v>8.0000000000000002E-3</v>
      </c>
      <c r="Y193" s="228">
        <v>0</v>
      </c>
      <c r="Z193" s="228">
        <v>0</v>
      </c>
      <c r="AA193" s="228">
        <v>0</v>
      </c>
      <c r="AB193" s="229">
        <v>0</v>
      </c>
      <c r="AC193" s="228">
        <v>0</v>
      </c>
      <c r="AD193" s="228">
        <v>0</v>
      </c>
      <c r="AE193" s="228">
        <v>0</v>
      </c>
      <c r="AF193" s="229">
        <v>0</v>
      </c>
      <c r="AG193" s="228">
        <v>-1.5</v>
      </c>
      <c r="AH193" s="228">
        <v>-2</v>
      </c>
      <c r="AI193" s="228">
        <v>0.5</v>
      </c>
      <c r="AJ193" s="229">
        <v>-5.4000000000000003E-3</v>
      </c>
      <c r="AK193" s="228">
        <v>-1.75</v>
      </c>
      <c r="AL193" s="228">
        <v>-2.25</v>
      </c>
      <c r="AM193" s="228">
        <v>0.5</v>
      </c>
      <c r="AN193" s="229">
        <v>-6.3E-3</v>
      </c>
      <c r="AO193" s="228">
        <v>280.13</v>
      </c>
      <c r="AP193" s="228">
        <v>278.33999999999997</v>
      </c>
      <c r="AQ193" s="228">
        <v>0</v>
      </c>
      <c r="AR193" s="230">
        <v>8277100</v>
      </c>
      <c r="AS193" s="230">
        <v>8244600</v>
      </c>
      <c r="AT193" s="230">
        <v>32500</v>
      </c>
      <c r="AU193" s="229">
        <v>3.8999999999999998E-3</v>
      </c>
      <c r="AV193" s="230">
        <v>5847400</v>
      </c>
      <c r="AW193" s="230">
        <v>6793800</v>
      </c>
      <c r="AX193" s="230">
        <v>-946400</v>
      </c>
      <c r="AY193" s="229">
        <v>-0.13930000000000001</v>
      </c>
      <c r="AZ193" s="230">
        <v>2169700</v>
      </c>
      <c r="BA193" s="230">
        <v>1263600</v>
      </c>
      <c r="BB193" s="230">
        <v>906100</v>
      </c>
      <c r="BC193" s="229">
        <v>0.71709999999999996</v>
      </c>
      <c r="BD193" s="230">
        <v>260000</v>
      </c>
      <c r="BE193" s="230">
        <v>187200</v>
      </c>
      <c r="BF193" s="230">
        <v>72800</v>
      </c>
      <c r="BG193" s="229">
        <v>0.38890000000000002</v>
      </c>
      <c r="BH193" s="230">
        <v>16633500</v>
      </c>
      <c r="BI193" s="230">
        <v>18175300</v>
      </c>
      <c r="BJ193" s="230">
        <v>-1541800</v>
      </c>
      <c r="BK193" s="229">
        <v>-8.48E-2</v>
      </c>
      <c r="BL193" s="230">
        <v>4713800</v>
      </c>
      <c r="BM193" s="230">
        <v>5684900</v>
      </c>
      <c r="BN193" s="230">
        <v>-971100</v>
      </c>
      <c r="BO193" s="229">
        <v>-0.17080000000000001</v>
      </c>
      <c r="BP193" s="230">
        <v>29624400</v>
      </c>
      <c r="BQ193" s="230">
        <v>32104800</v>
      </c>
      <c r="BR193" s="230">
        <v>-2480400</v>
      </c>
      <c r="BS193" s="229">
        <v>-7.7299999999999994E-2</v>
      </c>
      <c r="BT193" s="230">
        <v>6896882</v>
      </c>
      <c r="BU193" s="230">
        <v>7586920</v>
      </c>
      <c r="BV193" s="230">
        <v>-690038</v>
      </c>
      <c r="BW193" s="229">
        <v>-9.0999999999999998E-2</v>
      </c>
      <c r="BX193" s="230">
        <v>52107900</v>
      </c>
      <c r="BY193" s="230">
        <v>51483900</v>
      </c>
      <c r="BZ193" s="230">
        <v>624000</v>
      </c>
      <c r="CA193" s="229">
        <v>1.21E-2</v>
      </c>
      <c r="CB193" s="230">
        <v>49331100</v>
      </c>
      <c r="CC193" s="230">
        <v>49597600</v>
      </c>
      <c r="CD193" s="230">
        <v>-266500</v>
      </c>
      <c r="CE193" s="229">
        <v>-5.4000000000000003E-3</v>
      </c>
      <c r="CF193" s="230">
        <v>2356900</v>
      </c>
      <c r="CG193" s="230">
        <v>1569100</v>
      </c>
      <c r="CH193" s="230">
        <v>787800</v>
      </c>
      <c r="CI193" s="229">
        <v>0.50209999999999999</v>
      </c>
      <c r="CJ193" s="230">
        <v>419900</v>
      </c>
      <c r="CK193" s="230">
        <v>317200</v>
      </c>
      <c r="CL193" s="230">
        <v>102700</v>
      </c>
      <c r="CM193" s="229">
        <v>0.32379999999999998</v>
      </c>
      <c r="CN193" s="230">
        <v>11285300</v>
      </c>
      <c r="CO193" s="230">
        <v>11849500</v>
      </c>
      <c r="CP193" s="230">
        <v>-564200</v>
      </c>
      <c r="CQ193" s="229">
        <v>-4.7600000000000003E-2</v>
      </c>
      <c r="CR193" s="230">
        <v>6370000</v>
      </c>
      <c r="CS193" s="230">
        <v>6578000</v>
      </c>
      <c r="CT193" s="230">
        <v>-208000</v>
      </c>
      <c r="CU193" s="229">
        <v>-3.1600000000000003E-2</v>
      </c>
      <c r="CV193" s="230">
        <v>69763200</v>
      </c>
      <c r="CW193" s="230">
        <v>69911400</v>
      </c>
      <c r="CX193" s="230">
        <v>-148200</v>
      </c>
      <c r="CY193" s="229">
        <v>-2.0999999999999999E-3</v>
      </c>
      <c r="CZ193" s="228">
        <v>48.42</v>
      </c>
      <c r="DA193" s="228">
        <v>45.52</v>
      </c>
      <c r="DB193" s="228">
        <v>2.9</v>
      </c>
      <c r="DC193" s="228">
        <v>2.9</v>
      </c>
      <c r="DD193" s="228">
        <v>45.38</v>
      </c>
      <c r="DE193" s="228">
        <v>45.48</v>
      </c>
      <c r="DF193" s="228">
        <v>3.04</v>
      </c>
      <c r="DG193" s="228">
        <v>-0.1</v>
      </c>
      <c r="DH193" s="228">
        <v>48.33</v>
      </c>
      <c r="DI193" s="228">
        <v>45.43</v>
      </c>
      <c r="DJ193" s="228">
        <v>2.9</v>
      </c>
      <c r="DK193" s="228">
        <v>2.9</v>
      </c>
      <c r="DL193" s="228">
        <v>48.75</v>
      </c>
      <c r="DM193" s="228">
        <v>45.81</v>
      </c>
      <c r="DN193" s="228">
        <v>2.94</v>
      </c>
      <c r="DO193" s="228">
        <v>2.94</v>
      </c>
      <c r="DP193" s="228">
        <v>0.56000000000000005</v>
      </c>
      <c r="DQ193" s="228">
        <v>0.56000000000000005</v>
      </c>
      <c r="DR193" s="228">
        <v>0</v>
      </c>
      <c r="DS193" s="229">
        <v>0</v>
      </c>
      <c r="DT193" s="228">
        <v>280</v>
      </c>
      <c r="DU193" s="228">
        <v>270</v>
      </c>
      <c r="DV193" s="228">
        <v>0.28000000000000003</v>
      </c>
      <c r="DW193" s="228">
        <v>0.31</v>
      </c>
      <c r="DX193" s="228">
        <v>-0.03</v>
      </c>
      <c r="DY193" s="229">
        <v>-9.6799999999999997E-2</v>
      </c>
      <c r="DZ193" s="229">
        <v>5.33E-2</v>
      </c>
      <c r="EA193" s="230">
        <v>1886300</v>
      </c>
      <c r="EB193" s="229">
        <v>-5.4000000000000003E-3</v>
      </c>
      <c r="EC193" s="229">
        <v>5.33E-2</v>
      </c>
      <c r="ED193" s="228">
        <v>-1.79</v>
      </c>
      <c r="EE193" s="229">
        <v>-6.4000000000000003E-3</v>
      </c>
      <c r="EF193" s="230">
        <v>2293110</v>
      </c>
      <c r="EG193" s="230">
        <v>2703481</v>
      </c>
      <c r="EH193" s="229">
        <v>-0.15179999999999999</v>
      </c>
      <c r="EI193" s="229">
        <v>0.33250000000000002</v>
      </c>
      <c r="EJ193" s="231">
        <v>48957.8</v>
      </c>
      <c r="EK193" s="231">
        <v>13106.54</v>
      </c>
      <c r="EL193" s="231">
        <v>23141.07</v>
      </c>
      <c r="EM193" s="231">
        <v>5839</v>
      </c>
      <c r="EN193" s="231">
        <v>85205.41</v>
      </c>
      <c r="EO193" s="231">
        <v>91791.87</v>
      </c>
      <c r="EP193" s="231">
        <v>-6586.46</v>
      </c>
      <c r="EQ193" s="229">
        <v>-7.1800000000000003E-2</v>
      </c>
      <c r="ER193" s="231">
        <v>32715</v>
      </c>
      <c r="ES193" s="231">
        <v>17416</v>
      </c>
      <c r="ET193" s="231">
        <v>145417</v>
      </c>
      <c r="EU193" s="231">
        <v>389472858</v>
      </c>
      <c r="EV193" s="231">
        <v>195547</v>
      </c>
      <c r="EW193" s="231">
        <v>194983</v>
      </c>
      <c r="EX193" s="228">
        <v>564</v>
      </c>
      <c r="EY193" s="229">
        <v>2.8999999999999998E-3</v>
      </c>
      <c r="EZ193" s="229">
        <v>0.17910000000000001</v>
      </c>
      <c r="FA193" s="227" t="s">
        <v>555</v>
      </c>
      <c r="FB193" s="161">
        <f t="shared" si="4"/>
        <v>0</v>
      </c>
    </row>
    <row r="194" spans="1:158" ht="17.25" thickBot="1" x14ac:dyDescent="0.3">
      <c r="A194" s="226">
        <v>46132</v>
      </c>
      <c r="B194" s="227" t="s">
        <v>168</v>
      </c>
      <c r="C194" s="227" t="s">
        <v>291</v>
      </c>
      <c r="D194" s="228">
        <v>550</v>
      </c>
      <c r="E194" s="231">
        <v>1119.4000000000001</v>
      </c>
      <c r="F194" s="231">
        <v>1113.9000000000001</v>
      </c>
      <c r="G194" s="228">
        <v>5.5</v>
      </c>
      <c r="H194" s="229">
        <v>4.8999999999999998E-3</v>
      </c>
      <c r="I194" s="231">
        <v>1120.4000000000001</v>
      </c>
      <c r="J194" s="231">
        <v>1113.2</v>
      </c>
      <c r="K194" s="228">
        <v>7.2</v>
      </c>
      <c r="L194" s="229">
        <v>6.4999999999999997E-3</v>
      </c>
      <c r="M194" s="231">
        <v>1119.4000000000001</v>
      </c>
      <c r="N194" s="231">
        <v>1113.9000000000001</v>
      </c>
      <c r="O194" s="228">
        <v>5.5</v>
      </c>
      <c r="P194" s="229">
        <v>4.8999999999999998E-3</v>
      </c>
      <c r="Q194" s="231">
        <v>1122.9000000000001</v>
      </c>
      <c r="R194" s="231">
        <v>1117.2</v>
      </c>
      <c r="S194" s="228">
        <v>5.7</v>
      </c>
      <c r="T194" s="229">
        <v>5.1000000000000004E-3</v>
      </c>
      <c r="U194" s="231">
        <v>1125.7</v>
      </c>
      <c r="V194" s="231">
        <v>1120.5</v>
      </c>
      <c r="W194" s="228">
        <v>5.2</v>
      </c>
      <c r="X194" s="229">
        <v>4.5999999999999999E-3</v>
      </c>
      <c r="Y194" s="228">
        <v>-1</v>
      </c>
      <c r="Z194" s="228">
        <v>0.7</v>
      </c>
      <c r="AA194" s="228">
        <v>-1.7</v>
      </c>
      <c r="AB194" s="229">
        <v>-8.9999999999999998E-4</v>
      </c>
      <c r="AC194" s="228">
        <v>-1</v>
      </c>
      <c r="AD194" s="228">
        <v>0.7</v>
      </c>
      <c r="AE194" s="228">
        <v>-1.7</v>
      </c>
      <c r="AF194" s="229">
        <v>-8.9999999999999998E-4</v>
      </c>
      <c r="AG194" s="228">
        <v>2.5</v>
      </c>
      <c r="AH194" s="228">
        <v>4</v>
      </c>
      <c r="AI194" s="228">
        <v>-1.5</v>
      </c>
      <c r="AJ194" s="229">
        <v>2.2000000000000001E-3</v>
      </c>
      <c r="AK194" s="228">
        <v>5.3</v>
      </c>
      <c r="AL194" s="228">
        <v>7.3</v>
      </c>
      <c r="AM194" s="228">
        <v>-2</v>
      </c>
      <c r="AN194" s="229">
        <v>4.7000000000000002E-3</v>
      </c>
      <c r="AO194" s="231">
        <v>1121.07</v>
      </c>
      <c r="AP194" s="231">
        <v>1125.0899999999999</v>
      </c>
      <c r="AQ194" s="228">
        <v>0</v>
      </c>
      <c r="AR194" s="230">
        <v>1151700</v>
      </c>
      <c r="AS194" s="230">
        <v>1689600</v>
      </c>
      <c r="AT194" s="230">
        <v>-537900</v>
      </c>
      <c r="AU194" s="229">
        <v>-0.31840000000000002</v>
      </c>
      <c r="AV194" s="230">
        <v>990000</v>
      </c>
      <c r="AW194" s="230">
        <v>1545500</v>
      </c>
      <c r="AX194" s="230">
        <v>-555500</v>
      </c>
      <c r="AY194" s="229">
        <v>-0.3594</v>
      </c>
      <c r="AZ194" s="230">
        <v>138050</v>
      </c>
      <c r="BA194" s="230">
        <v>133650</v>
      </c>
      <c r="BB194" s="230">
        <v>4400</v>
      </c>
      <c r="BC194" s="229">
        <v>3.2899999999999999E-2</v>
      </c>
      <c r="BD194" s="230">
        <v>23650</v>
      </c>
      <c r="BE194" s="230">
        <v>10450</v>
      </c>
      <c r="BF194" s="230">
        <v>13200</v>
      </c>
      <c r="BG194" s="229">
        <v>1.2632000000000001</v>
      </c>
      <c r="BH194" s="230">
        <v>2712600</v>
      </c>
      <c r="BI194" s="230">
        <v>6153400</v>
      </c>
      <c r="BJ194" s="230">
        <v>-3440800</v>
      </c>
      <c r="BK194" s="229">
        <v>-0.55920000000000003</v>
      </c>
      <c r="BL194" s="230">
        <v>1073600</v>
      </c>
      <c r="BM194" s="230">
        <v>1476750</v>
      </c>
      <c r="BN194" s="230">
        <v>-403150</v>
      </c>
      <c r="BO194" s="229">
        <v>-0.27300000000000002</v>
      </c>
      <c r="BP194" s="230">
        <v>4937900</v>
      </c>
      <c r="BQ194" s="230">
        <v>9319750</v>
      </c>
      <c r="BR194" s="230">
        <v>-4381850</v>
      </c>
      <c r="BS194" s="229">
        <v>-0.47020000000000001</v>
      </c>
      <c r="BT194" s="230">
        <v>1164339</v>
      </c>
      <c r="BU194" s="230">
        <v>1310394</v>
      </c>
      <c r="BV194" s="230">
        <v>-146055</v>
      </c>
      <c r="BW194" s="229">
        <v>-0.1115</v>
      </c>
      <c r="BX194" s="230">
        <v>13081750</v>
      </c>
      <c r="BY194" s="230">
        <v>13252250</v>
      </c>
      <c r="BZ194" s="230">
        <v>-170500</v>
      </c>
      <c r="CA194" s="229">
        <v>-1.29E-2</v>
      </c>
      <c r="CB194" s="230">
        <v>12154450</v>
      </c>
      <c r="CC194" s="230">
        <v>12372250</v>
      </c>
      <c r="CD194" s="230">
        <v>-217800</v>
      </c>
      <c r="CE194" s="229">
        <v>-1.7600000000000001E-2</v>
      </c>
      <c r="CF194" s="230">
        <v>839300</v>
      </c>
      <c r="CG194" s="230">
        <v>805200</v>
      </c>
      <c r="CH194" s="230">
        <v>34100</v>
      </c>
      <c r="CI194" s="229">
        <v>4.2299999999999997E-2</v>
      </c>
      <c r="CJ194" s="230">
        <v>88000</v>
      </c>
      <c r="CK194" s="230">
        <v>74800</v>
      </c>
      <c r="CL194" s="230">
        <v>13200</v>
      </c>
      <c r="CM194" s="229">
        <v>0.17649999999999999</v>
      </c>
      <c r="CN194" s="230">
        <v>2314400</v>
      </c>
      <c r="CO194" s="230">
        <v>2451350</v>
      </c>
      <c r="CP194" s="230">
        <v>-136950</v>
      </c>
      <c r="CQ194" s="229">
        <v>-5.5899999999999998E-2</v>
      </c>
      <c r="CR194" s="230">
        <v>2616900</v>
      </c>
      <c r="CS194" s="230">
        <v>2457400</v>
      </c>
      <c r="CT194" s="230">
        <v>159500</v>
      </c>
      <c r="CU194" s="229">
        <v>6.4899999999999999E-2</v>
      </c>
      <c r="CV194" s="230">
        <v>18013050</v>
      </c>
      <c r="CW194" s="230">
        <v>18161000</v>
      </c>
      <c r="CX194" s="230">
        <v>-147950</v>
      </c>
      <c r="CY194" s="229">
        <v>-8.0999999999999996E-3</v>
      </c>
      <c r="CZ194" s="228">
        <v>31.58</v>
      </c>
      <c r="DA194" s="228">
        <v>28.47</v>
      </c>
      <c r="DB194" s="228">
        <v>3.11</v>
      </c>
      <c r="DC194" s="228">
        <v>3.11</v>
      </c>
      <c r="DD194" s="228">
        <v>27.3</v>
      </c>
      <c r="DE194" s="228">
        <v>27.36</v>
      </c>
      <c r="DF194" s="228">
        <v>4.28</v>
      </c>
      <c r="DG194" s="228">
        <v>-0.06</v>
      </c>
      <c r="DH194" s="228">
        <v>30.74</v>
      </c>
      <c r="DI194" s="228">
        <v>27.94</v>
      </c>
      <c r="DJ194" s="228">
        <v>2.8</v>
      </c>
      <c r="DK194" s="228">
        <v>2.8</v>
      </c>
      <c r="DL194" s="228">
        <v>33.72</v>
      </c>
      <c r="DM194" s="228">
        <v>30.68</v>
      </c>
      <c r="DN194" s="228">
        <v>3.04</v>
      </c>
      <c r="DO194" s="228">
        <v>3.04</v>
      </c>
      <c r="DP194" s="228">
        <v>1.1299999999999999</v>
      </c>
      <c r="DQ194" s="228">
        <v>1</v>
      </c>
      <c r="DR194" s="228">
        <v>0.13</v>
      </c>
      <c r="DS194" s="229">
        <v>0.13</v>
      </c>
      <c r="DT194" s="231">
        <v>1100</v>
      </c>
      <c r="DU194" s="228">
        <v>930</v>
      </c>
      <c r="DV194" s="228">
        <v>0.4</v>
      </c>
      <c r="DW194" s="228">
        <v>0.24</v>
      </c>
      <c r="DX194" s="228">
        <v>0.16</v>
      </c>
      <c r="DY194" s="229">
        <v>0.66669999999999996</v>
      </c>
      <c r="DZ194" s="229">
        <v>7.0900000000000005E-2</v>
      </c>
      <c r="EA194" s="230">
        <v>880000</v>
      </c>
      <c r="EB194" s="229">
        <v>3.0999999999999999E-3</v>
      </c>
      <c r="EC194" s="229">
        <v>7.0900000000000005E-2</v>
      </c>
      <c r="ED194" s="228">
        <v>4.0199999999999996</v>
      </c>
      <c r="EE194" s="229">
        <v>3.5999999999999999E-3</v>
      </c>
      <c r="EF194" s="230">
        <v>686659</v>
      </c>
      <c r="EG194" s="230">
        <v>565447</v>
      </c>
      <c r="EH194" s="229">
        <v>0.21440000000000001</v>
      </c>
      <c r="EI194" s="229">
        <v>0.5897</v>
      </c>
      <c r="EJ194" s="231">
        <v>31434.86</v>
      </c>
      <c r="EK194" s="231">
        <v>11678.76</v>
      </c>
      <c r="EL194" s="231">
        <v>12918.25</v>
      </c>
      <c r="EM194" s="231">
        <v>2327</v>
      </c>
      <c r="EN194" s="231">
        <v>56031.87</v>
      </c>
      <c r="EO194" s="231">
        <v>105997.39</v>
      </c>
      <c r="EP194" s="231">
        <v>-49965.52</v>
      </c>
      <c r="EQ194" s="229">
        <v>-0.47139999999999999</v>
      </c>
      <c r="ER194" s="231">
        <v>26249</v>
      </c>
      <c r="ES194" s="231">
        <v>26627</v>
      </c>
      <c r="ET194" s="231">
        <v>146472</v>
      </c>
      <c r="EU194" s="231">
        <v>65472757</v>
      </c>
      <c r="EV194" s="231">
        <v>199348</v>
      </c>
      <c r="EW194" s="231">
        <v>200280</v>
      </c>
      <c r="EX194" s="228">
        <v>-932</v>
      </c>
      <c r="EY194" s="229">
        <v>-4.7000000000000002E-3</v>
      </c>
      <c r="EZ194" s="229">
        <v>0.27510000000000001</v>
      </c>
      <c r="FA194" s="227" t="s">
        <v>693</v>
      </c>
      <c r="FB194" s="161">
        <f t="shared" si="4"/>
        <v>0</v>
      </c>
    </row>
    <row r="195" spans="1:158" ht="17.25" thickBot="1" x14ac:dyDescent="0.3">
      <c r="A195" s="226">
        <v>46132</v>
      </c>
      <c r="B195" s="227" t="s">
        <v>221</v>
      </c>
      <c r="C195" s="227" t="s">
        <v>603</v>
      </c>
      <c r="D195" s="228">
        <v>100</v>
      </c>
      <c r="E195" s="231">
        <v>4526.6000000000004</v>
      </c>
      <c r="F195" s="231">
        <v>4602</v>
      </c>
      <c r="G195" s="228">
        <v>-75.400000000000006</v>
      </c>
      <c r="H195" s="229">
        <v>-1.6400000000000001E-2</v>
      </c>
      <c r="I195" s="231">
        <v>4516.6000000000004</v>
      </c>
      <c r="J195" s="231">
        <v>4592.5</v>
      </c>
      <c r="K195" s="228">
        <v>-75.900000000000006</v>
      </c>
      <c r="L195" s="229">
        <v>-1.6500000000000001E-2</v>
      </c>
      <c r="M195" s="231">
        <v>4526.6000000000004</v>
      </c>
      <c r="N195" s="231">
        <v>4602</v>
      </c>
      <c r="O195" s="228">
        <v>-75.400000000000006</v>
      </c>
      <c r="P195" s="229">
        <v>-1.6400000000000001E-2</v>
      </c>
      <c r="Q195" s="231">
        <v>4511.7</v>
      </c>
      <c r="R195" s="231">
        <v>4581.1000000000004</v>
      </c>
      <c r="S195" s="228">
        <v>-69.400000000000006</v>
      </c>
      <c r="T195" s="229">
        <v>-1.5100000000000001E-2</v>
      </c>
      <c r="U195" s="231">
        <v>4452</v>
      </c>
      <c r="V195" s="231">
        <v>4525.3</v>
      </c>
      <c r="W195" s="228">
        <v>-73.3</v>
      </c>
      <c r="X195" s="229">
        <v>-1.6199999999999999E-2</v>
      </c>
      <c r="Y195" s="228">
        <v>10</v>
      </c>
      <c r="Z195" s="228">
        <v>9.5</v>
      </c>
      <c r="AA195" s="228">
        <v>0.5</v>
      </c>
      <c r="AB195" s="229">
        <v>2.2000000000000001E-3</v>
      </c>
      <c r="AC195" s="228">
        <v>10</v>
      </c>
      <c r="AD195" s="228">
        <v>9.5</v>
      </c>
      <c r="AE195" s="228">
        <v>0.5</v>
      </c>
      <c r="AF195" s="229">
        <v>2.2000000000000001E-3</v>
      </c>
      <c r="AG195" s="228">
        <v>-4.9000000000000004</v>
      </c>
      <c r="AH195" s="228">
        <v>-11.4</v>
      </c>
      <c r="AI195" s="228">
        <v>6.5</v>
      </c>
      <c r="AJ195" s="229">
        <v>-1.1000000000000001E-3</v>
      </c>
      <c r="AK195" s="228">
        <v>-64.599999999999994</v>
      </c>
      <c r="AL195" s="228">
        <v>-67.2</v>
      </c>
      <c r="AM195" s="228">
        <v>2.6</v>
      </c>
      <c r="AN195" s="229">
        <v>-1.43E-2</v>
      </c>
      <c r="AO195" s="231">
        <v>4530.08</v>
      </c>
      <c r="AP195" s="231">
        <v>4511.74</v>
      </c>
      <c r="AQ195" s="228">
        <v>0</v>
      </c>
      <c r="AR195" s="230">
        <v>433700</v>
      </c>
      <c r="AS195" s="230">
        <v>517400</v>
      </c>
      <c r="AT195" s="230">
        <v>-83700</v>
      </c>
      <c r="AU195" s="229">
        <v>-0.1618</v>
      </c>
      <c r="AV195" s="230">
        <v>322100</v>
      </c>
      <c r="AW195" s="230">
        <v>440700</v>
      </c>
      <c r="AX195" s="230">
        <v>-118600</v>
      </c>
      <c r="AY195" s="229">
        <v>-0.26910000000000001</v>
      </c>
      <c r="AZ195" s="230">
        <v>103700</v>
      </c>
      <c r="BA195" s="230">
        <v>68300</v>
      </c>
      <c r="BB195" s="230">
        <v>35400</v>
      </c>
      <c r="BC195" s="229">
        <v>0.51829999999999998</v>
      </c>
      <c r="BD195" s="230">
        <v>7900</v>
      </c>
      <c r="BE195" s="230">
        <v>8400</v>
      </c>
      <c r="BF195" s="228">
        <v>-500</v>
      </c>
      <c r="BG195" s="229">
        <v>-5.9499999999999997E-2</v>
      </c>
      <c r="BH195" s="230">
        <v>1661600</v>
      </c>
      <c r="BI195" s="230">
        <v>2317900</v>
      </c>
      <c r="BJ195" s="230">
        <v>-656300</v>
      </c>
      <c r="BK195" s="229">
        <v>-0.28310000000000002</v>
      </c>
      <c r="BL195" s="230">
        <v>941600</v>
      </c>
      <c r="BM195" s="230">
        <v>972800</v>
      </c>
      <c r="BN195" s="230">
        <v>-31200</v>
      </c>
      <c r="BO195" s="229">
        <v>-3.2099999999999997E-2</v>
      </c>
      <c r="BP195" s="230">
        <v>3036900</v>
      </c>
      <c r="BQ195" s="230">
        <v>3808100</v>
      </c>
      <c r="BR195" s="230">
        <v>-771200</v>
      </c>
      <c r="BS195" s="229">
        <v>-0.20250000000000001</v>
      </c>
      <c r="BT195" s="230">
        <v>261554</v>
      </c>
      <c r="BU195" s="230">
        <v>396748</v>
      </c>
      <c r="BV195" s="230">
        <v>-135194</v>
      </c>
      <c r="BW195" s="229">
        <v>-0.34079999999999999</v>
      </c>
      <c r="BX195" s="230">
        <v>1828000</v>
      </c>
      <c r="BY195" s="230">
        <v>1803300</v>
      </c>
      <c r="BZ195" s="230">
        <v>24700</v>
      </c>
      <c r="CA195" s="229">
        <v>1.37E-2</v>
      </c>
      <c r="CB195" s="230">
        <v>1427300</v>
      </c>
      <c r="CC195" s="230">
        <v>1447000</v>
      </c>
      <c r="CD195" s="230">
        <v>-19700</v>
      </c>
      <c r="CE195" s="229">
        <v>-1.3599999999999999E-2</v>
      </c>
      <c r="CF195" s="230">
        <v>369900</v>
      </c>
      <c r="CG195" s="230">
        <v>327500</v>
      </c>
      <c r="CH195" s="230">
        <v>42400</v>
      </c>
      <c r="CI195" s="229">
        <v>0.1295</v>
      </c>
      <c r="CJ195" s="230">
        <v>30800</v>
      </c>
      <c r="CK195" s="230">
        <v>28800</v>
      </c>
      <c r="CL195" s="230">
        <v>2000</v>
      </c>
      <c r="CM195" s="229">
        <v>6.9400000000000003E-2</v>
      </c>
      <c r="CN195" s="230">
        <v>1049300</v>
      </c>
      <c r="CO195" s="230">
        <v>915200</v>
      </c>
      <c r="CP195" s="230">
        <v>134100</v>
      </c>
      <c r="CQ195" s="229">
        <v>0.14649999999999999</v>
      </c>
      <c r="CR195" s="230">
        <v>534500</v>
      </c>
      <c r="CS195" s="230">
        <v>503000</v>
      </c>
      <c r="CT195" s="230">
        <v>31500</v>
      </c>
      <c r="CU195" s="229">
        <v>6.2600000000000003E-2</v>
      </c>
      <c r="CV195" s="230">
        <v>3411800</v>
      </c>
      <c r="CW195" s="230">
        <v>3221500</v>
      </c>
      <c r="CX195" s="230">
        <v>190300</v>
      </c>
      <c r="CY195" s="229">
        <v>5.91E-2</v>
      </c>
      <c r="CZ195" s="228">
        <v>51.77</v>
      </c>
      <c r="DA195" s="228">
        <v>42.78</v>
      </c>
      <c r="DB195" s="228">
        <v>8.99</v>
      </c>
      <c r="DC195" s="228">
        <v>8.99</v>
      </c>
      <c r="DD195" s="228">
        <v>38.799999999999997</v>
      </c>
      <c r="DE195" s="228">
        <v>38.83</v>
      </c>
      <c r="DF195" s="228">
        <v>12.97</v>
      </c>
      <c r="DG195" s="228">
        <v>-0.03</v>
      </c>
      <c r="DH195" s="228">
        <v>52.21</v>
      </c>
      <c r="DI195" s="228">
        <v>42.56</v>
      </c>
      <c r="DJ195" s="228">
        <v>9.65</v>
      </c>
      <c r="DK195" s="228">
        <v>9.65</v>
      </c>
      <c r="DL195" s="228">
        <v>51</v>
      </c>
      <c r="DM195" s="228">
        <v>43.29</v>
      </c>
      <c r="DN195" s="228">
        <v>7.71</v>
      </c>
      <c r="DO195" s="228">
        <v>7.71</v>
      </c>
      <c r="DP195" s="228">
        <v>0.51</v>
      </c>
      <c r="DQ195" s="228">
        <v>0.55000000000000004</v>
      </c>
      <c r="DR195" s="228">
        <v>-0.04</v>
      </c>
      <c r="DS195" s="229">
        <v>-7.2700000000000001E-2</v>
      </c>
      <c r="DT195" s="231">
        <v>5000</v>
      </c>
      <c r="DU195" s="231">
        <v>4000</v>
      </c>
      <c r="DV195" s="228">
        <v>0.56999999999999995</v>
      </c>
      <c r="DW195" s="228">
        <v>0.42</v>
      </c>
      <c r="DX195" s="228">
        <v>0.15</v>
      </c>
      <c r="DY195" s="229">
        <v>0.35709999999999997</v>
      </c>
      <c r="DZ195" s="229">
        <v>0.21920000000000001</v>
      </c>
      <c r="EA195" s="230">
        <v>356300</v>
      </c>
      <c r="EB195" s="229">
        <v>-3.3E-3</v>
      </c>
      <c r="EC195" s="229">
        <v>0.21920000000000001</v>
      </c>
      <c r="ED195" s="228">
        <v>-18.34</v>
      </c>
      <c r="EE195" s="229">
        <v>-4.0000000000000001E-3</v>
      </c>
      <c r="EF195" s="230">
        <v>96604</v>
      </c>
      <c r="EG195" s="230">
        <v>135221</v>
      </c>
      <c r="EH195" s="229">
        <v>-0.28560000000000002</v>
      </c>
      <c r="EI195" s="229">
        <v>0.36930000000000002</v>
      </c>
      <c r="EJ195" s="231">
        <v>81037.8</v>
      </c>
      <c r="EK195" s="231">
        <v>42525.86</v>
      </c>
      <c r="EL195" s="231">
        <v>19623.189999999999</v>
      </c>
      <c r="EM195" s="231">
        <v>4437</v>
      </c>
      <c r="EN195" s="231">
        <v>143186.85</v>
      </c>
      <c r="EO195" s="231">
        <v>181932.08</v>
      </c>
      <c r="EP195" s="231">
        <v>-38745.230000000003</v>
      </c>
      <c r="EQ195" s="229">
        <v>-0.21299999999999999</v>
      </c>
      <c r="ER195" s="231">
        <v>50248</v>
      </c>
      <c r="ES195" s="231">
        <v>23153</v>
      </c>
      <c r="ET195" s="231">
        <v>82668</v>
      </c>
      <c r="EU195" s="231">
        <v>5241946</v>
      </c>
      <c r="EV195" s="231">
        <v>156069</v>
      </c>
      <c r="EW195" s="231">
        <v>148069</v>
      </c>
      <c r="EX195" s="231">
        <v>8000</v>
      </c>
      <c r="EY195" s="229">
        <v>5.3999999999999999E-2</v>
      </c>
      <c r="EZ195" s="229">
        <v>0.65090000000000003</v>
      </c>
      <c r="FA195" s="227" t="s">
        <v>566</v>
      </c>
      <c r="FB195" s="161">
        <f t="shared" ref="FB195:FB258" si="5">BX266-CB266</f>
        <v>0</v>
      </c>
    </row>
    <row r="196" spans="1:158" ht="17.25" thickBot="1" x14ac:dyDescent="0.3">
      <c r="A196" s="226">
        <v>46132</v>
      </c>
      <c r="B196" s="227" t="s">
        <v>161</v>
      </c>
      <c r="C196" s="227" t="s">
        <v>293</v>
      </c>
      <c r="D196" s="228">
        <v>1450</v>
      </c>
      <c r="E196" s="228">
        <v>433.8</v>
      </c>
      <c r="F196" s="228">
        <v>427.95</v>
      </c>
      <c r="G196" s="228">
        <v>5.85</v>
      </c>
      <c r="H196" s="229">
        <v>1.37E-2</v>
      </c>
      <c r="I196" s="228">
        <v>433.6</v>
      </c>
      <c r="J196" s="228">
        <v>427.6</v>
      </c>
      <c r="K196" s="228">
        <v>6</v>
      </c>
      <c r="L196" s="229">
        <v>1.4E-2</v>
      </c>
      <c r="M196" s="228">
        <v>433.8</v>
      </c>
      <c r="N196" s="228">
        <v>427.95</v>
      </c>
      <c r="O196" s="228">
        <v>5.85</v>
      </c>
      <c r="P196" s="229">
        <v>1.37E-2</v>
      </c>
      <c r="Q196" s="228">
        <v>436.25</v>
      </c>
      <c r="R196" s="228">
        <v>430.45</v>
      </c>
      <c r="S196" s="228">
        <v>5.8</v>
      </c>
      <c r="T196" s="229">
        <v>1.35E-2</v>
      </c>
      <c r="U196" s="228">
        <v>436.8</v>
      </c>
      <c r="V196" s="228">
        <v>430.95</v>
      </c>
      <c r="W196" s="228">
        <v>5.85</v>
      </c>
      <c r="X196" s="229">
        <v>1.3599999999999999E-2</v>
      </c>
      <c r="Y196" s="228">
        <v>0.2</v>
      </c>
      <c r="Z196" s="228">
        <v>0.35</v>
      </c>
      <c r="AA196" s="228">
        <v>-0.15</v>
      </c>
      <c r="AB196" s="229">
        <v>5.0000000000000001E-4</v>
      </c>
      <c r="AC196" s="228">
        <v>0.2</v>
      </c>
      <c r="AD196" s="228">
        <v>0.35</v>
      </c>
      <c r="AE196" s="228">
        <v>-0.15</v>
      </c>
      <c r="AF196" s="229">
        <v>5.0000000000000001E-4</v>
      </c>
      <c r="AG196" s="228">
        <v>2.65</v>
      </c>
      <c r="AH196" s="228">
        <v>2.85</v>
      </c>
      <c r="AI196" s="228">
        <v>-0.2</v>
      </c>
      <c r="AJ196" s="229">
        <v>6.1000000000000004E-3</v>
      </c>
      <c r="AK196" s="228">
        <v>3.2</v>
      </c>
      <c r="AL196" s="228">
        <v>3.35</v>
      </c>
      <c r="AM196" s="228">
        <v>-0.15</v>
      </c>
      <c r="AN196" s="229">
        <v>7.4000000000000003E-3</v>
      </c>
      <c r="AO196" s="228">
        <v>433.47</v>
      </c>
      <c r="AP196" s="228">
        <v>435.75</v>
      </c>
      <c r="AQ196" s="228">
        <v>0</v>
      </c>
      <c r="AR196" s="230">
        <v>21336750</v>
      </c>
      <c r="AS196" s="230">
        <v>10577750</v>
      </c>
      <c r="AT196" s="230">
        <v>10759000</v>
      </c>
      <c r="AU196" s="229">
        <v>1.0170999999999999</v>
      </c>
      <c r="AV196" s="230">
        <v>17463800</v>
      </c>
      <c r="AW196" s="230">
        <v>8263550</v>
      </c>
      <c r="AX196" s="230">
        <v>9200250</v>
      </c>
      <c r="AY196" s="229">
        <v>1.1133999999999999</v>
      </c>
      <c r="AZ196" s="230">
        <v>3511900</v>
      </c>
      <c r="BA196" s="230">
        <v>2160500</v>
      </c>
      <c r="BB196" s="230">
        <v>1351400</v>
      </c>
      <c r="BC196" s="229">
        <v>0.62549999999999994</v>
      </c>
      <c r="BD196" s="230">
        <v>361050</v>
      </c>
      <c r="BE196" s="230">
        <v>153700</v>
      </c>
      <c r="BF196" s="230">
        <v>207350</v>
      </c>
      <c r="BG196" s="229">
        <v>1.3491</v>
      </c>
      <c r="BH196" s="230">
        <v>110302950</v>
      </c>
      <c r="BI196" s="230">
        <v>49584200</v>
      </c>
      <c r="BJ196" s="230">
        <v>60718750</v>
      </c>
      <c r="BK196" s="229">
        <v>1.2245999999999999</v>
      </c>
      <c r="BL196" s="230">
        <v>63994300</v>
      </c>
      <c r="BM196" s="230">
        <v>36983700</v>
      </c>
      <c r="BN196" s="230">
        <v>27010600</v>
      </c>
      <c r="BO196" s="229">
        <v>0.73029999999999995</v>
      </c>
      <c r="BP196" s="230">
        <v>195634000</v>
      </c>
      <c r="BQ196" s="230">
        <v>97145650</v>
      </c>
      <c r="BR196" s="230">
        <v>98488350</v>
      </c>
      <c r="BS196" s="229">
        <v>1.0138</v>
      </c>
      <c r="BT196" s="230">
        <v>13682860</v>
      </c>
      <c r="BU196" s="230">
        <v>8238954</v>
      </c>
      <c r="BV196" s="230">
        <v>5443906</v>
      </c>
      <c r="BW196" s="229">
        <v>0.66080000000000005</v>
      </c>
      <c r="BX196" s="230">
        <v>58635100</v>
      </c>
      <c r="BY196" s="230">
        <v>57102450</v>
      </c>
      <c r="BZ196" s="230">
        <v>1532650</v>
      </c>
      <c r="CA196" s="229">
        <v>2.6800000000000001E-2</v>
      </c>
      <c r="CB196" s="230">
        <v>51447450</v>
      </c>
      <c r="CC196" s="230">
        <v>51140050</v>
      </c>
      <c r="CD196" s="230">
        <v>307400</v>
      </c>
      <c r="CE196" s="229">
        <v>6.0000000000000001E-3</v>
      </c>
      <c r="CF196" s="230">
        <v>6685950</v>
      </c>
      <c r="CG196" s="230">
        <v>5528850</v>
      </c>
      <c r="CH196" s="230">
        <v>1157100</v>
      </c>
      <c r="CI196" s="229">
        <v>0.20930000000000001</v>
      </c>
      <c r="CJ196" s="230">
        <v>501700</v>
      </c>
      <c r="CK196" s="230">
        <v>433550</v>
      </c>
      <c r="CL196" s="230">
        <v>68150</v>
      </c>
      <c r="CM196" s="229">
        <v>0.15720000000000001</v>
      </c>
      <c r="CN196" s="230">
        <v>35801950</v>
      </c>
      <c r="CO196" s="230">
        <v>36669050</v>
      </c>
      <c r="CP196" s="230">
        <v>-867100</v>
      </c>
      <c r="CQ196" s="229">
        <v>-2.3599999999999999E-2</v>
      </c>
      <c r="CR196" s="230">
        <v>30235400</v>
      </c>
      <c r="CS196" s="230">
        <v>31375100</v>
      </c>
      <c r="CT196" s="230">
        <v>-1139700</v>
      </c>
      <c r="CU196" s="229">
        <v>-3.6299999999999999E-2</v>
      </c>
      <c r="CV196" s="230">
        <v>124672450</v>
      </c>
      <c r="CW196" s="230">
        <v>125146600</v>
      </c>
      <c r="CX196" s="230">
        <v>-474150</v>
      </c>
      <c r="CY196" s="229">
        <v>-3.8E-3</v>
      </c>
      <c r="CZ196" s="228">
        <v>31.88</v>
      </c>
      <c r="DA196" s="228">
        <v>29.31</v>
      </c>
      <c r="DB196" s="228">
        <v>2.57</v>
      </c>
      <c r="DC196" s="228">
        <v>2.57</v>
      </c>
      <c r="DD196" s="228">
        <v>31.54</v>
      </c>
      <c r="DE196" s="228">
        <v>31.57</v>
      </c>
      <c r="DF196" s="228">
        <v>0.34</v>
      </c>
      <c r="DG196" s="228">
        <v>-0.03</v>
      </c>
      <c r="DH196" s="228">
        <v>31.07</v>
      </c>
      <c r="DI196" s="228">
        <v>28.97</v>
      </c>
      <c r="DJ196" s="228">
        <v>2.1</v>
      </c>
      <c r="DK196" s="228">
        <v>2.1</v>
      </c>
      <c r="DL196" s="228">
        <v>33.28</v>
      </c>
      <c r="DM196" s="228">
        <v>29.77</v>
      </c>
      <c r="DN196" s="228">
        <v>3.51</v>
      </c>
      <c r="DO196" s="228">
        <v>3.51</v>
      </c>
      <c r="DP196" s="228">
        <v>0.84</v>
      </c>
      <c r="DQ196" s="228">
        <v>0.86</v>
      </c>
      <c r="DR196" s="228">
        <v>-0.02</v>
      </c>
      <c r="DS196" s="229">
        <v>-2.3300000000000001E-2</v>
      </c>
      <c r="DT196" s="228">
        <v>440</v>
      </c>
      <c r="DU196" s="228">
        <v>415</v>
      </c>
      <c r="DV196" s="228">
        <v>0.57999999999999996</v>
      </c>
      <c r="DW196" s="228">
        <v>0.75</v>
      </c>
      <c r="DX196" s="228">
        <v>-0.17</v>
      </c>
      <c r="DY196" s="229">
        <v>-0.22670000000000001</v>
      </c>
      <c r="DZ196" s="229">
        <v>0.1226</v>
      </c>
      <c r="EA196" s="230">
        <v>5962400</v>
      </c>
      <c r="EB196" s="229">
        <v>5.5999999999999999E-3</v>
      </c>
      <c r="EC196" s="229">
        <v>0.1226</v>
      </c>
      <c r="ED196" s="228">
        <v>2.2799999999999998</v>
      </c>
      <c r="EE196" s="229">
        <v>5.3E-3</v>
      </c>
      <c r="EF196" s="230">
        <v>5861609</v>
      </c>
      <c r="EG196" s="230">
        <v>3410739</v>
      </c>
      <c r="EH196" s="229">
        <v>0.71860000000000002</v>
      </c>
      <c r="EI196" s="229">
        <v>0.4284</v>
      </c>
      <c r="EJ196" s="231">
        <v>494646.75</v>
      </c>
      <c r="EK196" s="231">
        <v>269302.61</v>
      </c>
      <c r="EL196" s="231">
        <v>92579</v>
      </c>
      <c r="EM196" s="231">
        <v>12122</v>
      </c>
      <c r="EN196" s="231">
        <v>856528.36</v>
      </c>
      <c r="EO196" s="231">
        <v>420869.9</v>
      </c>
      <c r="EP196" s="231">
        <v>435658.46</v>
      </c>
      <c r="EQ196" s="229">
        <v>1.0350999999999999</v>
      </c>
      <c r="ER196" s="231">
        <v>152353</v>
      </c>
      <c r="ES196" s="231">
        <v>121567</v>
      </c>
      <c r="ET196" s="231">
        <v>254538</v>
      </c>
      <c r="EU196" s="231">
        <v>169808198</v>
      </c>
      <c r="EV196" s="231">
        <v>528458</v>
      </c>
      <c r="EW196" s="231">
        <v>524177</v>
      </c>
      <c r="EX196" s="231">
        <v>4281</v>
      </c>
      <c r="EY196" s="229">
        <v>8.2000000000000007E-3</v>
      </c>
      <c r="EZ196" s="229">
        <v>0.73419999999999996</v>
      </c>
      <c r="FA196" s="227" t="s">
        <v>555</v>
      </c>
      <c r="FB196" s="161">
        <f t="shared" si="5"/>
        <v>0</v>
      </c>
    </row>
    <row r="197" spans="1:158" ht="17.25" thickBot="1" x14ac:dyDescent="0.3">
      <c r="A197" s="226">
        <v>46132</v>
      </c>
      <c r="B197" s="227" t="s">
        <v>227</v>
      </c>
      <c r="C197" s="227" t="s">
        <v>294</v>
      </c>
      <c r="D197" s="228">
        <v>5500</v>
      </c>
      <c r="E197" s="228">
        <v>211.52</v>
      </c>
      <c r="F197" s="228">
        <v>212.3</v>
      </c>
      <c r="G197" s="228">
        <v>-0.78</v>
      </c>
      <c r="H197" s="229">
        <v>-3.7000000000000002E-3</v>
      </c>
      <c r="I197" s="228">
        <v>211.72</v>
      </c>
      <c r="J197" s="228">
        <v>212.12</v>
      </c>
      <c r="K197" s="228">
        <v>-0.4</v>
      </c>
      <c r="L197" s="229">
        <v>-1.9E-3</v>
      </c>
      <c r="M197" s="228">
        <v>211.52</v>
      </c>
      <c r="N197" s="228">
        <v>212.3</v>
      </c>
      <c r="O197" s="228">
        <v>-0.78</v>
      </c>
      <c r="P197" s="229">
        <v>-3.7000000000000002E-3</v>
      </c>
      <c r="Q197" s="228">
        <v>212.62</v>
      </c>
      <c r="R197" s="228">
        <v>213.63</v>
      </c>
      <c r="S197" s="228">
        <v>-1.01</v>
      </c>
      <c r="T197" s="229">
        <v>-4.7000000000000002E-3</v>
      </c>
      <c r="U197" s="228">
        <v>211.15</v>
      </c>
      <c r="V197" s="228">
        <v>211.66</v>
      </c>
      <c r="W197" s="228">
        <v>-0.51</v>
      </c>
      <c r="X197" s="229">
        <v>-2.3999999999999998E-3</v>
      </c>
      <c r="Y197" s="228">
        <v>-0.2</v>
      </c>
      <c r="Z197" s="228">
        <v>0.18</v>
      </c>
      <c r="AA197" s="228">
        <v>-0.38</v>
      </c>
      <c r="AB197" s="229">
        <v>-8.9999999999999998E-4</v>
      </c>
      <c r="AC197" s="228">
        <v>-0.2</v>
      </c>
      <c r="AD197" s="228">
        <v>0.18</v>
      </c>
      <c r="AE197" s="228">
        <v>-0.38</v>
      </c>
      <c r="AF197" s="229">
        <v>-8.9999999999999998E-4</v>
      </c>
      <c r="AG197" s="228">
        <v>0.9</v>
      </c>
      <c r="AH197" s="228">
        <v>1.51</v>
      </c>
      <c r="AI197" s="228">
        <v>-0.61</v>
      </c>
      <c r="AJ197" s="229">
        <v>4.3E-3</v>
      </c>
      <c r="AK197" s="228">
        <v>-0.56999999999999995</v>
      </c>
      <c r="AL197" s="228">
        <v>-0.46</v>
      </c>
      <c r="AM197" s="228">
        <v>-0.11</v>
      </c>
      <c r="AN197" s="229">
        <v>-2.7000000000000001E-3</v>
      </c>
      <c r="AO197" s="228">
        <v>211.72</v>
      </c>
      <c r="AP197" s="228">
        <v>213.01</v>
      </c>
      <c r="AQ197" s="228">
        <v>0</v>
      </c>
      <c r="AR197" s="230">
        <v>33660000</v>
      </c>
      <c r="AS197" s="230">
        <v>29694500</v>
      </c>
      <c r="AT197" s="230">
        <v>3965500</v>
      </c>
      <c r="AU197" s="229">
        <v>0.13350000000000001</v>
      </c>
      <c r="AV197" s="230">
        <v>23897500</v>
      </c>
      <c r="AW197" s="230">
        <v>24684000</v>
      </c>
      <c r="AX197" s="230">
        <v>-786500</v>
      </c>
      <c r="AY197" s="229">
        <v>-3.1899999999999998E-2</v>
      </c>
      <c r="AZ197" s="230">
        <v>8580000</v>
      </c>
      <c r="BA197" s="230">
        <v>4323000</v>
      </c>
      <c r="BB197" s="230">
        <v>4257000</v>
      </c>
      <c r="BC197" s="229">
        <v>0.98470000000000002</v>
      </c>
      <c r="BD197" s="230">
        <v>1182500</v>
      </c>
      <c r="BE197" s="230">
        <v>687500</v>
      </c>
      <c r="BF197" s="230">
        <v>495000</v>
      </c>
      <c r="BG197" s="229">
        <v>0.72</v>
      </c>
      <c r="BH197" s="230">
        <v>113228500</v>
      </c>
      <c r="BI197" s="230">
        <v>118387500</v>
      </c>
      <c r="BJ197" s="230">
        <v>-5159000</v>
      </c>
      <c r="BK197" s="229">
        <v>-4.36E-2</v>
      </c>
      <c r="BL197" s="230">
        <v>63750500</v>
      </c>
      <c r="BM197" s="230">
        <v>76807500</v>
      </c>
      <c r="BN197" s="230">
        <v>-13057000</v>
      </c>
      <c r="BO197" s="229">
        <v>-0.17</v>
      </c>
      <c r="BP197" s="230">
        <v>210639000</v>
      </c>
      <c r="BQ197" s="230">
        <v>224889500</v>
      </c>
      <c r="BR197" s="230">
        <v>-14250500</v>
      </c>
      <c r="BS197" s="229">
        <v>-6.3399999999999998E-2</v>
      </c>
      <c r="BT197" s="230">
        <v>26056362</v>
      </c>
      <c r="BU197" s="230">
        <v>24403581</v>
      </c>
      <c r="BV197" s="230">
        <v>1652781</v>
      </c>
      <c r="BW197" s="229">
        <v>6.7699999999999996E-2</v>
      </c>
      <c r="BX197" s="230">
        <v>179333000</v>
      </c>
      <c r="BY197" s="230">
        <v>178337500</v>
      </c>
      <c r="BZ197" s="230">
        <v>995500</v>
      </c>
      <c r="CA197" s="229">
        <v>5.5999999999999999E-3</v>
      </c>
      <c r="CB197" s="230">
        <v>150826500</v>
      </c>
      <c r="CC197" s="230">
        <v>153642500</v>
      </c>
      <c r="CD197" s="230">
        <v>-2816000</v>
      </c>
      <c r="CE197" s="229">
        <v>-1.83E-2</v>
      </c>
      <c r="CF197" s="230">
        <v>22814000</v>
      </c>
      <c r="CG197" s="230">
        <v>19184000</v>
      </c>
      <c r="CH197" s="230">
        <v>3630000</v>
      </c>
      <c r="CI197" s="229">
        <v>0.18920000000000001</v>
      </c>
      <c r="CJ197" s="230">
        <v>5692500</v>
      </c>
      <c r="CK197" s="230">
        <v>5511000</v>
      </c>
      <c r="CL197" s="230">
        <v>181500</v>
      </c>
      <c r="CM197" s="229">
        <v>3.2899999999999999E-2</v>
      </c>
      <c r="CN197" s="230">
        <v>119295000</v>
      </c>
      <c r="CO197" s="230">
        <v>116435000</v>
      </c>
      <c r="CP197" s="230">
        <v>2860000</v>
      </c>
      <c r="CQ197" s="229">
        <v>2.46E-2</v>
      </c>
      <c r="CR197" s="230">
        <v>100815000</v>
      </c>
      <c r="CS197" s="230">
        <v>99880000</v>
      </c>
      <c r="CT197" s="230">
        <v>935000</v>
      </c>
      <c r="CU197" s="229">
        <v>9.4000000000000004E-3</v>
      </c>
      <c r="CV197" s="230">
        <v>399443000</v>
      </c>
      <c r="CW197" s="230">
        <v>394652500</v>
      </c>
      <c r="CX197" s="230">
        <v>4790500</v>
      </c>
      <c r="CY197" s="229">
        <v>1.21E-2</v>
      </c>
      <c r="CZ197" s="228">
        <v>32.17</v>
      </c>
      <c r="DA197" s="228">
        <v>29.64</v>
      </c>
      <c r="DB197" s="228">
        <v>2.5299999999999998</v>
      </c>
      <c r="DC197" s="228">
        <v>2.5299999999999998</v>
      </c>
      <c r="DD197" s="228">
        <v>36.07</v>
      </c>
      <c r="DE197" s="228">
        <v>36.159999999999997</v>
      </c>
      <c r="DF197" s="228">
        <v>-3.9</v>
      </c>
      <c r="DG197" s="228">
        <v>-0.09</v>
      </c>
      <c r="DH197" s="228">
        <v>31.01</v>
      </c>
      <c r="DI197" s="228">
        <v>28.19</v>
      </c>
      <c r="DJ197" s="228">
        <v>2.82</v>
      </c>
      <c r="DK197" s="228">
        <v>2.82</v>
      </c>
      <c r="DL197" s="228">
        <v>34.22</v>
      </c>
      <c r="DM197" s="228">
        <v>31.87</v>
      </c>
      <c r="DN197" s="228">
        <v>2.35</v>
      </c>
      <c r="DO197" s="228">
        <v>2.35</v>
      </c>
      <c r="DP197" s="228">
        <v>0.85</v>
      </c>
      <c r="DQ197" s="228">
        <v>0.86</v>
      </c>
      <c r="DR197" s="228">
        <v>-0.01</v>
      </c>
      <c r="DS197" s="229">
        <v>-1.1599999999999999E-2</v>
      </c>
      <c r="DT197" s="228">
        <v>195</v>
      </c>
      <c r="DU197" s="228">
        <v>200</v>
      </c>
      <c r="DV197" s="228">
        <v>0.56000000000000005</v>
      </c>
      <c r="DW197" s="228">
        <v>0.65</v>
      </c>
      <c r="DX197" s="228">
        <v>-0.09</v>
      </c>
      <c r="DY197" s="229">
        <v>-0.13850000000000001</v>
      </c>
      <c r="DZ197" s="229">
        <v>0.159</v>
      </c>
      <c r="EA197" s="230">
        <v>24695000</v>
      </c>
      <c r="EB197" s="229">
        <v>5.1999999999999998E-3</v>
      </c>
      <c r="EC197" s="229">
        <v>0.159</v>
      </c>
      <c r="ED197" s="228">
        <v>1.29</v>
      </c>
      <c r="EE197" s="229">
        <v>6.1000000000000004E-3</v>
      </c>
      <c r="EF197" s="230">
        <v>11214620</v>
      </c>
      <c r="EG197" s="230">
        <v>9314487</v>
      </c>
      <c r="EH197" s="229">
        <v>0.20399999999999999</v>
      </c>
      <c r="EI197" s="229">
        <v>0.4304</v>
      </c>
      <c r="EJ197" s="231">
        <v>247681.55</v>
      </c>
      <c r="EK197" s="231">
        <v>131558.13</v>
      </c>
      <c r="EL197" s="231">
        <v>71367.839999999997</v>
      </c>
      <c r="EM197" s="231">
        <v>6381</v>
      </c>
      <c r="EN197" s="231">
        <v>450607.52</v>
      </c>
      <c r="EO197" s="231">
        <v>479106.43</v>
      </c>
      <c r="EP197" s="231">
        <v>-28498.91</v>
      </c>
      <c r="EQ197" s="229">
        <v>-5.9499999999999997E-2</v>
      </c>
      <c r="ER197" s="231">
        <v>248316</v>
      </c>
      <c r="ES197" s="231">
        <v>196622</v>
      </c>
      <c r="ET197" s="231">
        <v>379555</v>
      </c>
      <c r="EU197" s="231">
        <v>1049350971</v>
      </c>
      <c r="EV197" s="231">
        <v>824493</v>
      </c>
      <c r="EW197" s="231">
        <v>815086</v>
      </c>
      <c r="EX197" s="231">
        <v>9407</v>
      </c>
      <c r="EY197" s="229">
        <v>1.15E-2</v>
      </c>
      <c r="EZ197" s="229">
        <v>0.38069999999999998</v>
      </c>
      <c r="FA197" s="227" t="s">
        <v>566</v>
      </c>
      <c r="FB197" s="161">
        <f t="shared" si="5"/>
        <v>0</v>
      </c>
    </row>
    <row r="198" spans="1:158" ht="17.25" thickBot="1" x14ac:dyDescent="0.3">
      <c r="A198" s="226">
        <v>46132</v>
      </c>
      <c r="B198" s="227" t="s">
        <v>221</v>
      </c>
      <c r="C198" s="227" t="s">
        <v>662</v>
      </c>
      <c r="D198" s="228">
        <v>800</v>
      </c>
      <c r="E198" s="228">
        <v>576.6</v>
      </c>
      <c r="F198" s="228">
        <v>590.9</v>
      </c>
      <c r="G198" s="228">
        <v>-14.3</v>
      </c>
      <c r="H198" s="229">
        <v>-2.4199999999999999E-2</v>
      </c>
      <c r="I198" s="228">
        <v>576.45000000000005</v>
      </c>
      <c r="J198" s="228">
        <v>589.29999999999995</v>
      </c>
      <c r="K198" s="228">
        <v>-12.85</v>
      </c>
      <c r="L198" s="229">
        <v>-2.18E-2</v>
      </c>
      <c r="M198" s="228">
        <v>576.6</v>
      </c>
      <c r="N198" s="228">
        <v>590.9</v>
      </c>
      <c r="O198" s="228">
        <v>-14.3</v>
      </c>
      <c r="P198" s="229">
        <v>-2.4199999999999999E-2</v>
      </c>
      <c r="Q198" s="228">
        <v>0</v>
      </c>
      <c r="R198" s="228">
        <v>0</v>
      </c>
      <c r="S198" s="228">
        <v>0</v>
      </c>
      <c r="T198" s="229">
        <v>0</v>
      </c>
      <c r="U198" s="228">
        <v>0</v>
      </c>
      <c r="V198" s="228">
        <v>0</v>
      </c>
      <c r="W198" s="228">
        <v>0</v>
      </c>
      <c r="X198" s="229">
        <v>0</v>
      </c>
      <c r="Y198" s="228">
        <v>0.15</v>
      </c>
      <c r="Z198" s="228">
        <v>1.6</v>
      </c>
      <c r="AA198" s="228">
        <v>-1.45</v>
      </c>
      <c r="AB198" s="229">
        <v>2.9999999999999997E-4</v>
      </c>
      <c r="AC198" s="228">
        <v>0.15</v>
      </c>
      <c r="AD198" s="228">
        <v>1.6</v>
      </c>
      <c r="AE198" s="228">
        <v>-1.45</v>
      </c>
      <c r="AF198" s="229">
        <v>2.9999999999999997E-4</v>
      </c>
      <c r="AG198" s="228">
        <v>0</v>
      </c>
      <c r="AH198" s="228">
        <v>0</v>
      </c>
      <c r="AI198" s="228">
        <v>0</v>
      </c>
      <c r="AJ198" s="229">
        <v>0</v>
      </c>
      <c r="AK198" s="228">
        <v>0</v>
      </c>
      <c r="AL198" s="228">
        <v>0</v>
      </c>
      <c r="AM198" s="228">
        <v>0</v>
      </c>
      <c r="AN198" s="229">
        <v>0</v>
      </c>
      <c r="AO198" s="228">
        <v>580.62</v>
      </c>
      <c r="AP198" s="228">
        <v>0</v>
      </c>
      <c r="AQ198" s="228">
        <v>0</v>
      </c>
      <c r="AR198" s="230">
        <v>750400</v>
      </c>
      <c r="AS198" s="230">
        <v>502400</v>
      </c>
      <c r="AT198" s="230">
        <v>248000</v>
      </c>
      <c r="AU198" s="229">
        <v>0.49359999999999998</v>
      </c>
      <c r="AV198" s="230">
        <v>750400</v>
      </c>
      <c r="AW198" s="230">
        <v>502400</v>
      </c>
      <c r="AX198" s="230">
        <v>248000</v>
      </c>
      <c r="AY198" s="229">
        <v>0.49359999999999998</v>
      </c>
      <c r="AZ198" s="228">
        <v>0</v>
      </c>
      <c r="BA198" s="228">
        <v>0</v>
      </c>
      <c r="BB198" s="228">
        <v>0</v>
      </c>
      <c r="BC198" s="229">
        <v>0</v>
      </c>
      <c r="BD198" s="228">
        <v>0</v>
      </c>
      <c r="BE198" s="228">
        <v>0</v>
      </c>
      <c r="BF198" s="228">
        <v>0</v>
      </c>
      <c r="BG198" s="229">
        <v>0</v>
      </c>
      <c r="BH198" s="230">
        <v>1116000</v>
      </c>
      <c r="BI198" s="230">
        <v>1348000</v>
      </c>
      <c r="BJ198" s="230">
        <v>-232000</v>
      </c>
      <c r="BK198" s="229">
        <v>-0.1721</v>
      </c>
      <c r="BL198" s="230">
        <v>464000</v>
      </c>
      <c r="BM198" s="230">
        <v>424800</v>
      </c>
      <c r="BN198" s="230">
        <v>39200</v>
      </c>
      <c r="BO198" s="229">
        <v>9.2299999999999993E-2</v>
      </c>
      <c r="BP198" s="230">
        <v>2330400</v>
      </c>
      <c r="BQ198" s="230">
        <v>2275200</v>
      </c>
      <c r="BR198" s="230">
        <v>55200</v>
      </c>
      <c r="BS198" s="229">
        <v>2.4299999999999999E-2</v>
      </c>
      <c r="BT198" s="230">
        <v>586807</v>
      </c>
      <c r="BU198" s="230">
        <v>655163</v>
      </c>
      <c r="BV198" s="230">
        <v>-68356</v>
      </c>
      <c r="BW198" s="229">
        <v>-0.1043</v>
      </c>
      <c r="BX198" s="230">
        <v>5898400</v>
      </c>
      <c r="BY198" s="230">
        <v>6109600</v>
      </c>
      <c r="BZ198" s="230">
        <v>-211200</v>
      </c>
      <c r="CA198" s="229">
        <v>-3.4599999999999999E-2</v>
      </c>
      <c r="CB198" s="230">
        <v>5898400</v>
      </c>
      <c r="CC198" s="230">
        <v>6109600</v>
      </c>
      <c r="CD198" s="230">
        <v>-211200</v>
      </c>
      <c r="CE198" s="229">
        <v>-3.4599999999999999E-2</v>
      </c>
      <c r="CF198" s="228">
        <v>0</v>
      </c>
      <c r="CG198" s="228">
        <v>0</v>
      </c>
      <c r="CH198" s="228">
        <v>0</v>
      </c>
      <c r="CI198" s="229">
        <v>0</v>
      </c>
      <c r="CJ198" s="228">
        <v>0</v>
      </c>
      <c r="CK198" s="228">
        <v>0</v>
      </c>
      <c r="CL198" s="228">
        <v>0</v>
      </c>
      <c r="CM198" s="229">
        <v>0</v>
      </c>
      <c r="CN198" s="230">
        <v>2841600</v>
      </c>
      <c r="CO198" s="230">
        <v>2736800</v>
      </c>
      <c r="CP198" s="230">
        <v>104800</v>
      </c>
      <c r="CQ198" s="229">
        <v>3.8300000000000001E-2</v>
      </c>
      <c r="CR198" s="230">
        <v>1825600</v>
      </c>
      <c r="CS198" s="230">
        <v>1817600</v>
      </c>
      <c r="CT198" s="230">
        <v>8000</v>
      </c>
      <c r="CU198" s="229">
        <v>4.4000000000000003E-3</v>
      </c>
      <c r="CV198" s="230">
        <v>10565600</v>
      </c>
      <c r="CW198" s="230">
        <v>10664000</v>
      </c>
      <c r="CX198" s="230">
        <v>-98400</v>
      </c>
      <c r="CY198" s="229">
        <v>-9.1999999999999998E-3</v>
      </c>
      <c r="CZ198" s="228">
        <v>36.54</v>
      </c>
      <c r="DA198" s="228">
        <v>30.08</v>
      </c>
      <c r="DB198" s="228">
        <v>6.46</v>
      </c>
      <c r="DC198" s="228">
        <v>6.46</v>
      </c>
      <c r="DD198" s="228">
        <v>33.72</v>
      </c>
      <c r="DE198" s="228">
        <v>33.64</v>
      </c>
      <c r="DF198" s="228">
        <v>2.82</v>
      </c>
      <c r="DG198" s="228">
        <v>0.08</v>
      </c>
      <c r="DH198" s="228">
        <v>35.89</v>
      </c>
      <c r="DI198" s="228">
        <v>28.25</v>
      </c>
      <c r="DJ198" s="228">
        <v>7.64</v>
      </c>
      <c r="DK198" s="228">
        <v>7.64</v>
      </c>
      <c r="DL198" s="228">
        <v>38.090000000000003</v>
      </c>
      <c r="DM198" s="228">
        <v>35.880000000000003</v>
      </c>
      <c r="DN198" s="228">
        <v>2.21</v>
      </c>
      <c r="DO198" s="228">
        <v>2.21</v>
      </c>
      <c r="DP198" s="228">
        <v>0.64</v>
      </c>
      <c r="DQ198" s="228">
        <v>0.66</v>
      </c>
      <c r="DR198" s="228">
        <v>-0.02</v>
      </c>
      <c r="DS198" s="229">
        <v>-3.0300000000000001E-2</v>
      </c>
      <c r="DT198" s="228">
        <v>620</v>
      </c>
      <c r="DU198" s="228">
        <v>550</v>
      </c>
      <c r="DV198" s="228">
        <v>0.42</v>
      </c>
      <c r="DW198" s="228">
        <v>0.32</v>
      </c>
      <c r="DX198" s="228">
        <v>0.1</v>
      </c>
      <c r="DY198" s="229">
        <v>0.3125</v>
      </c>
      <c r="DZ198" s="229">
        <v>0</v>
      </c>
      <c r="EA198" s="228">
        <v>0</v>
      </c>
      <c r="EB198" s="229">
        <v>0</v>
      </c>
      <c r="EC198" s="229">
        <v>0</v>
      </c>
      <c r="ED198" s="228">
        <v>0</v>
      </c>
      <c r="EE198" s="229">
        <v>0</v>
      </c>
      <c r="EF198" s="230">
        <v>236713</v>
      </c>
      <c r="EG198" s="230">
        <v>246733</v>
      </c>
      <c r="EH198" s="229">
        <v>-4.0599999999999997E-2</v>
      </c>
      <c r="EI198" s="229">
        <v>0.40339999999999998</v>
      </c>
      <c r="EJ198" s="231">
        <v>6794.49</v>
      </c>
      <c r="EK198" s="231">
        <v>2643</v>
      </c>
      <c r="EL198" s="231">
        <v>4356.9799999999996</v>
      </c>
      <c r="EM198" s="231">
        <v>1004</v>
      </c>
      <c r="EN198" s="231">
        <v>13794.47</v>
      </c>
      <c r="EO198" s="231">
        <v>13626.08</v>
      </c>
      <c r="EP198" s="228">
        <v>168.39</v>
      </c>
      <c r="EQ198" s="229">
        <v>1.24E-2</v>
      </c>
      <c r="ER198" s="231">
        <v>16786</v>
      </c>
      <c r="ES198" s="231">
        <v>10122</v>
      </c>
      <c r="ET198" s="231">
        <v>34010</v>
      </c>
      <c r="EU198" s="231">
        <v>27144562</v>
      </c>
      <c r="EV198" s="231">
        <v>60918</v>
      </c>
      <c r="EW198" s="231">
        <v>62355</v>
      </c>
      <c r="EX198" s="231">
        <v>-1437</v>
      </c>
      <c r="EY198" s="229">
        <v>-2.3E-2</v>
      </c>
      <c r="EZ198" s="229">
        <v>0.38919999999999999</v>
      </c>
      <c r="FA198" s="227" t="s">
        <v>567</v>
      </c>
      <c r="FB198" s="161">
        <f t="shared" si="5"/>
        <v>0</v>
      </c>
    </row>
    <row r="199" spans="1:158" ht="17.25" thickBot="1" x14ac:dyDescent="0.3">
      <c r="A199" s="226">
        <v>46132</v>
      </c>
      <c r="B199" s="227" t="s">
        <v>221</v>
      </c>
      <c r="C199" s="227" t="s">
        <v>295</v>
      </c>
      <c r="D199" s="228">
        <v>175</v>
      </c>
      <c r="E199" s="231">
        <v>2565</v>
      </c>
      <c r="F199" s="231">
        <v>2561.1999999999998</v>
      </c>
      <c r="G199" s="228">
        <v>3.8</v>
      </c>
      <c r="H199" s="229">
        <v>1.5E-3</v>
      </c>
      <c r="I199" s="231">
        <v>2579.6</v>
      </c>
      <c r="J199" s="231">
        <v>2581.5</v>
      </c>
      <c r="K199" s="228">
        <v>-1.9</v>
      </c>
      <c r="L199" s="229">
        <v>-6.9999999999999999E-4</v>
      </c>
      <c r="M199" s="231">
        <v>2565</v>
      </c>
      <c r="N199" s="231">
        <v>2561.1999999999998</v>
      </c>
      <c r="O199" s="228">
        <v>3.8</v>
      </c>
      <c r="P199" s="229">
        <v>1.5E-3</v>
      </c>
      <c r="Q199" s="231">
        <v>2560.5</v>
      </c>
      <c r="R199" s="231">
        <v>2553.3000000000002</v>
      </c>
      <c r="S199" s="228">
        <v>7.2</v>
      </c>
      <c r="T199" s="229">
        <v>2.8E-3</v>
      </c>
      <c r="U199" s="231">
        <v>2558.5</v>
      </c>
      <c r="V199" s="231">
        <v>2553.6</v>
      </c>
      <c r="W199" s="228">
        <v>4.9000000000000004</v>
      </c>
      <c r="X199" s="229">
        <v>1.9E-3</v>
      </c>
      <c r="Y199" s="228">
        <v>-14.6</v>
      </c>
      <c r="Z199" s="228">
        <v>-20.3</v>
      </c>
      <c r="AA199" s="228">
        <v>5.7</v>
      </c>
      <c r="AB199" s="229">
        <v>-5.7000000000000002E-3</v>
      </c>
      <c r="AC199" s="228">
        <v>-14.6</v>
      </c>
      <c r="AD199" s="228">
        <v>-20.3</v>
      </c>
      <c r="AE199" s="228">
        <v>5.7</v>
      </c>
      <c r="AF199" s="229">
        <v>-5.7000000000000002E-3</v>
      </c>
      <c r="AG199" s="228">
        <v>-19.100000000000001</v>
      </c>
      <c r="AH199" s="228">
        <v>-28.2</v>
      </c>
      <c r="AI199" s="228">
        <v>9.1</v>
      </c>
      <c r="AJ199" s="229">
        <v>-7.4000000000000003E-3</v>
      </c>
      <c r="AK199" s="228">
        <v>-21.1</v>
      </c>
      <c r="AL199" s="228">
        <v>-27.9</v>
      </c>
      <c r="AM199" s="228">
        <v>6.8</v>
      </c>
      <c r="AN199" s="229">
        <v>-8.2000000000000007E-3</v>
      </c>
      <c r="AO199" s="231">
        <v>2565.67</v>
      </c>
      <c r="AP199" s="231">
        <v>2559.71</v>
      </c>
      <c r="AQ199" s="228">
        <v>0</v>
      </c>
      <c r="AR199" s="230">
        <v>3096625</v>
      </c>
      <c r="AS199" s="230">
        <v>2889075</v>
      </c>
      <c r="AT199" s="230">
        <v>207550</v>
      </c>
      <c r="AU199" s="229">
        <v>7.1800000000000003E-2</v>
      </c>
      <c r="AV199" s="230">
        <v>2360400</v>
      </c>
      <c r="AW199" s="230">
        <v>2305450</v>
      </c>
      <c r="AX199" s="230">
        <v>54950</v>
      </c>
      <c r="AY199" s="229">
        <v>2.3800000000000002E-2</v>
      </c>
      <c r="AZ199" s="230">
        <v>629300</v>
      </c>
      <c r="BA199" s="230">
        <v>449575</v>
      </c>
      <c r="BB199" s="230">
        <v>179725</v>
      </c>
      <c r="BC199" s="229">
        <v>0.39979999999999999</v>
      </c>
      <c r="BD199" s="230">
        <v>106925</v>
      </c>
      <c r="BE199" s="230">
        <v>134050</v>
      </c>
      <c r="BF199" s="230">
        <v>-27125</v>
      </c>
      <c r="BG199" s="229">
        <v>-0.20230000000000001</v>
      </c>
      <c r="BH199" s="230">
        <v>16367750</v>
      </c>
      <c r="BI199" s="230">
        <v>16866500</v>
      </c>
      <c r="BJ199" s="230">
        <v>-498750</v>
      </c>
      <c r="BK199" s="229">
        <v>-2.9600000000000001E-2</v>
      </c>
      <c r="BL199" s="230">
        <v>8686650</v>
      </c>
      <c r="BM199" s="230">
        <v>9833250</v>
      </c>
      <c r="BN199" s="230">
        <v>-1146600</v>
      </c>
      <c r="BO199" s="229">
        <v>-0.1166</v>
      </c>
      <c r="BP199" s="230">
        <v>28151025</v>
      </c>
      <c r="BQ199" s="230">
        <v>29588825</v>
      </c>
      <c r="BR199" s="230">
        <v>-1437800</v>
      </c>
      <c r="BS199" s="229">
        <v>-4.8599999999999997E-2</v>
      </c>
      <c r="BT199" s="230">
        <v>2430532</v>
      </c>
      <c r="BU199" s="230">
        <v>2872327</v>
      </c>
      <c r="BV199" s="230">
        <v>-441795</v>
      </c>
      <c r="BW199" s="229">
        <v>-0.15379999999999999</v>
      </c>
      <c r="BX199" s="230">
        <v>35568750</v>
      </c>
      <c r="BY199" s="230">
        <v>35561225</v>
      </c>
      <c r="BZ199" s="230">
        <v>7525</v>
      </c>
      <c r="CA199" s="229">
        <v>2.0000000000000001E-4</v>
      </c>
      <c r="CB199" s="230">
        <v>31798025</v>
      </c>
      <c r="CC199" s="230">
        <v>32095700</v>
      </c>
      <c r="CD199" s="230">
        <v>-297675</v>
      </c>
      <c r="CE199" s="229">
        <v>-9.2999999999999992E-3</v>
      </c>
      <c r="CF199" s="230">
        <v>3123925</v>
      </c>
      <c r="CG199" s="230">
        <v>2845500</v>
      </c>
      <c r="CH199" s="230">
        <v>278425</v>
      </c>
      <c r="CI199" s="229">
        <v>9.7799999999999998E-2</v>
      </c>
      <c r="CJ199" s="230">
        <v>646800</v>
      </c>
      <c r="CK199" s="230">
        <v>620025</v>
      </c>
      <c r="CL199" s="230">
        <v>26775</v>
      </c>
      <c r="CM199" s="229">
        <v>4.3200000000000002E-2</v>
      </c>
      <c r="CN199" s="230">
        <v>17157350</v>
      </c>
      <c r="CO199" s="230">
        <v>18088175</v>
      </c>
      <c r="CP199" s="230">
        <v>-930825</v>
      </c>
      <c r="CQ199" s="229">
        <v>-5.1499999999999997E-2</v>
      </c>
      <c r="CR199" s="230">
        <v>11582725</v>
      </c>
      <c r="CS199" s="230">
        <v>11833675</v>
      </c>
      <c r="CT199" s="230">
        <v>-250950</v>
      </c>
      <c r="CU199" s="229">
        <v>-2.12E-2</v>
      </c>
      <c r="CV199" s="230">
        <v>64308825</v>
      </c>
      <c r="CW199" s="230">
        <v>65483075</v>
      </c>
      <c r="CX199" s="230">
        <v>-1174250</v>
      </c>
      <c r="CY199" s="229">
        <v>-1.7899999999999999E-2</v>
      </c>
      <c r="CZ199" s="228">
        <v>27.81</v>
      </c>
      <c r="DA199" s="228">
        <v>25.09</v>
      </c>
      <c r="DB199" s="228">
        <v>2.72</v>
      </c>
      <c r="DC199" s="228">
        <v>2.72</v>
      </c>
      <c r="DD199" s="228">
        <v>27.25</v>
      </c>
      <c r="DE199" s="228">
        <v>27.32</v>
      </c>
      <c r="DF199" s="228">
        <v>0.56000000000000005</v>
      </c>
      <c r="DG199" s="228">
        <v>-7.0000000000000007E-2</v>
      </c>
      <c r="DH199" s="228">
        <v>26.56</v>
      </c>
      <c r="DI199" s="228">
        <v>24.62</v>
      </c>
      <c r="DJ199" s="228">
        <v>1.94</v>
      </c>
      <c r="DK199" s="228">
        <v>1.94</v>
      </c>
      <c r="DL199" s="228">
        <v>30.14</v>
      </c>
      <c r="DM199" s="228">
        <v>25.89</v>
      </c>
      <c r="DN199" s="228">
        <v>4.25</v>
      </c>
      <c r="DO199" s="228">
        <v>4.25</v>
      </c>
      <c r="DP199" s="228">
        <v>0.68</v>
      </c>
      <c r="DQ199" s="228">
        <v>0.65</v>
      </c>
      <c r="DR199" s="228">
        <v>0.03</v>
      </c>
      <c r="DS199" s="229">
        <v>4.6199999999999998E-2</v>
      </c>
      <c r="DT199" s="231">
        <v>2600</v>
      </c>
      <c r="DU199" s="231">
        <v>2400</v>
      </c>
      <c r="DV199" s="228">
        <v>0.53</v>
      </c>
      <c r="DW199" s="228">
        <v>0.57999999999999996</v>
      </c>
      <c r="DX199" s="228">
        <v>-0.05</v>
      </c>
      <c r="DY199" s="229">
        <v>-8.6199999999999999E-2</v>
      </c>
      <c r="DZ199" s="229">
        <v>0.106</v>
      </c>
      <c r="EA199" s="230">
        <v>3465525</v>
      </c>
      <c r="EB199" s="229">
        <v>-1.8E-3</v>
      </c>
      <c r="EC199" s="229">
        <v>0.106</v>
      </c>
      <c r="ED199" s="228">
        <v>-5.96</v>
      </c>
      <c r="EE199" s="229">
        <v>-2.3E-3</v>
      </c>
      <c r="EF199" s="230">
        <v>1224946</v>
      </c>
      <c r="EG199" s="230">
        <v>1761926</v>
      </c>
      <c r="EH199" s="229">
        <v>-0.30480000000000002</v>
      </c>
      <c r="EI199" s="229">
        <v>0.504</v>
      </c>
      <c r="EJ199" s="231">
        <v>436785.39</v>
      </c>
      <c r="EK199" s="231">
        <v>217583.95</v>
      </c>
      <c r="EL199" s="231">
        <v>79403.33</v>
      </c>
      <c r="EM199" s="231">
        <v>23425</v>
      </c>
      <c r="EN199" s="231">
        <v>733772.67</v>
      </c>
      <c r="EO199" s="231">
        <v>771846.16</v>
      </c>
      <c r="EP199" s="231">
        <v>-38073.49</v>
      </c>
      <c r="EQ199" s="229">
        <v>-4.9299999999999997E-2</v>
      </c>
      <c r="ER199" s="231">
        <v>455782</v>
      </c>
      <c r="ES199" s="231">
        <v>291363</v>
      </c>
      <c r="ET199" s="231">
        <v>912156</v>
      </c>
      <c r="EU199" s="231">
        <v>153229333</v>
      </c>
      <c r="EV199" s="231">
        <v>1659301</v>
      </c>
      <c r="EW199" s="231">
        <v>1687769</v>
      </c>
      <c r="EX199" s="231">
        <v>-28468</v>
      </c>
      <c r="EY199" s="229">
        <v>-1.6899999999999998E-2</v>
      </c>
      <c r="EZ199" s="229">
        <v>0.41970000000000002</v>
      </c>
      <c r="FA199" s="227" t="s">
        <v>555</v>
      </c>
      <c r="FB199" s="161">
        <f t="shared" si="5"/>
        <v>0</v>
      </c>
    </row>
    <row r="200" spans="1:158" ht="17.25" thickBot="1" x14ac:dyDescent="0.3">
      <c r="A200" s="226">
        <v>46132</v>
      </c>
      <c r="B200" s="227" t="s">
        <v>221</v>
      </c>
      <c r="C200" s="227" t="s">
        <v>296</v>
      </c>
      <c r="D200" s="228">
        <v>600</v>
      </c>
      <c r="E200" s="231">
        <v>1497.7</v>
      </c>
      <c r="F200" s="231">
        <v>1503.1</v>
      </c>
      <c r="G200" s="228">
        <v>-5.4</v>
      </c>
      <c r="H200" s="229">
        <v>-3.5999999999999999E-3</v>
      </c>
      <c r="I200" s="231">
        <v>1504.4</v>
      </c>
      <c r="J200" s="231">
        <v>1511.4</v>
      </c>
      <c r="K200" s="228">
        <v>-7</v>
      </c>
      <c r="L200" s="229">
        <v>-4.5999999999999999E-3</v>
      </c>
      <c r="M200" s="231">
        <v>1497.7</v>
      </c>
      <c r="N200" s="231">
        <v>1503.1</v>
      </c>
      <c r="O200" s="228">
        <v>-5.4</v>
      </c>
      <c r="P200" s="229">
        <v>-3.5999999999999999E-3</v>
      </c>
      <c r="Q200" s="231">
        <v>1494.5</v>
      </c>
      <c r="R200" s="231">
        <v>1497</v>
      </c>
      <c r="S200" s="228">
        <v>-2.5</v>
      </c>
      <c r="T200" s="229">
        <v>-1.6999999999999999E-3</v>
      </c>
      <c r="U200" s="231">
        <v>1500.8</v>
      </c>
      <c r="V200" s="231">
        <v>1498.6</v>
      </c>
      <c r="W200" s="228">
        <v>2.2000000000000002</v>
      </c>
      <c r="X200" s="229">
        <v>1.5E-3</v>
      </c>
      <c r="Y200" s="228">
        <v>-6.7</v>
      </c>
      <c r="Z200" s="228">
        <v>-8.3000000000000007</v>
      </c>
      <c r="AA200" s="228">
        <v>1.6</v>
      </c>
      <c r="AB200" s="229">
        <v>-4.4999999999999997E-3</v>
      </c>
      <c r="AC200" s="228">
        <v>-6.7</v>
      </c>
      <c r="AD200" s="228">
        <v>-8.3000000000000007</v>
      </c>
      <c r="AE200" s="228">
        <v>1.6</v>
      </c>
      <c r="AF200" s="229">
        <v>-4.4999999999999997E-3</v>
      </c>
      <c r="AG200" s="228">
        <v>-9.9</v>
      </c>
      <c r="AH200" s="228">
        <v>-14.4</v>
      </c>
      <c r="AI200" s="228">
        <v>4.5</v>
      </c>
      <c r="AJ200" s="229">
        <v>-6.6E-3</v>
      </c>
      <c r="AK200" s="228">
        <v>-3.6</v>
      </c>
      <c r="AL200" s="228">
        <v>-12.8</v>
      </c>
      <c r="AM200" s="228">
        <v>9.1999999999999993</v>
      </c>
      <c r="AN200" s="229">
        <v>-2.3999999999999998E-3</v>
      </c>
      <c r="AO200" s="231">
        <v>1506.04</v>
      </c>
      <c r="AP200" s="231">
        <v>1501.98</v>
      </c>
      <c r="AQ200" s="228">
        <v>0</v>
      </c>
      <c r="AR200" s="230">
        <v>3321600</v>
      </c>
      <c r="AS200" s="230">
        <v>2550000</v>
      </c>
      <c r="AT200" s="230">
        <v>771600</v>
      </c>
      <c r="AU200" s="229">
        <v>0.30259999999999998</v>
      </c>
      <c r="AV200" s="230">
        <v>3020400</v>
      </c>
      <c r="AW200" s="230">
        <v>2167800</v>
      </c>
      <c r="AX200" s="230">
        <v>852600</v>
      </c>
      <c r="AY200" s="229">
        <v>0.39329999999999998</v>
      </c>
      <c r="AZ200" s="230">
        <v>278400</v>
      </c>
      <c r="BA200" s="230">
        <v>358800</v>
      </c>
      <c r="BB200" s="230">
        <v>-80400</v>
      </c>
      <c r="BC200" s="229">
        <v>-0.22409999999999999</v>
      </c>
      <c r="BD200" s="230">
        <v>22800</v>
      </c>
      <c r="BE200" s="230">
        <v>23400</v>
      </c>
      <c r="BF200" s="228">
        <v>-600</v>
      </c>
      <c r="BG200" s="229">
        <v>-2.5600000000000001E-2</v>
      </c>
      <c r="BH200" s="230">
        <v>8658600</v>
      </c>
      <c r="BI200" s="230">
        <v>11515200</v>
      </c>
      <c r="BJ200" s="230">
        <v>-2856600</v>
      </c>
      <c r="BK200" s="229">
        <v>-0.24809999999999999</v>
      </c>
      <c r="BL200" s="230">
        <v>6589800</v>
      </c>
      <c r="BM200" s="230">
        <v>5315400</v>
      </c>
      <c r="BN200" s="230">
        <v>1274400</v>
      </c>
      <c r="BO200" s="229">
        <v>0.23980000000000001</v>
      </c>
      <c r="BP200" s="230">
        <v>18570000</v>
      </c>
      <c r="BQ200" s="230">
        <v>19380600</v>
      </c>
      <c r="BR200" s="230">
        <v>-810600</v>
      </c>
      <c r="BS200" s="229">
        <v>-4.1799999999999997E-2</v>
      </c>
      <c r="BT200" s="230">
        <v>1387756</v>
      </c>
      <c r="BU200" s="230">
        <v>1891487</v>
      </c>
      <c r="BV200" s="230">
        <v>-503731</v>
      </c>
      <c r="BW200" s="229">
        <v>-0.26629999999999998</v>
      </c>
      <c r="BX200" s="230">
        <v>18578400</v>
      </c>
      <c r="BY200" s="230">
        <v>18625200</v>
      </c>
      <c r="BZ200" s="230">
        <v>-46800</v>
      </c>
      <c r="CA200" s="229">
        <v>-2.5000000000000001E-3</v>
      </c>
      <c r="CB200" s="230">
        <v>17670600</v>
      </c>
      <c r="CC200" s="230">
        <v>17795400</v>
      </c>
      <c r="CD200" s="230">
        <v>-124800</v>
      </c>
      <c r="CE200" s="229">
        <v>-7.0000000000000001E-3</v>
      </c>
      <c r="CF200" s="230">
        <v>813600</v>
      </c>
      <c r="CG200" s="230">
        <v>733200</v>
      </c>
      <c r="CH200" s="230">
        <v>80400</v>
      </c>
      <c r="CI200" s="229">
        <v>0.10970000000000001</v>
      </c>
      <c r="CJ200" s="230">
        <v>94200</v>
      </c>
      <c r="CK200" s="230">
        <v>96600</v>
      </c>
      <c r="CL200" s="230">
        <v>-2400</v>
      </c>
      <c r="CM200" s="229">
        <v>-2.4799999999999999E-2</v>
      </c>
      <c r="CN200" s="230">
        <v>4807200</v>
      </c>
      <c r="CO200" s="230">
        <v>4977000</v>
      </c>
      <c r="CP200" s="230">
        <v>-169800</v>
      </c>
      <c r="CQ200" s="229">
        <v>-3.4099999999999998E-2</v>
      </c>
      <c r="CR200" s="230">
        <v>3909600</v>
      </c>
      <c r="CS200" s="230">
        <v>4185600</v>
      </c>
      <c r="CT200" s="230">
        <v>-276000</v>
      </c>
      <c r="CU200" s="229">
        <v>-6.59E-2</v>
      </c>
      <c r="CV200" s="230">
        <v>27295200</v>
      </c>
      <c r="CW200" s="230">
        <v>27787800</v>
      </c>
      <c r="CX200" s="230">
        <v>-492600</v>
      </c>
      <c r="CY200" s="229">
        <v>-1.77E-2</v>
      </c>
      <c r="CZ200" s="228">
        <v>40.1</v>
      </c>
      <c r="DA200" s="228">
        <v>34.130000000000003</v>
      </c>
      <c r="DB200" s="228">
        <v>5.97</v>
      </c>
      <c r="DC200" s="228">
        <v>5.97</v>
      </c>
      <c r="DD200" s="228">
        <v>31.23</v>
      </c>
      <c r="DE200" s="228">
        <v>31.3</v>
      </c>
      <c r="DF200" s="228">
        <v>8.8699999999999992</v>
      </c>
      <c r="DG200" s="228">
        <v>-7.0000000000000007E-2</v>
      </c>
      <c r="DH200" s="228">
        <v>39.4</v>
      </c>
      <c r="DI200" s="228">
        <v>33.24</v>
      </c>
      <c r="DJ200" s="228">
        <v>6.16</v>
      </c>
      <c r="DK200" s="228">
        <v>6.16</v>
      </c>
      <c r="DL200" s="228">
        <v>41.02</v>
      </c>
      <c r="DM200" s="228">
        <v>36.06</v>
      </c>
      <c r="DN200" s="228">
        <v>4.96</v>
      </c>
      <c r="DO200" s="228">
        <v>4.96</v>
      </c>
      <c r="DP200" s="228">
        <v>0.81</v>
      </c>
      <c r="DQ200" s="228">
        <v>0.84</v>
      </c>
      <c r="DR200" s="228">
        <v>-0.03</v>
      </c>
      <c r="DS200" s="229">
        <v>-3.5700000000000003E-2</v>
      </c>
      <c r="DT200" s="231">
        <v>1500</v>
      </c>
      <c r="DU200" s="231">
        <v>1400</v>
      </c>
      <c r="DV200" s="228">
        <v>0.76</v>
      </c>
      <c r="DW200" s="228">
        <v>0.46</v>
      </c>
      <c r="DX200" s="228">
        <v>0.3</v>
      </c>
      <c r="DY200" s="229">
        <v>0.6522</v>
      </c>
      <c r="DZ200" s="229">
        <v>4.8899999999999999E-2</v>
      </c>
      <c r="EA200" s="230">
        <v>829800</v>
      </c>
      <c r="EB200" s="229">
        <v>-2.0999999999999999E-3</v>
      </c>
      <c r="EC200" s="229">
        <v>4.8899999999999999E-2</v>
      </c>
      <c r="ED200" s="228">
        <v>-4.0599999999999996</v>
      </c>
      <c r="EE200" s="229">
        <v>-2.7000000000000001E-3</v>
      </c>
      <c r="EF200" s="230">
        <v>600156</v>
      </c>
      <c r="EG200" s="230">
        <v>959857</v>
      </c>
      <c r="EH200" s="229">
        <v>-0.37469999999999998</v>
      </c>
      <c r="EI200" s="229">
        <v>0.4325</v>
      </c>
      <c r="EJ200" s="231">
        <v>135353.69</v>
      </c>
      <c r="EK200" s="231">
        <v>98067.21</v>
      </c>
      <c r="EL200" s="231">
        <v>50012.53</v>
      </c>
      <c r="EM200" s="231">
        <v>3560</v>
      </c>
      <c r="EN200" s="231">
        <v>283433.43</v>
      </c>
      <c r="EO200" s="231">
        <v>296447.53999999998</v>
      </c>
      <c r="EP200" s="231">
        <v>-13014.11</v>
      </c>
      <c r="EQ200" s="229">
        <v>-4.3900000000000002E-2</v>
      </c>
      <c r="ER200" s="231">
        <v>72613</v>
      </c>
      <c r="ES200" s="231">
        <v>55414</v>
      </c>
      <c r="ET200" s="231">
        <v>278226</v>
      </c>
      <c r="EU200" s="231">
        <v>95553300</v>
      </c>
      <c r="EV200" s="231">
        <v>406253</v>
      </c>
      <c r="EW200" s="231">
        <v>413785</v>
      </c>
      <c r="EX200" s="231">
        <v>-7532</v>
      </c>
      <c r="EY200" s="229">
        <v>-1.8200000000000001E-2</v>
      </c>
      <c r="EZ200" s="229">
        <v>0.28570000000000001</v>
      </c>
      <c r="FA200" s="227" t="s">
        <v>567</v>
      </c>
      <c r="FB200" s="161">
        <f t="shared" si="5"/>
        <v>0</v>
      </c>
    </row>
    <row r="201" spans="1:158" ht="17.25" thickBot="1" x14ac:dyDescent="0.3">
      <c r="A201" s="226">
        <v>46132</v>
      </c>
      <c r="B201" s="227" t="s">
        <v>184</v>
      </c>
      <c r="C201" s="227" t="s">
        <v>594</v>
      </c>
      <c r="D201" s="228">
        <v>200</v>
      </c>
      <c r="E201" s="231">
        <v>2873.4</v>
      </c>
      <c r="F201" s="231">
        <v>2798.1</v>
      </c>
      <c r="G201" s="228">
        <v>75.3</v>
      </c>
      <c r="H201" s="229">
        <v>2.69E-2</v>
      </c>
      <c r="I201" s="231">
        <v>2873.1</v>
      </c>
      <c r="J201" s="231">
        <v>2790.2</v>
      </c>
      <c r="K201" s="228">
        <v>82.9</v>
      </c>
      <c r="L201" s="229">
        <v>2.9700000000000001E-2</v>
      </c>
      <c r="M201" s="231">
        <v>2873.4</v>
      </c>
      <c r="N201" s="231">
        <v>2798.1</v>
      </c>
      <c r="O201" s="228">
        <v>75.3</v>
      </c>
      <c r="P201" s="229">
        <v>2.69E-2</v>
      </c>
      <c r="Q201" s="231">
        <v>2886</v>
      </c>
      <c r="R201" s="231">
        <v>2812.1</v>
      </c>
      <c r="S201" s="228">
        <v>73.900000000000006</v>
      </c>
      <c r="T201" s="229">
        <v>2.63E-2</v>
      </c>
      <c r="U201" s="231">
        <v>2897.7</v>
      </c>
      <c r="V201" s="231">
        <v>2820</v>
      </c>
      <c r="W201" s="228">
        <v>77.7</v>
      </c>
      <c r="X201" s="229">
        <v>2.76E-2</v>
      </c>
      <c r="Y201" s="228">
        <v>0.3</v>
      </c>
      <c r="Z201" s="228">
        <v>7.9</v>
      </c>
      <c r="AA201" s="228">
        <v>-7.6</v>
      </c>
      <c r="AB201" s="229">
        <v>1E-4</v>
      </c>
      <c r="AC201" s="228">
        <v>0.3</v>
      </c>
      <c r="AD201" s="228">
        <v>7.9</v>
      </c>
      <c r="AE201" s="228">
        <v>-7.6</v>
      </c>
      <c r="AF201" s="229">
        <v>1E-4</v>
      </c>
      <c r="AG201" s="228">
        <v>12.9</v>
      </c>
      <c r="AH201" s="228">
        <v>21.9</v>
      </c>
      <c r="AI201" s="228">
        <v>-9</v>
      </c>
      <c r="AJ201" s="229">
        <v>4.4999999999999997E-3</v>
      </c>
      <c r="AK201" s="228">
        <v>24.6</v>
      </c>
      <c r="AL201" s="228">
        <v>29.8</v>
      </c>
      <c r="AM201" s="228">
        <v>-5.2</v>
      </c>
      <c r="AN201" s="229">
        <v>8.6E-3</v>
      </c>
      <c r="AO201" s="231">
        <v>2857.94</v>
      </c>
      <c r="AP201" s="231">
        <v>2872.09</v>
      </c>
      <c r="AQ201" s="228">
        <v>0</v>
      </c>
      <c r="AR201" s="230">
        <v>525600</v>
      </c>
      <c r="AS201" s="230">
        <v>283600</v>
      </c>
      <c r="AT201" s="230">
        <v>242000</v>
      </c>
      <c r="AU201" s="229">
        <v>0.85329999999999995</v>
      </c>
      <c r="AV201" s="230">
        <v>463200</v>
      </c>
      <c r="AW201" s="230">
        <v>265800</v>
      </c>
      <c r="AX201" s="230">
        <v>197400</v>
      </c>
      <c r="AY201" s="229">
        <v>0.74270000000000003</v>
      </c>
      <c r="AZ201" s="230">
        <v>58800</v>
      </c>
      <c r="BA201" s="230">
        <v>16600</v>
      </c>
      <c r="BB201" s="230">
        <v>42200</v>
      </c>
      <c r="BC201" s="229">
        <v>2.5421999999999998</v>
      </c>
      <c r="BD201" s="230">
        <v>3600</v>
      </c>
      <c r="BE201" s="230">
        <v>1200</v>
      </c>
      <c r="BF201" s="230">
        <v>2400</v>
      </c>
      <c r="BG201" s="229">
        <v>2</v>
      </c>
      <c r="BH201" s="230">
        <v>3117400</v>
      </c>
      <c r="BI201" s="230">
        <v>993800</v>
      </c>
      <c r="BJ201" s="230">
        <v>2123600</v>
      </c>
      <c r="BK201" s="229">
        <v>2.1368</v>
      </c>
      <c r="BL201" s="230">
        <v>609400</v>
      </c>
      <c r="BM201" s="230">
        <v>137600</v>
      </c>
      <c r="BN201" s="230">
        <v>471800</v>
      </c>
      <c r="BO201" s="229">
        <v>3.4287999999999998</v>
      </c>
      <c r="BP201" s="230">
        <v>4252400</v>
      </c>
      <c r="BQ201" s="230">
        <v>1415000</v>
      </c>
      <c r="BR201" s="230">
        <v>2837400</v>
      </c>
      <c r="BS201" s="229">
        <v>2.0051999999999999</v>
      </c>
      <c r="BT201" s="230">
        <v>728037</v>
      </c>
      <c r="BU201" s="230">
        <v>280557</v>
      </c>
      <c r="BV201" s="230">
        <v>447480</v>
      </c>
      <c r="BW201" s="229">
        <v>1.595</v>
      </c>
      <c r="BX201" s="230">
        <v>2642200</v>
      </c>
      <c r="BY201" s="230">
        <v>2653600</v>
      </c>
      <c r="BZ201" s="230">
        <v>-11400</v>
      </c>
      <c r="CA201" s="229">
        <v>-4.3E-3</v>
      </c>
      <c r="CB201" s="230">
        <v>2575400</v>
      </c>
      <c r="CC201" s="230">
        <v>2614000</v>
      </c>
      <c r="CD201" s="230">
        <v>-38600</v>
      </c>
      <c r="CE201" s="229">
        <v>-1.4800000000000001E-2</v>
      </c>
      <c r="CF201" s="230">
        <v>60800</v>
      </c>
      <c r="CG201" s="230">
        <v>34800</v>
      </c>
      <c r="CH201" s="230">
        <v>26000</v>
      </c>
      <c r="CI201" s="229">
        <v>0.74709999999999999</v>
      </c>
      <c r="CJ201" s="230">
        <v>6000</v>
      </c>
      <c r="CK201" s="230">
        <v>4800</v>
      </c>
      <c r="CL201" s="230">
        <v>1200</v>
      </c>
      <c r="CM201" s="229">
        <v>0.25</v>
      </c>
      <c r="CN201" s="230">
        <v>730800</v>
      </c>
      <c r="CO201" s="230">
        <v>552600</v>
      </c>
      <c r="CP201" s="230">
        <v>178200</v>
      </c>
      <c r="CQ201" s="229">
        <v>0.32250000000000001</v>
      </c>
      <c r="CR201" s="230">
        <v>349600</v>
      </c>
      <c r="CS201" s="230">
        <v>240600</v>
      </c>
      <c r="CT201" s="230">
        <v>109000</v>
      </c>
      <c r="CU201" s="229">
        <v>0.45300000000000001</v>
      </c>
      <c r="CV201" s="230">
        <v>3722600</v>
      </c>
      <c r="CW201" s="230">
        <v>3446800</v>
      </c>
      <c r="CX201" s="230">
        <v>275800</v>
      </c>
      <c r="CY201" s="229">
        <v>0.08</v>
      </c>
      <c r="CZ201" s="228">
        <v>40.06</v>
      </c>
      <c r="DA201" s="228">
        <v>33.369999999999997</v>
      </c>
      <c r="DB201" s="228">
        <v>6.69</v>
      </c>
      <c r="DC201" s="228">
        <v>6.69</v>
      </c>
      <c r="DD201" s="228">
        <v>44.12</v>
      </c>
      <c r="DE201" s="228">
        <v>44.09</v>
      </c>
      <c r="DF201" s="228">
        <v>-4.0599999999999996</v>
      </c>
      <c r="DG201" s="228">
        <v>0.03</v>
      </c>
      <c r="DH201" s="228">
        <v>39</v>
      </c>
      <c r="DI201" s="228">
        <v>32.65</v>
      </c>
      <c r="DJ201" s="228">
        <v>6.35</v>
      </c>
      <c r="DK201" s="228">
        <v>6.35</v>
      </c>
      <c r="DL201" s="228">
        <v>45.49</v>
      </c>
      <c r="DM201" s="228">
        <v>38.6</v>
      </c>
      <c r="DN201" s="228">
        <v>6.89</v>
      </c>
      <c r="DO201" s="228">
        <v>6.89</v>
      </c>
      <c r="DP201" s="228">
        <v>0.48</v>
      </c>
      <c r="DQ201" s="228">
        <v>0.44</v>
      </c>
      <c r="DR201" s="228">
        <v>0.04</v>
      </c>
      <c r="DS201" s="229">
        <v>9.0899999999999995E-2</v>
      </c>
      <c r="DT201" s="231">
        <v>3000</v>
      </c>
      <c r="DU201" s="231">
        <v>2500</v>
      </c>
      <c r="DV201" s="228">
        <v>0.2</v>
      </c>
      <c r="DW201" s="228">
        <v>0.14000000000000001</v>
      </c>
      <c r="DX201" s="228">
        <v>0.06</v>
      </c>
      <c r="DY201" s="229">
        <v>0.42859999999999998</v>
      </c>
      <c r="DZ201" s="229">
        <v>2.53E-2</v>
      </c>
      <c r="EA201" s="230">
        <v>39600</v>
      </c>
      <c r="EB201" s="229">
        <v>4.4000000000000003E-3</v>
      </c>
      <c r="EC201" s="229">
        <v>2.53E-2</v>
      </c>
      <c r="ED201" s="228">
        <v>14.15</v>
      </c>
      <c r="EE201" s="229">
        <v>5.0000000000000001E-3</v>
      </c>
      <c r="EF201" s="230">
        <v>438736</v>
      </c>
      <c r="EG201" s="230">
        <v>150360</v>
      </c>
      <c r="EH201" s="229">
        <v>1.9178999999999999</v>
      </c>
      <c r="EI201" s="229">
        <v>0.60260000000000002</v>
      </c>
      <c r="EJ201" s="231">
        <v>92447.81</v>
      </c>
      <c r="EK201" s="231">
        <v>16717.21</v>
      </c>
      <c r="EL201" s="231">
        <v>15030.64</v>
      </c>
      <c r="EM201" s="231">
        <v>1313</v>
      </c>
      <c r="EN201" s="231">
        <v>124195.66</v>
      </c>
      <c r="EO201" s="231">
        <v>40624.74</v>
      </c>
      <c r="EP201" s="231">
        <v>83570.92</v>
      </c>
      <c r="EQ201" s="229">
        <v>2.0571000000000002</v>
      </c>
      <c r="ER201" s="231">
        <v>21009</v>
      </c>
      <c r="ES201" s="231">
        <v>9209</v>
      </c>
      <c r="ET201" s="231">
        <v>75930</v>
      </c>
      <c r="EU201" s="231">
        <v>16239060</v>
      </c>
      <c r="EV201" s="231">
        <v>106148</v>
      </c>
      <c r="EW201" s="231">
        <v>96134</v>
      </c>
      <c r="EX201" s="231">
        <v>10014</v>
      </c>
      <c r="EY201" s="229">
        <v>0.1042</v>
      </c>
      <c r="EZ201" s="229">
        <v>0.22919999999999999</v>
      </c>
      <c r="FA201" s="227" t="s">
        <v>693</v>
      </c>
      <c r="FB201" s="161">
        <f t="shared" si="5"/>
        <v>0</v>
      </c>
    </row>
    <row r="202" spans="1:158" ht="17.25" thickBot="1" x14ac:dyDescent="0.3">
      <c r="A202" s="226">
        <v>46132</v>
      </c>
      <c r="B202" s="227" t="s">
        <v>168</v>
      </c>
      <c r="C202" s="227" t="s">
        <v>297</v>
      </c>
      <c r="D202" s="228">
        <v>175</v>
      </c>
      <c r="E202" s="231">
        <v>4510.2</v>
      </c>
      <c r="F202" s="231">
        <v>4525</v>
      </c>
      <c r="G202" s="228">
        <v>-14.8</v>
      </c>
      <c r="H202" s="229">
        <v>-3.3E-3</v>
      </c>
      <c r="I202" s="231">
        <v>4513</v>
      </c>
      <c r="J202" s="231">
        <v>4525.8999999999996</v>
      </c>
      <c r="K202" s="228">
        <v>-12.9</v>
      </c>
      <c r="L202" s="229">
        <v>-2.8999999999999998E-3</v>
      </c>
      <c r="M202" s="231">
        <v>4510.2</v>
      </c>
      <c r="N202" s="231">
        <v>4525</v>
      </c>
      <c r="O202" s="228">
        <v>-14.8</v>
      </c>
      <c r="P202" s="229">
        <v>-3.3E-3</v>
      </c>
      <c r="Q202" s="231">
        <v>4530.6000000000004</v>
      </c>
      <c r="R202" s="231">
        <v>4548.3999999999996</v>
      </c>
      <c r="S202" s="228">
        <v>-17.8</v>
      </c>
      <c r="T202" s="229">
        <v>-3.8999999999999998E-3</v>
      </c>
      <c r="U202" s="231">
        <v>4558.2</v>
      </c>
      <c r="V202" s="231">
        <v>4572.3</v>
      </c>
      <c r="W202" s="228">
        <v>-14.1</v>
      </c>
      <c r="X202" s="229">
        <v>-3.0999999999999999E-3</v>
      </c>
      <c r="Y202" s="228">
        <v>-2.8</v>
      </c>
      <c r="Z202" s="228">
        <v>-0.9</v>
      </c>
      <c r="AA202" s="228">
        <v>-1.9</v>
      </c>
      <c r="AB202" s="229">
        <v>-5.9999999999999995E-4</v>
      </c>
      <c r="AC202" s="228">
        <v>-2.8</v>
      </c>
      <c r="AD202" s="228">
        <v>-0.9</v>
      </c>
      <c r="AE202" s="228">
        <v>-1.9</v>
      </c>
      <c r="AF202" s="229">
        <v>-5.9999999999999995E-4</v>
      </c>
      <c r="AG202" s="228">
        <v>17.600000000000001</v>
      </c>
      <c r="AH202" s="228">
        <v>22.5</v>
      </c>
      <c r="AI202" s="228">
        <v>-4.9000000000000004</v>
      </c>
      <c r="AJ202" s="229">
        <v>3.8999999999999998E-3</v>
      </c>
      <c r="AK202" s="228">
        <v>45.2</v>
      </c>
      <c r="AL202" s="228">
        <v>46.4</v>
      </c>
      <c r="AM202" s="228">
        <v>-1.2</v>
      </c>
      <c r="AN202" s="229">
        <v>0.01</v>
      </c>
      <c r="AO202" s="231">
        <v>4502.18</v>
      </c>
      <c r="AP202" s="231">
        <v>4525.8599999999997</v>
      </c>
      <c r="AQ202" s="228">
        <v>0</v>
      </c>
      <c r="AR202" s="230">
        <v>953575</v>
      </c>
      <c r="AS202" s="230">
        <v>3196375</v>
      </c>
      <c r="AT202" s="230">
        <v>-2242800</v>
      </c>
      <c r="AU202" s="229">
        <v>-0.70169999999999999</v>
      </c>
      <c r="AV202" s="230">
        <v>818825</v>
      </c>
      <c r="AW202" s="230">
        <v>2883475</v>
      </c>
      <c r="AX202" s="230">
        <v>-2064650</v>
      </c>
      <c r="AY202" s="229">
        <v>-0.71599999999999997</v>
      </c>
      <c r="AZ202" s="230">
        <v>122150</v>
      </c>
      <c r="BA202" s="230">
        <v>283500</v>
      </c>
      <c r="BB202" s="230">
        <v>-161350</v>
      </c>
      <c r="BC202" s="229">
        <v>-0.56910000000000005</v>
      </c>
      <c r="BD202" s="230">
        <v>12600</v>
      </c>
      <c r="BE202" s="230">
        <v>29400</v>
      </c>
      <c r="BF202" s="230">
        <v>-16800</v>
      </c>
      <c r="BG202" s="229">
        <v>-0.57140000000000002</v>
      </c>
      <c r="BH202" s="230">
        <v>3952550</v>
      </c>
      <c r="BI202" s="230">
        <v>13395375</v>
      </c>
      <c r="BJ202" s="230">
        <v>-9442825</v>
      </c>
      <c r="BK202" s="229">
        <v>-0.70489999999999997</v>
      </c>
      <c r="BL202" s="230">
        <v>3036250</v>
      </c>
      <c r="BM202" s="230">
        <v>12422725</v>
      </c>
      <c r="BN202" s="230">
        <v>-9386475</v>
      </c>
      <c r="BO202" s="229">
        <v>-0.75560000000000005</v>
      </c>
      <c r="BP202" s="230">
        <v>7942375</v>
      </c>
      <c r="BQ202" s="230">
        <v>29014475</v>
      </c>
      <c r="BR202" s="230">
        <v>-21072100</v>
      </c>
      <c r="BS202" s="229">
        <v>-0.72629999999999995</v>
      </c>
      <c r="BT202" s="230">
        <v>1700257</v>
      </c>
      <c r="BU202" s="230">
        <v>2179897</v>
      </c>
      <c r="BV202" s="230">
        <v>-479640</v>
      </c>
      <c r="BW202" s="229">
        <v>-0.22</v>
      </c>
      <c r="BX202" s="230">
        <v>8856925</v>
      </c>
      <c r="BY202" s="230">
        <v>8976275</v>
      </c>
      <c r="BZ202" s="230">
        <v>-119350</v>
      </c>
      <c r="CA202" s="229">
        <v>-1.3299999999999999E-2</v>
      </c>
      <c r="CB202" s="230">
        <v>7881825</v>
      </c>
      <c r="CC202" s="230">
        <v>8044225</v>
      </c>
      <c r="CD202" s="230">
        <v>-162400</v>
      </c>
      <c r="CE202" s="229">
        <v>-2.0199999999999999E-2</v>
      </c>
      <c r="CF202" s="230">
        <v>688450</v>
      </c>
      <c r="CG202" s="230">
        <v>647675</v>
      </c>
      <c r="CH202" s="230">
        <v>40775</v>
      </c>
      <c r="CI202" s="229">
        <v>6.3E-2</v>
      </c>
      <c r="CJ202" s="230">
        <v>286650</v>
      </c>
      <c r="CK202" s="230">
        <v>284375</v>
      </c>
      <c r="CL202" s="230">
        <v>2275</v>
      </c>
      <c r="CM202" s="229">
        <v>8.0000000000000002E-3</v>
      </c>
      <c r="CN202" s="230">
        <v>3971275</v>
      </c>
      <c r="CO202" s="230">
        <v>3935925</v>
      </c>
      <c r="CP202" s="230">
        <v>35350</v>
      </c>
      <c r="CQ202" s="229">
        <v>8.9999999999999993E-3</v>
      </c>
      <c r="CR202" s="230">
        <v>3152275</v>
      </c>
      <c r="CS202" s="230">
        <v>3203025</v>
      </c>
      <c r="CT202" s="230">
        <v>-50750</v>
      </c>
      <c r="CU202" s="229">
        <v>-1.5800000000000002E-2</v>
      </c>
      <c r="CV202" s="230">
        <v>15980475</v>
      </c>
      <c r="CW202" s="230">
        <v>16115225</v>
      </c>
      <c r="CX202" s="230">
        <v>-134750</v>
      </c>
      <c r="CY202" s="229">
        <v>-8.3999999999999995E-3</v>
      </c>
      <c r="CZ202" s="228">
        <v>27.85</v>
      </c>
      <c r="DA202" s="228">
        <v>26.91</v>
      </c>
      <c r="DB202" s="228">
        <v>0.94</v>
      </c>
      <c r="DC202" s="228">
        <v>0.94</v>
      </c>
      <c r="DD202" s="228">
        <v>27.9</v>
      </c>
      <c r="DE202" s="228">
        <v>27.97</v>
      </c>
      <c r="DF202" s="228">
        <v>-0.05</v>
      </c>
      <c r="DG202" s="228">
        <v>-7.0000000000000007E-2</v>
      </c>
      <c r="DH202" s="228">
        <v>26.42</v>
      </c>
      <c r="DI202" s="228">
        <v>25.28</v>
      </c>
      <c r="DJ202" s="228">
        <v>1.1399999999999999</v>
      </c>
      <c r="DK202" s="228">
        <v>1.1399999999999999</v>
      </c>
      <c r="DL202" s="228">
        <v>29.72</v>
      </c>
      <c r="DM202" s="228">
        <v>28.65</v>
      </c>
      <c r="DN202" s="228">
        <v>1.07</v>
      </c>
      <c r="DO202" s="228">
        <v>1.07</v>
      </c>
      <c r="DP202" s="228">
        <v>0.79</v>
      </c>
      <c r="DQ202" s="228">
        <v>0.81</v>
      </c>
      <c r="DR202" s="228">
        <v>-0.02</v>
      </c>
      <c r="DS202" s="229">
        <v>-2.47E-2</v>
      </c>
      <c r="DT202" s="231">
        <v>4500</v>
      </c>
      <c r="DU202" s="231">
        <v>4200</v>
      </c>
      <c r="DV202" s="228">
        <v>0.77</v>
      </c>
      <c r="DW202" s="228">
        <v>0.93</v>
      </c>
      <c r="DX202" s="228">
        <v>-0.16</v>
      </c>
      <c r="DY202" s="229">
        <v>-0.17199999999999999</v>
      </c>
      <c r="DZ202" s="229">
        <v>0.1101</v>
      </c>
      <c r="EA202" s="230">
        <v>932050</v>
      </c>
      <c r="EB202" s="229">
        <v>4.4999999999999997E-3</v>
      </c>
      <c r="EC202" s="229">
        <v>0.1101</v>
      </c>
      <c r="ED202" s="228">
        <v>23.68</v>
      </c>
      <c r="EE202" s="229">
        <v>5.3E-3</v>
      </c>
      <c r="EF202" s="230">
        <v>1051581</v>
      </c>
      <c r="EG202" s="230">
        <v>1016476</v>
      </c>
      <c r="EH202" s="229">
        <v>3.4500000000000003E-2</v>
      </c>
      <c r="EI202" s="229">
        <v>0.61850000000000005</v>
      </c>
      <c r="EJ202" s="231">
        <v>182625.16</v>
      </c>
      <c r="EK202" s="231">
        <v>134646.57999999999</v>
      </c>
      <c r="EL202" s="231">
        <v>42967.11</v>
      </c>
      <c r="EM202" s="231">
        <v>9333</v>
      </c>
      <c r="EN202" s="231">
        <v>360238.85</v>
      </c>
      <c r="EO202" s="231">
        <v>1300790.97</v>
      </c>
      <c r="EP202" s="231">
        <v>-940552.12</v>
      </c>
      <c r="EQ202" s="229">
        <v>-0.72309999999999997</v>
      </c>
      <c r="ER202" s="231">
        <v>176248</v>
      </c>
      <c r="ES202" s="231">
        <v>131588</v>
      </c>
      <c r="ET202" s="231">
        <v>399743</v>
      </c>
      <c r="EU202" s="231">
        <v>41744334</v>
      </c>
      <c r="EV202" s="231">
        <v>707579</v>
      </c>
      <c r="EW202" s="231">
        <v>714695</v>
      </c>
      <c r="EX202" s="231">
        <v>-7116</v>
      </c>
      <c r="EY202" s="229">
        <v>-0.01</v>
      </c>
      <c r="EZ202" s="229">
        <v>0.38279999999999997</v>
      </c>
      <c r="FA202" s="227" t="s">
        <v>567</v>
      </c>
      <c r="FB202" s="161">
        <f t="shared" si="5"/>
        <v>0</v>
      </c>
    </row>
    <row r="203" spans="1:158" ht="17.25" thickBot="1" x14ac:dyDescent="0.3">
      <c r="A203" s="226">
        <v>46132</v>
      </c>
      <c r="B203" s="227" t="s">
        <v>162</v>
      </c>
      <c r="C203" s="227" t="s">
        <v>687</v>
      </c>
      <c r="D203" s="228">
        <v>800</v>
      </c>
      <c r="E203" s="228">
        <v>354.55</v>
      </c>
      <c r="F203" s="228">
        <v>360.25</v>
      </c>
      <c r="G203" s="228">
        <v>-5.7</v>
      </c>
      <c r="H203" s="229">
        <v>-1.5800000000000002E-2</v>
      </c>
      <c r="I203" s="228">
        <v>355.7</v>
      </c>
      <c r="J203" s="228">
        <v>360.1</v>
      </c>
      <c r="K203" s="228">
        <v>-4.4000000000000004</v>
      </c>
      <c r="L203" s="229">
        <v>-1.2200000000000001E-2</v>
      </c>
      <c r="M203" s="228">
        <v>354.55</v>
      </c>
      <c r="N203" s="228">
        <v>360.25</v>
      </c>
      <c r="O203" s="228">
        <v>-5.7</v>
      </c>
      <c r="P203" s="229">
        <v>-1.5800000000000002E-2</v>
      </c>
      <c r="Q203" s="228">
        <v>356.3</v>
      </c>
      <c r="R203" s="228">
        <v>362.25</v>
      </c>
      <c r="S203" s="228">
        <v>-5.95</v>
      </c>
      <c r="T203" s="229">
        <v>-1.6400000000000001E-2</v>
      </c>
      <c r="U203" s="228">
        <v>356.95</v>
      </c>
      <c r="V203" s="228">
        <v>362.3</v>
      </c>
      <c r="W203" s="228">
        <v>-5.35</v>
      </c>
      <c r="X203" s="229">
        <v>-1.4800000000000001E-2</v>
      </c>
      <c r="Y203" s="228">
        <v>-1.1499999999999999</v>
      </c>
      <c r="Z203" s="228">
        <v>0.15</v>
      </c>
      <c r="AA203" s="228">
        <v>-1.3</v>
      </c>
      <c r="AB203" s="229">
        <v>-3.2000000000000002E-3</v>
      </c>
      <c r="AC203" s="228">
        <v>-1.1499999999999999</v>
      </c>
      <c r="AD203" s="228">
        <v>0.15</v>
      </c>
      <c r="AE203" s="228">
        <v>-1.3</v>
      </c>
      <c r="AF203" s="229">
        <v>-3.2000000000000002E-3</v>
      </c>
      <c r="AG203" s="228">
        <v>0.6</v>
      </c>
      <c r="AH203" s="228">
        <v>2.15</v>
      </c>
      <c r="AI203" s="228">
        <v>-1.55</v>
      </c>
      <c r="AJ203" s="229">
        <v>1.6999999999999999E-3</v>
      </c>
      <c r="AK203" s="228">
        <v>1.25</v>
      </c>
      <c r="AL203" s="228">
        <v>2.2000000000000002</v>
      </c>
      <c r="AM203" s="228">
        <v>-0.95</v>
      </c>
      <c r="AN203" s="229">
        <v>3.5000000000000001E-3</v>
      </c>
      <c r="AO203" s="228">
        <v>355.81</v>
      </c>
      <c r="AP203" s="228">
        <v>357.72</v>
      </c>
      <c r="AQ203" s="228">
        <v>0</v>
      </c>
      <c r="AR203" s="230">
        <v>10136000</v>
      </c>
      <c r="AS203" s="230">
        <v>9039200</v>
      </c>
      <c r="AT203" s="230">
        <v>1096800</v>
      </c>
      <c r="AU203" s="229">
        <v>0.12130000000000001</v>
      </c>
      <c r="AV203" s="230">
        <v>7604800</v>
      </c>
      <c r="AW203" s="230">
        <v>6779200</v>
      </c>
      <c r="AX203" s="230">
        <v>825600</v>
      </c>
      <c r="AY203" s="229">
        <v>0.12180000000000001</v>
      </c>
      <c r="AZ203" s="230">
        <v>2143200</v>
      </c>
      <c r="BA203" s="230">
        <v>1875200</v>
      </c>
      <c r="BB203" s="230">
        <v>268000</v>
      </c>
      <c r="BC203" s="229">
        <v>0.1429</v>
      </c>
      <c r="BD203" s="230">
        <v>388000</v>
      </c>
      <c r="BE203" s="230">
        <v>384800</v>
      </c>
      <c r="BF203" s="230">
        <v>3200</v>
      </c>
      <c r="BG203" s="229">
        <v>8.3000000000000001E-3</v>
      </c>
      <c r="BH203" s="230">
        <v>39248000</v>
      </c>
      <c r="BI203" s="230">
        <v>34878400</v>
      </c>
      <c r="BJ203" s="230">
        <v>4369600</v>
      </c>
      <c r="BK203" s="229">
        <v>0.12529999999999999</v>
      </c>
      <c r="BL203" s="230">
        <v>28531200</v>
      </c>
      <c r="BM203" s="230">
        <v>24172800</v>
      </c>
      <c r="BN203" s="230">
        <v>4358400</v>
      </c>
      <c r="BO203" s="229">
        <v>0.18029999999999999</v>
      </c>
      <c r="BP203" s="230">
        <v>77915200</v>
      </c>
      <c r="BQ203" s="230">
        <v>68090400</v>
      </c>
      <c r="BR203" s="230">
        <v>9824800</v>
      </c>
      <c r="BS203" s="229">
        <v>0.14430000000000001</v>
      </c>
      <c r="BT203" s="230">
        <v>7216605</v>
      </c>
      <c r="BU203" s="230">
        <v>7314044</v>
      </c>
      <c r="BV203" s="230">
        <v>-97439</v>
      </c>
      <c r="BW203" s="229">
        <v>-1.3299999999999999E-2</v>
      </c>
      <c r="BX203" s="230">
        <v>59936000</v>
      </c>
      <c r="BY203" s="230">
        <v>58587200</v>
      </c>
      <c r="BZ203" s="230">
        <v>1348800</v>
      </c>
      <c r="CA203" s="229">
        <v>2.3E-2</v>
      </c>
      <c r="CB203" s="230">
        <v>51692000</v>
      </c>
      <c r="CC203" s="230">
        <v>51525600</v>
      </c>
      <c r="CD203" s="230">
        <v>166400</v>
      </c>
      <c r="CE203" s="229">
        <v>3.2000000000000002E-3</v>
      </c>
      <c r="CF203" s="230">
        <v>6944000</v>
      </c>
      <c r="CG203" s="230">
        <v>5952800</v>
      </c>
      <c r="CH203" s="230">
        <v>991200</v>
      </c>
      <c r="CI203" s="229">
        <v>0.16650000000000001</v>
      </c>
      <c r="CJ203" s="230">
        <v>1300000</v>
      </c>
      <c r="CK203" s="230">
        <v>1108800</v>
      </c>
      <c r="CL203" s="230">
        <v>191200</v>
      </c>
      <c r="CM203" s="229">
        <v>0.1724</v>
      </c>
      <c r="CN203" s="230">
        <v>36602400</v>
      </c>
      <c r="CO203" s="230">
        <v>35904000</v>
      </c>
      <c r="CP203" s="230">
        <v>698400</v>
      </c>
      <c r="CQ203" s="229">
        <v>1.95E-2</v>
      </c>
      <c r="CR203" s="230">
        <v>29020800</v>
      </c>
      <c r="CS203" s="230">
        <v>28884800</v>
      </c>
      <c r="CT203" s="230">
        <v>136000</v>
      </c>
      <c r="CU203" s="229">
        <v>4.7000000000000002E-3</v>
      </c>
      <c r="CV203" s="230">
        <v>125559200</v>
      </c>
      <c r="CW203" s="230">
        <v>123376000</v>
      </c>
      <c r="CX203" s="230">
        <v>2183200</v>
      </c>
      <c r="CY203" s="229">
        <v>1.77E-2</v>
      </c>
      <c r="CZ203" s="228">
        <v>36.729999999999997</v>
      </c>
      <c r="DA203" s="228">
        <v>32.04</v>
      </c>
      <c r="DB203" s="228">
        <v>4.6900000000000004</v>
      </c>
      <c r="DC203" s="228">
        <v>4.6900000000000004</v>
      </c>
      <c r="DD203" s="228">
        <v>38.25</v>
      </c>
      <c r="DE203" s="228">
        <v>38.28</v>
      </c>
      <c r="DF203" s="228">
        <v>-1.52</v>
      </c>
      <c r="DG203" s="228">
        <v>-0.03</v>
      </c>
      <c r="DH203" s="228">
        <v>34.68</v>
      </c>
      <c r="DI203" s="228">
        <v>29.73</v>
      </c>
      <c r="DJ203" s="228">
        <v>4.95</v>
      </c>
      <c r="DK203" s="228">
        <v>4.95</v>
      </c>
      <c r="DL203" s="228">
        <v>39.56</v>
      </c>
      <c r="DM203" s="228">
        <v>35.380000000000003</v>
      </c>
      <c r="DN203" s="228">
        <v>4.18</v>
      </c>
      <c r="DO203" s="228">
        <v>4.18</v>
      </c>
      <c r="DP203" s="228">
        <v>0.79</v>
      </c>
      <c r="DQ203" s="228">
        <v>0.8</v>
      </c>
      <c r="DR203" s="228">
        <v>-0.01</v>
      </c>
      <c r="DS203" s="229">
        <v>-1.2500000000000001E-2</v>
      </c>
      <c r="DT203" s="228">
        <v>360</v>
      </c>
      <c r="DU203" s="228">
        <v>300</v>
      </c>
      <c r="DV203" s="228">
        <v>0.73</v>
      </c>
      <c r="DW203" s="228">
        <v>0.69</v>
      </c>
      <c r="DX203" s="228">
        <v>0.04</v>
      </c>
      <c r="DY203" s="229">
        <v>5.8000000000000003E-2</v>
      </c>
      <c r="DZ203" s="229">
        <v>0.13750000000000001</v>
      </c>
      <c r="EA203" s="230">
        <v>7061600</v>
      </c>
      <c r="EB203" s="229">
        <v>4.8999999999999998E-3</v>
      </c>
      <c r="EC203" s="229">
        <v>0.13750000000000001</v>
      </c>
      <c r="ED203" s="228">
        <v>1.91</v>
      </c>
      <c r="EE203" s="229">
        <v>5.4000000000000003E-3</v>
      </c>
      <c r="EF203" s="230">
        <v>2738658</v>
      </c>
      <c r="EG203" s="230">
        <v>3384834</v>
      </c>
      <c r="EH203" s="229">
        <v>-0.19089999999999999</v>
      </c>
      <c r="EI203" s="229">
        <v>0.3795</v>
      </c>
      <c r="EJ203" s="231">
        <v>146492.82999999999</v>
      </c>
      <c r="EK203" s="231">
        <v>99537.31</v>
      </c>
      <c r="EL203" s="231">
        <v>36113.01</v>
      </c>
      <c r="EM203" s="231">
        <v>14688</v>
      </c>
      <c r="EN203" s="231">
        <v>282143.15000000002</v>
      </c>
      <c r="EO203" s="231">
        <v>248037.73</v>
      </c>
      <c r="EP203" s="231">
        <v>34105.42</v>
      </c>
      <c r="EQ203" s="229">
        <v>0.13750000000000001</v>
      </c>
      <c r="ER203" s="231">
        <v>130714</v>
      </c>
      <c r="ES203" s="231">
        <v>96577</v>
      </c>
      <c r="ET203" s="231">
        <v>212656</v>
      </c>
      <c r="EU203" s="231">
        <v>317244234</v>
      </c>
      <c r="EV203" s="231">
        <v>439946</v>
      </c>
      <c r="EW203" s="231">
        <v>434927</v>
      </c>
      <c r="EX203" s="231">
        <v>5019</v>
      </c>
      <c r="EY203" s="229">
        <v>1.15E-2</v>
      </c>
      <c r="EZ203" s="229">
        <v>0.39579999999999999</v>
      </c>
      <c r="FA203" s="227" t="s">
        <v>566</v>
      </c>
      <c r="FB203" s="161">
        <f t="shared" si="5"/>
        <v>0</v>
      </c>
    </row>
    <row r="204" spans="1:158" ht="17.25" thickBot="1" x14ac:dyDescent="0.3">
      <c r="A204" s="226">
        <v>46132</v>
      </c>
      <c r="B204" s="227" t="s">
        <v>170</v>
      </c>
      <c r="C204" s="227" t="s">
        <v>298</v>
      </c>
      <c r="D204" s="228">
        <v>250</v>
      </c>
      <c r="E204" s="231">
        <v>4175.2</v>
      </c>
      <c r="F204" s="231">
        <v>4174.8</v>
      </c>
      <c r="G204" s="228">
        <v>0.4</v>
      </c>
      <c r="H204" s="229">
        <v>1E-4</v>
      </c>
      <c r="I204" s="231">
        <v>4191.2</v>
      </c>
      <c r="J204" s="231">
        <v>4179.5</v>
      </c>
      <c r="K204" s="228">
        <v>11.7</v>
      </c>
      <c r="L204" s="229">
        <v>2.8E-3</v>
      </c>
      <c r="M204" s="231">
        <v>4175.2</v>
      </c>
      <c r="N204" s="231">
        <v>4174.8</v>
      </c>
      <c r="O204" s="228">
        <v>0.4</v>
      </c>
      <c r="P204" s="229">
        <v>1E-4</v>
      </c>
      <c r="Q204" s="231">
        <v>4176.2</v>
      </c>
      <c r="R204" s="231">
        <v>4172.2</v>
      </c>
      <c r="S204" s="228">
        <v>4</v>
      </c>
      <c r="T204" s="229">
        <v>1E-3</v>
      </c>
      <c r="U204" s="231">
        <v>4159.2</v>
      </c>
      <c r="V204" s="231">
        <v>4158.2</v>
      </c>
      <c r="W204" s="228">
        <v>1</v>
      </c>
      <c r="X204" s="229">
        <v>2.0000000000000001E-4</v>
      </c>
      <c r="Y204" s="228">
        <v>-16</v>
      </c>
      <c r="Z204" s="228">
        <v>-4.7</v>
      </c>
      <c r="AA204" s="228">
        <v>-11.3</v>
      </c>
      <c r="AB204" s="229">
        <v>-3.8E-3</v>
      </c>
      <c r="AC204" s="228">
        <v>-16</v>
      </c>
      <c r="AD204" s="228">
        <v>-4.7</v>
      </c>
      <c r="AE204" s="228">
        <v>-11.3</v>
      </c>
      <c r="AF204" s="229">
        <v>-3.8E-3</v>
      </c>
      <c r="AG204" s="228">
        <v>-15</v>
      </c>
      <c r="AH204" s="228">
        <v>-7.3</v>
      </c>
      <c r="AI204" s="228">
        <v>-7.7</v>
      </c>
      <c r="AJ204" s="229">
        <v>-3.5999999999999999E-3</v>
      </c>
      <c r="AK204" s="228">
        <v>-32</v>
      </c>
      <c r="AL204" s="228">
        <v>-21.3</v>
      </c>
      <c r="AM204" s="228">
        <v>-10.7</v>
      </c>
      <c r="AN204" s="229">
        <v>-7.6E-3</v>
      </c>
      <c r="AO204" s="231">
        <v>4171.63</v>
      </c>
      <c r="AP204" s="231">
        <v>4169.1899999999996</v>
      </c>
      <c r="AQ204" s="228">
        <v>0</v>
      </c>
      <c r="AR204" s="230">
        <v>541250</v>
      </c>
      <c r="AS204" s="230">
        <v>252000</v>
      </c>
      <c r="AT204" s="230">
        <v>289250</v>
      </c>
      <c r="AU204" s="229">
        <v>1.1477999999999999</v>
      </c>
      <c r="AV204" s="230">
        <v>414250</v>
      </c>
      <c r="AW204" s="230">
        <v>241750</v>
      </c>
      <c r="AX204" s="230">
        <v>172500</v>
      </c>
      <c r="AY204" s="229">
        <v>0.71350000000000002</v>
      </c>
      <c r="AZ204" s="230">
        <v>126500</v>
      </c>
      <c r="BA204" s="230">
        <v>10250</v>
      </c>
      <c r="BB204" s="230">
        <v>116250</v>
      </c>
      <c r="BC204" s="229">
        <v>11.3415</v>
      </c>
      <c r="BD204" s="228">
        <v>500</v>
      </c>
      <c r="BE204" s="228">
        <v>0</v>
      </c>
      <c r="BF204" s="228">
        <v>500</v>
      </c>
      <c r="BG204" s="229">
        <v>0</v>
      </c>
      <c r="BH204" s="230">
        <v>585250</v>
      </c>
      <c r="BI204" s="230">
        <v>701000</v>
      </c>
      <c r="BJ204" s="230">
        <v>-115750</v>
      </c>
      <c r="BK204" s="229">
        <v>-0.1651</v>
      </c>
      <c r="BL204" s="230">
        <v>412000</v>
      </c>
      <c r="BM204" s="230">
        <v>327250</v>
      </c>
      <c r="BN204" s="230">
        <v>84750</v>
      </c>
      <c r="BO204" s="229">
        <v>0.25900000000000001</v>
      </c>
      <c r="BP204" s="230">
        <v>1538500</v>
      </c>
      <c r="BQ204" s="230">
        <v>1280250</v>
      </c>
      <c r="BR204" s="230">
        <v>258250</v>
      </c>
      <c r="BS204" s="229">
        <v>0.20169999999999999</v>
      </c>
      <c r="BT204" s="230">
        <v>300180</v>
      </c>
      <c r="BU204" s="230">
        <v>320703</v>
      </c>
      <c r="BV204" s="230">
        <v>-20523</v>
      </c>
      <c r="BW204" s="229">
        <v>-6.4000000000000001E-2</v>
      </c>
      <c r="BX204" s="230">
        <v>3252750</v>
      </c>
      <c r="BY204" s="230">
        <v>3181500</v>
      </c>
      <c r="BZ204" s="230">
        <v>71250</v>
      </c>
      <c r="CA204" s="229">
        <v>2.24E-2</v>
      </c>
      <c r="CB204" s="230">
        <v>3100500</v>
      </c>
      <c r="CC204" s="230">
        <v>3129750</v>
      </c>
      <c r="CD204" s="230">
        <v>-29250</v>
      </c>
      <c r="CE204" s="229">
        <v>-9.2999999999999992E-3</v>
      </c>
      <c r="CF204" s="230">
        <v>148000</v>
      </c>
      <c r="CG204" s="230">
        <v>47750</v>
      </c>
      <c r="CH204" s="230">
        <v>100250</v>
      </c>
      <c r="CI204" s="229">
        <v>2.0994999999999999</v>
      </c>
      <c r="CJ204" s="230">
        <v>4250</v>
      </c>
      <c r="CK204" s="230">
        <v>4000</v>
      </c>
      <c r="CL204" s="228">
        <v>250</v>
      </c>
      <c r="CM204" s="229">
        <v>6.25E-2</v>
      </c>
      <c r="CN204" s="230">
        <v>648750</v>
      </c>
      <c r="CO204" s="230">
        <v>668750</v>
      </c>
      <c r="CP204" s="230">
        <v>-20000</v>
      </c>
      <c r="CQ204" s="229">
        <v>-2.9899999999999999E-2</v>
      </c>
      <c r="CR204" s="230">
        <v>458750</v>
      </c>
      <c r="CS204" s="230">
        <v>469750</v>
      </c>
      <c r="CT204" s="230">
        <v>-11000</v>
      </c>
      <c r="CU204" s="229">
        <v>-2.3400000000000001E-2</v>
      </c>
      <c r="CV204" s="230">
        <v>4360250</v>
      </c>
      <c r="CW204" s="230">
        <v>4320000</v>
      </c>
      <c r="CX204" s="230">
        <v>40250</v>
      </c>
      <c r="CY204" s="229">
        <v>9.2999999999999992E-3</v>
      </c>
      <c r="CZ204" s="228">
        <v>28.24</v>
      </c>
      <c r="DA204" s="228">
        <v>26.24</v>
      </c>
      <c r="DB204" s="228">
        <v>2</v>
      </c>
      <c r="DC204" s="228">
        <v>2</v>
      </c>
      <c r="DD204" s="228">
        <v>25.37</v>
      </c>
      <c r="DE204" s="228">
        <v>25.43</v>
      </c>
      <c r="DF204" s="228">
        <v>2.87</v>
      </c>
      <c r="DG204" s="228">
        <v>-0.06</v>
      </c>
      <c r="DH204" s="228">
        <v>25.41</v>
      </c>
      <c r="DI204" s="228">
        <v>23.88</v>
      </c>
      <c r="DJ204" s="228">
        <v>1.53</v>
      </c>
      <c r="DK204" s="228">
        <v>1.53</v>
      </c>
      <c r="DL204" s="228">
        <v>32.270000000000003</v>
      </c>
      <c r="DM204" s="228">
        <v>31.28</v>
      </c>
      <c r="DN204" s="228">
        <v>0.99</v>
      </c>
      <c r="DO204" s="228">
        <v>0.99</v>
      </c>
      <c r="DP204" s="228">
        <v>0.71</v>
      </c>
      <c r="DQ204" s="228">
        <v>0.7</v>
      </c>
      <c r="DR204" s="228">
        <v>0.01</v>
      </c>
      <c r="DS204" s="229">
        <v>1.43E-2</v>
      </c>
      <c r="DT204" s="231">
        <v>4300</v>
      </c>
      <c r="DU204" s="231">
        <v>4100</v>
      </c>
      <c r="DV204" s="228">
        <v>0.7</v>
      </c>
      <c r="DW204" s="228">
        <v>0.47</v>
      </c>
      <c r="DX204" s="228">
        <v>0.23</v>
      </c>
      <c r="DY204" s="229">
        <v>0.4894</v>
      </c>
      <c r="DZ204" s="229">
        <v>4.6800000000000001E-2</v>
      </c>
      <c r="EA204" s="230">
        <v>51750</v>
      </c>
      <c r="EB204" s="229">
        <v>2.0000000000000001E-4</v>
      </c>
      <c r="EC204" s="229">
        <v>4.6800000000000001E-2</v>
      </c>
      <c r="ED204" s="228">
        <v>-2.44</v>
      </c>
      <c r="EE204" s="229">
        <v>-5.9999999999999995E-4</v>
      </c>
      <c r="EF204" s="230">
        <v>176220</v>
      </c>
      <c r="EG204" s="230">
        <v>180252</v>
      </c>
      <c r="EH204" s="229">
        <v>-2.24E-2</v>
      </c>
      <c r="EI204" s="229">
        <v>0.58699999999999997</v>
      </c>
      <c r="EJ204" s="231">
        <v>25292.26</v>
      </c>
      <c r="EK204" s="231">
        <v>15481.59</v>
      </c>
      <c r="EL204" s="231">
        <v>22575.79</v>
      </c>
      <c r="EM204" s="231">
        <v>1821</v>
      </c>
      <c r="EN204" s="231">
        <v>63349.64</v>
      </c>
      <c r="EO204" s="231">
        <v>53552.26</v>
      </c>
      <c r="EP204" s="231">
        <v>9797.3799999999992</v>
      </c>
      <c r="EQ204" s="229">
        <v>0.18290000000000001</v>
      </c>
      <c r="ER204" s="231">
        <v>27757</v>
      </c>
      <c r="ES204" s="231">
        <v>18457</v>
      </c>
      <c r="ET204" s="231">
        <v>135810</v>
      </c>
      <c r="EU204" s="231">
        <v>10726004</v>
      </c>
      <c r="EV204" s="231">
        <v>182024</v>
      </c>
      <c r="EW204" s="231">
        <v>180413</v>
      </c>
      <c r="EX204" s="231">
        <v>1611</v>
      </c>
      <c r="EY204" s="229">
        <v>8.8999999999999999E-3</v>
      </c>
      <c r="EZ204" s="229">
        <v>0.40649999999999997</v>
      </c>
      <c r="FA204" s="227" t="s">
        <v>555</v>
      </c>
      <c r="FB204" s="161">
        <f t="shared" si="5"/>
        <v>0</v>
      </c>
    </row>
    <row r="205" spans="1:158" ht="17.25" thickBot="1" x14ac:dyDescent="0.3">
      <c r="A205" s="226">
        <v>46132</v>
      </c>
      <c r="B205" s="227" t="s">
        <v>161</v>
      </c>
      <c r="C205" s="227" t="s">
        <v>299</v>
      </c>
      <c r="D205" s="228">
        <v>425</v>
      </c>
      <c r="E205" s="231">
        <v>1609</v>
      </c>
      <c r="F205" s="231">
        <v>1564.8</v>
      </c>
      <c r="G205" s="228">
        <v>44.2</v>
      </c>
      <c r="H205" s="229">
        <v>2.8199999999999999E-2</v>
      </c>
      <c r="I205" s="231">
        <v>1606.3</v>
      </c>
      <c r="J205" s="231">
        <v>1565</v>
      </c>
      <c r="K205" s="228">
        <v>41.3</v>
      </c>
      <c r="L205" s="229">
        <v>2.64E-2</v>
      </c>
      <c r="M205" s="231">
        <v>1609</v>
      </c>
      <c r="N205" s="231">
        <v>1564.8</v>
      </c>
      <c r="O205" s="228">
        <v>44.2</v>
      </c>
      <c r="P205" s="229">
        <v>2.8199999999999999E-2</v>
      </c>
      <c r="Q205" s="228">
        <v>0</v>
      </c>
      <c r="R205" s="228">
        <v>0</v>
      </c>
      <c r="S205" s="228">
        <v>0</v>
      </c>
      <c r="T205" s="229">
        <v>0</v>
      </c>
      <c r="U205" s="228">
        <v>0</v>
      </c>
      <c r="V205" s="228">
        <v>0</v>
      </c>
      <c r="W205" s="228">
        <v>0</v>
      </c>
      <c r="X205" s="229">
        <v>0</v>
      </c>
      <c r="Y205" s="228">
        <v>2.7</v>
      </c>
      <c r="Z205" s="228">
        <v>-0.2</v>
      </c>
      <c r="AA205" s="228">
        <v>2.9</v>
      </c>
      <c r="AB205" s="229">
        <v>1.6999999999999999E-3</v>
      </c>
      <c r="AC205" s="228">
        <v>2.7</v>
      </c>
      <c r="AD205" s="228">
        <v>-0.2</v>
      </c>
      <c r="AE205" s="228">
        <v>2.9</v>
      </c>
      <c r="AF205" s="229">
        <v>1.6999999999999999E-3</v>
      </c>
      <c r="AG205" s="228">
        <v>0</v>
      </c>
      <c r="AH205" s="228">
        <v>0</v>
      </c>
      <c r="AI205" s="228">
        <v>0</v>
      </c>
      <c r="AJ205" s="229">
        <v>0</v>
      </c>
      <c r="AK205" s="228">
        <v>0</v>
      </c>
      <c r="AL205" s="228">
        <v>0</v>
      </c>
      <c r="AM205" s="228">
        <v>0</v>
      </c>
      <c r="AN205" s="229">
        <v>0</v>
      </c>
      <c r="AO205" s="231">
        <v>1615.93</v>
      </c>
      <c r="AP205" s="228">
        <v>0</v>
      </c>
      <c r="AQ205" s="228">
        <v>0</v>
      </c>
      <c r="AR205" s="230">
        <v>1197650</v>
      </c>
      <c r="AS205" s="230">
        <v>565250</v>
      </c>
      <c r="AT205" s="230">
        <v>632400</v>
      </c>
      <c r="AU205" s="229">
        <v>1.1188</v>
      </c>
      <c r="AV205" s="230">
        <v>1197650</v>
      </c>
      <c r="AW205" s="230">
        <v>565250</v>
      </c>
      <c r="AX205" s="230">
        <v>632400</v>
      </c>
      <c r="AY205" s="229">
        <v>1.1188</v>
      </c>
      <c r="AZ205" s="228">
        <v>0</v>
      </c>
      <c r="BA205" s="228">
        <v>0</v>
      </c>
      <c r="BB205" s="228">
        <v>0</v>
      </c>
      <c r="BC205" s="229">
        <v>0</v>
      </c>
      <c r="BD205" s="228">
        <v>0</v>
      </c>
      <c r="BE205" s="228">
        <v>0</v>
      </c>
      <c r="BF205" s="228">
        <v>0</v>
      </c>
      <c r="BG205" s="229">
        <v>0</v>
      </c>
      <c r="BH205" s="230">
        <v>12500950</v>
      </c>
      <c r="BI205" s="230">
        <v>1843225</v>
      </c>
      <c r="BJ205" s="230">
        <v>10657725</v>
      </c>
      <c r="BK205" s="229">
        <v>5.7820999999999998</v>
      </c>
      <c r="BL205" s="230">
        <v>4529225</v>
      </c>
      <c r="BM205" s="230">
        <v>515950</v>
      </c>
      <c r="BN205" s="230">
        <v>4013275</v>
      </c>
      <c r="BO205" s="229">
        <v>7.7784000000000004</v>
      </c>
      <c r="BP205" s="230">
        <v>18227825</v>
      </c>
      <c r="BQ205" s="230">
        <v>2924425</v>
      </c>
      <c r="BR205" s="230">
        <v>15303400</v>
      </c>
      <c r="BS205" s="229">
        <v>5.2329999999999997</v>
      </c>
      <c r="BT205" s="230">
        <v>1516945</v>
      </c>
      <c r="BU205" s="230">
        <v>1005164</v>
      </c>
      <c r="BV205" s="230">
        <v>511781</v>
      </c>
      <c r="BW205" s="229">
        <v>0.50919999999999999</v>
      </c>
      <c r="BX205" s="230">
        <v>3134375</v>
      </c>
      <c r="BY205" s="230">
        <v>3147975</v>
      </c>
      <c r="BZ205" s="230">
        <v>-13600</v>
      </c>
      <c r="CA205" s="229">
        <v>-4.3E-3</v>
      </c>
      <c r="CB205" s="230">
        <v>3134375</v>
      </c>
      <c r="CC205" s="230">
        <v>3147975</v>
      </c>
      <c r="CD205" s="230">
        <v>-13600</v>
      </c>
      <c r="CE205" s="229">
        <v>-4.3E-3</v>
      </c>
      <c r="CF205" s="228">
        <v>0</v>
      </c>
      <c r="CG205" s="228">
        <v>0</v>
      </c>
      <c r="CH205" s="228">
        <v>0</v>
      </c>
      <c r="CI205" s="229">
        <v>0</v>
      </c>
      <c r="CJ205" s="228">
        <v>0</v>
      </c>
      <c r="CK205" s="228">
        <v>0</v>
      </c>
      <c r="CL205" s="228">
        <v>0</v>
      </c>
      <c r="CM205" s="229">
        <v>0</v>
      </c>
      <c r="CN205" s="230">
        <v>1770125</v>
      </c>
      <c r="CO205" s="230">
        <v>1126675</v>
      </c>
      <c r="CP205" s="230">
        <v>643450</v>
      </c>
      <c r="CQ205" s="229">
        <v>0.57110000000000005</v>
      </c>
      <c r="CR205" s="230">
        <v>1367650</v>
      </c>
      <c r="CS205" s="230">
        <v>819400</v>
      </c>
      <c r="CT205" s="230">
        <v>548250</v>
      </c>
      <c r="CU205" s="229">
        <v>0.66910000000000003</v>
      </c>
      <c r="CV205" s="230">
        <v>6272150</v>
      </c>
      <c r="CW205" s="230">
        <v>5094050</v>
      </c>
      <c r="CX205" s="230">
        <v>1178100</v>
      </c>
      <c r="CY205" s="229">
        <v>0.23130000000000001</v>
      </c>
      <c r="CZ205" s="228">
        <v>36.81</v>
      </c>
      <c r="DA205" s="228">
        <v>28.71</v>
      </c>
      <c r="DB205" s="228">
        <v>8.1</v>
      </c>
      <c r="DC205" s="228">
        <v>8.1</v>
      </c>
      <c r="DD205" s="228">
        <v>41.76</v>
      </c>
      <c r="DE205" s="228">
        <v>41.7</v>
      </c>
      <c r="DF205" s="228">
        <v>-4.95</v>
      </c>
      <c r="DG205" s="228">
        <v>0.06</v>
      </c>
      <c r="DH205" s="228">
        <v>35.72</v>
      </c>
      <c r="DI205" s="228">
        <v>27.2</v>
      </c>
      <c r="DJ205" s="228">
        <v>8.52</v>
      </c>
      <c r="DK205" s="228">
        <v>8.52</v>
      </c>
      <c r="DL205" s="228">
        <v>39.79</v>
      </c>
      <c r="DM205" s="228">
        <v>34.1</v>
      </c>
      <c r="DN205" s="228">
        <v>5.69</v>
      </c>
      <c r="DO205" s="228">
        <v>5.69</v>
      </c>
      <c r="DP205" s="228">
        <v>0.77</v>
      </c>
      <c r="DQ205" s="228">
        <v>0.73</v>
      </c>
      <c r="DR205" s="228">
        <v>0.04</v>
      </c>
      <c r="DS205" s="229">
        <v>5.4800000000000001E-2</v>
      </c>
      <c r="DT205" s="231">
        <v>1700</v>
      </c>
      <c r="DU205" s="231">
        <v>1550</v>
      </c>
      <c r="DV205" s="228">
        <v>0.36</v>
      </c>
      <c r="DW205" s="228">
        <v>0.28000000000000003</v>
      </c>
      <c r="DX205" s="228">
        <v>0.08</v>
      </c>
      <c r="DY205" s="229">
        <v>0.28570000000000001</v>
      </c>
      <c r="DZ205" s="229">
        <v>0</v>
      </c>
      <c r="EA205" s="228">
        <v>0</v>
      </c>
      <c r="EB205" s="229">
        <v>0</v>
      </c>
      <c r="EC205" s="229">
        <v>0</v>
      </c>
      <c r="ED205" s="228">
        <v>0</v>
      </c>
      <c r="EE205" s="229">
        <v>0</v>
      </c>
      <c r="EF205" s="230">
        <v>554292</v>
      </c>
      <c r="EG205" s="230">
        <v>637263</v>
      </c>
      <c r="EH205" s="229">
        <v>-0.13020000000000001</v>
      </c>
      <c r="EI205" s="229">
        <v>0.3654</v>
      </c>
      <c r="EJ205" s="231">
        <v>209282.53</v>
      </c>
      <c r="EK205" s="231">
        <v>68981.649999999994</v>
      </c>
      <c r="EL205" s="231">
        <v>19353.16</v>
      </c>
      <c r="EM205" s="231">
        <v>1243</v>
      </c>
      <c r="EN205" s="231">
        <v>297617.34000000003</v>
      </c>
      <c r="EO205" s="231">
        <v>45987.1</v>
      </c>
      <c r="EP205" s="231">
        <v>251630.24</v>
      </c>
      <c r="EQ205" s="229">
        <v>5.4718</v>
      </c>
      <c r="ER205" s="231">
        <v>28259</v>
      </c>
      <c r="ES205" s="231">
        <v>19826</v>
      </c>
      <c r="ET205" s="231">
        <v>50432</v>
      </c>
      <c r="EU205" s="231">
        <v>24646022</v>
      </c>
      <c r="EV205" s="231">
        <v>98517</v>
      </c>
      <c r="EW205" s="231">
        <v>77827</v>
      </c>
      <c r="EX205" s="231">
        <v>20690</v>
      </c>
      <c r="EY205" s="229">
        <v>0.26579999999999998</v>
      </c>
      <c r="EZ205" s="229">
        <v>0.2545</v>
      </c>
      <c r="FA205" s="227" t="s">
        <v>693</v>
      </c>
      <c r="FB205" s="161">
        <f t="shared" si="5"/>
        <v>0</v>
      </c>
    </row>
    <row r="206" spans="1:158" ht="17.25" thickBot="1" x14ac:dyDescent="0.3">
      <c r="A206" s="226">
        <v>46132</v>
      </c>
      <c r="B206" s="227" t="s">
        <v>197</v>
      </c>
      <c r="C206" s="227" t="s">
        <v>482</v>
      </c>
      <c r="D206" s="228">
        <v>100</v>
      </c>
      <c r="E206" s="231">
        <v>4238</v>
      </c>
      <c r="F206" s="231">
        <v>4108.3999999999996</v>
      </c>
      <c r="G206" s="228">
        <v>129.6</v>
      </c>
      <c r="H206" s="229">
        <v>3.15E-2</v>
      </c>
      <c r="I206" s="231">
        <v>4242.8</v>
      </c>
      <c r="J206" s="231">
        <v>4107.7</v>
      </c>
      <c r="K206" s="228">
        <v>135.1</v>
      </c>
      <c r="L206" s="229">
        <v>3.2899999999999999E-2</v>
      </c>
      <c r="M206" s="231">
        <v>4238</v>
      </c>
      <c r="N206" s="231">
        <v>4108.3999999999996</v>
      </c>
      <c r="O206" s="228">
        <v>129.6</v>
      </c>
      <c r="P206" s="229">
        <v>3.15E-2</v>
      </c>
      <c r="Q206" s="231">
        <v>4238.7</v>
      </c>
      <c r="R206" s="231">
        <v>4114.6000000000004</v>
      </c>
      <c r="S206" s="228">
        <v>124.1</v>
      </c>
      <c r="T206" s="229">
        <v>3.0200000000000001E-2</v>
      </c>
      <c r="U206" s="231">
        <v>4246.3</v>
      </c>
      <c r="V206" s="231">
        <v>4129</v>
      </c>
      <c r="W206" s="228">
        <v>117.3</v>
      </c>
      <c r="X206" s="229">
        <v>2.8400000000000002E-2</v>
      </c>
      <c r="Y206" s="228">
        <v>-4.8</v>
      </c>
      <c r="Z206" s="228">
        <v>0.7</v>
      </c>
      <c r="AA206" s="228">
        <v>-5.5</v>
      </c>
      <c r="AB206" s="229">
        <v>-1.1000000000000001E-3</v>
      </c>
      <c r="AC206" s="228">
        <v>-4.8</v>
      </c>
      <c r="AD206" s="228">
        <v>0.7</v>
      </c>
      <c r="AE206" s="228">
        <v>-5.5</v>
      </c>
      <c r="AF206" s="229">
        <v>-1.1000000000000001E-3</v>
      </c>
      <c r="AG206" s="228">
        <v>-4.0999999999999996</v>
      </c>
      <c r="AH206" s="228">
        <v>6.9</v>
      </c>
      <c r="AI206" s="228">
        <v>-11</v>
      </c>
      <c r="AJ206" s="229">
        <v>-1E-3</v>
      </c>
      <c r="AK206" s="228">
        <v>3.5</v>
      </c>
      <c r="AL206" s="228">
        <v>21.3</v>
      </c>
      <c r="AM206" s="228">
        <v>-17.8</v>
      </c>
      <c r="AN206" s="229">
        <v>8.0000000000000004E-4</v>
      </c>
      <c r="AO206" s="231">
        <v>4216.6400000000003</v>
      </c>
      <c r="AP206" s="231">
        <v>4216.1000000000004</v>
      </c>
      <c r="AQ206" s="228">
        <v>0</v>
      </c>
      <c r="AR206" s="230">
        <v>1868300</v>
      </c>
      <c r="AS206" s="230">
        <v>1114100</v>
      </c>
      <c r="AT206" s="230">
        <v>754200</v>
      </c>
      <c r="AU206" s="229">
        <v>0.67700000000000005</v>
      </c>
      <c r="AV206" s="230">
        <v>1433900</v>
      </c>
      <c r="AW206" s="230">
        <v>924900</v>
      </c>
      <c r="AX206" s="230">
        <v>509000</v>
      </c>
      <c r="AY206" s="229">
        <v>0.55030000000000001</v>
      </c>
      <c r="AZ206" s="230">
        <v>390500</v>
      </c>
      <c r="BA206" s="230">
        <v>171200</v>
      </c>
      <c r="BB206" s="230">
        <v>219300</v>
      </c>
      <c r="BC206" s="229">
        <v>1.2809999999999999</v>
      </c>
      <c r="BD206" s="230">
        <v>43900</v>
      </c>
      <c r="BE206" s="230">
        <v>18000</v>
      </c>
      <c r="BF206" s="230">
        <v>25900</v>
      </c>
      <c r="BG206" s="229">
        <v>1.4389000000000001</v>
      </c>
      <c r="BH206" s="230">
        <v>17059100</v>
      </c>
      <c r="BI206" s="230">
        <v>6474400</v>
      </c>
      <c r="BJ206" s="230">
        <v>10584700</v>
      </c>
      <c r="BK206" s="229">
        <v>1.6349</v>
      </c>
      <c r="BL206" s="230">
        <v>6428400</v>
      </c>
      <c r="BM206" s="230">
        <v>3097800</v>
      </c>
      <c r="BN206" s="230">
        <v>3330600</v>
      </c>
      <c r="BO206" s="229">
        <v>1.0751999999999999</v>
      </c>
      <c r="BP206" s="230">
        <v>25355800</v>
      </c>
      <c r="BQ206" s="230">
        <v>10686300</v>
      </c>
      <c r="BR206" s="230">
        <v>14669500</v>
      </c>
      <c r="BS206" s="229">
        <v>1.3727</v>
      </c>
      <c r="BT206" s="230">
        <v>2319854</v>
      </c>
      <c r="BU206" s="230">
        <v>1305505</v>
      </c>
      <c r="BV206" s="230">
        <v>1014349</v>
      </c>
      <c r="BW206" s="229">
        <v>0.77700000000000002</v>
      </c>
      <c r="BX206" s="230">
        <v>8094400</v>
      </c>
      <c r="BY206" s="230">
        <v>8166200</v>
      </c>
      <c r="BZ206" s="230">
        <v>-71800</v>
      </c>
      <c r="CA206" s="229">
        <v>-8.8000000000000005E-3</v>
      </c>
      <c r="CB206" s="230">
        <v>6818100</v>
      </c>
      <c r="CC206" s="230">
        <v>7003100</v>
      </c>
      <c r="CD206" s="230">
        <v>-185000</v>
      </c>
      <c r="CE206" s="229">
        <v>-2.64E-2</v>
      </c>
      <c r="CF206" s="230">
        <v>1203300</v>
      </c>
      <c r="CG206" s="230">
        <v>1103800</v>
      </c>
      <c r="CH206" s="230">
        <v>99500</v>
      </c>
      <c r="CI206" s="229">
        <v>9.01E-2</v>
      </c>
      <c r="CJ206" s="230">
        <v>73000</v>
      </c>
      <c r="CK206" s="230">
        <v>59300</v>
      </c>
      <c r="CL206" s="230">
        <v>13700</v>
      </c>
      <c r="CM206" s="229">
        <v>0.23100000000000001</v>
      </c>
      <c r="CN206" s="230">
        <v>3336200</v>
      </c>
      <c r="CO206" s="230">
        <v>2923600</v>
      </c>
      <c r="CP206" s="230">
        <v>412600</v>
      </c>
      <c r="CQ206" s="229">
        <v>0.1411</v>
      </c>
      <c r="CR206" s="230">
        <v>2816800</v>
      </c>
      <c r="CS206" s="230">
        <v>2511000</v>
      </c>
      <c r="CT206" s="230">
        <v>305800</v>
      </c>
      <c r="CU206" s="229">
        <v>0.12180000000000001</v>
      </c>
      <c r="CV206" s="230">
        <v>14247400</v>
      </c>
      <c r="CW206" s="230">
        <v>13600800</v>
      </c>
      <c r="CX206" s="230">
        <v>646600</v>
      </c>
      <c r="CY206" s="229">
        <v>4.7500000000000001E-2</v>
      </c>
      <c r="CZ206" s="228">
        <v>47.88</v>
      </c>
      <c r="DA206" s="228">
        <v>36.22</v>
      </c>
      <c r="DB206" s="228">
        <v>11.66</v>
      </c>
      <c r="DC206" s="228">
        <v>11.66</v>
      </c>
      <c r="DD206" s="228">
        <v>44.23</v>
      </c>
      <c r="DE206" s="228">
        <v>44.13</v>
      </c>
      <c r="DF206" s="228">
        <v>3.65</v>
      </c>
      <c r="DG206" s="228">
        <v>0.1</v>
      </c>
      <c r="DH206" s="228">
        <v>46.88</v>
      </c>
      <c r="DI206" s="228">
        <v>34.97</v>
      </c>
      <c r="DJ206" s="228">
        <v>11.91</v>
      </c>
      <c r="DK206" s="228">
        <v>11.91</v>
      </c>
      <c r="DL206" s="228">
        <v>50.53</v>
      </c>
      <c r="DM206" s="228">
        <v>38.83</v>
      </c>
      <c r="DN206" s="228">
        <v>11.7</v>
      </c>
      <c r="DO206" s="228">
        <v>11.7</v>
      </c>
      <c r="DP206" s="228">
        <v>0.84</v>
      </c>
      <c r="DQ206" s="228">
        <v>0.86</v>
      </c>
      <c r="DR206" s="228">
        <v>-0.02</v>
      </c>
      <c r="DS206" s="229">
        <v>-2.3300000000000001E-2</v>
      </c>
      <c r="DT206" s="231">
        <v>4500</v>
      </c>
      <c r="DU206" s="231">
        <v>3800</v>
      </c>
      <c r="DV206" s="228">
        <v>0.38</v>
      </c>
      <c r="DW206" s="228">
        <v>0.48</v>
      </c>
      <c r="DX206" s="228">
        <v>-0.1</v>
      </c>
      <c r="DY206" s="229">
        <v>-0.20830000000000001</v>
      </c>
      <c r="DZ206" s="229">
        <v>0.15770000000000001</v>
      </c>
      <c r="EA206" s="230">
        <v>1163100</v>
      </c>
      <c r="EB206" s="229">
        <v>2.0000000000000001E-4</v>
      </c>
      <c r="EC206" s="229">
        <v>0.15770000000000001</v>
      </c>
      <c r="ED206" s="228">
        <v>-0.54</v>
      </c>
      <c r="EE206" s="229">
        <v>-1E-4</v>
      </c>
      <c r="EF206" s="230">
        <v>599009</v>
      </c>
      <c r="EG206" s="230">
        <v>460417</v>
      </c>
      <c r="EH206" s="229">
        <v>0.30099999999999999</v>
      </c>
      <c r="EI206" s="229">
        <v>0.25819999999999999</v>
      </c>
      <c r="EJ206" s="231">
        <v>752705.44</v>
      </c>
      <c r="EK206" s="231">
        <v>263449.02</v>
      </c>
      <c r="EL206" s="231">
        <v>78780.05</v>
      </c>
      <c r="EM206" s="231">
        <v>10331</v>
      </c>
      <c r="EN206" s="231">
        <v>1094934.51</v>
      </c>
      <c r="EO206" s="231">
        <v>448484.59</v>
      </c>
      <c r="EP206" s="231">
        <v>646449.92000000004</v>
      </c>
      <c r="EQ206" s="229">
        <v>1.4414</v>
      </c>
      <c r="ER206" s="231">
        <v>136852</v>
      </c>
      <c r="ES206" s="231">
        <v>106895</v>
      </c>
      <c r="ET206" s="231">
        <v>343055</v>
      </c>
      <c r="EU206" s="231">
        <v>33590487</v>
      </c>
      <c r="EV206" s="231">
        <v>586802</v>
      </c>
      <c r="EW206" s="231">
        <v>546892</v>
      </c>
      <c r="EX206" s="231">
        <v>39910</v>
      </c>
      <c r="EY206" s="229">
        <v>7.2999999999999995E-2</v>
      </c>
      <c r="EZ206" s="229">
        <v>0.42409999999999998</v>
      </c>
      <c r="FA206" s="227" t="s">
        <v>693</v>
      </c>
      <c r="FB206" s="161">
        <f t="shared" si="5"/>
        <v>0</v>
      </c>
    </row>
    <row r="207" spans="1:158" ht="17.25" thickBot="1" x14ac:dyDescent="0.3">
      <c r="A207" s="226">
        <v>46132</v>
      </c>
      <c r="B207" s="227" t="s">
        <v>162</v>
      </c>
      <c r="C207" s="227" t="s">
        <v>300</v>
      </c>
      <c r="D207" s="228">
        <v>175</v>
      </c>
      <c r="E207" s="231">
        <v>3769.8</v>
      </c>
      <c r="F207" s="231">
        <v>3747.3</v>
      </c>
      <c r="G207" s="228">
        <v>22.5</v>
      </c>
      <c r="H207" s="229">
        <v>6.0000000000000001E-3</v>
      </c>
      <c r="I207" s="231">
        <v>3761.9</v>
      </c>
      <c r="J207" s="231">
        <v>3735.8</v>
      </c>
      <c r="K207" s="228">
        <v>26.1</v>
      </c>
      <c r="L207" s="229">
        <v>7.0000000000000001E-3</v>
      </c>
      <c r="M207" s="231">
        <v>3769.8</v>
      </c>
      <c r="N207" s="231">
        <v>3747.3</v>
      </c>
      <c r="O207" s="228">
        <v>22.5</v>
      </c>
      <c r="P207" s="229">
        <v>6.0000000000000001E-3</v>
      </c>
      <c r="Q207" s="231">
        <v>3782.1</v>
      </c>
      <c r="R207" s="231">
        <v>3766.6</v>
      </c>
      <c r="S207" s="228">
        <v>15.5</v>
      </c>
      <c r="T207" s="229">
        <v>4.1000000000000003E-3</v>
      </c>
      <c r="U207" s="231">
        <v>3789.6</v>
      </c>
      <c r="V207" s="231">
        <v>3785.9</v>
      </c>
      <c r="W207" s="228">
        <v>3.7</v>
      </c>
      <c r="X207" s="229">
        <v>1E-3</v>
      </c>
      <c r="Y207" s="228">
        <v>7.9</v>
      </c>
      <c r="Z207" s="228">
        <v>11.5</v>
      </c>
      <c r="AA207" s="228">
        <v>-3.6</v>
      </c>
      <c r="AB207" s="229">
        <v>2.0999999999999999E-3</v>
      </c>
      <c r="AC207" s="228">
        <v>7.9</v>
      </c>
      <c r="AD207" s="228">
        <v>11.5</v>
      </c>
      <c r="AE207" s="228">
        <v>-3.6</v>
      </c>
      <c r="AF207" s="229">
        <v>2.0999999999999999E-3</v>
      </c>
      <c r="AG207" s="228">
        <v>20.2</v>
      </c>
      <c r="AH207" s="228">
        <v>30.8</v>
      </c>
      <c r="AI207" s="228">
        <v>-10.6</v>
      </c>
      <c r="AJ207" s="229">
        <v>5.4000000000000003E-3</v>
      </c>
      <c r="AK207" s="228">
        <v>27.7</v>
      </c>
      <c r="AL207" s="228">
        <v>50.1</v>
      </c>
      <c r="AM207" s="228">
        <v>-22.4</v>
      </c>
      <c r="AN207" s="229">
        <v>7.4000000000000003E-3</v>
      </c>
      <c r="AO207" s="231">
        <v>3759.95</v>
      </c>
      <c r="AP207" s="231">
        <v>3786.49</v>
      </c>
      <c r="AQ207" s="228">
        <v>0</v>
      </c>
      <c r="AR207" s="230">
        <v>667275</v>
      </c>
      <c r="AS207" s="230">
        <v>1233050</v>
      </c>
      <c r="AT207" s="230">
        <v>-565775</v>
      </c>
      <c r="AU207" s="229">
        <v>-0.45879999999999999</v>
      </c>
      <c r="AV207" s="230">
        <v>506450</v>
      </c>
      <c r="AW207" s="230">
        <v>804650</v>
      </c>
      <c r="AX207" s="230">
        <v>-298200</v>
      </c>
      <c r="AY207" s="229">
        <v>-0.37059999999999998</v>
      </c>
      <c r="AZ207" s="230">
        <v>156800</v>
      </c>
      <c r="BA207" s="230">
        <v>108500</v>
      </c>
      <c r="BB207" s="230">
        <v>48300</v>
      </c>
      <c r="BC207" s="229">
        <v>0.44519999999999998</v>
      </c>
      <c r="BD207" s="230">
        <v>4025</v>
      </c>
      <c r="BE207" s="230">
        <v>319900</v>
      </c>
      <c r="BF207" s="230">
        <v>-315875</v>
      </c>
      <c r="BG207" s="229">
        <v>-0.98740000000000006</v>
      </c>
      <c r="BH207" s="230">
        <v>1433250</v>
      </c>
      <c r="BI207" s="230">
        <v>1125250</v>
      </c>
      <c r="BJ207" s="230">
        <v>308000</v>
      </c>
      <c r="BK207" s="229">
        <v>0.2737</v>
      </c>
      <c r="BL207" s="230">
        <v>1103900</v>
      </c>
      <c r="BM207" s="230">
        <v>700525</v>
      </c>
      <c r="BN207" s="230">
        <v>403375</v>
      </c>
      <c r="BO207" s="229">
        <v>0.57579999999999998</v>
      </c>
      <c r="BP207" s="230">
        <v>3204425</v>
      </c>
      <c r="BQ207" s="230">
        <v>3058825</v>
      </c>
      <c r="BR207" s="230">
        <v>145600</v>
      </c>
      <c r="BS207" s="229">
        <v>4.7600000000000003E-2</v>
      </c>
      <c r="BT207" s="230">
        <v>748982</v>
      </c>
      <c r="BU207" s="230">
        <v>592659</v>
      </c>
      <c r="BV207" s="230">
        <v>156323</v>
      </c>
      <c r="BW207" s="229">
        <v>0.26379999999999998</v>
      </c>
      <c r="BX207" s="230">
        <v>8163750</v>
      </c>
      <c r="BY207" s="230">
        <v>8250025</v>
      </c>
      <c r="BZ207" s="230">
        <v>-86275</v>
      </c>
      <c r="CA207" s="229">
        <v>-1.0500000000000001E-2</v>
      </c>
      <c r="CB207" s="230">
        <v>7545475</v>
      </c>
      <c r="CC207" s="230">
        <v>7656950</v>
      </c>
      <c r="CD207" s="230">
        <v>-111475</v>
      </c>
      <c r="CE207" s="229">
        <v>-1.46E-2</v>
      </c>
      <c r="CF207" s="230">
        <v>290675</v>
      </c>
      <c r="CG207" s="230">
        <v>266525</v>
      </c>
      <c r="CH207" s="230">
        <v>24150</v>
      </c>
      <c r="CI207" s="229">
        <v>9.06E-2</v>
      </c>
      <c r="CJ207" s="230">
        <v>327600</v>
      </c>
      <c r="CK207" s="230">
        <v>326550</v>
      </c>
      <c r="CL207" s="230">
        <v>1050</v>
      </c>
      <c r="CM207" s="229">
        <v>3.2000000000000002E-3</v>
      </c>
      <c r="CN207" s="230">
        <v>1559950</v>
      </c>
      <c r="CO207" s="230">
        <v>1636600</v>
      </c>
      <c r="CP207" s="230">
        <v>-76650</v>
      </c>
      <c r="CQ207" s="229">
        <v>-4.6800000000000001E-2</v>
      </c>
      <c r="CR207" s="230">
        <v>1188075</v>
      </c>
      <c r="CS207" s="230">
        <v>1146950</v>
      </c>
      <c r="CT207" s="230">
        <v>41125</v>
      </c>
      <c r="CU207" s="229">
        <v>3.5900000000000001E-2</v>
      </c>
      <c r="CV207" s="230">
        <v>10911775</v>
      </c>
      <c r="CW207" s="230">
        <v>11033575</v>
      </c>
      <c r="CX207" s="230">
        <v>-121800</v>
      </c>
      <c r="CY207" s="229">
        <v>-1.0999999999999999E-2</v>
      </c>
      <c r="CZ207" s="228">
        <v>36.06</v>
      </c>
      <c r="DA207" s="228">
        <v>32.880000000000003</v>
      </c>
      <c r="DB207" s="228">
        <v>3.18</v>
      </c>
      <c r="DC207" s="228">
        <v>3.18</v>
      </c>
      <c r="DD207" s="228">
        <v>33.479999999999997</v>
      </c>
      <c r="DE207" s="228">
        <v>33.549999999999997</v>
      </c>
      <c r="DF207" s="228">
        <v>2.58</v>
      </c>
      <c r="DG207" s="228">
        <v>-7.0000000000000007E-2</v>
      </c>
      <c r="DH207" s="228">
        <v>34.76</v>
      </c>
      <c r="DI207" s="228">
        <v>32.090000000000003</v>
      </c>
      <c r="DJ207" s="228">
        <v>2.67</v>
      </c>
      <c r="DK207" s="228">
        <v>2.67</v>
      </c>
      <c r="DL207" s="228">
        <v>37.75</v>
      </c>
      <c r="DM207" s="228">
        <v>34.130000000000003</v>
      </c>
      <c r="DN207" s="228">
        <v>3.62</v>
      </c>
      <c r="DO207" s="228">
        <v>3.62</v>
      </c>
      <c r="DP207" s="228">
        <v>0.76</v>
      </c>
      <c r="DQ207" s="228">
        <v>0.7</v>
      </c>
      <c r="DR207" s="228">
        <v>0.06</v>
      </c>
      <c r="DS207" s="229">
        <v>8.5699999999999998E-2</v>
      </c>
      <c r="DT207" s="231">
        <v>4000</v>
      </c>
      <c r="DU207" s="231">
        <v>3700</v>
      </c>
      <c r="DV207" s="228">
        <v>0.77</v>
      </c>
      <c r="DW207" s="228">
        <v>0.62</v>
      </c>
      <c r="DX207" s="228">
        <v>0.15</v>
      </c>
      <c r="DY207" s="229">
        <v>0.2419</v>
      </c>
      <c r="DZ207" s="229">
        <v>7.5700000000000003E-2</v>
      </c>
      <c r="EA207" s="230">
        <v>593075</v>
      </c>
      <c r="EB207" s="229">
        <v>3.3E-3</v>
      </c>
      <c r="EC207" s="229">
        <v>7.5700000000000003E-2</v>
      </c>
      <c r="ED207" s="228">
        <v>26.54</v>
      </c>
      <c r="EE207" s="229">
        <v>7.1000000000000004E-3</v>
      </c>
      <c r="EF207" s="230">
        <v>454753</v>
      </c>
      <c r="EG207" s="230">
        <v>341670</v>
      </c>
      <c r="EH207" s="229">
        <v>0.33100000000000002</v>
      </c>
      <c r="EI207" s="229">
        <v>0.60719999999999996</v>
      </c>
      <c r="EJ207" s="231">
        <v>56009.91</v>
      </c>
      <c r="EK207" s="231">
        <v>41224.99</v>
      </c>
      <c r="EL207" s="231">
        <v>25132.35</v>
      </c>
      <c r="EM207" s="231">
        <v>4762</v>
      </c>
      <c r="EN207" s="231">
        <v>122367.25</v>
      </c>
      <c r="EO207" s="231">
        <v>116773.88</v>
      </c>
      <c r="EP207" s="231">
        <v>5593.37</v>
      </c>
      <c r="EQ207" s="229">
        <v>4.7899999999999998E-2</v>
      </c>
      <c r="ER207" s="231">
        <v>59045</v>
      </c>
      <c r="ES207" s="231">
        <v>41964</v>
      </c>
      <c r="ET207" s="231">
        <v>307858</v>
      </c>
      <c r="EU207" s="231">
        <v>32253708</v>
      </c>
      <c r="EV207" s="231">
        <v>408866</v>
      </c>
      <c r="EW207" s="231">
        <v>411643</v>
      </c>
      <c r="EX207" s="231">
        <v>-2777</v>
      </c>
      <c r="EY207" s="229">
        <v>-6.7000000000000002E-3</v>
      </c>
      <c r="EZ207" s="229">
        <v>0.33829999999999999</v>
      </c>
      <c r="FA207" s="227" t="s">
        <v>693</v>
      </c>
      <c r="FB207" s="161">
        <f t="shared" si="5"/>
        <v>0</v>
      </c>
    </row>
    <row r="208" spans="1:158" ht="17.25" thickBot="1" x14ac:dyDescent="0.3">
      <c r="A208" s="226">
        <v>46132</v>
      </c>
      <c r="B208" s="227" t="s">
        <v>157</v>
      </c>
      <c r="C208" s="227" t="s">
        <v>302</v>
      </c>
      <c r="D208" s="228">
        <v>50</v>
      </c>
      <c r="E208" s="231">
        <v>11897</v>
      </c>
      <c r="F208" s="231">
        <v>11884</v>
      </c>
      <c r="G208" s="228">
        <v>13</v>
      </c>
      <c r="H208" s="229">
        <v>1.1000000000000001E-3</v>
      </c>
      <c r="I208" s="231">
        <v>11917</v>
      </c>
      <c r="J208" s="231">
        <v>11886</v>
      </c>
      <c r="K208" s="228">
        <v>31</v>
      </c>
      <c r="L208" s="229">
        <v>2.5999999999999999E-3</v>
      </c>
      <c r="M208" s="231">
        <v>11897</v>
      </c>
      <c r="N208" s="231">
        <v>11884</v>
      </c>
      <c r="O208" s="228">
        <v>13</v>
      </c>
      <c r="P208" s="229">
        <v>1.1000000000000001E-3</v>
      </c>
      <c r="Q208" s="231">
        <v>11965</v>
      </c>
      <c r="R208" s="231">
        <v>11950</v>
      </c>
      <c r="S208" s="228">
        <v>15</v>
      </c>
      <c r="T208" s="229">
        <v>1.2999999999999999E-3</v>
      </c>
      <c r="U208" s="231">
        <v>12037</v>
      </c>
      <c r="V208" s="231">
        <v>12016</v>
      </c>
      <c r="W208" s="228">
        <v>21</v>
      </c>
      <c r="X208" s="229">
        <v>1.6999999999999999E-3</v>
      </c>
      <c r="Y208" s="228">
        <v>-20</v>
      </c>
      <c r="Z208" s="228">
        <v>-2</v>
      </c>
      <c r="AA208" s="228">
        <v>-18</v>
      </c>
      <c r="AB208" s="229">
        <v>-1.6999999999999999E-3</v>
      </c>
      <c r="AC208" s="228">
        <v>-20</v>
      </c>
      <c r="AD208" s="228">
        <v>-2</v>
      </c>
      <c r="AE208" s="228">
        <v>-18</v>
      </c>
      <c r="AF208" s="229">
        <v>-1.6999999999999999E-3</v>
      </c>
      <c r="AG208" s="228">
        <v>48</v>
      </c>
      <c r="AH208" s="228">
        <v>64</v>
      </c>
      <c r="AI208" s="228">
        <v>-16</v>
      </c>
      <c r="AJ208" s="229">
        <v>4.0000000000000001E-3</v>
      </c>
      <c r="AK208" s="228">
        <v>120</v>
      </c>
      <c r="AL208" s="228">
        <v>130</v>
      </c>
      <c r="AM208" s="228">
        <v>-10</v>
      </c>
      <c r="AN208" s="229">
        <v>1.01E-2</v>
      </c>
      <c r="AO208" s="231">
        <v>11919.2</v>
      </c>
      <c r="AP208" s="231">
        <v>11959.44</v>
      </c>
      <c r="AQ208" s="228">
        <v>0</v>
      </c>
      <c r="AR208" s="230">
        <v>358600</v>
      </c>
      <c r="AS208" s="230">
        <v>406300</v>
      </c>
      <c r="AT208" s="230">
        <v>-47700</v>
      </c>
      <c r="AU208" s="229">
        <v>-0.1174</v>
      </c>
      <c r="AV208" s="230">
        <v>294000</v>
      </c>
      <c r="AW208" s="230">
        <v>303050</v>
      </c>
      <c r="AX208" s="230">
        <v>-9050</v>
      </c>
      <c r="AY208" s="229">
        <v>-2.9899999999999999E-2</v>
      </c>
      <c r="AZ208" s="230">
        <v>57450</v>
      </c>
      <c r="BA208" s="230">
        <v>12450</v>
      </c>
      <c r="BB208" s="230">
        <v>45000</v>
      </c>
      <c r="BC208" s="229">
        <v>3.6145</v>
      </c>
      <c r="BD208" s="230">
        <v>7150</v>
      </c>
      <c r="BE208" s="230">
        <v>90800</v>
      </c>
      <c r="BF208" s="230">
        <v>-83650</v>
      </c>
      <c r="BG208" s="229">
        <v>-0.92130000000000001</v>
      </c>
      <c r="BH208" s="230">
        <v>1096800</v>
      </c>
      <c r="BI208" s="230">
        <v>841700</v>
      </c>
      <c r="BJ208" s="230">
        <v>255100</v>
      </c>
      <c r="BK208" s="229">
        <v>0.30309999999999998</v>
      </c>
      <c r="BL208" s="230">
        <v>354800</v>
      </c>
      <c r="BM208" s="230">
        <v>394100</v>
      </c>
      <c r="BN208" s="230">
        <v>-39300</v>
      </c>
      <c r="BO208" s="229">
        <v>-9.9699999999999997E-2</v>
      </c>
      <c r="BP208" s="230">
        <v>1810200</v>
      </c>
      <c r="BQ208" s="230">
        <v>1642100</v>
      </c>
      <c r="BR208" s="230">
        <v>168100</v>
      </c>
      <c r="BS208" s="229">
        <v>0.1024</v>
      </c>
      <c r="BT208" s="230">
        <v>348855</v>
      </c>
      <c r="BU208" s="230">
        <v>170793</v>
      </c>
      <c r="BV208" s="230">
        <v>178062</v>
      </c>
      <c r="BW208" s="229">
        <v>1.0426</v>
      </c>
      <c r="BX208" s="230">
        <v>2433300</v>
      </c>
      <c r="BY208" s="230">
        <v>2408850</v>
      </c>
      <c r="BZ208" s="230">
        <v>24450</v>
      </c>
      <c r="CA208" s="229">
        <v>1.0200000000000001E-2</v>
      </c>
      <c r="CB208" s="230">
        <v>1947000</v>
      </c>
      <c r="CC208" s="230">
        <v>1961450</v>
      </c>
      <c r="CD208" s="230">
        <v>-14450</v>
      </c>
      <c r="CE208" s="229">
        <v>-7.4000000000000003E-3</v>
      </c>
      <c r="CF208" s="230">
        <v>239600</v>
      </c>
      <c r="CG208" s="230">
        <v>206750</v>
      </c>
      <c r="CH208" s="230">
        <v>32850</v>
      </c>
      <c r="CI208" s="229">
        <v>0.15890000000000001</v>
      </c>
      <c r="CJ208" s="230">
        <v>246700</v>
      </c>
      <c r="CK208" s="230">
        <v>240650</v>
      </c>
      <c r="CL208" s="230">
        <v>6050</v>
      </c>
      <c r="CM208" s="229">
        <v>2.5100000000000001E-2</v>
      </c>
      <c r="CN208" s="230">
        <v>716300</v>
      </c>
      <c r="CO208" s="230">
        <v>696500</v>
      </c>
      <c r="CP208" s="230">
        <v>19800</v>
      </c>
      <c r="CQ208" s="229">
        <v>2.8400000000000002E-2</v>
      </c>
      <c r="CR208" s="230">
        <v>447700</v>
      </c>
      <c r="CS208" s="230">
        <v>429300</v>
      </c>
      <c r="CT208" s="230">
        <v>18400</v>
      </c>
      <c r="CU208" s="229">
        <v>4.2900000000000001E-2</v>
      </c>
      <c r="CV208" s="230">
        <v>3597300</v>
      </c>
      <c r="CW208" s="230">
        <v>3534650</v>
      </c>
      <c r="CX208" s="230">
        <v>62650</v>
      </c>
      <c r="CY208" s="229">
        <v>1.77E-2</v>
      </c>
      <c r="CZ208" s="228">
        <v>32.950000000000003</v>
      </c>
      <c r="DA208" s="228">
        <v>29.23</v>
      </c>
      <c r="DB208" s="228">
        <v>3.72</v>
      </c>
      <c r="DC208" s="228">
        <v>3.72</v>
      </c>
      <c r="DD208" s="228">
        <v>30.07</v>
      </c>
      <c r="DE208" s="228">
        <v>30.14</v>
      </c>
      <c r="DF208" s="228">
        <v>2.88</v>
      </c>
      <c r="DG208" s="228">
        <v>-7.0000000000000007E-2</v>
      </c>
      <c r="DH208" s="228">
        <v>32.44</v>
      </c>
      <c r="DI208" s="228">
        <v>28.29</v>
      </c>
      <c r="DJ208" s="228">
        <v>4.1500000000000004</v>
      </c>
      <c r="DK208" s="228">
        <v>4.1500000000000004</v>
      </c>
      <c r="DL208" s="228">
        <v>34.53</v>
      </c>
      <c r="DM208" s="228">
        <v>31.22</v>
      </c>
      <c r="DN208" s="228">
        <v>3.31</v>
      </c>
      <c r="DO208" s="228">
        <v>3.31</v>
      </c>
      <c r="DP208" s="228">
        <v>0.63</v>
      </c>
      <c r="DQ208" s="228">
        <v>0.62</v>
      </c>
      <c r="DR208" s="228">
        <v>0.01</v>
      </c>
      <c r="DS208" s="229">
        <v>1.61E-2</v>
      </c>
      <c r="DT208" s="231">
        <v>11800</v>
      </c>
      <c r="DU208" s="231">
        <v>11800</v>
      </c>
      <c r="DV208" s="228">
        <v>0.32</v>
      </c>
      <c r="DW208" s="228">
        <v>0.47</v>
      </c>
      <c r="DX208" s="228">
        <v>-0.15</v>
      </c>
      <c r="DY208" s="229">
        <v>-0.31909999999999999</v>
      </c>
      <c r="DZ208" s="229">
        <v>0.19989999999999999</v>
      </c>
      <c r="EA208" s="230">
        <v>447400</v>
      </c>
      <c r="EB208" s="229">
        <v>5.7000000000000002E-3</v>
      </c>
      <c r="EC208" s="229">
        <v>0.19989999999999999</v>
      </c>
      <c r="ED208" s="228">
        <v>40.24</v>
      </c>
      <c r="EE208" s="229">
        <v>3.3999999999999998E-3</v>
      </c>
      <c r="EF208" s="230">
        <v>204173</v>
      </c>
      <c r="EG208" s="230">
        <v>93359</v>
      </c>
      <c r="EH208" s="229">
        <v>1.1870000000000001</v>
      </c>
      <c r="EI208" s="229">
        <v>0.58530000000000004</v>
      </c>
      <c r="EJ208" s="231">
        <v>134948.57999999999</v>
      </c>
      <c r="EK208" s="231">
        <v>41375.61</v>
      </c>
      <c r="EL208" s="231">
        <v>42772.91</v>
      </c>
      <c r="EM208" s="231">
        <v>5896</v>
      </c>
      <c r="EN208" s="231">
        <v>219097.1</v>
      </c>
      <c r="EO208" s="231">
        <v>195486.03</v>
      </c>
      <c r="EP208" s="231">
        <v>23611.07</v>
      </c>
      <c r="EQ208" s="229">
        <v>0.1208</v>
      </c>
      <c r="ER208" s="231">
        <v>85671</v>
      </c>
      <c r="ES208" s="231">
        <v>48936</v>
      </c>
      <c r="ET208" s="231">
        <v>289998</v>
      </c>
      <c r="EU208" s="231">
        <v>12994504</v>
      </c>
      <c r="EV208" s="231">
        <v>424605</v>
      </c>
      <c r="EW208" s="231">
        <v>416496</v>
      </c>
      <c r="EX208" s="231">
        <v>8109</v>
      </c>
      <c r="EY208" s="229">
        <v>1.95E-2</v>
      </c>
      <c r="EZ208" s="229">
        <v>0.27679999999999999</v>
      </c>
      <c r="FA208" s="227" t="s">
        <v>555</v>
      </c>
      <c r="FB208" s="161">
        <f t="shared" si="5"/>
        <v>0</v>
      </c>
    </row>
    <row r="209" spans="1:158" ht="17.25" thickBot="1" x14ac:dyDescent="0.3">
      <c r="A209" s="226">
        <v>46132</v>
      </c>
      <c r="B209" s="227" t="s">
        <v>172</v>
      </c>
      <c r="C209" s="227" t="s">
        <v>592</v>
      </c>
      <c r="D209" s="228">
        <v>4425</v>
      </c>
      <c r="E209" s="228">
        <v>189.55</v>
      </c>
      <c r="F209" s="228">
        <v>188.51</v>
      </c>
      <c r="G209" s="228">
        <v>1.04</v>
      </c>
      <c r="H209" s="229">
        <v>5.4999999999999997E-3</v>
      </c>
      <c r="I209" s="228">
        <v>189.29</v>
      </c>
      <c r="J209" s="228">
        <v>188.91</v>
      </c>
      <c r="K209" s="228">
        <v>0.38</v>
      </c>
      <c r="L209" s="229">
        <v>2E-3</v>
      </c>
      <c r="M209" s="228">
        <v>189.55</v>
      </c>
      <c r="N209" s="228">
        <v>188.51</v>
      </c>
      <c r="O209" s="228">
        <v>1.04</v>
      </c>
      <c r="P209" s="229">
        <v>5.4999999999999997E-3</v>
      </c>
      <c r="Q209" s="228">
        <v>188.02</v>
      </c>
      <c r="R209" s="228">
        <v>187.05</v>
      </c>
      <c r="S209" s="228">
        <v>0.97</v>
      </c>
      <c r="T209" s="229">
        <v>5.1999999999999998E-3</v>
      </c>
      <c r="U209" s="228">
        <v>187.23</v>
      </c>
      <c r="V209" s="228">
        <v>185.81</v>
      </c>
      <c r="W209" s="228">
        <v>1.42</v>
      </c>
      <c r="X209" s="229">
        <v>7.6E-3</v>
      </c>
      <c r="Y209" s="228">
        <v>0.26</v>
      </c>
      <c r="Z209" s="228">
        <v>-0.4</v>
      </c>
      <c r="AA209" s="228">
        <v>0.66</v>
      </c>
      <c r="AB209" s="229">
        <v>1.4E-3</v>
      </c>
      <c r="AC209" s="228">
        <v>0.26</v>
      </c>
      <c r="AD209" s="228">
        <v>-0.4</v>
      </c>
      <c r="AE209" s="228">
        <v>0.66</v>
      </c>
      <c r="AF209" s="229">
        <v>1.4E-3</v>
      </c>
      <c r="AG209" s="228">
        <v>-1.27</v>
      </c>
      <c r="AH209" s="228">
        <v>-1.86</v>
      </c>
      <c r="AI209" s="228">
        <v>0.59</v>
      </c>
      <c r="AJ209" s="229">
        <v>-6.7000000000000002E-3</v>
      </c>
      <c r="AK209" s="228">
        <v>-2.06</v>
      </c>
      <c r="AL209" s="228">
        <v>-3.1</v>
      </c>
      <c r="AM209" s="228">
        <v>1.04</v>
      </c>
      <c r="AN209" s="229">
        <v>-1.09E-2</v>
      </c>
      <c r="AO209" s="228">
        <v>190.2</v>
      </c>
      <c r="AP209" s="228">
        <v>189.06</v>
      </c>
      <c r="AQ209" s="228">
        <v>0</v>
      </c>
      <c r="AR209" s="230">
        <v>29545725</v>
      </c>
      <c r="AS209" s="230">
        <v>17452200</v>
      </c>
      <c r="AT209" s="230">
        <v>12093525</v>
      </c>
      <c r="AU209" s="229">
        <v>0.69299999999999995</v>
      </c>
      <c r="AV209" s="230">
        <v>22757775</v>
      </c>
      <c r="AW209" s="230">
        <v>14288325</v>
      </c>
      <c r="AX209" s="230">
        <v>8469450</v>
      </c>
      <c r="AY209" s="229">
        <v>0.59279999999999999</v>
      </c>
      <c r="AZ209" s="230">
        <v>6584400</v>
      </c>
      <c r="BA209" s="230">
        <v>3084225</v>
      </c>
      <c r="BB209" s="230">
        <v>3500175</v>
      </c>
      <c r="BC209" s="229">
        <v>1.1349</v>
      </c>
      <c r="BD209" s="230">
        <v>203550</v>
      </c>
      <c r="BE209" s="230">
        <v>79650</v>
      </c>
      <c r="BF209" s="230">
        <v>123900</v>
      </c>
      <c r="BG209" s="229">
        <v>1.5556000000000001</v>
      </c>
      <c r="BH209" s="230">
        <v>60180000</v>
      </c>
      <c r="BI209" s="230">
        <v>24917175</v>
      </c>
      <c r="BJ209" s="230">
        <v>35262825</v>
      </c>
      <c r="BK209" s="229">
        <v>1.4152</v>
      </c>
      <c r="BL209" s="230">
        <v>25213650</v>
      </c>
      <c r="BM209" s="230">
        <v>14027250</v>
      </c>
      <c r="BN209" s="230">
        <v>11186400</v>
      </c>
      <c r="BO209" s="229">
        <v>0.79749999999999999</v>
      </c>
      <c r="BP209" s="230">
        <v>114939375</v>
      </c>
      <c r="BQ209" s="230">
        <v>56396625</v>
      </c>
      <c r="BR209" s="230">
        <v>58542750</v>
      </c>
      <c r="BS209" s="229">
        <v>1.0381</v>
      </c>
      <c r="BT209" s="230">
        <v>14521934</v>
      </c>
      <c r="BU209" s="230">
        <v>9177554</v>
      </c>
      <c r="BV209" s="230">
        <v>5344380</v>
      </c>
      <c r="BW209" s="229">
        <v>0.58230000000000004</v>
      </c>
      <c r="BX209" s="230">
        <v>114603075</v>
      </c>
      <c r="BY209" s="230">
        <v>114660600</v>
      </c>
      <c r="BZ209" s="230">
        <v>-57525</v>
      </c>
      <c r="CA209" s="229">
        <v>-5.0000000000000001E-4</v>
      </c>
      <c r="CB209" s="230">
        <v>95040150</v>
      </c>
      <c r="CC209" s="230">
        <v>97013700</v>
      </c>
      <c r="CD209" s="230">
        <v>-1973550</v>
      </c>
      <c r="CE209" s="229">
        <v>-2.0299999999999999E-2</v>
      </c>
      <c r="CF209" s="230">
        <v>18708900</v>
      </c>
      <c r="CG209" s="230">
        <v>16770750</v>
      </c>
      <c r="CH209" s="230">
        <v>1938150</v>
      </c>
      <c r="CI209" s="229">
        <v>0.11559999999999999</v>
      </c>
      <c r="CJ209" s="230">
        <v>854025</v>
      </c>
      <c r="CK209" s="230">
        <v>876150</v>
      </c>
      <c r="CL209" s="230">
        <v>-22125</v>
      </c>
      <c r="CM209" s="229">
        <v>-2.53E-2</v>
      </c>
      <c r="CN209" s="230">
        <v>36324825</v>
      </c>
      <c r="CO209" s="230">
        <v>36028350</v>
      </c>
      <c r="CP209" s="230">
        <v>296475</v>
      </c>
      <c r="CQ209" s="229">
        <v>8.2000000000000007E-3</v>
      </c>
      <c r="CR209" s="230">
        <v>27558900</v>
      </c>
      <c r="CS209" s="230">
        <v>28426200</v>
      </c>
      <c r="CT209" s="230">
        <v>-867300</v>
      </c>
      <c r="CU209" s="229">
        <v>-3.0499999999999999E-2</v>
      </c>
      <c r="CV209" s="230">
        <v>178486800</v>
      </c>
      <c r="CW209" s="230">
        <v>179115150</v>
      </c>
      <c r="CX209" s="230">
        <v>-628350</v>
      </c>
      <c r="CY209" s="229">
        <v>-3.5000000000000001E-3</v>
      </c>
      <c r="CZ209" s="228">
        <v>41.69</v>
      </c>
      <c r="DA209" s="228">
        <v>38.69</v>
      </c>
      <c r="DB209" s="228">
        <v>3</v>
      </c>
      <c r="DC209" s="228">
        <v>3</v>
      </c>
      <c r="DD209" s="228">
        <v>43.99</v>
      </c>
      <c r="DE209" s="228">
        <v>44.1</v>
      </c>
      <c r="DF209" s="228">
        <v>-2.2999999999999998</v>
      </c>
      <c r="DG209" s="228">
        <v>-0.11</v>
      </c>
      <c r="DH209" s="228">
        <v>40.58</v>
      </c>
      <c r="DI209" s="228">
        <v>37.85</v>
      </c>
      <c r="DJ209" s="228">
        <v>2.73</v>
      </c>
      <c r="DK209" s="228">
        <v>2.73</v>
      </c>
      <c r="DL209" s="228">
        <v>44.35</v>
      </c>
      <c r="DM209" s="228">
        <v>40.19</v>
      </c>
      <c r="DN209" s="228">
        <v>4.16</v>
      </c>
      <c r="DO209" s="228">
        <v>4.16</v>
      </c>
      <c r="DP209" s="228">
        <v>0.76</v>
      </c>
      <c r="DQ209" s="228">
        <v>0.79</v>
      </c>
      <c r="DR209" s="228">
        <v>-0.03</v>
      </c>
      <c r="DS209" s="229">
        <v>-3.7999999999999999E-2</v>
      </c>
      <c r="DT209" s="228">
        <v>190</v>
      </c>
      <c r="DU209" s="228">
        <v>180</v>
      </c>
      <c r="DV209" s="228">
        <v>0.42</v>
      </c>
      <c r="DW209" s="228">
        <v>0.56000000000000005</v>
      </c>
      <c r="DX209" s="228">
        <v>-0.14000000000000001</v>
      </c>
      <c r="DY209" s="229">
        <v>-0.25</v>
      </c>
      <c r="DZ209" s="229">
        <v>0.17069999999999999</v>
      </c>
      <c r="EA209" s="230">
        <v>17646900</v>
      </c>
      <c r="EB209" s="229">
        <v>-8.0999999999999996E-3</v>
      </c>
      <c r="EC209" s="229">
        <v>0.17069999999999999</v>
      </c>
      <c r="ED209" s="228">
        <v>-1.1399999999999999</v>
      </c>
      <c r="EE209" s="229">
        <v>-6.0000000000000001E-3</v>
      </c>
      <c r="EF209" s="230">
        <v>4595514</v>
      </c>
      <c r="EG209" s="230">
        <v>3034548</v>
      </c>
      <c r="EH209" s="229">
        <v>0.51439999999999997</v>
      </c>
      <c r="EI209" s="229">
        <v>0.3165</v>
      </c>
      <c r="EJ209" s="231">
        <v>119378.99</v>
      </c>
      <c r="EK209" s="231">
        <v>46781.95</v>
      </c>
      <c r="EL209" s="231">
        <v>56117.88</v>
      </c>
      <c r="EM209" s="231">
        <v>5240</v>
      </c>
      <c r="EN209" s="231">
        <v>222278.82</v>
      </c>
      <c r="EO209" s="231">
        <v>107471.67</v>
      </c>
      <c r="EP209" s="231">
        <v>114807.15</v>
      </c>
      <c r="EQ209" s="229">
        <v>1.0683</v>
      </c>
      <c r="ER209" s="231">
        <v>69910</v>
      </c>
      <c r="ES209" s="231">
        <v>48390</v>
      </c>
      <c r="ET209" s="231">
        <v>216924</v>
      </c>
      <c r="EU209" s="231">
        <v>289041713</v>
      </c>
      <c r="EV209" s="231">
        <v>335224</v>
      </c>
      <c r="EW209" s="231">
        <v>334610</v>
      </c>
      <c r="EX209" s="228">
        <v>614</v>
      </c>
      <c r="EY209" s="229">
        <v>1.8E-3</v>
      </c>
      <c r="EZ209" s="229">
        <v>0.61750000000000005</v>
      </c>
      <c r="FA209" s="227" t="s">
        <v>693</v>
      </c>
      <c r="FB209" s="161">
        <f t="shared" si="5"/>
        <v>0</v>
      </c>
    </row>
    <row r="210" spans="1:158" ht="17.25" thickBot="1" x14ac:dyDescent="0.3">
      <c r="A210" s="226">
        <v>46132</v>
      </c>
      <c r="B210" s="227" t="s">
        <v>168</v>
      </c>
      <c r="C210" s="227" t="s">
        <v>568</v>
      </c>
      <c r="D210" s="228">
        <v>400</v>
      </c>
      <c r="E210" s="231">
        <v>1309.7</v>
      </c>
      <c r="F210" s="231">
        <v>1305.7</v>
      </c>
      <c r="G210" s="228">
        <v>4</v>
      </c>
      <c r="H210" s="229">
        <v>3.0999999999999999E-3</v>
      </c>
      <c r="I210" s="231">
        <v>1307.7</v>
      </c>
      <c r="J210" s="231">
        <v>1302.9000000000001</v>
      </c>
      <c r="K210" s="228">
        <v>4.8</v>
      </c>
      <c r="L210" s="229">
        <v>3.7000000000000002E-3</v>
      </c>
      <c r="M210" s="231">
        <v>1309.7</v>
      </c>
      <c r="N210" s="231">
        <v>1305.7</v>
      </c>
      <c r="O210" s="228">
        <v>4</v>
      </c>
      <c r="P210" s="229">
        <v>3.0999999999999999E-3</v>
      </c>
      <c r="Q210" s="231">
        <v>1316.2</v>
      </c>
      <c r="R210" s="231">
        <v>1313.2</v>
      </c>
      <c r="S210" s="228">
        <v>3</v>
      </c>
      <c r="T210" s="229">
        <v>2.3E-3</v>
      </c>
      <c r="U210" s="231">
        <v>1324.6</v>
      </c>
      <c r="V210" s="231">
        <v>1320.9</v>
      </c>
      <c r="W210" s="228">
        <v>3.7</v>
      </c>
      <c r="X210" s="229">
        <v>2.8E-3</v>
      </c>
      <c r="Y210" s="228">
        <v>2</v>
      </c>
      <c r="Z210" s="228">
        <v>2.8</v>
      </c>
      <c r="AA210" s="228">
        <v>-0.8</v>
      </c>
      <c r="AB210" s="229">
        <v>1.5E-3</v>
      </c>
      <c r="AC210" s="228">
        <v>2</v>
      </c>
      <c r="AD210" s="228">
        <v>2.8</v>
      </c>
      <c r="AE210" s="228">
        <v>-0.8</v>
      </c>
      <c r="AF210" s="229">
        <v>1.5E-3</v>
      </c>
      <c r="AG210" s="228">
        <v>8.5</v>
      </c>
      <c r="AH210" s="228">
        <v>10.3</v>
      </c>
      <c r="AI210" s="228">
        <v>-1.8</v>
      </c>
      <c r="AJ210" s="229">
        <v>6.4999999999999997E-3</v>
      </c>
      <c r="AK210" s="228">
        <v>16.899999999999999</v>
      </c>
      <c r="AL210" s="228">
        <v>18</v>
      </c>
      <c r="AM210" s="228">
        <v>-1.1000000000000001</v>
      </c>
      <c r="AN210" s="229">
        <v>1.29E-2</v>
      </c>
      <c r="AO210" s="231">
        <v>1310.02</v>
      </c>
      <c r="AP210" s="231">
        <v>1316.66</v>
      </c>
      <c r="AQ210" s="228">
        <v>0</v>
      </c>
      <c r="AR210" s="230">
        <v>1668800</v>
      </c>
      <c r="AS210" s="230">
        <v>3193600</v>
      </c>
      <c r="AT210" s="230">
        <v>-1524800</v>
      </c>
      <c r="AU210" s="229">
        <v>-0.47749999999999998</v>
      </c>
      <c r="AV210" s="230">
        <v>1299200</v>
      </c>
      <c r="AW210" s="230">
        <v>2729200</v>
      </c>
      <c r="AX210" s="230">
        <v>-1430000</v>
      </c>
      <c r="AY210" s="229">
        <v>-0.52400000000000002</v>
      </c>
      <c r="AZ210" s="230">
        <v>361200</v>
      </c>
      <c r="BA210" s="230">
        <v>436400</v>
      </c>
      <c r="BB210" s="230">
        <v>-75200</v>
      </c>
      <c r="BC210" s="229">
        <v>-0.17230000000000001</v>
      </c>
      <c r="BD210" s="230">
        <v>8400</v>
      </c>
      <c r="BE210" s="230">
        <v>28000</v>
      </c>
      <c r="BF210" s="230">
        <v>-19600</v>
      </c>
      <c r="BG210" s="229">
        <v>-0.7</v>
      </c>
      <c r="BH210" s="230">
        <v>8250400</v>
      </c>
      <c r="BI210" s="230">
        <v>15045600</v>
      </c>
      <c r="BJ210" s="230">
        <v>-6795200</v>
      </c>
      <c r="BK210" s="229">
        <v>-0.4516</v>
      </c>
      <c r="BL210" s="230">
        <v>3304400</v>
      </c>
      <c r="BM210" s="230">
        <v>4109200</v>
      </c>
      <c r="BN210" s="230">
        <v>-804800</v>
      </c>
      <c r="BO210" s="229">
        <v>-0.19589999999999999</v>
      </c>
      <c r="BP210" s="230">
        <v>13223600</v>
      </c>
      <c r="BQ210" s="230">
        <v>22348400</v>
      </c>
      <c r="BR210" s="230">
        <v>-9124800</v>
      </c>
      <c r="BS210" s="229">
        <v>-0.4083</v>
      </c>
      <c r="BT210" s="230">
        <v>1467340</v>
      </c>
      <c r="BU210" s="230">
        <v>2994254</v>
      </c>
      <c r="BV210" s="230">
        <v>-1526914</v>
      </c>
      <c r="BW210" s="229">
        <v>-0.50990000000000002</v>
      </c>
      <c r="BX210" s="230">
        <v>12927600</v>
      </c>
      <c r="BY210" s="230">
        <v>12946800</v>
      </c>
      <c r="BZ210" s="230">
        <v>-19200</v>
      </c>
      <c r="CA210" s="229">
        <v>-1.5E-3</v>
      </c>
      <c r="CB210" s="230">
        <v>12222800</v>
      </c>
      <c r="CC210" s="230">
        <v>12375200</v>
      </c>
      <c r="CD210" s="230">
        <v>-152400</v>
      </c>
      <c r="CE210" s="229">
        <v>-1.23E-2</v>
      </c>
      <c r="CF210" s="230">
        <v>670800</v>
      </c>
      <c r="CG210" s="230">
        <v>540400</v>
      </c>
      <c r="CH210" s="230">
        <v>130400</v>
      </c>
      <c r="CI210" s="229">
        <v>0.24129999999999999</v>
      </c>
      <c r="CJ210" s="230">
        <v>34000</v>
      </c>
      <c r="CK210" s="230">
        <v>31200</v>
      </c>
      <c r="CL210" s="230">
        <v>2800</v>
      </c>
      <c r="CM210" s="229">
        <v>8.9700000000000002E-2</v>
      </c>
      <c r="CN210" s="230">
        <v>4674400</v>
      </c>
      <c r="CO210" s="230">
        <v>4622000</v>
      </c>
      <c r="CP210" s="230">
        <v>52400</v>
      </c>
      <c r="CQ210" s="229">
        <v>1.1299999999999999E-2</v>
      </c>
      <c r="CR210" s="230">
        <v>3230800</v>
      </c>
      <c r="CS210" s="230">
        <v>3025600</v>
      </c>
      <c r="CT210" s="230">
        <v>205200</v>
      </c>
      <c r="CU210" s="229">
        <v>6.7799999999999999E-2</v>
      </c>
      <c r="CV210" s="230">
        <v>20832800</v>
      </c>
      <c r="CW210" s="230">
        <v>20594400</v>
      </c>
      <c r="CX210" s="230">
        <v>238400</v>
      </c>
      <c r="CY210" s="229">
        <v>1.1599999999999999E-2</v>
      </c>
      <c r="CZ210" s="228">
        <v>30.85</v>
      </c>
      <c r="DA210" s="228">
        <v>28.43</v>
      </c>
      <c r="DB210" s="228">
        <v>2.42</v>
      </c>
      <c r="DC210" s="228">
        <v>2.42</v>
      </c>
      <c r="DD210" s="228">
        <v>30</v>
      </c>
      <c r="DE210" s="228">
        <v>30.07</v>
      </c>
      <c r="DF210" s="228">
        <v>0.85</v>
      </c>
      <c r="DG210" s="228">
        <v>-7.0000000000000007E-2</v>
      </c>
      <c r="DH210" s="228">
        <v>30.7</v>
      </c>
      <c r="DI210" s="228">
        <v>28.27</v>
      </c>
      <c r="DJ210" s="228">
        <v>2.4300000000000002</v>
      </c>
      <c r="DK210" s="228">
        <v>2.4300000000000002</v>
      </c>
      <c r="DL210" s="228">
        <v>31.21</v>
      </c>
      <c r="DM210" s="228">
        <v>29.03</v>
      </c>
      <c r="DN210" s="228">
        <v>2.1800000000000002</v>
      </c>
      <c r="DO210" s="228">
        <v>2.1800000000000002</v>
      </c>
      <c r="DP210" s="228">
        <v>0.69</v>
      </c>
      <c r="DQ210" s="228">
        <v>0.65</v>
      </c>
      <c r="DR210" s="228">
        <v>0.04</v>
      </c>
      <c r="DS210" s="229">
        <v>6.1499999999999999E-2</v>
      </c>
      <c r="DT210" s="231">
        <v>1500</v>
      </c>
      <c r="DU210" s="231">
        <v>1300</v>
      </c>
      <c r="DV210" s="228">
        <v>0.4</v>
      </c>
      <c r="DW210" s="228">
        <v>0.27</v>
      </c>
      <c r="DX210" s="228">
        <v>0.13</v>
      </c>
      <c r="DY210" s="229">
        <v>0.48149999999999998</v>
      </c>
      <c r="DZ210" s="229">
        <v>5.45E-2</v>
      </c>
      <c r="EA210" s="230">
        <v>571600</v>
      </c>
      <c r="EB210" s="229">
        <v>5.0000000000000001E-3</v>
      </c>
      <c r="EC210" s="229">
        <v>5.45E-2</v>
      </c>
      <c r="ED210" s="228">
        <v>6.64</v>
      </c>
      <c r="EE210" s="229">
        <v>5.1000000000000004E-3</v>
      </c>
      <c r="EF210" s="230">
        <v>827159</v>
      </c>
      <c r="EG210" s="230">
        <v>1641825</v>
      </c>
      <c r="EH210" s="229">
        <v>-0.49619999999999997</v>
      </c>
      <c r="EI210" s="229">
        <v>0.56369999999999998</v>
      </c>
      <c r="EJ210" s="231">
        <v>112254.92</v>
      </c>
      <c r="EK210" s="231">
        <v>43107.02</v>
      </c>
      <c r="EL210" s="231">
        <v>21886.85</v>
      </c>
      <c r="EM210" s="231">
        <v>4714</v>
      </c>
      <c r="EN210" s="231">
        <v>177248.79</v>
      </c>
      <c r="EO210" s="231">
        <v>295791.88</v>
      </c>
      <c r="EP210" s="231">
        <v>-118543.09</v>
      </c>
      <c r="EQ210" s="229">
        <v>-0.40079999999999999</v>
      </c>
      <c r="ER210" s="231">
        <v>62891</v>
      </c>
      <c r="ES210" s="231">
        <v>41253</v>
      </c>
      <c r="ET210" s="231">
        <v>169361</v>
      </c>
      <c r="EU210" s="231">
        <v>38847259</v>
      </c>
      <c r="EV210" s="231">
        <v>273506</v>
      </c>
      <c r="EW210" s="231">
        <v>269721</v>
      </c>
      <c r="EX210" s="231">
        <v>3785</v>
      </c>
      <c r="EY210" s="229">
        <v>1.4E-2</v>
      </c>
      <c r="EZ210" s="229">
        <v>0.5363</v>
      </c>
      <c r="FA210" s="227" t="s">
        <v>693</v>
      </c>
      <c r="FB210" s="161">
        <f t="shared" si="5"/>
        <v>0</v>
      </c>
    </row>
    <row r="211" spans="1:158" ht="17.25" thickBot="1" x14ac:dyDescent="0.3">
      <c r="A211" s="226">
        <v>46132</v>
      </c>
      <c r="B211" s="227" t="s">
        <v>162</v>
      </c>
      <c r="C211" s="227" t="s">
        <v>672</v>
      </c>
      <c r="D211" s="228">
        <v>550</v>
      </c>
      <c r="E211" s="231">
        <v>1127.5</v>
      </c>
      <c r="F211" s="231">
        <v>1098.0999999999999</v>
      </c>
      <c r="G211" s="228">
        <v>29.4</v>
      </c>
      <c r="H211" s="229">
        <v>2.6800000000000001E-2</v>
      </c>
      <c r="I211" s="231">
        <v>1129.4000000000001</v>
      </c>
      <c r="J211" s="231">
        <v>1097.8</v>
      </c>
      <c r="K211" s="228">
        <v>31.6</v>
      </c>
      <c r="L211" s="229">
        <v>2.8799999999999999E-2</v>
      </c>
      <c r="M211" s="231">
        <v>1127.5</v>
      </c>
      <c r="N211" s="231">
        <v>1098.0999999999999</v>
      </c>
      <c r="O211" s="228">
        <v>29.4</v>
      </c>
      <c r="P211" s="229">
        <v>2.6800000000000001E-2</v>
      </c>
      <c r="Q211" s="231">
        <v>1130</v>
      </c>
      <c r="R211" s="231">
        <v>1105</v>
      </c>
      <c r="S211" s="228">
        <v>25</v>
      </c>
      <c r="T211" s="229">
        <v>2.2599999999999999E-2</v>
      </c>
      <c r="U211" s="231">
        <v>1139.2</v>
      </c>
      <c r="V211" s="231">
        <v>1109</v>
      </c>
      <c r="W211" s="228">
        <v>30.2</v>
      </c>
      <c r="X211" s="229">
        <v>2.7199999999999998E-2</v>
      </c>
      <c r="Y211" s="228">
        <v>-1.9</v>
      </c>
      <c r="Z211" s="228">
        <v>0.3</v>
      </c>
      <c r="AA211" s="228">
        <v>-2.2000000000000002</v>
      </c>
      <c r="AB211" s="229">
        <v>-1.6999999999999999E-3</v>
      </c>
      <c r="AC211" s="228">
        <v>-1.9</v>
      </c>
      <c r="AD211" s="228">
        <v>0.3</v>
      </c>
      <c r="AE211" s="228">
        <v>-2.2000000000000002</v>
      </c>
      <c r="AF211" s="229">
        <v>-1.6999999999999999E-3</v>
      </c>
      <c r="AG211" s="228">
        <v>0.6</v>
      </c>
      <c r="AH211" s="228">
        <v>7.2</v>
      </c>
      <c r="AI211" s="228">
        <v>-6.6</v>
      </c>
      <c r="AJ211" s="229">
        <v>5.0000000000000001E-4</v>
      </c>
      <c r="AK211" s="228">
        <v>9.8000000000000007</v>
      </c>
      <c r="AL211" s="228">
        <v>11.2</v>
      </c>
      <c r="AM211" s="228">
        <v>-1.4</v>
      </c>
      <c r="AN211" s="229">
        <v>8.6999999999999994E-3</v>
      </c>
      <c r="AO211" s="231">
        <v>1118.6500000000001</v>
      </c>
      <c r="AP211" s="231">
        <v>1124.49</v>
      </c>
      <c r="AQ211" s="228">
        <v>0</v>
      </c>
      <c r="AR211" s="230">
        <v>1417350</v>
      </c>
      <c r="AS211" s="230">
        <v>465850</v>
      </c>
      <c r="AT211" s="230">
        <v>951500</v>
      </c>
      <c r="AU211" s="229">
        <v>2.0425</v>
      </c>
      <c r="AV211" s="230">
        <v>1285900</v>
      </c>
      <c r="AW211" s="230">
        <v>399850</v>
      </c>
      <c r="AX211" s="230">
        <v>886050</v>
      </c>
      <c r="AY211" s="229">
        <v>2.2160000000000002</v>
      </c>
      <c r="AZ211" s="230">
        <v>124850</v>
      </c>
      <c r="BA211" s="230">
        <v>62700</v>
      </c>
      <c r="BB211" s="230">
        <v>62150</v>
      </c>
      <c r="BC211" s="229">
        <v>0.99119999999999997</v>
      </c>
      <c r="BD211" s="230">
        <v>6600</v>
      </c>
      <c r="BE211" s="230">
        <v>3300</v>
      </c>
      <c r="BF211" s="230">
        <v>3300</v>
      </c>
      <c r="BG211" s="229">
        <v>1</v>
      </c>
      <c r="BH211" s="230">
        <v>5943850</v>
      </c>
      <c r="BI211" s="230">
        <v>1283150</v>
      </c>
      <c r="BJ211" s="230">
        <v>4660700</v>
      </c>
      <c r="BK211" s="229">
        <v>3.6322000000000001</v>
      </c>
      <c r="BL211" s="230">
        <v>914650</v>
      </c>
      <c r="BM211" s="230">
        <v>286000</v>
      </c>
      <c r="BN211" s="230">
        <v>628650</v>
      </c>
      <c r="BO211" s="229">
        <v>2.1981000000000002</v>
      </c>
      <c r="BP211" s="230">
        <v>8275850</v>
      </c>
      <c r="BQ211" s="230">
        <v>2035000</v>
      </c>
      <c r="BR211" s="230">
        <v>6240850</v>
      </c>
      <c r="BS211" s="229">
        <v>3.0668000000000002</v>
      </c>
      <c r="BT211" s="230">
        <v>2024801</v>
      </c>
      <c r="BU211" s="230">
        <v>1036271</v>
      </c>
      <c r="BV211" s="230">
        <v>988530</v>
      </c>
      <c r="BW211" s="229">
        <v>0.95389999999999997</v>
      </c>
      <c r="BX211" s="230">
        <v>4621650</v>
      </c>
      <c r="BY211" s="230">
        <v>4633750</v>
      </c>
      <c r="BZ211" s="230">
        <v>-12100</v>
      </c>
      <c r="CA211" s="229">
        <v>-2.5999999999999999E-3</v>
      </c>
      <c r="CB211" s="230">
        <v>4510000</v>
      </c>
      <c r="CC211" s="230">
        <v>4539700</v>
      </c>
      <c r="CD211" s="230">
        <v>-29700</v>
      </c>
      <c r="CE211" s="229">
        <v>-6.4999999999999997E-3</v>
      </c>
      <c r="CF211" s="230">
        <v>101200</v>
      </c>
      <c r="CG211" s="230">
        <v>83600</v>
      </c>
      <c r="CH211" s="230">
        <v>17600</v>
      </c>
      <c r="CI211" s="229">
        <v>0.21049999999999999</v>
      </c>
      <c r="CJ211" s="230">
        <v>10450</v>
      </c>
      <c r="CK211" s="230">
        <v>10450</v>
      </c>
      <c r="CL211" s="228">
        <v>0</v>
      </c>
      <c r="CM211" s="229">
        <v>0</v>
      </c>
      <c r="CN211" s="230">
        <v>1847450</v>
      </c>
      <c r="CO211" s="230">
        <v>1764950</v>
      </c>
      <c r="CP211" s="230">
        <v>82500</v>
      </c>
      <c r="CQ211" s="229">
        <v>4.6699999999999998E-2</v>
      </c>
      <c r="CR211" s="230">
        <v>765600</v>
      </c>
      <c r="CS211" s="230">
        <v>716650</v>
      </c>
      <c r="CT211" s="230">
        <v>48950</v>
      </c>
      <c r="CU211" s="229">
        <v>6.83E-2</v>
      </c>
      <c r="CV211" s="230">
        <v>7234700</v>
      </c>
      <c r="CW211" s="230">
        <v>7115350</v>
      </c>
      <c r="CX211" s="230">
        <v>119350</v>
      </c>
      <c r="CY211" s="229">
        <v>1.6799999999999999E-2</v>
      </c>
      <c r="CZ211" s="228">
        <v>40.28</v>
      </c>
      <c r="DA211" s="228">
        <v>36.51</v>
      </c>
      <c r="DB211" s="228">
        <v>3.77</v>
      </c>
      <c r="DC211" s="228">
        <v>3.77</v>
      </c>
      <c r="DD211" s="228">
        <v>43</v>
      </c>
      <c r="DE211" s="228">
        <v>42.96</v>
      </c>
      <c r="DF211" s="228">
        <v>-2.72</v>
      </c>
      <c r="DG211" s="228">
        <v>0.04</v>
      </c>
      <c r="DH211" s="228">
        <v>39.67</v>
      </c>
      <c r="DI211" s="228">
        <v>35.64</v>
      </c>
      <c r="DJ211" s="228">
        <v>4.03</v>
      </c>
      <c r="DK211" s="228">
        <v>4.03</v>
      </c>
      <c r="DL211" s="228">
        <v>44.24</v>
      </c>
      <c r="DM211" s="228">
        <v>40.42</v>
      </c>
      <c r="DN211" s="228">
        <v>3.82</v>
      </c>
      <c r="DO211" s="228">
        <v>3.82</v>
      </c>
      <c r="DP211" s="228">
        <v>0.41</v>
      </c>
      <c r="DQ211" s="228">
        <v>0.41</v>
      </c>
      <c r="DR211" s="228">
        <v>0</v>
      </c>
      <c r="DS211" s="229">
        <v>0</v>
      </c>
      <c r="DT211" s="231">
        <v>1200</v>
      </c>
      <c r="DU211" s="231">
        <v>1100</v>
      </c>
      <c r="DV211" s="228">
        <v>0.15</v>
      </c>
      <c r="DW211" s="228">
        <v>0.22</v>
      </c>
      <c r="DX211" s="228">
        <v>-7.0000000000000007E-2</v>
      </c>
      <c r="DY211" s="229">
        <v>-0.31819999999999998</v>
      </c>
      <c r="DZ211" s="229">
        <v>2.4199999999999999E-2</v>
      </c>
      <c r="EA211" s="230">
        <v>94050</v>
      </c>
      <c r="EB211" s="229">
        <v>2.2000000000000001E-3</v>
      </c>
      <c r="EC211" s="229">
        <v>2.4199999999999999E-2</v>
      </c>
      <c r="ED211" s="228">
        <v>5.84</v>
      </c>
      <c r="EE211" s="229">
        <v>5.1999999999999998E-3</v>
      </c>
      <c r="EF211" s="230">
        <v>1129670</v>
      </c>
      <c r="EG211" s="230">
        <v>506014</v>
      </c>
      <c r="EH211" s="229">
        <v>1.2324999999999999</v>
      </c>
      <c r="EI211" s="229">
        <v>0.55789999999999995</v>
      </c>
      <c r="EJ211" s="231">
        <v>70120.23</v>
      </c>
      <c r="EK211" s="231">
        <v>9754.9599999999991</v>
      </c>
      <c r="EL211" s="231">
        <v>15863.51</v>
      </c>
      <c r="EM211" s="231">
        <v>1251</v>
      </c>
      <c r="EN211" s="231">
        <v>95738.7</v>
      </c>
      <c r="EO211" s="231">
        <v>23134.05</v>
      </c>
      <c r="EP211" s="231">
        <v>72604.649999999994</v>
      </c>
      <c r="EQ211" s="229">
        <v>3.1383999999999999</v>
      </c>
      <c r="ER211" s="231">
        <v>21636</v>
      </c>
      <c r="ES211" s="231">
        <v>8062</v>
      </c>
      <c r="ET211" s="231">
        <v>52113</v>
      </c>
      <c r="EU211" s="231">
        <v>27343613</v>
      </c>
      <c r="EV211" s="231">
        <v>81811</v>
      </c>
      <c r="EW211" s="231">
        <v>79062</v>
      </c>
      <c r="EX211" s="231">
        <v>2749</v>
      </c>
      <c r="EY211" s="229">
        <v>3.4799999999999998E-2</v>
      </c>
      <c r="EZ211" s="229">
        <v>0.2646</v>
      </c>
      <c r="FA211" s="227" t="s">
        <v>693</v>
      </c>
      <c r="FB211" s="161">
        <f t="shared" si="5"/>
        <v>0</v>
      </c>
    </row>
    <row r="212" spans="1:158" ht="17.25" thickBot="1" x14ac:dyDescent="0.3">
      <c r="A212" s="226">
        <v>46132</v>
      </c>
      <c r="B212" s="227" t="s">
        <v>498</v>
      </c>
      <c r="C212" s="227" t="s">
        <v>303</v>
      </c>
      <c r="D212" s="228">
        <v>1355</v>
      </c>
      <c r="E212" s="228">
        <v>657.75</v>
      </c>
      <c r="F212" s="228">
        <v>666.35</v>
      </c>
      <c r="G212" s="228">
        <v>-8.6</v>
      </c>
      <c r="H212" s="229">
        <v>-1.29E-2</v>
      </c>
      <c r="I212" s="228">
        <v>656.65</v>
      </c>
      <c r="J212" s="228">
        <v>664.7</v>
      </c>
      <c r="K212" s="228">
        <v>-8.0500000000000007</v>
      </c>
      <c r="L212" s="229">
        <v>-1.21E-2</v>
      </c>
      <c r="M212" s="228">
        <v>657.75</v>
      </c>
      <c r="N212" s="228">
        <v>666.35</v>
      </c>
      <c r="O212" s="228">
        <v>-8.6</v>
      </c>
      <c r="P212" s="229">
        <v>-1.29E-2</v>
      </c>
      <c r="Q212" s="228">
        <v>660.4</v>
      </c>
      <c r="R212" s="228">
        <v>670.3</v>
      </c>
      <c r="S212" s="228">
        <v>-9.9</v>
      </c>
      <c r="T212" s="229">
        <v>-1.4800000000000001E-2</v>
      </c>
      <c r="U212" s="228">
        <v>664.15</v>
      </c>
      <c r="V212" s="228">
        <v>673.5</v>
      </c>
      <c r="W212" s="228">
        <v>-9.35</v>
      </c>
      <c r="X212" s="229">
        <v>-1.3899999999999999E-2</v>
      </c>
      <c r="Y212" s="228">
        <v>1.1000000000000001</v>
      </c>
      <c r="Z212" s="228">
        <v>1.65</v>
      </c>
      <c r="AA212" s="228">
        <v>-0.55000000000000004</v>
      </c>
      <c r="AB212" s="229">
        <v>1.6999999999999999E-3</v>
      </c>
      <c r="AC212" s="228">
        <v>1.1000000000000001</v>
      </c>
      <c r="AD212" s="228">
        <v>1.65</v>
      </c>
      <c r="AE212" s="228">
        <v>-0.55000000000000004</v>
      </c>
      <c r="AF212" s="229">
        <v>1.6999999999999999E-3</v>
      </c>
      <c r="AG212" s="228">
        <v>3.75</v>
      </c>
      <c r="AH212" s="228">
        <v>5.6</v>
      </c>
      <c r="AI212" s="228">
        <v>-1.85</v>
      </c>
      <c r="AJ212" s="229">
        <v>5.7000000000000002E-3</v>
      </c>
      <c r="AK212" s="228">
        <v>7.5</v>
      </c>
      <c r="AL212" s="228">
        <v>8.8000000000000007</v>
      </c>
      <c r="AM212" s="228">
        <v>-1.3</v>
      </c>
      <c r="AN212" s="229">
        <v>1.14E-2</v>
      </c>
      <c r="AO212" s="228">
        <v>663.96</v>
      </c>
      <c r="AP212" s="228">
        <v>665.72</v>
      </c>
      <c r="AQ212" s="228">
        <v>0</v>
      </c>
      <c r="AR212" s="230">
        <v>2216780</v>
      </c>
      <c r="AS212" s="230">
        <v>2760135</v>
      </c>
      <c r="AT212" s="230">
        <v>-543355</v>
      </c>
      <c r="AU212" s="229">
        <v>-0.19689999999999999</v>
      </c>
      <c r="AV212" s="230">
        <v>1666650</v>
      </c>
      <c r="AW212" s="230">
        <v>2483715</v>
      </c>
      <c r="AX212" s="230">
        <v>-817065</v>
      </c>
      <c r="AY212" s="229">
        <v>-0.32900000000000001</v>
      </c>
      <c r="AZ212" s="230">
        <v>531160</v>
      </c>
      <c r="BA212" s="230">
        <v>261515</v>
      </c>
      <c r="BB212" s="230">
        <v>269645</v>
      </c>
      <c r="BC212" s="229">
        <v>1.0310999999999999</v>
      </c>
      <c r="BD212" s="230">
        <v>18970</v>
      </c>
      <c r="BE212" s="230">
        <v>14905</v>
      </c>
      <c r="BF212" s="230">
        <v>4065</v>
      </c>
      <c r="BG212" s="229">
        <v>0.2727</v>
      </c>
      <c r="BH212" s="230">
        <v>5327860</v>
      </c>
      <c r="BI212" s="230">
        <v>7010770</v>
      </c>
      <c r="BJ212" s="230">
        <v>-1682910</v>
      </c>
      <c r="BK212" s="229">
        <v>-0.24</v>
      </c>
      <c r="BL212" s="230">
        <v>3462025</v>
      </c>
      <c r="BM212" s="230">
        <v>5073120</v>
      </c>
      <c r="BN212" s="230">
        <v>-1611095</v>
      </c>
      <c r="BO212" s="229">
        <v>-0.31759999999999999</v>
      </c>
      <c r="BP212" s="230">
        <v>11006665</v>
      </c>
      <c r="BQ212" s="230">
        <v>14844025</v>
      </c>
      <c r="BR212" s="230">
        <v>-3837360</v>
      </c>
      <c r="BS212" s="229">
        <v>-0.25850000000000001</v>
      </c>
      <c r="BT212" s="230">
        <v>1339799</v>
      </c>
      <c r="BU212" s="230">
        <v>1048154</v>
      </c>
      <c r="BV212" s="230">
        <v>291645</v>
      </c>
      <c r="BW212" s="229">
        <v>0.2782</v>
      </c>
      <c r="BX212" s="230">
        <v>30296445</v>
      </c>
      <c r="BY212" s="230">
        <v>30086420</v>
      </c>
      <c r="BZ212" s="230">
        <v>210025</v>
      </c>
      <c r="CA212" s="229">
        <v>7.0000000000000001E-3</v>
      </c>
      <c r="CB212" s="230">
        <v>29207025</v>
      </c>
      <c r="CC212" s="230">
        <v>29204315</v>
      </c>
      <c r="CD212" s="230">
        <v>2710</v>
      </c>
      <c r="CE212" s="229">
        <v>1E-4</v>
      </c>
      <c r="CF212" s="230">
        <v>1033865</v>
      </c>
      <c r="CG212" s="230">
        <v>833325</v>
      </c>
      <c r="CH212" s="230">
        <v>200540</v>
      </c>
      <c r="CI212" s="229">
        <v>0.2407</v>
      </c>
      <c r="CJ212" s="230">
        <v>55555</v>
      </c>
      <c r="CK212" s="230">
        <v>48780</v>
      </c>
      <c r="CL212" s="230">
        <v>6775</v>
      </c>
      <c r="CM212" s="229">
        <v>0.1389</v>
      </c>
      <c r="CN212" s="230">
        <v>9914535</v>
      </c>
      <c r="CO212" s="230">
        <v>9867110</v>
      </c>
      <c r="CP212" s="230">
        <v>47425</v>
      </c>
      <c r="CQ212" s="229">
        <v>4.7999999999999996E-3</v>
      </c>
      <c r="CR212" s="230">
        <v>7418625</v>
      </c>
      <c r="CS212" s="230">
        <v>7365780</v>
      </c>
      <c r="CT212" s="230">
        <v>52845</v>
      </c>
      <c r="CU212" s="229">
        <v>7.1999999999999998E-3</v>
      </c>
      <c r="CV212" s="230">
        <v>47629605</v>
      </c>
      <c r="CW212" s="230">
        <v>47319310</v>
      </c>
      <c r="CX212" s="230">
        <v>310295</v>
      </c>
      <c r="CY212" s="229">
        <v>6.6E-3</v>
      </c>
      <c r="CZ212" s="228">
        <v>35.35</v>
      </c>
      <c r="DA212" s="228">
        <v>31.9</v>
      </c>
      <c r="DB212" s="228">
        <v>3.45</v>
      </c>
      <c r="DC212" s="228">
        <v>3.45</v>
      </c>
      <c r="DD212" s="228">
        <v>41.89</v>
      </c>
      <c r="DE212" s="228">
        <v>41.96</v>
      </c>
      <c r="DF212" s="228">
        <v>-6.54</v>
      </c>
      <c r="DG212" s="228">
        <v>-7.0000000000000007E-2</v>
      </c>
      <c r="DH212" s="228">
        <v>33.700000000000003</v>
      </c>
      <c r="DI212" s="228">
        <v>30.36</v>
      </c>
      <c r="DJ212" s="228">
        <v>3.34</v>
      </c>
      <c r="DK212" s="228">
        <v>3.34</v>
      </c>
      <c r="DL212" s="228">
        <v>37.89</v>
      </c>
      <c r="DM212" s="228">
        <v>34.03</v>
      </c>
      <c r="DN212" s="228">
        <v>3.86</v>
      </c>
      <c r="DO212" s="228">
        <v>3.86</v>
      </c>
      <c r="DP212" s="228">
        <v>0.75</v>
      </c>
      <c r="DQ212" s="228">
        <v>0.75</v>
      </c>
      <c r="DR212" s="228">
        <v>0</v>
      </c>
      <c r="DS212" s="229">
        <v>0</v>
      </c>
      <c r="DT212" s="228">
        <v>700</v>
      </c>
      <c r="DU212" s="228">
        <v>600</v>
      </c>
      <c r="DV212" s="228">
        <v>0.65</v>
      </c>
      <c r="DW212" s="228">
        <v>0.72</v>
      </c>
      <c r="DX212" s="228">
        <v>-7.0000000000000007E-2</v>
      </c>
      <c r="DY212" s="229">
        <v>-9.7199999999999995E-2</v>
      </c>
      <c r="DZ212" s="229">
        <v>3.5999999999999997E-2</v>
      </c>
      <c r="EA212" s="230">
        <v>882105</v>
      </c>
      <c r="EB212" s="229">
        <v>4.0000000000000001E-3</v>
      </c>
      <c r="EC212" s="229">
        <v>3.5999999999999997E-2</v>
      </c>
      <c r="ED212" s="228">
        <v>1.76</v>
      </c>
      <c r="EE212" s="229">
        <v>2.7000000000000001E-3</v>
      </c>
      <c r="EF212" s="230">
        <v>707147</v>
      </c>
      <c r="EG212" s="230">
        <v>494352</v>
      </c>
      <c r="EH212" s="229">
        <v>0.43049999999999999</v>
      </c>
      <c r="EI212" s="229">
        <v>0.52780000000000005</v>
      </c>
      <c r="EJ212" s="231">
        <v>36693.67</v>
      </c>
      <c r="EK212" s="231">
        <v>22388.34</v>
      </c>
      <c r="EL212" s="231">
        <v>14728.86</v>
      </c>
      <c r="EM212" s="231">
        <v>2644</v>
      </c>
      <c r="EN212" s="231">
        <v>73810.87</v>
      </c>
      <c r="EO212" s="231">
        <v>99964.25</v>
      </c>
      <c r="EP212" s="231">
        <v>-26153.38</v>
      </c>
      <c r="EQ212" s="229">
        <v>-0.2616</v>
      </c>
      <c r="ER212" s="231">
        <v>64002</v>
      </c>
      <c r="ES212" s="231">
        <v>45738</v>
      </c>
      <c r="ET212" s="231">
        <v>199306</v>
      </c>
      <c r="EU212" s="231">
        <v>84189026</v>
      </c>
      <c r="EV212" s="231">
        <v>309045</v>
      </c>
      <c r="EW212" s="231">
        <v>309607</v>
      </c>
      <c r="EX212" s="228">
        <v>-562</v>
      </c>
      <c r="EY212" s="229">
        <v>-1.8E-3</v>
      </c>
      <c r="EZ212" s="229">
        <v>0.56569999999999998</v>
      </c>
      <c r="FA212" s="227" t="s">
        <v>566</v>
      </c>
      <c r="FB212" s="161">
        <f t="shared" si="5"/>
        <v>0</v>
      </c>
    </row>
    <row r="213" spans="1:158" ht="17.25" thickBot="1" x14ac:dyDescent="0.3">
      <c r="A213" s="226">
        <v>46132</v>
      </c>
      <c r="B213" s="227" t="s">
        <v>168</v>
      </c>
      <c r="C213" s="227" t="s">
        <v>585</v>
      </c>
      <c r="D213" s="228">
        <v>1125</v>
      </c>
      <c r="E213" s="228">
        <v>467.75</v>
      </c>
      <c r="F213" s="228">
        <v>473.65</v>
      </c>
      <c r="G213" s="228">
        <v>-5.9</v>
      </c>
      <c r="H213" s="229">
        <v>-1.2500000000000001E-2</v>
      </c>
      <c r="I213" s="228">
        <v>466.55</v>
      </c>
      <c r="J213" s="228">
        <v>473.9</v>
      </c>
      <c r="K213" s="228">
        <v>-7.35</v>
      </c>
      <c r="L213" s="229">
        <v>-1.55E-2</v>
      </c>
      <c r="M213" s="228">
        <v>467.75</v>
      </c>
      <c r="N213" s="228">
        <v>473.65</v>
      </c>
      <c r="O213" s="228">
        <v>-5.9</v>
      </c>
      <c r="P213" s="229">
        <v>-1.2500000000000001E-2</v>
      </c>
      <c r="Q213" s="228">
        <v>469.5</v>
      </c>
      <c r="R213" s="228">
        <v>475.95</v>
      </c>
      <c r="S213" s="228">
        <v>-6.45</v>
      </c>
      <c r="T213" s="229">
        <v>-1.3599999999999999E-2</v>
      </c>
      <c r="U213" s="228">
        <v>472.1</v>
      </c>
      <c r="V213" s="228">
        <v>478.65</v>
      </c>
      <c r="W213" s="228">
        <v>-6.55</v>
      </c>
      <c r="X213" s="229">
        <v>-1.37E-2</v>
      </c>
      <c r="Y213" s="228">
        <v>1.2</v>
      </c>
      <c r="Z213" s="228">
        <v>-0.25</v>
      </c>
      <c r="AA213" s="228">
        <v>1.45</v>
      </c>
      <c r="AB213" s="229">
        <v>2.5999999999999999E-3</v>
      </c>
      <c r="AC213" s="228">
        <v>1.2</v>
      </c>
      <c r="AD213" s="228">
        <v>-0.25</v>
      </c>
      <c r="AE213" s="228">
        <v>1.45</v>
      </c>
      <c r="AF213" s="229">
        <v>2.5999999999999999E-3</v>
      </c>
      <c r="AG213" s="228">
        <v>2.95</v>
      </c>
      <c r="AH213" s="228">
        <v>2.0499999999999998</v>
      </c>
      <c r="AI213" s="228">
        <v>0.9</v>
      </c>
      <c r="AJ213" s="229">
        <v>6.3E-3</v>
      </c>
      <c r="AK213" s="228">
        <v>5.55</v>
      </c>
      <c r="AL213" s="228">
        <v>4.75</v>
      </c>
      <c r="AM213" s="228">
        <v>0.8</v>
      </c>
      <c r="AN213" s="229">
        <v>1.1900000000000001E-2</v>
      </c>
      <c r="AO213" s="228">
        <v>471.08</v>
      </c>
      <c r="AP213" s="228">
        <v>473.59</v>
      </c>
      <c r="AQ213" s="228">
        <v>0</v>
      </c>
      <c r="AR213" s="230">
        <v>7588125</v>
      </c>
      <c r="AS213" s="230">
        <v>15298875</v>
      </c>
      <c r="AT213" s="230">
        <v>-7710750</v>
      </c>
      <c r="AU213" s="229">
        <v>-0.504</v>
      </c>
      <c r="AV213" s="230">
        <v>6166125</v>
      </c>
      <c r="AW213" s="230">
        <v>13839750</v>
      </c>
      <c r="AX213" s="230">
        <v>-7673625</v>
      </c>
      <c r="AY213" s="229">
        <v>-0.55449999999999999</v>
      </c>
      <c r="AZ213" s="230">
        <v>1324125</v>
      </c>
      <c r="BA213" s="230">
        <v>1283625</v>
      </c>
      <c r="BB213" s="230">
        <v>40500</v>
      </c>
      <c r="BC213" s="229">
        <v>3.1600000000000003E-2</v>
      </c>
      <c r="BD213" s="230">
        <v>97875</v>
      </c>
      <c r="BE213" s="230">
        <v>175500</v>
      </c>
      <c r="BF213" s="230">
        <v>-77625</v>
      </c>
      <c r="BG213" s="229">
        <v>-0.44230000000000003</v>
      </c>
      <c r="BH213" s="230">
        <v>14440500</v>
      </c>
      <c r="BI213" s="230">
        <v>34314750</v>
      </c>
      <c r="BJ213" s="230">
        <v>-19874250</v>
      </c>
      <c r="BK213" s="229">
        <v>-0.57920000000000005</v>
      </c>
      <c r="BL213" s="230">
        <v>7191000</v>
      </c>
      <c r="BM213" s="230">
        <v>15423750</v>
      </c>
      <c r="BN213" s="230">
        <v>-8232750</v>
      </c>
      <c r="BO213" s="229">
        <v>-0.53380000000000005</v>
      </c>
      <c r="BP213" s="230">
        <v>29219625</v>
      </c>
      <c r="BQ213" s="230">
        <v>65037375</v>
      </c>
      <c r="BR213" s="230">
        <v>-35817750</v>
      </c>
      <c r="BS213" s="229">
        <v>-0.55069999999999997</v>
      </c>
      <c r="BT213" s="230">
        <v>6347920</v>
      </c>
      <c r="BU213" s="230">
        <v>13589729</v>
      </c>
      <c r="BV213" s="230">
        <v>-7241809</v>
      </c>
      <c r="BW213" s="229">
        <v>-0.53290000000000004</v>
      </c>
      <c r="BX213" s="230">
        <v>49225500</v>
      </c>
      <c r="BY213" s="230">
        <v>47617875</v>
      </c>
      <c r="BZ213" s="230">
        <v>1607625</v>
      </c>
      <c r="CA213" s="229">
        <v>3.3799999999999997E-2</v>
      </c>
      <c r="CB213" s="230">
        <v>46780875</v>
      </c>
      <c r="CC213" s="230">
        <v>45625500</v>
      </c>
      <c r="CD213" s="230">
        <v>1155375</v>
      </c>
      <c r="CE213" s="229">
        <v>2.53E-2</v>
      </c>
      <c r="CF213" s="230">
        <v>2244375</v>
      </c>
      <c r="CG213" s="230">
        <v>1801125</v>
      </c>
      <c r="CH213" s="230">
        <v>443250</v>
      </c>
      <c r="CI213" s="229">
        <v>0.24610000000000001</v>
      </c>
      <c r="CJ213" s="230">
        <v>200250</v>
      </c>
      <c r="CK213" s="230">
        <v>191250</v>
      </c>
      <c r="CL213" s="230">
        <v>9000</v>
      </c>
      <c r="CM213" s="229">
        <v>4.7100000000000003E-2</v>
      </c>
      <c r="CN213" s="230">
        <v>18186750</v>
      </c>
      <c r="CO213" s="230">
        <v>16292250</v>
      </c>
      <c r="CP213" s="230">
        <v>1894500</v>
      </c>
      <c r="CQ213" s="229">
        <v>0.1163</v>
      </c>
      <c r="CR213" s="230">
        <v>10614375</v>
      </c>
      <c r="CS213" s="230">
        <v>10098000</v>
      </c>
      <c r="CT213" s="230">
        <v>516375</v>
      </c>
      <c r="CU213" s="229">
        <v>5.11E-2</v>
      </c>
      <c r="CV213" s="230">
        <v>78026625</v>
      </c>
      <c r="CW213" s="230">
        <v>74008125</v>
      </c>
      <c r="CX213" s="230">
        <v>4018500</v>
      </c>
      <c r="CY213" s="229">
        <v>5.4300000000000001E-2</v>
      </c>
      <c r="CZ213" s="228">
        <v>41.13</v>
      </c>
      <c r="DA213" s="228">
        <v>36.979999999999997</v>
      </c>
      <c r="DB213" s="228">
        <v>4.1500000000000004</v>
      </c>
      <c r="DC213" s="228">
        <v>4.1500000000000004</v>
      </c>
      <c r="DD213" s="228">
        <v>38.29</v>
      </c>
      <c r="DE213" s="228">
        <v>38.33</v>
      </c>
      <c r="DF213" s="228">
        <v>2.84</v>
      </c>
      <c r="DG213" s="228">
        <v>-0.04</v>
      </c>
      <c r="DH213" s="228">
        <v>42.05</v>
      </c>
      <c r="DI213" s="228">
        <v>36.880000000000003</v>
      </c>
      <c r="DJ213" s="228">
        <v>5.17</v>
      </c>
      <c r="DK213" s="228">
        <v>5.17</v>
      </c>
      <c r="DL213" s="228">
        <v>39.28</v>
      </c>
      <c r="DM213" s="228">
        <v>37.19</v>
      </c>
      <c r="DN213" s="228">
        <v>2.09</v>
      </c>
      <c r="DO213" s="228">
        <v>2.09</v>
      </c>
      <c r="DP213" s="228">
        <v>0.57999999999999996</v>
      </c>
      <c r="DQ213" s="228">
        <v>0.62</v>
      </c>
      <c r="DR213" s="228">
        <v>-0.04</v>
      </c>
      <c r="DS213" s="229">
        <v>-6.4500000000000002E-2</v>
      </c>
      <c r="DT213" s="228">
        <v>500</v>
      </c>
      <c r="DU213" s="228">
        <v>420</v>
      </c>
      <c r="DV213" s="228">
        <v>0.5</v>
      </c>
      <c r="DW213" s="228">
        <v>0.45</v>
      </c>
      <c r="DX213" s="228">
        <v>0.05</v>
      </c>
      <c r="DY213" s="229">
        <v>0.1111</v>
      </c>
      <c r="DZ213" s="229">
        <v>4.9700000000000001E-2</v>
      </c>
      <c r="EA213" s="230">
        <v>1992375</v>
      </c>
      <c r="EB213" s="229">
        <v>3.7000000000000002E-3</v>
      </c>
      <c r="EC213" s="229">
        <v>4.9700000000000001E-2</v>
      </c>
      <c r="ED213" s="228">
        <v>2.5099999999999998</v>
      </c>
      <c r="EE213" s="229">
        <v>5.3E-3</v>
      </c>
      <c r="EF213" s="230">
        <v>3766257</v>
      </c>
      <c r="EG213" s="230">
        <v>7699696</v>
      </c>
      <c r="EH213" s="229">
        <v>-0.51090000000000002</v>
      </c>
      <c r="EI213" s="229">
        <v>0.59330000000000005</v>
      </c>
      <c r="EJ213" s="231">
        <v>71201.320000000007</v>
      </c>
      <c r="EK213" s="231">
        <v>33217.699999999997</v>
      </c>
      <c r="EL213" s="231">
        <v>35785.120000000003</v>
      </c>
      <c r="EM213" s="231">
        <v>9859</v>
      </c>
      <c r="EN213" s="231">
        <v>140204.14000000001</v>
      </c>
      <c r="EO213" s="231">
        <v>310766.09000000003</v>
      </c>
      <c r="EP213" s="231">
        <v>-170561.95</v>
      </c>
      <c r="EQ213" s="229">
        <v>-0.54879999999999995</v>
      </c>
      <c r="ER213" s="231">
        <v>85337</v>
      </c>
      <c r="ES213" s="231">
        <v>45461</v>
      </c>
      <c r="ET213" s="231">
        <v>230300</v>
      </c>
      <c r="EU213" s="231">
        <v>205765243</v>
      </c>
      <c r="EV213" s="231">
        <v>361098</v>
      </c>
      <c r="EW213" s="231">
        <v>344293</v>
      </c>
      <c r="EX213" s="231">
        <v>16805</v>
      </c>
      <c r="EY213" s="229">
        <v>4.8800000000000003E-2</v>
      </c>
      <c r="EZ213" s="229">
        <v>0.37919999999999998</v>
      </c>
      <c r="FA213" s="227" t="s">
        <v>566</v>
      </c>
      <c r="FB213" s="161">
        <f t="shared" si="5"/>
        <v>0</v>
      </c>
    </row>
    <row r="214" spans="1:158" ht="17.25" thickBot="1" x14ac:dyDescent="0.3">
      <c r="A214" s="226">
        <v>46132</v>
      </c>
      <c r="B214" s="227" t="s">
        <v>227</v>
      </c>
      <c r="C214" s="227" t="s">
        <v>304</v>
      </c>
      <c r="D214" s="228">
        <v>1150</v>
      </c>
      <c r="E214" s="228">
        <v>772.45</v>
      </c>
      <c r="F214" s="228">
        <v>788.75</v>
      </c>
      <c r="G214" s="228">
        <v>-16.3</v>
      </c>
      <c r="H214" s="229">
        <v>-2.07E-2</v>
      </c>
      <c r="I214" s="228">
        <v>771</v>
      </c>
      <c r="J214" s="228">
        <v>787.5</v>
      </c>
      <c r="K214" s="228">
        <v>-16.5</v>
      </c>
      <c r="L214" s="229">
        <v>-2.1000000000000001E-2</v>
      </c>
      <c r="M214" s="228">
        <v>772.45</v>
      </c>
      <c r="N214" s="228">
        <v>788.75</v>
      </c>
      <c r="O214" s="228">
        <v>-16.3</v>
      </c>
      <c r="P214" s="229">
        <v>-2.07E-2</v>
      </c>
      <c r="Q214" s="228">
        <v>775.55</v>
      </c>
      <c r="R214" s="228">
        <v>791.8</v>
      </c>
      <c r="S214" s="228">
        <v>-16.25</v>
      </c>
      <c r="T214" s="229">
        <v>-2.0500000000000001E-2</v>
      </c>
      <c r="U214" s="228">
        <v>777.05</v>
      </c>
      <c r="V214" s="228">
        <v>792.05</v>
      </c>
      <c r="W214" s="228">
        <v>-15</v>
      </c>
      <c r="X214" s="229">
        <v>-1.89E-2</v>
      </c>
      <c r="Y214" s="228">
        <v>1.45</v>
      </c>
      <c r="Z214" s="228">
        <v>1.25</v>
      </c>
      <c r="AA214" s="228">
        <v>0.2</v>
      </c>
      <c r="AB214" s="229">
        <v>1.9E-3</v>
      </c>
      <c r="AC214" s="228">
        <v>1.45</v>
      </c>
      <c r="AD214" s="228">
        <v>1.25</v>
      </c>
      <c r="AE214" s="228">
        <v>0.2</v>
      </c>
      <c r="AF214" s="229">
        <v>1.9E-3</v>
      </c>
      <c r="AG214" s="228">
        <v>4.55</v>
      </c>
      <c r="AH214" s="228">
        <v>4.3</v>
      </c>
      <c r="AI214" s="228">
        <v>0.25</v>
      </c>
      <c r="AJ214" s="229">
        <v>5.8999999999999999E-3</v>
      </c>
      <c r="AK214" s="228">
        <v>6.05</v>
      </c>
      <c r="AL214" s="228">
        <v>4.55</v>
      </c>
      <c r="AM214" s="228">
        <v>1.5</v>
      </c>
      <c r="AN214" s="229">
        <v>7.7999999999999996E-3</v>
      </c>
      <c r="AO214" s="228">
        <v>777.59</v>
      </c>
      <c r="AP214" s="228">
        <v>779.94</v>
      </c>
      <c r="AQ214" s="228">
        <v>0</v>
      </c>
      <c r="AR214" s="230">
        <v>9669200</v>
      </c>
      <c r="AS214" s="230">
        <v>11163050</v>
      </c>
      <c r="AT214" s="230">
        <v>-1493850</v>
      </c>
      <c r="AU214" s="229">
        <v>-0.1338</v>
      </c>
      <c r="AV214" s="230">
        <v>6722900</v>
      </c>
      <c r="AW214" s="230">
        <v>9067750</v>
      </c>
      <c r="AX214" s="230">
        <v>-2344850</v>
      </c>
      <c r="AY214" s="229">
        <v>-0.2586</v>
      </c>
      <c r="AZ214" s="230">
        <v>2745050</v>
      </c>
      <c r="BA214" s="230">
        <v>1877950</v>
      </c>
      <c r="BB214" s="230">
        <v>867100</v>
      </c>
      <c r="BC214" s="229">
        <v>0.4617</v>
      </c>
      <c r="BD214" s="230">
        <v>201250</v>
      </c>
      <c r="BE214" s="230">
        <v>217350</v>
      </c>
      <c r="BF214" s="230">
        <v>-16100</v>
      </c>
      <c r="BG214" s="229">
        <v>-7.4099999999999999E-2</v>
      </c>
      <c r="BH214" s="230">
        <v>29736700</v>
      </c>
      <c r="BI214" s="230">
        <v>46672750</v>
      </c>
      <c r="BJ214" s="230">
        <v>-16936050</v>
      </c>
      <c r="BK214" s="229">
        <v>-0.3629</v>
      </c>
      <c r="BL214" s="230">
        <v>21526850</v>
      </c>
      <c r="BM214" s="230">
        <v>32458750</v>
      </c>
      <c r="BN214" s="230">
        <v>-10931900</v>
      </c>
      <c r="BO214" s="229">
        <v>-0.33679999999999999</v>
      </c>
      <c r="BP214" s="230">
        <v>60932750</v>
      </c>
      <c r="BQ214" s="230">
        <v>90294550</v>
      </c>
      <c r="BR214" s="230">
        <v>-29361800</v>
      </c>
      <c r="BS214" s="229">
        <v>-0.32519999999999999</v>
      </c>
      <c r="BT214" s="230">
        <v>11324320</v>
      </c>
      <c r="BU214" s="230">
        <v>10545095</v>
      </c>
      <c r="BV214" s="230">
        <v>779225</v>
      </c>
      <c r="BW214" s="229">
        <v>7.3899999999999993E-2</v>
      </c>
      <c r="BX214" s="230">
        <v>52932200</v>
      </c>
      <c r="BY214" s="230">
        <v>52016800</v>
      </c>
      <c r="BZ214" s="230">
        <v>915400</v>
      </c>
      <c r="CA214" s="229">
        <v>1.7600000000000001E-2</v>
      </c>
      <c r="CB214" s="230">
        <v>48019400</v>
      </c>
      <c r="CC214" s="230">
        <v>48738150</v>
      </c>
      <c r="CD214" s="230">
        <v>-718750</v>
      </c>
      <c r="CE214" s="229">
        <v>-1.47E-2</v>
      </c>
      <c r="CF214" s="230">
        <v>4539050</v>
      </c>
      <c r="CG214" s="230">
        <v>2972750</v>
      </c>
      <c r="CH214" s="230">
        <v>1566300</v>
      </c>
      <c r="CI214" s="229">
        <v>0.52690000000000003</v>
      </c>
      <c r="CJ214" s="230">
        <v>373750</v>
      </c>
      <c r="CK214" s="230">
        <v>305900</v>
      </c>
      <c r="CL214" s="230">
        <v>67850</v>
      </c>
      <c r="CM214" s="229">
        <v>0.2218</v>
      </c>
      <c r="CN214" s="230">
        <v>33770900</v>
      </c>
      <c r="CO214" s="230">
        <v>31131650</v>
      </c>
      <c r="CP214" s="230">
        <v>2639250</v>
      </c>
      <c r="CQ214" s="229">
        <v>8.48E-2</v>
      </c>
      <c r="CR214" s="230">
        <v>30239250</v>
      </c>
      <c r="CS214" s="230">
        <v>30624500</v>
      </c>
      <c r="CT214" s="230">
        <v>-385250</v>
      </c>
      <c r="CU214" s="229">
        <v>-1.26E-2</v>
      </c>
      <c r="CV214" s="230">
        <v>116942350</v>
      </c>
      <c r="CW214" s="230">
        <v>113772950</v>
      </c>
      <c r="CX214" s="230">
        <v>3169400</v>
      </c>
      <c r="CY214" s="229">
        <v>2.7900000000000001E-2</v>
      </c>
      <c r="CZ214" s="228">
        <v>38.450000000000003</v>
      </c>
      <c r="DA214" s="228">
        <v>35.01</v>
      </c>
      <c r="DB214" s="228">
        <v>3.44</v>
      </c>
      <c r="DC214" s="228">
        <v>3.44</v>
      </c>
      <c r="DD214" s="228">
        <v>40.81</v>
      </c>
      <c r="DE214" s="228">
        <v>40.81</v>
      </c>
      <c r="DF214" s="228">
        <v>-2.36</v>
      </c>
      <c r="DG214" s="228">
        <v>0</v>
      </c>
      <c r="DH214" s="228">
        <v>37.96</v>
      </c>
      <c r="DI214" s="228">
        <v>33.619999999999997</v>
      </c>
      <c r="DJ214" s="228">
        <v>4.34</v>
      </c>
      <c r="DK214" s="228">
        <v>4.34</v>
      </c>
      <c r="DL214" s="228">
        <v>39.130000000000003</v>
      </c>
      <c r="DM214" s="228">
        <v>37.01</v>
      </c>
      <c r="DN214" s="228">
        <v>2.12</v>
      </c>
      <c r="DO214" s="228">
        <v>2.12</v>
      </c>
      <c r="DP214" s="228">
        <v>0.9</v>
      </c>
      <c r="DQ214" s="228">
        <v>0.98</v>
      </c>
      <c r="DR214" s="228">
        <v>-0.08</v>
      </c>
      <c r="DS214" s="229">
        <v>-8.1600000000000006E-2</v>
      </c>
      <c r="DT214" s="228">
        <v>800</v>
      </c>
      <c r="DU214" s="228">
        <v>700</v>
      </c>
      <c r="DV214" s="228">
        <v>0.72</v>
      </c>
      <c r="DW214" s="228">
        <v>0.7</v>
      </c>
      <c r="DX214" s="228">
        <v>0.02</v>
      </c>
      <c r="DY214" s="229">
        <v>2.86E-2</v>
      </c>
      <c r="DZ214" s="229">
        <v>9.2799999999999994E-2</v>
      </c>
      <c r="EA214" s="230">
        <v>3278650</v>
      </c>
      <c r="EB214" s="229">
        <v>4.0000000000000001E-3</v>
      </c>
      <c r="EC214" s="229">
        <v>9.2799999999999994E-2</v>
      </c>
      <c r="ED214" s="228">
        <v>2.35</v>
      </c>
      <c r="EE214" s="229">
        <v>3.0000000000000001E-3</v>
      </c>
      <c r="EF214" s="230">
        <v>5782546</v>
      </c>
      <c r="EG214" s="230">
        <v>4404559</v>
      </c>
      <c r="EH214" s="229">
        <v>0.31290000000000001</v>
      </c>
      <c r="EI214" s="229">
        <v>0.51060000000000005</v>
      </c>
      <c r="EJ214" s="231">
        <v>241478.19</v>
      </c>
      <c r="EK214" s="231">
        <v>164200.31</v>
      </c>
      <c r="EL214" s="231">
        <v>75258.91</v>
      </c>
      <c r="EM214" s="231">
        <v>11364</v>
      </c>
      <c r="EN214" s="231">
        <v>480937.41</v>
      </c>
      <c r="EO214" s="231">
        <v>714654.32</v>
      </c>
      <c r="EP214" s="231">
        <v>-233716.91</v>
      </c>
      <c r="EQ214" s="229">
        <v>-0.32700000000000001</v>
      </c>
      <c r="ER214" s="231">
        <v>258566</v>
      </c>
      <c r="ES214" s="231">
        <v>213446</v>
      </c>
      <c r="ET214" s="231">
        <v>409033</v>
      </c>
      <c r="EU214" s="231">
        <v>255495438</v>
      </c>
      <c r="EV214" s="231">
        <v>881045</v>
      </c>
      <c r="EW214" s="231">
        <v>863008</v>
      </c>
      <c r="EX214" s="231">
        <v>18037</v>
      </c>
      <c r="EY214" s="229">
        <v>2.0899999999999998E-2</v>
      </c>
      <c r="EZ214" s="229">
        <v>0.4577</v>
      </c>
      <c r="FA214" s="227" t="s">
        <v>566</v>
      </c>
      <c r="FB214" s="161">
        <f t="shared" si="5"/>
        <v>0</v>
      </c>
    </row>
    <row r="215" spans="1:158" ht="17.25" thickBot="1" x14ac:dyDescent="0.3">
      <c r="A215" s="226">
        <v>46132</v>
      </c>
      <c r="B215" s="227" t="s">
        <v>614</v>
      </c>
      <c r="C215" s="227" t="s">
        <v>697</v>
      </c>
      <c r="D215" s="228">
        <v>4850</v>
      </c>
      <c r="E215" s="228">
        <v>118.48</v>
      </c>
      <c r="F215" s="228">
        <v>118.85</v>
      </c>
      <c r="G215" s="228">
        <v>-0.37</v>
      </c>
      <c r="H215" s="229">
        <v>-3.0999999999999999E-3</v>
      </c>
      <c r="I215" s="228">
        <v>118.61</v>
      </c>
      <c r="J215" s="228">
        <v>118.95</v>
      </c>
      <c r="K215" s="228">
        <v>-0.34</v>
      </c>
      <c r="L215" s="229">
        <v>-2.8999999999999998E-3</v>
      </c>
      <c r="M215" s="228">
        <v>118.48</v>
      </c>
      <c r="N215" s="228">
        <v>118.85</v>
      </c>
      <c r="O215" s="228">
        <v>-0.37</v>
      </c>
      <c r="P215" s="229">
        <v>-3.0999999999999999E-3</v>
      </c>
      <c r="Q215" s="228">
        <v>118.75</v>
      </c>
      <c r="R215" s="228">
        <v>119.2</v>
      </c>
      <c r="S215" s="228">
        <v>-0.45</v>
      </c>
      <c r="T215" s="229">
        <v>-3.8E-3</v>
      </c>
      <c r="U215" s="228">
        <v>118.01</v>
      </c>
      <c r="V215" s="228">
        <v>118.72</v>
      </c>
      <c r="W215" s="228">
        <v>-0.71</v>
      </c>
      <c r="X215" s="229">
        <v>-6.0000000000000001E-3</v>
      </c>
      <c r="Y215" s="228">
        <v>-0.13</v>
      </c>
      <c r="Z215" s="228">
        <v>-0.1</v>
      </c>
      <c r="AA215" s="228">
        <v>-0.03</v>
      </c>
      <c r="AB215" s="229">
        <v>-1.1000000000000001E-3</v>
      </c>
      <c r="AC215" s="228">
        <v>-0.13</v>
      </c>
      <c r="AD215" s="228">
        <v>-0.1</v>
      </c>
      <c r="AE215" s="228">
        <v>-0.03</v>
      </c>
      <c r="AF215" s="229">
        <v>-1.1000000000000001E-3</v>
      </c>
      <c r="AG215" s="228">
        <v>0.14000000000000001</v>
      </c>
      <c r="AH215" s="228">
        <v>0.25</v>
      </c>
      <c r="AI215" s="228">
        <v>-0.11</v>
      </c>
      <c r="AJ215" s="229">
        <v>1.1999999999999999E-3</v>
      </c>
      <c r="AK215" s="228">
        <v>-0.6</v>
      </c>
      <c r="AL215" s="228">
        <v>-0.23</v>
      </c>
      <c r="AM215" s="228">
        <v>-0.37</v>
      </c>
      <c r="AN215" s="229">
        <v>-5.1000000000000004E-3</v>
      </c>
      <c r="AO215" s="228">
        <v>118.47</v>
      </c>
      <c r="AP215" s="228">
        <v>118.77</v>
      </c>
      <c r="AQ215" s="228">
        <v>0</v>
      </c>
      <c r="AR215" s="230">
        <v>6479600</v>
      </c>
      <c r="AS215" s="230">
        <v>12837950</v>
      </c>
      <c r="AT215" s="230">
        <v>-6358350</v>
      </c>
      <c r="AU215" s="229">
        <v>-0.49530000000000002</v>
      </c>
      <c r="AV215" s="230">
        <v>5742400</v>
      </c>
      <c r="AW215" s="230">
        <v>12120150</v>
      </c>
      <c r="AX215" s="230">
        <v>-6377750</v>
      </c>
      <c r="AY215" s="229">
        <v>-0.5262</v>
      </c>
      <c r="AZ215" s="230">
        <v>727500</v>
      </c>
      <c r="BA215" s="230">
        <v>693550</v>
      </c>
      <c r="BB215" s="230">
        <v>33950</v>
      </c>
      <c r="BC215" s="229">
        <v>4.9000000000000002E-2</v>
      </c>
      <c r="BD215" s="230">
        <v>9700</v>
      </c>
      <c r="BE215" s="230">
        <v>24250</v>
      </c>
      <c r="BF215" s="230">
        <v>-14550</v>
      </c>
      <c r="BG215" s="229">
        <v>-0.6</v>
      </c>
      <c r="BH215" s="230">
        <v>5756950</v>
      </c>
      <c r="BI215" s="230">
        <v>12799150</v>
      </c>
      <c r="BJ215" s="230">
        <v>-7042200</v>
      </c>
      <c r="BK215" s="229">
        <v>-0.55020000000000002</v>
      </c>
      <c r="BL215" s="230">
        <v>1396800</v>
      </c>
      <c r="BM215" s="230">
        <v>2216450</v>
      </c>
      <c r="BN215" s="230">
        <v>-819650</v>
      </c>
      <c r="BO215" s="229">
        <v>-0.36980000000000002</v>
      </c>
      <c r="BP215" s="230">
        <v>13633350</v>
      </c>
      <c r="BQ215" s="230">
        <v>27853550</v>
      </c>
      <c r="BR215" s="230">
        <v>-14220200</v>
      </c>
      <c r="BS215" s="229">
        <v>-0.51049999999999995</v>
      </c>
      <c r="BT215" s="230">
        <v>11543591</v>
      </c>
      <c r="BU215" s="230">
        <v>30756989</v>
      </c>
      <c r="BV215" s="230">
        <v>-19213398</v>
      </c>
      <c r="BW215" s="229">
        <v>-0.62470000000000003</v>
      </c>
      <c r="BX215" s="230">
        <v>28163950</v>
      </c>
      <c r="BY215" s="230">
        <v>27601350</v>
      </c>
      <c r="BZ215" s="230">
        <v>562600</v>
      </c>
      <c r="CA215" s="229">
        <v>2.0400000000000001E-2</v>
      </c>
      <c r="CB215" s="230">
        <v>27203650</v>
      </c>
      <c r="CC215" s="230">
        <v>26738050</v>
      </c>
      <c r="CD215" s="230">
        <v>465600</v>
      </c>
      <c r="CE215" s="229">
        <v>1.7399999999999999E-2</v>
      </c>
      <c r="CF215" s="230">
        <v>819650</v>
      </c>
      <c r="CG215" s="230">
        <v>722650</v>
      </c>
      <c r="CH215" s="230">
        <v>97000</v>
      </c>
      <c r="CI215" s="229">
        <v>0.13420000000000001</v>
      </c>
      <c r="CJ215" s="230">
        <v>140650</v>
      </c>
      <c r="CK215" s="230">
        <v>140650</v>
      </c>
      <c r="CL215" s="228">
        <v>0</v>
      </c>
      <c r="CM215" s="229">
        <v>0</v>
      </c>
      <c r="CN215" s="230">
        <v>7604800</v>
      </c>
      <c r="CO215" s="230">
        <v>6523250</v>
      </c>
      <c r="CP215" s="230">
        <v>1081550</v>
      </c>
      <c r="CQ215" s="229">
        <v>0.1658</v>
      </c>
      <c r="CR215" s="230">
        <v>4064300</v>
      </c>
      <c r="CS215" s="230">
        <v>3996400</v>
      </c>
      <c r="CT215" s="230">
        <v>67900</v>
      </c>
      <c r="CU215" s="229">
        <v>1.7000000000000001E-2</v>
      </c>
      <c r="CV215" s="230">
        <v>39833050</v>
      </c>
      <c r="CW215" s="230">
        <v>38121000</v>
      </c>
      <c r="CX215" s="230">
        <v>1712050</v>
      </c>
      <c r="CY215" s="229">
        <v>4.4900000000000002E-2</v>
      </c>
      <c r="CZ215" s="228">
        <v>43.36</v>
      </c>
      <c r="DA215" s="228">
        <v>41.09</v>
      </c>
      <c r="DB215" s="228">
        <v>2.27</v>
      </c>
      <c r="DC215" s="228">
        <v>2.27</v>
      </c>
      <c r="DD215" s="228">
        <v>38.119999999999997</v>
      </c>
      <c r="DE215" s="228">
        <v>38.21</v>
      </c>
      <c r="DF215" s="228">
        <v>5.24</v>
      </c>
      <c r="DG215" s="228">
        <v>-0.09</v>
      </c>
      <c r="DH215" s="228">
        <v>42.98</v>
      </c>
      <c r="DI215" s="228">
        <v>40.96</v>
      </c>
      <c r="DJ215" s="228">
        <v>2.02</v>
      </c>
      <c r="DK215" s="228">
        <v>2.02</v>
      </c>
      <c r="DL215" s="228">
        <v>44.94</v>
      </c>
      <c r="DM215" s="228">
        <v>41.85</v>
      </c>
      <c r="DN215" s="228">
        <v>3.09</v>
      </c>
      <c r="DO215" s="228">
        <v>3.09</v>
      </c>
      <c r="DP215" s="228">
        <v>0.53</v>
      </c>
      <c r="DQ215" s="228">
        <v>0.61</v>
      </c>
      <c r="DR215" s="228">
        <v>-0.08</v>
      </c>
      <c r="DS215" s="229">
        <v>-0.13109999999999999</v>
      </c>
      <c r="DT215" s="228">
        <v>120</v>
      </c>
      <c r="DU215" s="228">
        <v>110</v>
      </c>
      <c r="DV215" s="228">
        <v>0.24</v>
      </c>
      <c r="DW215" s="228">
        <v>0.17</v>
      </c>
      <c r="DX215" s="228">
        <v>7.0000000000000007E-2</v>
      </c>
      <c r="DY215" s="229">
        <v>0.4118</v>
      </c>
      <c r="DZ215" s="229">
        <v>3.4099999999999998E-2</v>
      </c>
      <c r="EA215" s="230">
        <v>863300</v>
      </c>
      <c r="EB215" s="229">
        <v>2.3E-3</v>
      </c>
      <c r="EC215" s="229">
        <v>3.4099999999999998E-2</v>
      </c>
      <c r="ED215" s="228">
        <v>0.3</v>
      </c>
      <c r="EE215" s="229">
        <v>2.5000000000000001E-3</v>
      </c>
      <c r="EF215" s="230">
        <v>5890414</v>
      </c>
      <c r="EG215" s="230">
        <v>21281260</v>
      </c>
      <c r="EH215" s="229">
        <v>-0.72319999999999995</v>
      </c>
      <c r="EI215" s="229">
        <v>0.51029999999999998</v>
      </c>
      <c r="EJ215" s="231">
        <v>7037.52</v>
      </c>
      <c r="EK215" s="231">
        <v>1581.66</v>
      </c>
      <c r="EL215" s="231">
        <v>7678.59</v>
      </c>
      <c r="EM215" s="231">
        <v>1420</v>
      </c>
      <c r="EN215" s="231">
        <v>16297.77</v>
      </c>
      <c r="EO215" s="231">
        <v>33592.85</v>
      </c>
      <c r="EP215" s="231">
        <v>-17295.080000000002</v>
      </c>
      <c r="EQ215" s="229">
        <v>-0.51480000000000004</v>
      </c>
      <c r="ER215" s="231">
        <v>8811</v>
      </c>
      <c r="ES215" s="231">
        <v>4456</v>
      </c>
      <c r="ET215" s="231">
        <v>33370</v>
      </c>
      <c r="EU215" s="231">
        <v>321828727</v>
      </c>
      <c r="EV215" s="231">
        <v>46638</v>
      </c>
      <c r="EW215" s="231">
        <v>44659</v>
      </c>
      <c r="EX215" s="231">
        <v>1979</v>
      </c>
      <c r="EY215" s="229">
        <v>4.4299999999999999E-2</v>
      </c>
      <c r="EZ215" s="229">
        <v>0.12379999999999999</v>
      </c>
      <c r="FA215" s="227" t="s">
        <v>566</v>
      </c>
      <c r="FB215" s="161">
        <f t="shared" si="5"/>
        <v>0</v>
      </c>
    </row>
    <row r="216" spans="1:158" ht="17.25" thickBot="1" x14ac:dyDescent="0.3">
      <c r="A216" s="226">
        <v>46132</v>
      </c>
      <c r="B216" s="227" t="s">
        <v>184</v>
      </c>
      <c r="C216" s="227" t="s">
        <v>305</v>
      </c>
      <c r="D216" s="228">
        <v>375</v>
      </c>
      <c r="E216" s="231">
        <v>1440.9</v>
      </c>
      <c r="F216" s="231">
        <v>1441.5</v>
      </c>
      <c r="G216" s="228">
        <v>-0.6</v>
      </c>
      <c r="H216" s="229">
        <v>-4.0000000000000002E-4</v>
      </c>
      <c r="I216" s="231">
        <v>1438</v>
      </c>
      <c r="J216" s="231">
        <v>1440.1</v>
      </c>
      <c r="K216" s="228">
        <v>-2.1</v>
      </c>
      <c r="L216" s="229">
        <v>-1.5E-3</v>
      </c>
      <c r="M216" s="231">
        <v>1440.9</v>
      </c>
      <c r="N216" s="231">
        <v>1441.5</v>
      </c>
      <c r="O216" s="228">
        <v>-0.6</v>
      </c>
      <c r="P216" s="229">
        <v>-4.0000000000000002E-4</v>
      </c>
      <c r="Q216" s="231">
        <v>1422.9</v>
      </c>
      <c r="R216" s="231">
        <v>1418.7</v>
      </c>
      <c r="S216" s="228">
        <v>4.2</v>
      </c>
      <c r="T216" s="229">
        <v>3.0000000000000001E-3</v>
      </c>
      <c r="U216" s="231">
        <v>1405.3</v>
      </c>
      <c r="V216" s="231">
        <v>1395.1</v>
      </c>
      <c r="W216" s="228">
        <v>10.199999999999999</v>
      </c>
      <c r="X216" s="229">
        <v>7.3000000000000001E-3</v>
      </c>
      <c r="Y216" s="228">
        <v>2.9</v>
      </c>
      <c r="Z216" s="228">
        <v>1.4</v>
      </c>
      <c r="AA216" s="228">
        <v>1.5</v>
      </c>
      <c r="AB216" s="229">
        <v>2E-3</v>
      </c>
      <c r="AC216" s="228">
        <v>2.9</v>
      </c>
      <c r="AD216" s="228">
        <v>1.4</v>
      </c>
      <c r="AE216" s="228">
        <v>1.5</v>
      </c>
      <c r="AF216" s="229">
        <v>2E-3</v>
      </c>
      <c r="AG216" s="228">
        <v>-15.1</v>
      </c>
      <c r="AH216" s="228">
        <v>-21.4</v>
      </c>
      <c r="AI216" s="228">
        <v>6.3</v>
      </c>
      <c r="AJ216" s="229">
        <v>-1.0500000000000001E-2</v>
      </c>
      <c r="AK216" s="228">
        <v>-32.700000000000003</v>
      </c>
      <c r="AL216" s="228">
        <v>-45</v>
      </c>
      <c r="AM216" s="228">
        <v>12.3</v>
      </c>
      <c r="AN216" s="229">
        <v>-2.2700000000000001E-2</v>
      </c>
      <c r="AO216" s="231">
        <v>1456.13</v>
      </c>
      <c r="AP216" s="231">
        <v>1440.49</v>
      </c>
      <c r="AQ216" s="228">
        <v>0</v>
      </c>
      <c r="AR216" s="230">
        <v>2646750</v>
      </c>
      <c r="AS216" s="230">
        <v>1898625</v>
      </c>
      <c r="AT216" s="230">
        <v>748125</v>
      </c>
      <c r="AU216" s="229">
        <v>0.39400000000000002</v>
      </c>
      <c r="AV216" s="230">
        <v>2037375</v>
      </c>
      <c r="AW216" s="230">
        <v>1508250</v>
      </c>
      <c r="AX216" s="230">
        <v>529125</v>
      </c>
      <c r="AY216" s="229">
        <v>0.3508</v>
      </c>
      <c r="AZ216" s="230">
        <v>570375</v>
      </c>
      <c r="BA216" s="230">
        <v>364125</v>
      </c>
      <c r="BB216" s="230">
        <v>206250</v>
      </c>
      <c r="BC216" s="229">
        <v>0.56640000000000001</v>
      </c>
      <c r="BD216" s="230">
        <v>39000</v>
      </c>
      <c r="BE216" s="230">
        <v>26250</v>
      </c>
      <c r="BF216" s="230">
        <v>12750</v>
      </c>
      <c r="BG216" s="229">
        <v>0.48570000000000002</v>
      </c>
      <c r="BH216" s="230">
        <v>10639875</v>
      </c>
      <c r="BI216" s="230">
        <v>8657250</v>
      </c>
      <c r="BJ216" s="230">
        <v>1982625</v>
      </c>
      <c r="BK216" s="229">
        <v>0.22900000000000001</v>
      </c>
      <c r="BL216" s="230">
        <v>4897875</v>
      </c>
      <c r="BM216" s="230">
        <v>4465500</v>
      </c>
      <c r="BN216" s="230">
        <v>432375</v>
      </c>
      <c r="BO216" s="229">
        <v>9.6799999999999997E-2</v>
      </c>
      <c r="BP216" s="230">
        <v>18184500</v>
      </c>
      <c r="BQ216" s="230">
        <v>15021375</v>
      </c>
      <c r="BR216" s="230">
        <v>3163125</v>
      </c>
      <c r="BS216" s="229">
        <v>0.21060000000000001</v>
      </c>
      <c r="BT216" s="230">
        <v>1822908</v>
      </c>
      <c r="BU216" s="230">
        <v>1311372</v>
      </c>
      <c r="BV216" s="230">
        <v>511536</v>
      </c>
      <c r="BW216" s="229">
        <v>0.3901</v>
      </c>
      <c r="BX216" s="230">
        <v>12107250</v>
      </c>
      <c r="BY216" s="230">
        <v>12342000</v>
      </c>
      <c r="BZ216" s="230">
        <v>-234750</v>
      </c>
      <c r="CA216" s="229">
        <v>-1.9E-2</v>
      </c>
      <c r="CB216" s="230">
        <v>10159500</v>
      </c>
      <c r="CC216" s="230">
        <v>10682250</v>
      </c>
      <c r="CD216" s="230">
        <v>-522750</v>
      </c>
      <c r="CE216" s="229">
        <v>-4.8899999999999999E-2</v>
      </c>
      <c r="CF216" s="230">
        <v>1847250</v>
      </c>
      <c r="CG216" s="230">
        <v>1561500</v>
      </c>
      <c r="CH216" s="230">
        <v>285750</v>
      </c>
      <c r="CI216" s="229">
        <v>0.183</v>
      </c>
      <c r="CJ216" s="230">
        <v>100500</v>
      </c>
      <c r="CK216" s="230">
        <v>98250</v>
      </c>
      <c r="CL216" s="230">
        <v>2250</v>
      </c>
      <c r="CM216" s="229">
        <v>2.29E-2</v>
      </c>
      <c r="CN216" s="230">
        <v>4783125</v>
      </c>
      <c r="CO216" s="230">
        <v>4279500</v>
      </c>
      <c r="CP216" s="230">
        <v>503625</v>
      </c>
      <c r="CQ216" s="229">
        <v>0.1177</v>
      </c>
      <c r="CR216" s="230">
        <v>4115250</v>
      </c>
      <c r="CS216" s="230">
        <v>4046625</v>
      </c>
      <c r="CT216" s="230">
        <v>68625</v>
      </c>
      <c r="CU216" s="229">
        <v>1.7000000000000001E-2</v>
      </c>
      <c r="CV216" s="230">
        <v>21005625</v>
      </c>
      <c r="CW216" s="230">
        <v>20668125</v>
      </c>
      <c r="CX216" s="230">
        <v>337500</v>
      </c>
      <c r="CY216" s="229">
        <v>1.6299999999999999E-2</v>
      </c>
      <c r="CZ216" s="228">
        <v>42.22</v>
      </c>
      <c r="DA216" s="228">
        <v>38.28</v>
      </c>
      <c r="DB216" s="228">
        <v>3.94</v>
      </c>
      <c r="DC216" s="228">
        <v>3.94</v>
      </c>
      <c r="DD216" s="228">
        <v>39.99</v>
      </c>
      <c r="DE216" s="228">
        <v>40.090000000000003</v>
      </c>
      <c r="DF216" s="228">
        <v>2.23</v>
      </c>
      <c r="DG216" s="228">
        <v>-0.1</v>
      </c>
      <c r="DH216" s="228">
        <v>41.42</v>
      </c>
      <c r="DI216" s="228">
        <v>36.049999999999997</v>
      </c>
      <c r="DJ216" s="228">
        <v>5.37</v>
      </c>
      <c r="DK216" s="228">
        <v>5.37</v>
      </c>
      <c r="DL216" s="228">
        <v>43.95</v>
      </c>
      <c r="DM216" s="228">
        <v>42.58</v>
      </c>
      <c r="DN216" s="228">
        <v>1.37</v>
      </c>
      <c r="DO216" s="228">
        <v>1.37</v>
      </c>
      <c r="DP216" s="228">
        <v>0.86</v>
      </c>
      <c r="DQ216" s="228">
        <v>0.95</v>
      </c>
      <c r="DR216" s="228">
        <v>-0.09</v>
      </c>
      <c r="DS216" s="229">
        <v>-9.4700000000000006E-2</v>
      </c>
      <c r="DT216" s="231">
        <v>1300</v>
      </c>
      <c r="DU216" s="231">
        <v>1200</v>
      </c>
      <c r="DV216" s="228">
        <v>0.46</v>
      </c>
      <c r="DW216" s="228">
        <v>0.52</v>
      </c>
      <c r="DX216" s="228">
        <v>-0.06</v>
      </c>
      <c r="DY216" s="229">
        <v>-0.1154</v>
      </c>
      <c r="DZ216" s="229">
        <v>0.16089999999999999</v>
      </c>
      <c r="EA216" s="230">
        <v>1659750</v>
      </c>
      <c r="EB216" s="229">
        <v>-1.2500000000000001E-2</v>
      </c>
      <c r="EC216" s="229">
        <v>0.16089999999999999</v>
      </c>
      <c r="ED216" s="228">
        <v>-15.64</v>
      </c>
      <c r="EE216" s="229">
        <v>-1.0699999999999999E-2</v>
      </c>
      <c r="EF216" s="230">
        <v>826012</v>
      </c>
      <c r="EG216" s="230">
        <v>743127</v>
      </c>
      <c r="EH216" s="229">
        <v>0.1115</v>
      </c>
      <c r="EI216" s="229">
        <v>0.4531</v>
      </c>
      <c r="EJ216" s="231">
        <v>161755.98000000001</v>
      </c>
      <c r="EK216" s="231">
        <v>68024.460000000006</v>
      </c>
      <c r="EL216" s="231">
        <v>38435.919999999998</v>
      </c>
      <c r="EM216" s="231">
        <v>7817</v>
      </c>
      <c r="EN216" s="231">
        <v>268216.36</v>
      </c>
      <c r="EO216" s="231">
        <v>217027.24</v>
      </c>
      <c r="EP216" s="231">
        <v>51189.120000000003</v>
      </c>
      <c r="EQ216" s="229">
        <v>0.2359</v>
      </c>
      <c r="ER216" s="231">
        <v>68055</v>
      </c>
      <c r="ES216" s="231">
        <v>53057</v>
      </c>
      <c r="ET216" s="231">
        <v>174085</v>
      </c>
      <c r="EU216" s="231">
        <v>25134629</v>
      </c>
      <c r="EV216" s="231">
        <v>295198</v>
      </c>
      <c r="EW216" s="231">
        <v>289452</v>
      </c>
      <c r="EX216" s="231">
        <v>5746</v>
      </c>
      <c r="EY216" s="229">
        <v>1.9900000000000001E-2</v>
      </c>
      <c r="EZ216" s="229">
        <v>0.8357</v>
      </c>
      <c r="FA216" s="227" t="s">
        <v>567</v>
      </c>
      <c r="FB216" s="161">
        <f t="shared" si="5"/>
        <v>0</v>
      </c>
    </row>
    <row r="217" spans="1:158" ht="17.25" thickBot="1" x14ac:dyDescent="0.3">
      <c r="A217" s="226">
        <v>46132</v>
      </c>
      <c r="B217" s="227" t="s">
        <v>184</v>
      </c>
      <c r="C217" s="227" t="s">
        <v>690</v>
      </c>
      <c r="D217" s="228">
        <v>175</v>
      </c>
      <c r="E217" s="231">
        <v>3496.8</v>
      </c>
      <c r="F217" s="231">
        <v>3470.3</v>
      </c>
      <c r="G217" s="228">
        <v>26.5</v>
      </c>
      <c r="H217" s="229">
        <v>7.6E-3</v>
      </c>
      <c r="I217" s="231">
        <v>3489.1</v>
      </c>
      <c r="J217" s="231">
        <v>3466.2</v>
      </c>
      <c r="K217" s="228">
        <v>22.9</v>
      </c>
      <c r="L217" s="229">
        <v>6.6E-3</v>
      </c>
      <c r="M217" s="231">
        <v>3496.8</v>
      </c>
      <c r="N217" s="231">
        <v>3470.3</v>
      </c>
      <c r="O217" s="228">
        <v>26.5</v>
      </c>
      <c r="P217" s="229">
        <v>7.6E-3</v>
      </c>
      <c r="Q217" s="231">
        <v>3509.1</v>
      </c>
      <c r="R217" s="231">
        <v>3483.9</v>
      </c>
      <c r="S217" s="228">
        <v>25.2</v>
      </c>
      <c r="T217" s="229">
        <v>7.1999999999999998E-3</v>
      </c>
      <c r="U217" s="231">
        <v>3533.9</v>
      </c>
      <c r="V217" s="231">
        <v>3512.6</v>
      </c>
      <c r="W217" s="228">
        <v>21.3</v>
      </c>
      <c r="X217" s="229">
        <v>6.1000000000000004E-3</v>
      </c>
      <c r="Y217" s="228">
        <v>7.7</v>
      </c>
      <c r="Z217" s="228">
        <v>4.0999999999999996</v>
      </c>
      <c r="AA217" s="228">
        <v>3.6</v>
      </c>
      <c r="AB217" s="229">
        <v>2.2000000000000001E-3</v>
      </c>
      <c r="AC217" s="228">
        <v>7.7</v>
      </c>
      <c r="AD217" s="228">
        <v>4.0999999999999996</v>
      </c>
      <c r="AE217" s="228">
        <v>3.6</v>
      </c>
      <c r="AF217" s="229">
        <v>2.2000000000000001E-3</v>
      </c>
      <c r="AG217" s="228">
        <v>20</v>
      </c>
      <c r="AH217" s="228">
        <v>17.7</v>
      </c>
      <c r="AI217" s="228">
        <v>2.2999999999999998</v>
      </c>
      <c r="AJ217" s="229">
        <v>5.7000000000000002E-3</v>
      </c>
      <c r="AK217" s="228">
        <v>44.8</v>
      </c>
      <c r="AL217" s="228">
        <v>46.4</v>
      </c>
      <c r="AM217" s="228">
        <v>-1.6</v>
      </c>
      <c r="AN217" s="229">
        <v>1.2800000000000001E-2</v>
      </c>
      <c r="AO217" s="231">
        <v>3492.81</v>
      </c>
      <c r="AP217" s="231">
        <v>3508.18</v>
      </c>
      <c r="AQ217" s="228">
        <v>0</v>
      </c>
      <c r="AR217" s="230">
        <v>1297275</v>
      </c>
      <c r="AS217" s="230">
        <v>1911000</v>
      </c>
      <c r="AT217" s="230">
        <v>-613725</v>
      </c>
      <c r="AU217" s="229">
        <v>-0.32119999999999999</v>
      </c>
      <c r="AV217" s="230">
        <v>1016750</v>
      </c>
      <c r="AW217" s="230">
        <v>1643250</v>
      </c>
      <c r="AX217" s="230">
        <v>-626500</v>
      </c>
      <c r="AY217" s="229">
        <v>-0.38129999999999997</v>
      </c>
      <c r="AZ217" s="230">
        <v>272300</v>
      </c>
      <c r="BA217" s="230">
        <v>253050</v>
      </c>
      <c r="BB217" s="230">
        <v>19250</v>
      </c>
      <c r="BC217" s="229">
        <v>7.6100000000000001E-2</v>
      </c>
      <c r="BD217" s="230">
        <v>8225</v>
      </c>
      <c r="BE217" s="230">
        <v>14700</v>
      </c>
      <c r="BF217" s="230">
        <v>-6475</v>
      </c>
      <c r="BG217" s="229">
        <v>-0.4405</v>
      </c>
      <c r="BH217" s="230">
        <v>5188400</v>
      </c>
      <c r="BI217" s="230">
        <v>7021875</v>
      </c>
      <c r="BJ217" s="230">
        <v>-1833475</v>
      </c>
      <c r="BK217" s="229">
        <v>-0.2611</v>
      </c>
      <c r="BL217" s="230">
        <v>2333800</v>
      </c>
      <c r="BM217" s="230">
        <v>3471475</v>
      </c>
      <c r="BN217" s="230">
        <v>-1137675</v>
      </c>
      <c r="BO217" s="229">
        <v>-0.32769999999999999</v>
      </c>
      <c r="BP217" s="230">
        <v>8819475</v>
      </c>
      <c r="BQ217" s="230">
        <v>12404350</v>
      </c>
      <c r="BR217" s="230">
        <v>-3584875</v>
      </c>
      <c r="BS217" s="229">
        <v>-0.28899999999999998</v>
      </c>
      <c r="BT217" s="230">
        <v>1553640</v>
      </c>
      <c r="BU217" s="230">
        <v>3722006</v>
      </c>
      <c r="BV217" s="230">
        <v>-2168366</v>
      </c>
      <c r="BW217" s="229">
        <v>-0.58260000000000001</v>
      </c>
      <c r="BX217" s="230">
        <v>5053300</v>
      </c>
      <c r="BY217" s="230">
        <v>4788000</v>
      </c>
      <c r="BZ217" s="230">
        <v>265300</v>
      </c>
      <c r="CA217" s="229">
        <v>5.5399999999999998E-2</v>
      </c>
      <c r="CB217" s="230">
        <v>4551050</v>
      </c>
      <c r="CC217" s="230">
        <v>4396175</v>
      </c>
      <c r="CD217" s="230">
        <v>154875</v>
      </c>
      <c r="CE217" s="229">
        <v>3.5200000000000002E-2</v>
      </c>
      <c r="CF217" s="230">
        <v>484400</v>
      </c>
      <c r="CG217" s="230">
        <v>372575</v>
      </c>
      <c r="CH217" s="230">
        <v>111825</v>
      </c>
      <c r="CI217" s="229">
        <v>0.30009999999999998</v>
      </c>
      <c r="CJ217" s="230">
        <v>17850</v>
      </c>
      <c r="CK217" s="230">
        <v>19250</v>
      </c>
      <c r="CL217" s="230">
        <v>-1400</v>
      </c>
      <c r="CM217" s="229">
        <v>-7.2700000000000001E-2</v>
      </c>
      <c r="CN217" s="230">
        <v>2049600</v>
      </c>
      <c r="CO217" s="230">
        <v>2144100</v>
      </c>
      <c r="CP217" s="230">
        <v>-94500</v>
      </c>
      <c r="CQ217" s="229">
        <v>-4.41E-2</v>
      </c>
      <c r="CR217" s="230">
        <v>1564675</v>
      </c>
      <c r="CS217" s="230">
        <v>1578325</v>
      </c>
      <c r="CT217" s="230">
        <v>-13650</v>
      </c>
      <c r="CU217" s="229">
        <v>-8.6E-3</v>
      </c>
      <c r="CV217" s="230">
        <v>8667575</v>
      </c>
      <c r="CW217" s="230">
        <v>8510425</v>
      </c>
      <c r="CX217" s="230">
        <v>157150</v>
      </c>
      <c r="CY217" s="229">
        <v>1.8499999999999999E-2</v>
      </c>
      <c r="CZ217" s="228">
        <v>41.37</v>
      </c>
      <c r="DA217" s="228">
        <v>40.770000000000003</v>
      </c>
      <c r="DB217" s="228">
        <v>0.6</v>
      </c>
      <c r="DC217" s="228">
        <v>0.6</v>
      </c>
      <c r="DD217" s="228">
        <v>52.74</v>
      </c>
      <c r="DE217" s="228">
        <v>52.87</v>
      </c>
      <c r="DF217" s="228">
        <v>-11.37</v>
      </c>
      <c r="DG217" s="228">
        <v>-0.13</v>
      </c>
      <c r="DH217" s="228">
        <v>39.76</v>
      </c>
      <c r="DI217" s="228">
        <v>38.04</v>
      </c>
      <c r="DJ217" s="228">
        <v>1.72</v>
      </c>
      <c r="DK217" s="228">
        <v>1.72</v>
      </c>
      <c r="DL217" s="228">
        <v>44.95</v>
      </c>
      <c r="DM217" s="228">
        <v>46.3</v>
      </c>
      <c r="DN217" s="228">
        <v>-1.35</v>
      </c>
      <c r="DO217" s="228">
        <v>-1.35</v>
      </c>
      <c r="DP217" s="228">
        <v>0.76</v>
      </c>
      <c r="DQ217" s="228">
        <v>0.74</v>
      </c>
      <c r="DR217" s="228">
        <v>0.02</v>
      </c>
      <c r="DS217" s="229">
        <v>2.7E-2</v>
      </c>
      <c r="DT217" s="231">
        <v>3500</v>
      </c>
      <c r="DU217" s="231">
        <v>3500</v>
      </c>
      <c r="DV217" s="228">
        <v>0.45</v>
      </c>
      <c r="DW217" s="228">
        <v>0.49</v>
      </c>
      <c r="DX217" s="228">
        <v>-0.04</v>
      </c>
      <c r="DY217" s="229">
        <v>-8.1600000000000006E-2</v>
      </c>
      <c r="DZ217" s="229">
        <v>9.9400000000000002E-2</v>
      </c>
      <c r="EA217" s="230">
        <v>391825</v>
      </c>
      <c r="EB217" s="229">
        <v>3.5000000000000001E-3</v>
      </c>
      <c r="EC217" s="229">
        <v>9.9400000000000002E-2</v>
      </c>
      <c r="ED217" s="228">
        <v>15.37</v>
      </c>
      <c r="EE217" s="229">
        <v>4.4000000000000003E-3</v>
      </c>
      <c r="EF217" s="230">
        <v>567126</v>
      </c>
      <c r="EG217" s="230">
        <v>1930884</v>
      </c>
      <c r="EH217" s="229">
        <v>-0.70630000000000004</v>
      </c>
      <c r="EI217" s="229">
        <v>0.36499999999999999</v>
      </c>
      <c r="EJ217" s="231">
        <v>188484.4</v>
      </c>
      <c r="EK217" s="231">
        <v>77505.350000000006</v>
      </c>
      <c r="EL217" s="231">
        <v>45355.91</v>
      </c>
      <c r="EM217" s="231">
        <v>8545</v>
      </c>
      <c r="EN217" s="231">
        <v>311345.65999999997</v>
      </c>
      <c r="EO217" s="231">
        <v>435527.2</v>
      </c>
      <c r="EP217" s="231">
        <v>-124181.54</v>
      </c>
      <c r="EQ217" s="229">
        <v>-0.28510000000000002</v>
      </c>
      <c r="ER217" s="231">
        <v>71136</v>
      </c>
      <c r="ES217" s="231">
        <v>50529</v>
      </c>
      <c r="ET217" s="231">
        <v>176770</v>
      </c>
      <c r="EU217" s="231">
        <v>15436318</v>
      </c>
      <c r="EV217" s="231">
        <v>298435</v>
      </c>
      <c r="EW217" s="231">
        <v>291341</v>
      </c>
      <c r="EX217" s="231">
        <v>7094</v>
      </c>
      <c r="EY217" s="229">
        <v>2.4299999999999999E-2</v>
      </c>
      <c r="EZ217" s="229">
        <v>0.5615</v>
      </c>
      <c r="FA217" s="227" t="s">
        <v>555</v>
      </c>
      <c r="FB217" s="161">
        <f t="shared" si="5"/>
        <v>0</v>
      </c>
    </row>
    <row r="218" spans="1:158" ht="17.25" thickBot="1" x14ac:dyDescent="0.3">
      <c r="A218" s="226">
        <v>46132</v>
      </c>
      <c r="B218" s="227" t="s">
        <v>221</v>
      </c>
      <c r="C218" s="227" t="s">
        <v>306</v>
      </c>
      <c r="D218" s="228">
        <v>3000</v>
      </c>
      <c r="E218" s="228">
        <v>201.8</v>
      </c>
      <c r="F218" s="228">
        <v>202.37</v>
      </c>
      <c r="G218" s="228">
        <v>-0.56999999999999995</v>
      </c>
      <c r="H218" s="229">
        <v>-2.8E-3</v>
      </c>
      <c r="I218" s="228">
        <v>202.48</v>
      </c>
      <c r="J218" s="228">
        <v>204.32</v>
      </c>
      <c r="K218" s="228">
        <v>-1.84</v>
      </c>
      <c r="L218" s="229">
        <v>-8.9999999999999993E-3</v>
      </c>
      <c r="M218" s="228">
        <v>201.8</v>
      </c>
      <c r="N218" s="228">
        <v>202.37</v>
      </c>
      <c r="O218" s="228">
        <v>-0.56999999999999995</v>
      </c>
      <c r="P218" s="229">
        <v>-2.8E-3</v>
      </c>
      <c r="Q218" s="228">
        <v>199.14</v>
      </c>
      <c r="R218" s="228">
        <v>199.72</v>
      </c>
      <c r="S218" s="228">
        <v>-0.57999999999999996</v>
      </c>
      <c r="T218" s="229">
        <v>-2.8999999999999998E-3</v>
      </c>
      <c r="U218" s="228">
        <v>196.96</v>
      </c>
      <c r="V218" s="228">
        <v>197.36</v>
      </c>
      <c r="W218" s="228">
        <v>-0.4</v>
      </c>
      <c r="X218" s="229">
        <v>-2E-3</v>
      </c>
      <c r="Y218" s="228">
        <v>-0.68</v>
      </c>
      <c r="Z218" s="228">
        <v>-1.95</v>
      </c>
      <c r="AA218" s="228">
        <v>1.27</v>
      </c>
      <c r="AB218" s="229">
        <v>-3.3999999999999998E-3</v>
      </c>
      <c r="AC218" s="228">
        <v>-0.68</v>
      </c>
      <c r="AD218" s="228">
        <v>-1.95</v>
      </c>
      <c r="AE218" s="228">
        <v>1.27</v>
      </c>
      <c r="AF218" s="229">
        <v>-3.3999999999999998E-3</v>
      </c>
      <c r="AG218" s="228">
        <v>-3.34</v>
      </c>
      <c r="AH218" s="228">
        <v>-4.5999999999999996</v>
      </c>
      <c r="AI218" s="228">
        <v>1.26</v>
      </c>
      <c r="AJ218" s="229">
        <v>-1.6500000000000001E-2</v>
      </c>
      <c r="AK218" s="228">
        <v>-5.52</v>
      </c>
      <c r="AL218" s="228">
        <v>-6.96</v>
      </c>
      <c r="AM218" s="228">
        <v>1.44</v>
      </c>
      <c r="AN218" s="229">
        <v>-2.7300000000000001E-2</v>
      </c>
      <c r="AO218" s="228">
        <v>201.83</v>
      </c>
      <c r="AP218" s="228">
        <v>199.21</v>
      </c>
      <c r="AQ218" s="228">
        <v>0</v>
      </c>
      <c r="AR218" s="230">
        <v>28731000</v>
      </c>
      <c r="AS218" s="230">
        <v>114093000</v>
      </c>
      <c r="AT218" s="230">
        <v>-85362000</v>
      </c>
      <c r="AU218" s="229">
        <v>-0.74819999999999998</v>
      </c>
      <c r="AV218" s="230">
        <v>16416000</v>
      </c>
      <c r="AW218" s="230">
        <v>76251000</v>
      </c>
      <c r="AX218" s="230">
        <v>-59835000</v>
      </c>
      <c r="AY218" s="229">
        <v>-0.78469999999999995</v>
      </c>
      <c r="AZ218" s="230">
        <v>10680000</v>
      </c>
      <c r="BA218" s="230">
        <v>31632000</v>
      </c>
      <c r="BB218" s="230">
        <v>-20952000</v>
      </c>
      <c r="BC218" s="229">
        <v>-0.66239999999999999</v>
      </c>
      <c r="BD218" s="230">
        <v>1635000</v>
      </c>
      <c r="BE218" s="230">
        <v>6210000</v>
      </c>
      <c r="BF218" s="230">
        <v>-4575000</v>
      </c>
      <c r="BG218" s="229">
        <v>-0.73670000000000002</v>
      </c>
      <c r="BH218" s="230">
        <v>160299000</v>
      </c>
      <c r="BI218" s="230">
        <v>451926000</v>
      </c>
      <c r="BJ218" s="230">
        <v>-291627000</v>
      </c>
      <c r="BK218" s="229">
        <v>-0.64529999999999998</v>
      </c>
      <c r="BL218" s="230">
        <v>70176000</v>
      </c>
      <c r="BM218" s="230">
        <v>233010000</v>
      </c>
      <c r="BN218" s="230">
        <v>-162834000</v>
      </c>
      <c r="BO218" s="229">
        <v>-0.69879999999999998</v>
      </c>
      <c r="BP218" s="230">
        <v>259206000</v>
      </c>
      <c r="BQ218" s="230">
        <v>799029000</v>
      </c>
      <c r="BR218" s="230">
        <v>-539823000</v>
      </c>
      <c r="BS218" s="229">
        <v>-0.67559999999999998</v>
      </c>
      <c r="BT218" s="230">
        <v>29777408</v>
      </c>
      <c r="BU218" s="230">
        <v>84058228</v>
      </c>
      <c r="BV218" s="230">
        <v>-54280820</v>
      </c>
      <c r="BW218" s="229">
        <v>-0.64580000000000004</v>
      </c>
      <c r="BX218" s="230">
        <v>327405000</v>
      </c>
      <c r="BY218" s="230">
        <v>321855000</v>
      </c>
      <c r="BZ218" s="230">
        <v>5550000</v>
      </c>
      <c r="CA218" s="229">
        <v>1.72E-2</v>
      </c>
      <c r="CB218" s="230">
        <v>251364000</v>
      </c>
      <c r="CC218" s="230">
        <v>250206000</v>
      </c>
      <c r="CD218" s="230">
        <v>1158000</v>
      </c>
      <c r="CE218" s="229">
        <v>4.5999999999999999E-3</v>
      </c>
      <c r="CF218" s="230">
        <v>66540000</v>
      </c>
      <c r="CG218" s="230">
        <v>62709000</v>
      </c>
      <c r="CH218" s="230">
        <v>3831000</v>
      </c>
      <c r="CI218" s="229">
        <v>6.1100000000000002E-2</v>
      </c>
      <c r="CJ218" s="230">
        <v>9501000</v>
      </c>
      <c r="CK218" s="230">
        <v>8940000</v>
      </c>
      <c r="CL218" s="230">
        <v>561000</v>
      </c>
      <c r="CM218" s="229">
        <v>6.2799999999999995E-2</v>
      </c>
      <c r="CN218" s="230">
        <v>169938000</v>
      </c>
      <c r="CO218" s="230">
        <v>170253000</v>
      </c>
      <c r="CP218" s="230">
        <v>-315000</v>
      </c>
      <c r="CQ218" s="229">
        <v>-1.9E-3</v>
      </c>
      <c r="CR218" s="230">
        <v>82302000</v>
      </c>
      <c r="CS218" s="230">
        <v>83544000</v>
      </c>
      <c r="CT218" s="230">
        <v>-1242000</v>
      </c>
      <c r="CU218" s="229">
        <v>-1.49E-2</v>
      </c>
      <c r="CV218" s="230">
        <v>579645000</v>
      </c>
      <c r="CW218" s="230">
        <v>575652000</v>
      </c>
      <c r="CX218" s="230">
        <v>3993000</v>
      </c>
      <c r="CY218" s="229">
        <v>6.8999999999999999E-3</v>
      </c>
      <c r="CZ218" s="228">
        <v>30.35</v>
      </c>
      <c r="DA218" s="228">
        <v>29.24</v>
      </c>
      <c r="DB218" s="228">
        <v>1.1100000000000001</v>
      </c>
      <c r="DC218" s="228">
        <v>1.1100000000000001</v>
      </c>
      <c r="DD218" s="228">
        <v>31.43</v>
      </c>
      <c r="DE218" s="228">
        <v>31.49</v>
      </c>
      <c r="DF218" s="228">
        <v>-1.08</v>
      </c>
      <c r="DG218" s="228">
        <v>-0.06</v>
      </c>
      <c r="DH218" s="228">
        <v>30.49</v>
      </c>
      <c r="DI218" s="228">
        <v>29.66</v>
      </c>
      <c r="DJ218" s="228">
        <v>0.83</v>
      </c>
      <c r="DK218" s="228">
        <v>0.83</v>
      </c>
      <c r="DL218" s="228">
        <v>30.05</v>
      </c>
      <c r="DM218" s="228">
        <v>28.43</v>
      </c>
      <c r="DN218" s="228">
        <v>1.62</v>
      </c>
      <c r="DO218" s="228">
        <v>1.62</v>
      </c>
      <c r="DP218" s="228">
        <v>0.48</v>
      </c>
      <c r="DQ218" s="228">
        <v>0.49</v>
      </c>
      <c r="DR218" s="228">
        <v>-0.01</v>
      </c>
      <c r="DS218" s="229">
        <v>-2.0400000000000001E-2</v>
      </c>
      <c r="DT218" s="228">
        <v>210</v>
      </c>
      <c r="DU218" s="228">
        <v>200</v>
      </c>
      <c r="DV218" s="228">
        <v>0.44</v>
      </c>
      <c r="DW218" s="228">
        <v>0.52</v>
      </c>
      <c r="DX218" s="228">
        <v>-0.08</v>
      </c>
      <c r="DY218" s="229">
        <v>-0.15379999999999999</v>
      </c>
      <c r="DZ218" s="229">
        <v>0.23230000000000001</v>
      </c>
      <c r="EA218" s="230">
        <v>71649000</v>
      </c>
      <c r="EB218" s="229">
        <v>-1.32E-2</v>
      </c>
      <c r="EC218" s="229">
        <v>0.23230000000000001</v>
      </c>
      <c r="ED218" s="228">
        <v>-2.62</v>
      </c>
      <c r="EE218" s="229">
        <v>-1.2999999999999999E-2</v>
      </c>
      <c r="EF218" s="230">
        <v>17296531</v>
      </c>
      <c r="EG218" s="230">
        <v>40969364</v>
      </c>
      <c r="EH218" s="229">
        <v>-0.57779999999999998</v>
      </c>
      <c r="EI218" s="229">
        <v>0.58089999999999997</v>
      </c>
      <c r="EJ218" s="231">
        <v>340245.36</v>
      </c>
      <c r="EK218" s="231">
        <v>140355.29</v>
      </c>
      <c r="EL218" s="231">
        <v>57628.89</v>
      </c>
      <c r="EM218" s="231">
        <v>23903</v>
      </c>
      <c r="EN218" s="231">
        <v>538229.54</v>
      </c>
      <c r="EO218" s="231">
        <v>1661682.7</v>
      </c>
      <c r="EP218" s="231">
        <v>-1123453.1599999999</v>
      </c>
      <c r="EQ218" s="229">
        <v>-0.67610000000000003</v>
      </c>
      <c r="ER218" s="231">
        <v>363282</v>
      </c>
      <c r="ES218" s="231">
        <v>162256</v>
      </c>
      <c r="ET218" s="231">
        <v>658473</v>
      </c>
      <c r="EU218" s="231">
        <v>428710078</v>
      </c>
      <c r="EV218" s="231">
        <v>1184012</v>
      </c>
      <c r="EW218" s="231">
        <v>1178524</v>
      </c>
      <c r="EX218" s="231">
        <v>5488</v>
      </c>
      <c r="EY218" s="229">
        <v>4.7000000000000002E-3</v>
      </c>
      <c r="EZ218" s="229">
        <v>1.3521000000000001</v>
      </c>
      <c r="FA218" s="227" t="s">
        <v>566</v>
      </c>
      <c r="FB218" s="161">
        <f t="shared" si="5"/>
        <v>0</v>
      </c>
    </row>
    <row r="219" spans="1:158" ht="17.25" thickBot="1" x14ac:dyDescent="0.3">
      <c r="A219" s="226">
        <v>46132</v>
      </c>
      <c r="B219" s="227" t="s">
        <v>172</v>
      </c>
      <c r="C219" s="227" t="s">
        <v>589</v>
      </c>
      <c r="D219" s="228">
        <v>31100</v>
      </c>
      <c r="E219" s="228">
        <v>19.82</v>
      </c>
      <c r="F219" s="228">
        <v>20.260000000000002</v>
      </c>
      <c r="G219" s="228">
        <v>-0.44</v>
      </c>
      <c r="H219" s="229">
        <v>-2.1700000000000001E-2</v>
      </c>
      <c r="I219" s="228">
        <v>19.84</v>
      </c>
      <c r="J219" s="228">
        <v>20.190000000000001</v>
      </c>
      <c r="K219" s="228">
        <v>-0.35</v>
      </c>
      <c r="L219" s="229">
        <v>-1.7299999999999999E-2</v>
      </c>
      <c r="M219" s="228">
        <v>19.82</v>
      </c>
      <c r="N219" s="228">
        <v>20.260000000000002</v>
      </c>
      <c r="O219" s="228">
        <v>-0.44</v>
      </c>
      <c r="P219" s="229">
        <v>-2.1700000000000001E-2</v>
      </c>
      <c r="Q219" s="228">
        <v>19.940000000000001</v>
      </c>
      <c r="R219" s="228">
        <v>20.38</v>
      </c>
      <c r="S219" s="228">
        <v>-0.44</v>
      </c>
      <c r="T219" s="229">
        <v>-2.1600000000000001E-2</v>
      </c>
      <c r="U219" s="228">
        <v>20.059999999999999</v>
      </c>
      <c r="V219" s="228">
        <v>20.48</v>
      </c>
      <c r="W219" s="228">
        <v>-0.42</v>
      </c>
      <c r="X219" s="229">
        <v>-2.0500000000000001E-2</v>
      </c>
      <c r="Y219" s="228">
        <v>-0.02</v>
      </c>
      <c r="Z219" s="228">
        <v>7.0000000000000007E-2</v>
      </c>
      <c r="AA219" s="228">
        <v>-0.09</v>
      </c>
      <c r="AB219" s="229">
        <v>-1E-3</v>
      </c>
      <c r="AC219" s="228">
        <v>-0.02</v>
      </c>
      <c r="AD219" s="228">
        <v>7.0000000000000007E-2</v>
      </c>
      <c r="AE219" s="228">
        <v>-0.09</v>
      </c>
      <c r="AF219" s="229">
        <v>-1E-3</v>
      </c>
      <c r="AG219" s="228">
        <v>0.1</v>
      </c>
      <c r="AH219" s="228">
        <v>0.19</v>
      </c>
      <c r="AI219" s="228">
        <v>-0.09</v>
      </c>
      <c r="AJ219" s="229">
        <v>5.0000000000000001E-3</v>
      </c>
      <c r="AK219" s="228">
        <v>0.22</v>
      </c>
      <c r="AL219" s="228">
        <v>0.28999999999999998</v>
      </c>
      <c r="AM219" s="228">
        <v>-7.0000000000000007E-2</v>
      </c>
      <c r="AN219" s="229">
        <v>1.11E-2</v>
      </c>
      <c r="AO219" s="228">
        <v>20.170000000000002</v>
      </c>
      <c r="AP219" s="228">
        <v>20.260000000000002</v>
      </c>
      <c r="AQ219" s="228">
        <v>0</v>
      </c>
      <c r="AR219" s="230">
        <v>559364600</v>
      </c>
      <c r="AS219" s="230">
        <v>280490900</v>
      </c>
      <c r="AT219" s="230">
        <v>278873700</v>
      </c>
      <c r="AU219" s="229">
        <v>0.99419999999999997</v>
      </c>
      <c r="AV219" s="230">
        <v>395716400</v>
      </c>
      <c r="AW219" s="230">
        <v>234431800</v>
      </c>
      <c r="AX219" s="230">
        <v>161284600</v>
      </c>
      <c r="AY219" s="229">
        <v>0.68799999999999994</v>
      </c>
      <c r="AZ219" s="230">
        <v>147196300</v>
      </c>
      <c r="BA219" s="230">
        <v>41580700</v>
      </c>
      <c r="BB219" s="230">
        <v>105615600</v>
      </c>
      <c r="BC219" s="229">
        <v>2.54</v>
      </c>
      <c r="BD219" s="230">
        <v>16451900</v>
      </c>
      <c r="BE219" s="230">
        <v>4478400</v>
      </c>
      <c r="BF219" s="230">
        <v>11973500</v>
      </c>
      <c r="BG219" s="229">
        <v>2.6736</v>
      </c>
      <c r="BH219" s="230">
        <v>1994785100</v>
      </c>
      <c r="BI219" s="230">
        <v>1263313100</v>
      </c>
      <c r="BJ219" s="230">
        <v>731472000</v>
      </c>
      <c r="BK219" s="229">
        <v>0.57899999999999996</v>
      </c>
      <c r="BL219" s="230">
        <v>413039100</v>
      </c>
      <c r="BM219" s="230">
        <v>260618000</v>
      </c>
      <c r="BN219" s="230">
        <v>152421100</v>
      </c>
      <c r="BO219" s="229">
        <v>0.58479999999999999</v>
      </c>
      <c r="BP219" s="230">
        <v>2967188800</v>
      </c>
      <c r="BQ219" s="230">
        <v>1804422000</v>
      </c>
      <c r="BR219" s="230">
        <v>1162766800</v>
      </c>
      <c r="BS219" s="229">
        <v>0.64439999999999997</v>
      </c>
      <c r="BT219" s="230">
        <v>399215473</v>
      </c>
      <c r="BU219" s="230">
        <v>140556768</v>
      </c>
      <c r="BV219" s="230">
        <v>258658705</v>
      </c>
      <c r="BW219" s="229">
        <v>1.8402000000000001</v>
      </c>
      <c r="BX219" s="230">
        <v>1319790700</v>
      </c>
      <c r="BY219" s="230">
        <v>1261758100</v>
      </c>
      <c r="BZ219" s="230">
        <v>58032600</v>
      </c>
      <c r="CA219" s="229">
        <v>4.5999999999999999E-2</v>
      </c>
      <c r="CB219" s="230">
        <v>1053699100</v>
      </c>
      <c r="CC219" s="230">
        <v>1090832500</v>
      </c>
      <c r="CD219" s="230">
        <v>-37133400</v>
      </c>
      <c r="CE219" s="229">
        <v>-3.4000000000000002E-2</v>
      </c>
      <c r="CF219" s="230">
        <v>239501100</v>
      </c>
      <c r="CG219" s="230">
        <v>154193800</v>
      </c>
      <c r="CH219" s="230">
        <v>85307300</v>
      </c>
      <c r="CI219" s="229">
        <v>0.55320000000000003</v>
      </c>
      <c r="CJ219" s="230">
        <v>26590500</v>
      </c>
      <c r="CK219" s="230">
        <v>16731800</v>
      </c>
      <c r="CL219" s="230">
        <v>9858700</v>
      </c>
      <c r="CM219" s="229">
        <v>0.58919999999999995</v>
      </c>
      <c r="CN219" s="230">
        <v>660719500</v>
      </c>
      <c r="CO219" s="230">
        <v>488176700</v>
      </c>
      <c r="CP219" s="230">
        <v>172542800</v>
      </c>
      <c r="CQ219" s="229">
        <v>0.35339999999999999</v>
      </c>
      <c r="CR219" s="230">
        <v>349284100</v>
      </c>
      <c r="CS219" s="230">
        <v>308263200</v>
      </c>
      <c r="CT219" s="230">
        <v>41020900</v>
      </c>
      <c r="CU219" s="229">
        <v>0.1331</v>
      </c>
      <c r="CV219" s="230">
        <v>2329794300</v>
      </c>
      <c r="CW219" s="230">
        <v>2058198000</v>
      </c>
      <c r="CX219" s="230">
        <v>271596300</v>
      </c>
      <c r="CY219" s="229">
        <v>0.13200000000000001</v>
      </c>
      <c r="CZ219" s="228">
        <v>43.13</v>
      </c>
      <c r="DA219" s="228">
        <v>46.38</v>
      </c>
      <c r="DB219" s="228">
        <v>-3.25</v>
      </c>
      <c r="DC219" s="228">
        <v>-3.25</v>
      </c>
      <c r="DD219" s="228">
        <v>38.659999999999997</v>
      </c>
      <c r="DE219" s="228">
        <v>38.64</v>
      </c>
      <c r="DF219" s="228">
        <v>4.47</v>
      </c>
      <c r="DG219" s="228">
        <v>0.02</v>
      </c>
      <c r="DH219" s="228">
        <v>44.77</v>
      </c>
      <c r="DI219" s="228">
        <v>47.4</v>
      </c>
      <c r="DJ219" s="228">
        <v>-2.63</v>
      </c>
      <c r="DK219" s="228">
        <v>-2.63</v>
      </c>
      <c r="DL219" s="228">
        <v>35.200000000000003</v>
      </c>
      <c r="DM219" s="228">
        <v>41.4</v>
      </c>
      <c r="DN219" s="228">
        <v>-6.2</v>
      </c>
      <c r="DO219" s="228">
        <v>-6.2</v>
      </c>
      <c r="DP219" s="228">
        <v>0.53</v>
      </c>
      <c r="DQ219" s="228">
        <v>0.63</v>
      </c>
      <c r="DR219" s="228">
        <v>-0.1</v>
      </c>
      <c r="DS219" s="229">
        <v>-0.15870000000000001</v>
      </c>
      <c r="DT219" s="228">
        <v>21</v>
      </c>
      <c r="DU219" s="228">
        <v>20</v>
      </c>
      <c r="DV219" s="228">
        <v>0.21</v>
      </c>
      <c r="DW219" s="228">
        <v>0.21</v>
      </c>
      <c r="DX219" s="228">
        <v>0</v>
      </c>
      <c r="DY219" s="229">
        <v>0</v>
      </c>
      <c r="DZ219" s="229">
        <v>0.2016</v>
      </c>
      <c r="EA219" s="230">
        <v>170925600</v>
      </c>
      <c r="EB219" s="229">
        <v>6.1000000000000004E-3</v>
      </c>
      <c r="EC219" s="229">
        <v>0.2016</v>
      </c>
      <c r="ED219" s="228">
        <v>0.09</v>
      </c>
      <c r="EE219" s="229">
        <v>4.4999999999999997E-3</v>
      </c>
      <c r="EF219" s="230">
        <v>158906561</v>
      </c>
      <c r="EG219" s="230">
        <v>56233517</v>
      </c>
      <c r="EH219" s="229">
        <v>1.8258000000000001</v>
      </c>
      <c r="EI219" s="229">
        <v>0.39800000000000002</v>
      </c>
      <c r="EJ219" s="231">
        <v>436014.14</v>
      </c>
      <c r="EK219" s="231">
        <v>82021.13</v>
      </c>
      <c r="EL219" s="231">
        <v>112985.82</v>
      </c>
      <c r="EM219" s="231">
        <v>6243</v>
      </c>
      <c r="EN219" s="231">
        <v>631021.09</v>
      </c>
      <c r="EO219" s="231">
        <v>387304.54</v>
      </c>
      <c r="EP219" s="231">
        <v>243716.55</v>
      </c>
      <c r="EQ219" s="229">
        <v>0.62929999999999997</v>
      </c>
      <c r="ER219" s="231">
        <v>141410</v>
      </c>
      <c r="ES219" s="231">
        <v>64758</v>
      </c>
      <c r="ET219" s="231">
        <v>261934</v>
      </c>
      <c r="EU219" s="231">
        <v>3425130022</v>
      </c>
      <c r="EV219" s="231">
        <v>468101</v>
      </c>
      <c r="EW219" s="231">
        <v>416323</v>
      </c>
      <c r="EX219" s="231">
        <v>51778</v>
      </c>
      <c r="EY219" s="229">
        <v>0.1244</v>
      </c>
      <c r="EZ219" s="229">
        <v>0.68020000000000003</v>
      </c>
      <c r="FA219" s="227" t="s">
        <v>566</v>
      </c>
      <c r="FB219" s="161">
        <f t="shared" si="5"/>
        <v>0</v>
      </c>
    </row>
    <row r="220" spans="1:158" ht="17.25" thickBot="1" x14ac:dyDescent="0.3">
      <c r="A220" s="226">
        <v>46132</v>
      </c>
      <c r="B220" s="227" t="s">
        <v>170</v>
      </c>
      <c r="C220" s="227" t="s">
        <v>556</v>
      </c>
      <c r="D220" s="228">
        <v>900</v>
      </c>
      <c r="E220" s="228">
        <v>935.5</v>
      </c>
      <c r="F220" s="228">
        <v>946.25</v>
      </c>
      <c r="G220" s="228">
        <v>-10.75</v>
      </c>
      <c r="H220" s="229">
        <v>-1.14E-2</v>
      </c>
      <c r="I220" s="228">
        <v>936.5</v>
      </c>
      <c r="J220" s="228">
        <v>943.95</v>
      </c>
      <c r="K220" s="228">
        <v>-7.45</v>
      </c>
      <c r="L220" s="229">
        <v>-7.9000000000000008E-3</v>
      </c>
      <c r="M220" s="228">
        <v>935.5</v>
      </c>
      <c r="N220" s="228">
        <v>946.25</v>
      </c>
      <c r="O220" s="228">
        <v>-10.75</v>
      </c>
      <c r="P220" s="229">
        <v>-1.14E-2</v>
      </c>
      <c r="Q220" s="228">
        <v>942.1</v>
      </c>
      <c r="R220" s="228">
        <v>951.6</v>
      </c>
      <c r="S220" s="228">
        <v>-9.5</v>
      </c>
      <c r="T220" s="229">
        <v>-0.01</v>
      </c>
      <c r="U220" s="228">
        <v>944</v>
      </c>
      <c r="V220" s="228">
        <v>956.55</v>
      </c>
      <c r="W220" s="228">
        <v>-12.55</v>
      </c>
      <c r="X220" s="229">
        <v>-1.3100000000000001E-2</v>
      </c>
      <c r="Y220" s="228">
        <v>-1</v>
      </c>
      <c r="Z220" s="228">
        <v>2.2999999999999998</v>
      </c>
      <c r="AA220" s="228">
        <v>-3.3</v>
      </c>
      <c r="AB220" s="229">
        <v>-1.1000000000000001E-3</v>
      </c>
      <c r="AC220" s="228">
        <v>-1</v>
      </c>
      <c r="AD220" s="228">
        <v>2.2999999999999998</v>
      </c>
      <c r="AE220" s="228">
        <v>-3.3</v>
      </c>
      <c r="AF220" s="229">
        <v>-1.1000000000000001E-3</v>
      </c>
      <c r="AG220" s="228">
        <v>5.6</v>
      </c>
      <c r="AH220" s="228">
        <v>7.65</v>
      </c>
      <c r="AI220" s="228">
        <v>-2.0499999999999998</v>
      </c>
      <c r="AJ220" s="229">
        <v>6.0000000000000001E-3</v>
      </c>
      <c r="AK220" s="228">
        <v>7.5</v>
      </c>
      <c r="AL220" s="228">
        <v>12.6</v>
      </c>
      <c r="AM220" s="228">
        <v>-5.0999999999999996</v>
      </c>
      <c r="AN220" s="229">
        <v>8.0000000000000002E-3</v>
      </c>
      <c r="AO220" s="228">
        <v>938.95</v>
      </c>
      <c r="AP220" s="228">
        <v>944.93</v>
      </c>
      <c r="AQ220" s="228">
        <v>0</v>
      </c>
      <c r="AR220" s="230">
        <v>1508400</v>
      </c>
      <c r="AS220" s="230">
        <v>818100</v>
      </c>
      <c r="AT220" s="230">
        <v>690300</v>
      </c>
      <c r="AU220" s="229">
        <v>0.84379999999999999</v>
      </c>
      <c r="AV220" s="230">
        <v>1168200</v>
      </c>
      <c r="AW220" s="230">
        <v>716400</v>
      </c>
      <c r="AX220" s="230">
        <v>451800</v>
      </c>
      <c r="AY220" s="229">
        <v>0.63070000000000004</v>
      </c>
      <c r="AZ220" s="230">
        <v>322200</v>
      </c>
      <c r="BA220" s="230">
        <v>98100</v>
      </c>
      <c r="BB220" s="230">
        <v>224100</v>
      </c>
      <c r="BC220" s="229">
        <v>2.2844000000000002</v>
      </c>
      <c r="BD220" s="230">
        <v>18000</v>
      </c>
      <c r="BE220" s="230">
        <v>3600</v>
      </c>
      <c r="BF220" s="230">
        <v>14400</v>
      </c>
      <c r="BG220" s="229">
        <v>4</v>
      </c>
      <c r="BH220" s="230">
        <v>2409300</v>
      </c>
      <c r="BI220" s="230">
        <v>3638700</v>
      </c>
      <c r="BJ220" s="230">
        <v>-1229400</v>
      </c>
      <c r="BK220" s="229">
        <v>-0.33789999999999998</v>
      </c>
      <c r="BL220" s="230">
        <v>880200</v>
      </c>
      <c r="BM220" s="230">
        <v>1318500</v>
      </c>
      <c r="BN220" s="230">
        <v>-438300</v>
      </c>
      <c r="BO220" s="229">
        <v>-0.33239999999999997</v>
      </c>
      <c r="BP220" s="230">
        <v>4797900</v>
      </c>
      <c r="BQ220" s="230">
        <v>5775300</v>
      </c>
      <c r="BR220" s="230">
        <v>-977400</v>
      </c>
      <c r="BS220" s="229">
        <v>-0.16919999999999999</v>
      </c>
      <c r="BT220" s="230">
        <v>468797</v>
      </c>
      <c r="BU220" s="230">
        <v>534467</v>
      </c>
      <c r="BV220" s="230">
        <v>-65670</v>
      </c>
      <c r="BW220" s="229">
        <v>-0.1229</v>
      </c>
      <c r="BX220" s="230">
        <v>9216900</v>
      </c>
      <c r="BY220" s="230">
        <v>9289800</v>
      </c>
      <c r="BZ220" s="230">
        <v>-72900</v>
      </c>
      <c r="CA220" s="229">
        <v>-7.7999999999999996E-3</v>
      </c>
      <c r="CB220" s="230">
        <v>8679600</v>
      </c>
      <c r="CC220" s="230">
        <v>8996400</v>
      </c>
      <c r="CD220" s="230">
        <v>-316800</v>
      </c>
      <c r="CE220" s="229">
        <v>-3.5200000000000002E-2</v>
      </c>
      <c r="CF220" s="230">
        <v>498600</v>
      </c>
      <c r="CG220" s="230">
        <v>269100</v>
      </c>
      <c r="CH220" s="230">
        <v>229500</v>
      </c>
      <c r="CI220" s="229">
        <v>0.8528</v>
      </c>
      <c r="CJ220" s="230">
        <v>38700</v>
      </c>
      <c r="CK220" s="230">
        <v>24300</v>
      </c>
      <c r="CL220" s="230">
        <v>14400</v>
      </c>
      <c r="CM220" s="229">
        <v>0.59260000000000002</v>
      </c>
      <c r="CN220" s="230">
        <v>3240000</v>
      </c>
      <c r="CO220" s="230">
        <v>2948400</v>
      </c>
      <c r="CP220" s="230">
        <v>291600</v>
      </c>
      <c r="CQ220" s="229">
        <v>9.8900000000000002E-2</v>
      </c>
      <c r="CR220" s="230">
        <v>2276100</v>
      </c>
      <c r="CS220" s="230">
        <v>2259000</v>
      </c>
      <c r="CT220" s="230">
        <v>17100</v>
      </c>
      <c r="CU220" s="229">
        <v>7.6E-3</v>
      </c>
      <c r="CV220" s="230">
        <v>14733000</v>
      </c>
      <c r="CW220" s="230">
        <v>14497200</v>
      </c>
      <c r="CX220" s="230">
        <v>235800</v>
      </c>
      <c r="CY220" s="229">
        <v>1.6299999999999999E-2</v>
      </c>
      <c r="CZ220" s="228">
        <v>28.28</v>
      </c>
      <c r="DA220" s="228">
        <v>25.82</v>
      </c>
      <c r="DB220" s="228">
        <v>2.46</v>
      </c>
      <c r="DC220" s="228">
        <v>2.46</v>
      </c>
      <c r="DD220" s="228">
        <v>28.12</v>
      </c>
      <c r="DE220" s="228">
        <v>28.15</v>
      </c>
      <c r="DF220" s="228">
        <v>0.16</v>
      </c>
      <c r="DG220" s="228">
        <v>-0.03</v>
      </c>
      <c r="DH220" s="228">
        <v>27.34</v>
      </c>
      <c r="DI220" s="228">
        <v>24.44</v>
      </c>
      <c r="DJ220" s="228">
        <v>2.9</v>
      </c>
      <c r="DK220" s="228">
        <v>2.9</v>
      </c>
      <c r="DL220" s="228">
        <v>30.84</v>
      </c>
      <c r="DM220" s="228">
        <v>29.62</v>
      </c>
      <c r="DN220" s="228">
        <v>1.22</v>
      </c>
      <c r="DO220" s="228">
        <v>1.22</v>
      </c>
      <c r="DP220" s="228">
        <v>0.7</v>
      </c>
      <c r="DQ220" s="228">
        <v>0.77</v>
      </c>
      <c r="DR220" s="228">
        <v>-7.0000000000000007E-2</v>
      </c>
      <c r="DS220" s="229">
        <v>-9.0899999999999995E-2</v>
      </c>
      <c r="DT220" s="228">
        <v>960</v>
      </c>
      <c r="DU220" s="228">
        <v>900</v>
      </c>
      <c r="DV220" s="228">
        <v>0.37</v>
      </c>
      <c r="DW220" s="228">
        <v>0.36</v>
      </c>
      <c r="DX220" s="228">
        <v>0.01</v>
      </c>
      <c r="DY220" s="229">
        <v>2.7799999999999998E-2</v>
      </c>
      <c r="DZ220" s="229">
        <v>5.8299999999999998E-2</v>
      </c>
      <c r="EA220" s="230">
        <v>293400</v>
      </c>
      <c r="EB220" s="229">
        <v>7.1000000000000004E-3</v>
      </c>
      <c r="EC220" s="229">
        <v>5.8299999999999998E-2</v>
      </c>
      <c r="ED220" s="228">
        <v>5.98</v>
      </c>
      <c r="EE220" s="229">
        <v>6.4000000000000003E-3</v>
      </c>
      <c r="EF220" s="230">
        <v>231424</v>
      </c>
      <c r="EG220" s="230">
        <v>285049</v>
      </c>
      <c r="EH220" s="229">
        <v>-0.18809999999999999</v>
      </c>
      <c r="EI220" s="229">
        <v>0.49370000000000003</v>
      </c>
      <c r="EJ220" s="231">
        <v>23196.28</v>
      </c>
      <c r="EK220" s="231">
        <v>8075.73</v>
      </c>
      <c r="EL220" s="231">
        <v>14184.62</v>
      </c>
      <c r="EM220" s="231">
        <v>1404</v>
      </c>
      <c r="EN220" s="231">
        <v>45456.63</v>
      </c>
      <c r="EO220" s="231">
        <v>54994.32</v>
      </c>
      <c r="EP220" s="231">
        <v>-9537.69</v>
      </c>
      <c r="EQ220" s="229">
        <v>-0.1734</v>
      </c>
      <c r="ER220" s="231">
        <v>30663</v>
      </c>
      <c r="ES220" s="231">
        <v>20522</v>
      </c>
      <c r="ET220" s="231">
        <v>86260</v>
      </c>
      <c r="EU220" s="231">
        <v>25160867</v>
      </c>
      <c r="EV220" s="231">
        <v>137445</v>
      </c>
      <c r="EW220" s="231">
        <v>136102</v>
      </c>
      <c r="EX220" s="231">
        <v>1343</v>
      </c>
      <c r="EY220" s="229">
        <v>9.9000000000000008E-3</v>
      </c>
      <c r="EZ220" s="229">
        <v>0.58560000000000001</v>
      </c>
      <c r="FA220" s="227" t="s">
        <v>567</v>
      </c>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BX330-CB330</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J6" sqref="J6"/>
    </sheetView>
  </sheetViews>
  <sheetFormatPr defaultColWidth="13.7109375" defaultRowHeight="15" x14ac:dyDescent="0.25"/>
  <cols>
    <col min="1" max="1" width="23.85546875" customWidth="1"/>
    <col min="2" max="2" width="12" customWidth="1"/>
    <col min="3" max="3" width="12.7109375" customWidth="1"/>
    <col min="4" max="4" width="11.140625" customWidth="1"/>
    <col min="5" max="5" width="12.7109375" customWidth="1"/>
    <col min="6" max="6" width="11.140625" customWidth="1"/>
    <col min="7" max="7" width="10.85546875" customWidth="1"/>
    <col min="8" max="8" width="9.5703125" customWidth="1"/>
    <col min="9" max="9" width="12.7109375"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615</v>
      </c>
      <c r="B2" s="226">
        <v>46132</v>
      </c>
      <c r="C2" s="230">
        <v>17332693</v>
      </c>
      <c r="D2" s="230">
        <v>2688480</v>
      </c>
      <c r="E2" s="230">
        <v>17486666</v>
      </c>
      <c r="F2" s="230">
        <v>2709915</v>
      </c>
      <c r="G2" s="230">
        <v>-153973</v>
      </c>
      <c r="H2" s="230">
        <v>-21435</v>
      </c>
      <c r="I2" s="230">
        <v>14002784</v>
      </c>
      <c r="J2" s="230">
        <v>1452605</v>
      </c>
      <c r="K2" s="230">
        <v>384469</v>
      </c>
      <c r="L2" s="230">
        <v>54644</v>
      </c>
      <c r="M2" s="230">
        <v>14387253</v>
      </c>
      <c r="N2" s="230">
        <v>1507250</v>
      </c>
      <c r="O2" s="61"/>
      <c r="P2" s="61"/>
      <c r="Q2" s="61"/>
      <c r="R2" s="61"/>
      <c r="S2" s="61"/>
      <c r="U2" t="s">
        <v>453</v>
      </c>
      <c r="V2">
        <f>SUM('Data Vlaue (Cr)'!CD:CD)</f>
        <v>512932</v>
      </c>
      <c r="W2" t="s">
        <v>454</v>
      </c>
    </row>
    <row r="3" spans="1:23" ht="17.25" thickBot="1" x14ac:dyDescent="0.3">
      <c r="A3" s="227" t="s">
        <v>616</v>
      </c>
      <c r="B3" s="226">
        <v>46132</v>
      </c>
      <c r="C3" s="230">
        <v>4027</v>
      </c>
      <c r="D3" s="228">
        <v>687</v>
      </c>
      <c r="E3" s="230">
        <v>6403</v>
      </c>
      <c r="F3" s="230">
        <v>1091</v>
      </c>
      <c r="G3" s="230">
        <v>-2376</v>
      </c>
      <c r="H3" s="228">
        <v>-404</v>
      </c>
      <c r="I3" s="230">
        <v>61407</v>
      </c>
      <c r="J3" s="230">
        <v>10446</v>
      </c>
      <c r="K3" s="228">
        <v>-228</v>
      </c>
      <c r="L3" s="228">
        <v>-55</v>
      </c>
      <c r="M3" s="230">
        <v>61179</v>
      </c>
      <c r="N3" s="230">
        <v>10391</v>
      </c>
      <c r="O3" s="61"/>
      <c r="P3" s="61"/>
      <c r="Q3" s="61"/>
      <c r="R3" s="61"/>
      <c r="S3" s="61"/>
      <c r="U3" t="s">
        <v>453</v>
      </c>
      <c r="V3">
        <f>SUM('Data shares'!CC:CC)</f>
        <v>15057335055</v>
      </c>
      <c r="W3" t="s">
        <v>455</v>
      </c>
    </row>
    <row r="4" spans="1:23" ht="17.25" thickBot="1" x14ac:dyDescent="0.3">
      <c r="A4" s="227" t="s">
        <v>617</v>
      </c>
      <c r="B4" s="226">
        <v>46132</v>
      </c>
      <c r="C4" s="230">
        <v>397972</v>
      </c>
      <c r="D4" s="230">
        <v>68219</v>
      </c>
      <c r="E4" s="230">
        <v>412371</v>
      </c>
      <c r="F4" s="230">
        <v>70479</v>
      </c>
      <c r="G4" s="230">
        <v>-14399</v>
      </c>
      <c r="H4" s="230">
        <v>-2260</v>
      </c>
      <c r="I4" s="230">
        <v>500191</v>
      </c>
      <c r="J4" s="230">
        <v>84881</v>
      </c>
      <c r="K4" s="230">
        <v>1871</v>
      </c>
      <c r="L4" s="228">
        <v>343</v>
      </c>
      <c r="M4" s="230">
        <v>502062</v>
      </c>
      <c r="N4" s="230">
        <v>85224</v>
      </c>
      <c r="O4" s="61"/>
      <c r="P4" s="61"/>
      <c r="Q4" s="61"/>
      <c r="R4" s="61"/>
      <c r="S4" s="61"/>
    </row>
    <row r="5" spans="1:23" ht="17.25" thickBot="1" x14ac:dyDescent="0.3">
      <c r="A5" s="227" t="s">
        <v>618</v>
      </c>
      <c r="B5" s="226">
        <v>46132</v>
      </c>
      <c r="C5" s="228">
        <v>34</v>
      </c>
      <c r="D5" s="228">
        <v>5</v>
      </c>
      <c r="E5" s="228">
        <v>35</v>
      </c>
      <c r="F5" s="228">
        <v>6</v>
      </c>
      <c r="G5" s="228">
        <v>-1</v>
      </c>
      <c r="H5" s="228">
        <v>0</v>
      </c>
      <c r="I5" s="228">
        <v>169</v>
      </c>
      <c r="J5" s="228">
        <v>27</v>
      </c>
      <c r="K5" s="228">
        <v>-15</v>
      </c>
      <c r="L5" s="228">
        <v>-2</v>
      </c>
      <c r="M5" s="228">
        <v>154</v>
      </c>
      <c r="N5" s="228">
        <v>25</v>
      </c>
      <c r="O5" s="61"/>
      <c r="P5" s="61"/>
      <c r="Q5" s="61"/>
      <c r="R5" s="61"/>
      <c r="S5" s="61"/>
    </row>
    <row r="6" spans="1:23" ht="17.25" thickBot="1" x14ac:dyDescent="0.3">
      <c r="A6" s="227" t="s">
        <v>619</v>
      </c>
      <c r="B6" s="226">
        <v>46132</v>
      </c>
      <c r="C6" s="230">
        <v>4036</v>
      </c>
      <c r="D6" s="228">
        <v>648</v>
      </c>
      <c r="E6" s="230">
        <v>4746</v>
      </c>
      <c r="F6" s="228">
        <v>758</v>
      </c>
      <c r="G6" s="228">
        <v>-710</v>
      </c>
      <c r="H6" s="228">
        <v>-110</v>
      </c>
      <c r="I6" s="230">
        <v>5364</v>
      </c>
      <c r="J6" s="228">
        <v>854</v>
      </c>
      <c r="K6" s="228">
        <v>-400</v>
      </c>
      <c r="L6" s="228">
        <v>-63</v>
      </c>
      <c r="M6" s="230">
        <v>4964</v>
      </c>
      <c r="N6" s="228">
        <v>790</v>
      </c>
      <c r="O6" s="61"/>
      <c r="P6" s="61"/>
      <c r="Q6" s="61"/>
      <c r="R6" s="61"/>
      <c r="S6" s="61"/>
    </row>
    <row r="7" spans="1:23" ht="17.25" thickBot="1" x14ac:dyDescent="0.3">
      <c r="A7" s="227" t="s">
        <v>620</v>
      </c>
      <c r="B7" s="226">
        <v>46132</v>
      </c>
      <c r="C7" s="230">
        <v>15823</v>
      </c>
      <c r="D7" s="230">
        <v>2563</v>
      </c>
      <c r="E7" s="230">
        <v>14631</v>
      </c>
      <c r="F7" s="230">
        <v>2404</v>
      </c>
      <c r="G7" s="230">
        <v>1192</v>
      </c>
      <c r="H7" s="228">
        <v>159</v>
      </c>
      <c r="I7" s="230">
        <v>326991</v>
      </c>
      <c r="J7" s="230">
        <v>52772</v>
      </c>
      <c r="K7" s="230">
        <v>-3020</v>
      </c>
      <c r="L7" s="228">
        <v>-574</v>
      </c>
      <c r="M7" s="230">
        <v>323971</v>
      </c>
      <c r="N7" s="230">
        <v>52198</v>
      </c>
    </row>
    <row r="8" spans="1:23" ht="17.25" thickBot="1" x14ac:dyDescent="0.3">
      <c r="A8" s="227" t="s">
        <v>621</v>
      </c>
      <c r="B8" s="226">
        <v>46132</v>
      </c>
      <c r="C8" s="230">
        <v>8273755</v>
      </c>
      <c r="D8" s="230">
        <v>1317291</v>
      </c>
      <c r="E8" s="230">
        <v>8338168</v>
      </c>
      <c r="F8" s="230">
        <v>1327511</v>
      </c>
      <c r="G8" s="230">
        <v>-64413</v>
      </c>
      <c r="H8" s="230">
        <v>-10220</v>
      </c>
      <c r="I8" s="230">
        <v>2516604</v>
      </c>
      <c r="J8" s="230">
        <v>404402</v>
      </c>
      <c r="K8" s="230">
        <v>171442</v>
      </c>
      <c r="L8" s="230">
        <v>27315</v>
      </c>
      <c r="M8" s="230">
        <v>2688046</v>
      </c>
      <c r="N8" s="230">
        <v>431717</v>
      </c>
    </row>
    <row r="9" spans="1:23" ht="17.25" thickBot="1" x14ac:dyDescent="0.3">
      <c r="A9" s="227" t="s">
        <v>622</v>
      </c>
      <c r="B9" s="226">
        <v>46132</v>
      </c>
      <c r="C9" s="228">
        <v>424</v>
      </c>
      <c r="D9" s="228">
        <v>70</v>
      </c>
      <c r="E9" s="228">
        <v>907</v>
      </c>
      <c r="F9" s="228">
        <v>151</v>
      </c>
      <c r="G9" s="228">
        <v>-483</v>
      </c>
      <c r="H9" s="228">
        <v>-80</v>
      </c>
      <c r="I9" s="230">
        <v>26826</v>
      </c>
      <c r="J9" s="230">
        <v>4458</v>
      </c>
      <c r="K9" s="228">
        <v>-127</v>
      </c>
      <c r="L9" s="228">
        <v>-42</v>
      </c>
      <c r="M9" s="230">
        <v>26699</v>
      </c>
      <c r="N9" s="230">
        <v>4417</v>
      </c>
    </row>
    <row r="10" spans="1:23" ht="17.25" thickBot="1" x14ac:dyDescent="0.3">
      <c r="A10" s="227" t="s">
        <v>623</v>
      </c>
      <c r="B10" s="226">
        <v>46132</v>
      </c>
      <c r="C10" s="230">
        <v>38202</v>
      </c>
      <c r="D10" s="230">
        <v>6331</v>
      </c>
      <c r="E10" s="230">
        <v>39275</v>
      </c>
      <c r="F10" s="230">
        <v>6503</v>
      </c>
      <c r="G10" s="230">
        <v>-1073</v>
      </c>
      <c r="H10" s="228">
        <v>-171</v>
      </c>
      <c r="I10" s="230">
        <v>40204</v>
      </c>
      <c r="J10" s="230">
        <v>6677</v>
      </c>
      <c r="K10" s="230">
        <v>-1627</v>
      </c>
      <c r="L10" s="228">
        <v>-285</v>
      </c>
      <c r="M10" s="230">
        <v>38577</v>
      </c>
      <c r="N10" s="230">
        <v>6392</v>
      </c>
    </row>
    <row r="11" spans="1:23" ht="17.25" thickBot="1" x14ac:dyDescent="0.3">
      <c r="A11" s="227" t="s">
        <v>624</v>
      </c>
      <c r="B11" s="226">
        <v>46132</v>
      </c>
      <c r="C11" s="230">
        <v>11265</v>
      </c>
      <c r="D11" s="230">
        <v>1788</v>
      </c>
      <c r="E11" s="230">
        <v>7228</v>
      </c>
      <c r="F11" s="230">
        <v>1147</v>
      </c>
      <c r="G11" s="230">
        <v>4037</v>
      </c>
      <c r="H11" s="228">
        <v>641</v>
      </c>
      <c r="I11" s="230">
        <v>238026</v>
      </c>
      <c r="J11" s="230">
        <v>37742</v>
      </c>
      <c r="K11" s="230">
        <v>-2665</v>
      </c>
      <c r="L11" s="228">
        <v>-477</v>
      </c>
      <c r="M11" s="230">
        <v>235361</v>
      </c>
      <c r="N11" s="230">
        <v>37265</v>
      </c>
    </row>
    <row r="12" spans="1:23" ht="17.25" thickBot="1" x14ac:dyDescent="0.3">
      <c r="A12" s="227" t="s">
        <v>625</v>
      </c>
      <c r="B12" s="226">
        <v>46132</v>
      </c>
      <c r="C12" s="230">
        <v>7833280</v>
      </c>
      <c r="D12" s="230">
        <v>1242046</v>
      </c>
      <c r="E12" s="230">
        <v>7881587</v>
      </c>
      <c r="F12" s="230">
        <v>1249738</v>
      </c>
      <c r="G12" s="230">
        <v>-48307</v>
      </c>
      <c r="H12" s="230">
        <v>-7692</v>
      </c>
      <c r="I12" s="230">
        <v>1970258</v>
      </c>
      <c r="J12" s="230">
        <v>311888</v>
      </c>
      <c r="K12" s="230">
        <v>171654</v>
      </c>
      <c r="L12" s="230">
        <v>27330</v>
      </c>
      <c r="M12" s="230">
        <v>2141912</v>
      </c>
      <c r="N12" s="230">
        <v>339218</v>
      </c>
    </row>
    <row r="13" spans="1:23" ht="17.25" thickBot="1" x14ac:dyDescent="0.3">
      <c r="A13" s="227" t="s">
        <v>626</v>
      </c>
      <c r="B13" s="226">
        <v>46132</v>
      </c>
      <c r="C13" s="228">
        <v>73</v>
      </c>
      <c r="D13" s="228">
        <v>13</v>
      </c>
      <c r="E13" s="228">
        <v>58</v>
      </c>
      <c r="F13" s="228">
        <v>10</v>
      </c>
      <c r="G13" s="228">
        <v>15</v>
      </c>
      <c r="H13" s="228">
        <v>3</v>
      </c>
      <c r="I13" s="228">
        <v>563</v>
      </c>
      <c r="J13" s="228">
        <v>99</v>
      </c>
      <c r="K13" s="228">
        <v>15</v>
      </c>
      <c r="L13" s="228">
        <v>3</v>
      </c>
      <c r="M13" s="228">
        <v>578</v>
      </c>
      <c r="N13" s="228">
        <v>101</v>
      </c>
    </row>
    <row r="14" spans="1:23" ht="17.25" thickBot="1" x14ac:dyDescent="0.3">
      <c r="A14" s="227" t="s">
        <v>627</v>
      </c>
      <c r="B14" s="226">
        <v>46132</v>
      </c>
      <c r="C14" s="228">
        <v>265</v>
      </c>
      <c r="D14" s="228">
        <v>47</v>
      </c>
      <c r="E14" s="228">
        <v>189</v>
      </c>
      <c r="F14" s="228">
        <v>34</v>
      </c>
      <c r="G14" s="228">
        <v>76</v>
      </c>
      <c r="H14" s="228">
        <v>13</v>
      </c>
      <c r="I14" s="228">
        <v>587</v>
      </c>
      <c r="J14" s="228">
        <v>103</v>
      </c>
      <c r="K14" s="228">
        <v>-56</v>
      </c>
      <c r="L14" s="228">
        <v>-10</v>
      </c>
      <c r="M14" s="228">
        <v>531</v>
      </c>
      <c r="N14" s="228">
        <v>93</v>
      </c>
    </row>
    <row r="15" spans="1:23" ht="17.25" thickBot="1" x14ac:dyDescent="0.3">
      <c r="A15" s="227" t="s">
        <v>628</v>
      </c>
      <c r="B15" s="226">
        <v>46132</v>
      </c>
      <c r="C15" s="230">
        <v>347270</v>
      </c>
      <c r="D15" s="230">
        <v>22727</v>
      </c>
      <c r="E15" s="230">
        <v>367511</v>
      </c>
      <c r="F15" s="230">
        <v>23409</v>
      </c>
      <c r="G15" s="230">
        <v>-20241</v>
      </c>
      <c r="H15" s="228">
        <v>-683</v>
      </c>
      <c r="I15" s="230">
        <v>7270105</v>
      </c>
      <c r="J15" s="230">
        <v>468159</v>
      </c>
      <c r="K15" s="230">
        <v>1917</v>
      </c>
      <c r="L15" s="230">
        <v>-1901</v>
      </c>
      <c r="M15" s="230">
        <v>7272022</v>
      </c>
      <c r="N15" s="230">
        <v>466258</v>
      </c>
    </row>
    <row r="16" spans="1:23" ht="17.25" thickBot="1" x14ac:dyDescent="0.3">
      <c r="A16" s="227" t="s">
        <v>629</v>
      </c>
      <c r="B16" s="226">
        <v>46132</v>
      </c>
      <c r="C16" s="230">
        <v>406267</v>
      </c>
      <c r="D16" s="230">
        <v>26045</v>
      </c>
      <c r="E16" s="230">
        <v>413557</v>
      </c>
      <c r="F16" s="230">
        <v>26675</v>
      </c>
      <c r="G16" s="230">
        <v>-7290</v>
      </c>
      <c r="H16" s="228">
        <v>-631</v>
      </c>
      <c r="I16" s="230">
        <v>1045489</v>
      </c>
      <c r="J16" s="230">
        <v>70097</v>
      </c>
      <c r="K16" s="230">
        <v>45708</v>
      </c>
      <c r="L16" s="230">
        <v>3063</v>
      </c>
      <c r="M16" s="230">
        <v>1091197</v>
      </c>
      <c r="N16" s="230">
        <v>73160</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7"/>
  <sheetViews>
    <sheetView zoomScale="85" zoomScaleNormal="85" workbookViewId="0">
      <pane ySplit="6" topLeftCell="A188" activePane="bottomLeft" state="frozen"/>
      <selection activeCell="E46" sqref="E46"/>
      <selection pane="bottomLeft" activeCell="A7" sqref="A7:A225"/>
    </sheetView>
  </sheetViews>
  <sheetFormatPr defaultRowHeight="15" x14ac:dyDescent="0.25"/>
  <cols>
    <col min="1" max="1" width="14.5703125" style="74" bestFit="1" customWidth="1"/>
    <col min="6" max="6" width="14.7109375" bestFit="1" customWidth="1"/>
    <col min="7" max="7" width="14.42578125" bestFit="1" customWidth="1"/>
    <col min="8" max="8" width="6.42578125" bestFit="1" customWidth="1"/>
    <col min="9" max="9" width="14.42578125" bestFit="1" customWidth="1"/>
    <col min="10" max="10" width="14.140625" bestFit="1" customWidth="1"/>
    <col min="11" max="11" width="6.42578125" bestFit="1" customWidth="1"/>
  </cols>
  <sheetData>
    <row r="1" spans="1:17" hidden="1" x14ac:dyDescent="0.25"/>
    <row r="2" spans="1:17" ht="15.75" thickBot="1" x14ac:dyDescent="0.3"/>
    <row r="3" spans="1:17" s="70" customFormat="1" ht="21" customHeight="1" thickBot="1" x14ac:dyDescent="0.3">
      <c r="A3" s="261" t="s">
        <v>325</v>
      </c>
      <c r="B3" s="262"/>
      <c r="C3" s="262"/>
      <c r="D3" s="262"/>
      <c r="E3" s="262"/>
      <c r="F3" s="262"/>
      <c r="G3" s="262"/>
      <c r="H3" s="262"/>
      <c r="I3" s="262"/>
      <c r="J3" s="262"/>
      <c r="K3" s="262"/>
      <c r="L3" s="262"/>
      <c r="M3" s="262"/>
      <c r="N3" s="262"/>
      <c r="O3" s="262"/>
      <c r="P3" s="262"/>
      <c r="Q3" s="263"/>
    </row>
    <row r="4" spans="1:17" s="64" customFormat="1" x14ac:dyDescent="0.25">
      <c r="A4" s="264"/>
      <c r="B4" s="264" t="s">
        <v>308</v>
      </c>
      <c r="C4" s="264"/>
      <c r="D4" s="265"/>
      <c r="E4" s="265"/>
      <c r="F4" s="264" t="s">
        <v>326</v>
      </c>
      <c r="G4" s="264"/>
      <c r="H4" s="264"/>
      <c r="I4" s="264" t="s">
        <v>327</v>
      </c>
      <c r="J4" s="264"/>
      <c r="K4" s="264"/>
      <c r="L4" s="264" t="s">
        <v>311</v>
      </c>
      <c r="M4" s="264"/>
      <c r="N4" s="264"/>
      <c r="O4" s="264"/>
      <c r="P4" s="264"/>
      <c r="Q4" s="264"/>
    </row>
    <row r="5" spans="1:17" s="64" customFormat="1" x14ac:dyDescent="0.25">
      <c r="A5" s="259"/>
      <c r="B5" s="73" t="s">
        <v>312</v>
      </c>
      <c r="C5" s="259" t="s">
        <v>313</v>
      </c>
      <c r="D5" s="260"/>
      <c r="E5" s="260"/>
      <c r="F5" s="259" t="s">
        <v>314</v>
      </c>
      <c r="G5" s="259"/>
      <c r="H5" s="259"/>
      <c r="I5" s="259" t="s">
        <v>315</v>
      </c>
      <c r="J5" s="259"/>
      <c r="K5" s="259"/>
      <c r="L5" s="259" t="s">
        <v>316</v>
      </c>
      <c r="M5" s="259"/>
      <c r="N5" s="259"/>
      <c r="O5" s="259" t="s">
        <v>317</v>
      </c>
      <c r="P5" s="259"/>
      <c r="Q5" s="259"/>
    </row>
    <row r="6" spans="1:17" s="72" customFormat="1" ht="33.75" x14ac:dyDescent="0.25">
      <c r="A6" s="71" t="s">
        <v>557</v>
      </c>
      <c r="B6" s="66">
        <f>'Snapshot (Value)'!C10</f>
        <v>46132</v>
      </c>
      <c r="C6" s="66">
        <f>'Snapshot (Value)'!D10</f>
        <v>46132</v>
      </c>
      <c r="D6" s="71" t="s">
        <v>322</v>
      </c>
      <c r="E6" s="71" t="s">
        <v>328</v>
      </c>
      <c r="F6" s="66">
        <f>C6</f>
        <v>46132</v>
      </c>
      <c r="G6" s="71" t="s">
        <v>322</v>
      </c>
      <c r="H6" s="71" t="s">
        <v>328</v>
      </c>
      <c r="I6" s="66">
        <f>C6</f>
        <v>46132</v>
      </c>
      <c r="J6" s="71" t="s">
        <v>322</v>
      </c>
      <c r="K6" s="71" t="s">
        <v>328</v>
      </c>
      <c r="L6" s="66">
        <f>C6</f>
        <v>46132</v>
      </c>
      <c r="M6" s="71" t="s">
        <v>322</v>
      </c>
      <c r="N6" s="71" t="s">
        <v>328</v>
      </c>
      <c r="O6" s="66">
        <f>C6</f>
        <v>46132</v>
      </c>
      <c r="P6" s="71" t="s">
        <v>322</v>
      </c>
      <c r="Q6" s="71" t="s">
        <v>328</v>
      </c>
    </row>
    <row r="7" spans="1:17" x14ac:dyDescent="0.25">
      <c r="A7" s="97" t="str">
        <f>'Data Vlaue (Cr)'!C2</f>
        <v>360ONE</v>
      </c>
      <c r="B7" s="140">
        <f>VLOOKUP($A7,'Data shares'!$C:$FB,7)</f>
        <v>1109.25</v>
      </c>
      <c r="C7" s="140">
        <f>VLOOKUP($A7,'Data shares'!$C:$FB,3)</f>
        <v>1101.6500000000001</v>
      </c>
      <c r="D7" s="140">
        <f>VLOOKUP($A7,'Data shares'!$C:$FB,4)</f>
        <v>1114.6500000000001</v>
      </c>
      <c r="E7" s="50">
        <f>(C7-D7)/D7*100</f>
        <v>-1.1662853810613196</v>
      </c>
      <c r="F7" s="49">
        <f>VLOOKUP($A7,'Data shares'!$C:$FB,98)</f>
        <v>9895000</v>
      </c>
      <c r="G7" s="49">
        <f>VLOOKUP($A7,'Data shares'!$C:$FB,99)</f>
        <v>9868000</v>
      </c>
      <c r="H7" s="50">
        <f>(F7-G7)/G7*100</f>
        <v>0.27361167409809489</v>
      </c>
      <c r="I7" s="49">
        <f>VLOOKUP($A7,'Data shares'!$C:$FB,66)</f>
        <v>5341000</v>
      </c>
      <c r="J7" s="49">
        <f>VLOOKUP($A7,'Data shares'!$C:$FB,67)</f>
        <v>10467500</v>
      </c>
      <c r="K7" s="50">
        <f>(I7-J7)/I7*100</f>
        <v>-95.983898146414532</v>
      </c>
      <c r="L7" s="50">
        <f>VLOOKUP($A7,'Data shares'!$C:$FB,118)</f>
        <v>1.1299999999999999</v>
      </c>
      <c r="M7" s="50">
        <f>VLOOKUP($A7,'Data shares'!$C:$FB,119)</f>
        <v>1.23</v>
      </c>
      <c r="N7" s="50">
        <f>VLOOKUP($A7,'Data shares'!$C:$FB,121)*100</f>
        <v>-8.129999999999999</v>
      </c>
      <c r="O7" s="50">
        <f>VLOOKUP($A7,'Data shares'!$C:$FB,124)</f>
        <v>0.4</v>
      </c>
      <c r="P7" s="50">
        <f>VLOOKUP($A7,'Data shares'!$C:$FB,125)</f>
        <v>0.54</v>
      </c>
      <c r="Q7" s="50">
        <f>VLOOKUP($A7,'Data shares'!$C:$FB,127)*100</f>
        <v>-25.929999999999996</v>
      </c>
    </row>
    <row r="8" spans="1:17" x14ac:dyDescent="0.25">
      <c r="A8" s="97" t="str">
        <f>'Data Vlaue (Cr)'!C3</f>
        <v>ABB</v>
      </c>
      <c r="B8" s="140">
        <f>VLOOKUP($A8,'Data shares'!$C:$FB,7)</f>
        <v>7158</v>
      </c>
      <c r="C8" s="140">
        <f>VLOOKUP($A8,'Data shares'!$C:$FB,3)</f>
        <v>7150.5</v>
      </c>
      <c r="D8" s="140">
        <f>VLOOKUP($A8,'Data shares'!$C:$FB,4)</f>
        <v>7037</v>
      </c>
      <c r="E8" s="50">
        <f t="shared" ref="E8:E71" si="0">(C8-D8)/D8*100</f>
        <v>1.6129032258064515</v>
      </c>
      <c r="F8" s="49">
        <f>VLOOKUP($A8,'Data shares'!$C:$FB,98)</f>
        <v>5143375</v>
      </c>
      <c r="G8" s="49">
        <f>VLOOKUP($A8,'Data shares'!$C:$FB,99)</f>
        <v>4534125</v>
      </c>
      <c r="H8" s="50">
        <f t="shared" ref="H8:H71" si="1">(F8-G8)/G8*100</f>
        <v>13.436991701816778</v>
      </c>
      <c r="I8" s="49">
        <f>VLOOKUP($A8,'Data shares'!$C:$FB,66)</f>
        <v>12710500</v>
      </c>
      <c r="J8" s="49">
        <f>VLOOKUP($A8,'Data shares'!$C:$FB,67)</f>
        <v>6812125</v>
      </c>
      <c r="K8" s="50">
        <f t="shared" ref="K8:K71" si="2">(I8-J8)/I8*100</f>
        <v>46.405530860312339</v>
      </c>
      <c r="L8" s="50">
        <f>VLOOKUP($A8,'Data shares'!$C:$FB,118)</f>
        <v>0.91</v>
      </c>
      <c r="M8" s="50">
        <f>VLOOKUP($A8,'Data shares'!$C:$FB,119)</f>
        <v>1.1299999999999999</v>
      </c>
      <c r="N8" s="50">
        <f>VLOOKUP($A8,'Data shares'!$C:$FB,121)*100</f>
        <v>-19.470000000000002</v>
      </c>
      <c r="O8" s="50">
        <f>VLOOKUP($A8,'Data shares'!$C:$FB,124)</f>
        <v>0.36</v>
      </c>
      <c r="P8" s="50">
        <f>VLOOKUP($A8,'Data shares'!$C:$FB,125)</f>
        <v>0.48</v>
      </c>
      <c r="Q8" s="50">
        <f>VLOOKUP($A8,'Data shares'!$C:$FB,127)*100</f>
        <v>-25</v>
      </c>
    </row>
    <row r="9" spans="1:17" x14ac:dyDescent="0.25">
      <c r="A9" s="97" t="str">
        <f>'Data Vlaue (Cr)'!C4</f>
        <v>ABCAPITAL</v>
      </c>
      <c r="B9" s="140">
        <f>VLOOKUP($A9,'Data shares'!$C:$FB,7)</f>
        <v>341.6</v>
      </c>
      <c r="C9" s="140">
        <f>VLOOKUP($A9,'Data shares'!$C:$FB,3)</f>
        <v>341</v>
      </c>
      <c r="D9" s="140">
        <f>VLOOKUP($A9,'Data shares'!$C:$FB,4)</f>
        <v>340.8</v>
      </c>
      <c r="E9" s="50">
        <f t="shared" si="0"/>
        <v>5.8685446009386334E-2</v>
      </c>
      <c r="F9" s="49">
        <f>VLOOKUP($A9,'Data shares'!$C:$FB,98)</f>
        <v>66011400</v>
      </c>
      <c r="G9" s="49">
        <f>VLOOKUP($A9,'Data shares'!$C:$FB,99)</f>
        <v>70075500</v>
      </c>
      <c r="H9" s="50">
        <f t="shared" si="1"/>
        <v>-5.7996018579960191</v>
      </c>
      <c r="I9" s="49">
        <f>VLOOKUP($A9,'Data shares'!$C:$FB,66)</f>
        <v>38852300</v>
      </c>
      <c r="J9" s="49">
        <f>VLOOKUP($A9,'Data shares'!$C:$FB,67)</f>
        <v>72828300</v>
      </c>
      <c r="K9" s="50">
        <f t="shared" si="2"/>
        <v>-87.449134285486323</v>
      </c>
      <c r="L9" s="50">
        <f>VLOOKUP($A9,'Data shares'!$C:$FB,118)</f>
        <v>0.67</v>
      </c>
      <c r="M9" s="50">
        <f>VLOOKUP($A9,'Data shares'!$C:$FB,119)</f>
        <v>0.61</v>
      </c>
      <c r="N9" s="50">
        <f>VLOOKUP($A9,'Data shares'!$C:$FB,121)*100</f>
        <v>9.84</v>
      </c>
      <c r="O9" s="50">
        <f>VLOOKUP($A9,'Data shares'!$C:$FB,124)</f>
        <v>0.45</v>
      </c>
      <c r="P9" s="50">
        <f>VLOOKUP($A9,'Data shares'!$C:$FB,125)</f>
        <v>0.24</v>
      </c>
      <c r="Q9" s="50">
        <f>VLOOKUP($A9,'Data shares'!$C:$FB,127)*100</f>
        <v>87.5</v>
      </c>
    </row>
    <row r="10" spans="1:17" x14ac:dyDescent="0.25">
      <c r="A10" s="97" t="str">
        <f>'Data Vlaue (Cr)'!C5</f>
        <v>ADANIENSOL</v>
      </c>
      <c r="B10" s="140">
        <f>VLOOKUP($A10,'Data shares'!$C:$FB,7)</f>
        <v>1259.4000000000001</v>
      </c>
      <c r="C10" s="140">
        <f>VLOOKUP($A10,'Data shares'!$C:$FB,3)</f>
        <v>1258.3</v>
      </c>
      <c r="D10" s="140">
        <f>VLOOKUP($A10,'Data shares'!$C:$FB,4)</f>
        <v>1261.7</v>
      </c>
      <c r="E10" s="50">
        <f t="shared" si="0"/>
        <v>-0.26947768883253476</v>
      </c>
      <c r="F10" s="49">
        <f>VLOOKUP($A10,'Data shares'!$C:$FB,98)</f>
        <v>29461050</v>
      </c>
      <c r="G10" s="49">
        <f>VLOOKUP($A10,'Data shares'!$C:$FB,99)</f>
        <v>29965275</v>
      </c>
      <c r="H10" s="50">
        <f t="shared" si="1"/>
        <v>-1.6826977226139257</v>
      </c>
      <c r="I10" s="49">
        <f>VLOOKUP($A10,'Data shares'!$C:$FB,66)</f>
        <v>15848325</v>
      </c>
      <c r="J10" s="49">
        <f>VLOOKUP($A10,'Data shares'!$C:$FB,67)</f>
        <v>26327700</v>
      </c>
      <c r="K10" s="50">
        <f t="shared" si="2"/>
        <v>-66.12291835257038</v>
      </c>
      <c r="L10" s="50">
        <f>VLOOKUP($A10,'Data shares'!$C:$FB,118)</f>
        <v>0.64</v>
      </c>
      <c r="M10" s="50">
        <f>VLOOKUP($A10,'Data shares'!$C:$FB,119)</f>
        <v>0.69</v>
      </c>
      <c r="N10" s="50">
        <f>VLOOKUP($A10,'Data shares'!$C:$FB,121)*100</f>
        <v>-7.2499999999999991</v>
      </c>
      <c r="O10" s="50">
        <f>VLOOKUP($A10,'Data shares'!$C:$FB,124)</f>
        <v>0.38</v>
      </c>
      <c r="P10" s="50">
        <f>VLOOKUP($A10,'Data shares'!$C:$FB,125)</f>
        <v>0.55000000000000004</v>
      </c>
      <c r="Q10" s="50">
        <f>VLOOKUP($A10,'Data shares'!$C:$FB,127)*100</f>
        <v>-30.91</v>
      </c>
    </row>
    <row r="11" spans="1:17" x14ac:dyDescent="0.25">
      <c r="A11" s="97" t="str">
        <f>'Data Vlaue (Cr)'!C6</f>
        <v>ADANIENT</v>
      </c>
      <c r="B11" s="140">
        <f>VLOOKUP($A11,'Data shares'!$C:$FB,7)</f>
        <v>2229.6</v>
      </c>
      <c r="C11" s="140">
        <f>VLOOKUP($A11,'Data shares'!$C:$FB,3)</f>
        <v>2230.5</v>
      </c>
      <c r="D11" s="140">
        <f>VLOOKUP($A11,'Data shares'!$C:$FB,4)</f>
        <v>2224.9</v>
      </c>
      <c r="E11" s="50">
        <f t="shared" si="0"/>
        <v>0.25169670546990469</v>
      </c>
      <c r="F11" s="49">
        <f>VLOOKUP($A11,'Data shares'!$C:$FB,98)</f>
        <v>31771071</v>
      </c>
      <c r="G11" s="49">
        <f>VLOOKUP($A11,'Data shares'!$C:$FB,99)</f>
        <v>31390692</v>
      </c>
      <c r="H11" s="50">
        <f t="shared" si="1"/>
        <v>1.2117572941686026</v>
      </c>
      <c r="I11" s="49">
        <f>VLOOKUP($A11,'Data shares'!$C:$FB,66)</f>
        <v>25199568</v>
      </c>
      <c r="J11" s="49">
        <f>VLOOKUP($A11,'Data shares'!$C:$FB,67)</f>
        <v>24423978</v>
      </c>
      <c r="K11" s="50">
        <f t="shared" si="2"/>
        <v>3.0777908573670789</v>
      </c>
      <c r="L11" s="50">
        <f>VLOOKUP($A11,'Data shares'!$C:$FB,118)</f>
        <v>1</v>
      </c>
      <c r="M11" s="50">
        <f>VLOOKUP($A11,'Data shares'!$C:$FB,119)</f>
        <v>0.94</v>
      </c>
      <c r="N11" s="50">
        <f>VLOOKUP($A11,'Data shares'!$C:$FB,121)*100</f>
        <v>6.38</v>
      </c>
      <c r="O11" s="50">
        <f>VLOOKUP($A11,'Data shares'!$C:$FB,124)</f>
        <v>0.52</v>
      </c>
      <c r="P11" s="50">
        <f>VLOOKUP($A11,'Data shares'!$C:$FB,125)</f>
        <v>0.48</v>
      </c>
      <c r="Q11" s="50">
        <f>VLOOKUP($A11,'Data shares'!$C:$FB,127)*100</f>
        <v>8.33</v>
      </c>
    </row>
    <row r="12" spans="1:17" x14ac:dyDescent="0.25">
      <c r="A12" s="97" t="str">
        <f>'Data Vlaue (Cr)'!C7</f>
        <v>ADANIGREEN</v>
      </c>
      <c r="B12" s="140">
        <f>VLOOKUP($A12,'Data shares'!$C:$FB,7)</f>
        <v>1152.7</v>
      </c>
      <c r="C12" s="140">
        <f>VLOOKUP($A12,'Data shares'!$C:$FB,3)</f>
        <v>1154.5</v>
      </c>
      <c r="D12" s="140">
        <f>VLOOKUP($A12,'Data shares'!$C:$FB,4)</f>
        <v>1129.1500000000001</v>
      </c>
      <c r="E12" s="50">
        <f t="shared" si="0"/>
        <v>2.2450515874772976</v>
      </c>
      <c r="F12" s="49">
        <f>VLOOKUP($A12,'Data shares'!$C:$FB,98)</f>
        <v>37735800</v>
      </c>
      <c r="G12" s="49">
        <f>VLOOKUP($A12,'Data shares'!$C:$FB,99)</f>
        <v>36141600</v>
      </c>
      <c r="H12" s="50">
        <f t="shared" si="1"/>
        <v>4.4109834650375195</v>
      </c>
      <c r="I12" s="49">
        <f>VLOOKUP($A12,'Data shares'!$C:$FB,66)</f>
        <v>50078400</v>
      </c>
      <c r="J12" s="49">
        <f>VLOOKUP($A12,'Data shares'!$C:$FB,67)</f>
        <v>24160800</v>
      </c>
      <c r="K12" s="50">
        <f t="shared" si="2"/>
        <v>51.754049650148573</v>
      </c>
      <c r="L12" s="50">
        <f>VLOOKUP($A12,'Data shares'!$C:$FB,118)</f>
        <v>0.76</v>
      </c>
      <c r="M12" s="50">
        <f>VLOOKUP($A12,'Data shares'!$C:$FB,119)</f>
        <v>0.84</v>
      </c>
      <c r="N12" s="50">
        <f>VLOOKUP($A12,'Data shares'!$C:$FB,121)*100</f>
        <v>-9.5200000000000014</v>
      </c>
      <c r="O12" s="50">
        <f>VLOOKUP($A12,'Data shares'!$C:$FB,124)</f>
        <v>0.43</v>
      </c>
      <c r="P12" s="50">
        <f>VLOOKUP($A12,'Data shares'!$C:$FB,125)</f>
        <v>0.5</v>
      </c>
      <c r="Q12" s="50">
        <f>VLOOKUP($A12,'Data shares'!$C:$FB,127)*100</f>
        <v>-14.000000000000002</v>
      </c>
    </row>
    <row r="13" spans="1:17" x14ac:dyDescent="0.25">
      <c r="A13" s="97" t="str">
        <f>'Data Vlaue (Cr)'!C8</f>
        <v>ADANIPORTS</v>
      </c>
      <c r="B13" s="140">
        <f>VLOOKUP($A13,'Data shares'!$C:$FB,7)</f>
        <v>1578.4</v>
      </c>
      <c r="C13" s="140">
        <f>VLOOKUP($A13,'Data shares'!$C:$FB,3)</f>
        <v>1581.1</v>
      </c>
      <c r="D13" s="140">
        <f>VLOOKUP($A13,'Data shares'!$C:$FB,4)</f>
        <v>1573.2</v>
      </c>
      <c r="E13" s="50">
        <f t="shared" si="0"/>
        <v>0.50216120010169485</v>
      </c>
      <c r="F13" s="49">
        <f>VLOOKUP($A13,'Data shares'!$C:$FB,98)</f>
        <v>37489850</v>
      </c>
      <c r="G13" s="49">
        <f>VLOOKUP($A13,'Data shares'!$C:$FB,99)</f>
        <v>37163525</v>
      </c>
      <c r="H13" s="50">
        <f t="shared" si="1"/>
        <v>0.8780787075499431</v>
      </c>
      <c r="I13" s="49">
        <f>VLOOKUP($A13,'Data shares'!$C:$FB,66)</f>
        <v>30987100</v>
      </c>
      <c r="J13" s="49">
        <f>VLOOKUP($A13,'Data shares'!$C:$FB,67)</f>
        <v>41377250</v>
      </c>
      <c r="K13" s="50">
        <f t="shared" si="2"/>
        <v>-33.530565945183646</v>
      </c>
      <c r="L13" s="50">
        <f>VLOOKUP($A13,'Data shares'!$C:$FB,118)</f>
        <v>0.92</v>
      </c>
      <c r="M13" s="50">
        <f>VLOOKUP($A13,'Data shares'!$C:$FB,119)</f>
        <v>0.84</v>
      </c>
      <c r="N13" s="50">
        <f>VLOOKUP($A13,'Data shares'!$C:$FB,121)*100</f>
        <v>9.5200000000000014</v>
      </c>
      <c r="O13" s="50">
        <f>VLOOKUP($A13,'Data shares'!$C:$FB,124)</f>
        <v>0.57999999999999996</v>
      </c>
      <c r="P13" s="50">
        <f>VLOOKUP($A13,'Data shares'!$C:$FB,125)</f>
        <v>0.48</v>
      </c>
      <c r="Q13" s="50">
        <f>VLOOKUP($A13,'Data shares'!$C:$FB,127)*100</f>
        <v>20.830000000000002</v>
      </c>
    </row>
    <row r="14" spans="1:17" x14ac:dyDescent="0.25">
      <c r="A14" s="97" t="str">
        <f>'Data Vlaue (Cr)'!C9</f>
        <v>ADANIPOWER</v>
      </c>
      <c r="B14" s="140">
        <f>VLOOKUP($A14,'Data shares'!$C:$FB,7)</f>
        <v>200.83</v>
      </c>
      <c r="C14" s="140">
        <f>VLOOKUP($A14,'Data shares'!$C:$FB,3)</f>
        <v>200.66</v>
      </c>
      <c r="D14" s="140">
        <f>VLOOKUP($A14,'Data shares'!$C:$FB,4)</f>
        <v>199.23</v>
      </c>
      <c r="E14" s="50">
        <f>(C14-D14)/D14*100</f>
        <v>0.71776338904783765</v>
      </c>
      <c r="F14" s="49">
        <f>VLOOKUP($A14,'Data shares'!$C:$FB,98)</f>
        <v>148066950</v>
      </c>
      <c r="G14" s="49">
        <f>VLOOKUP($A14,'Data shares'!$C:$FB,99)</f>
        <v>134811250</v>
      </c>
      <c r="H14" s="50">
        <f t="shared" si="1"/>
        <v>9.8327847267939426</v>
      </c>
      <c r="I14" s="49">
        <f>VLOOKUP($A14,'Data shares'!$C:$FB,66)</f>
        <v>241059200</v>
      </c>
      <c r="J14" s="49">
        <f>VLOOKUP($A14,'Data shares'!$C:$FB,67)</f>
        <v>240729050</v>
      </c>
      <c r="K14" s="50">
        <f t="shared" si="2"/>
        <v>0.13695805843543826</v>
      </c>
      <c r="L14" s="50">
        <f>VLOOKUP($A14,'Data shares'!$C:$FB,118)</f>
        <v>0.69</v>
      </c>
      <c r="M14" s="50">
        <f>VLOOKUP($A14,'Data shares'!$C:$FB,119)</f>
        <v>0.74</v>
      </c>
      <c r="N14" s="50">
        <f>VLOOKUP($A14,'Data shares'!$C:$FB,121)*100</f>
        <v>-6.76</v>
      </c>
      <c r="O14" s="50">
        <f>VLOOKUP($A14,'Data shares'!$C:$FB,124)</f>
        <v>0.34</v>
      </c>
      <c r="P14" s="50">
        <f>VLOOKUP($A14,'Data shares'!$C:$FB,125)</f>
        <v>0.37</v>
      </c>
      <c r="Q14" s="50">
        <f>VLOOKUP($A14,'Data shares'!$C:$FB,127)*100</f>
        <v>-8.1100000000000012</v>
      </c>
    </row>
    <row r="15" spans="1:17" x14ac:dyDescent="0.25">
      <c r="A15" s="97" t="str">
        <f>'Data Vlaue (Cr)'!C10</f>
        <v>ALKEM</v>
      </c>
      <c r="B15" s="140">
        <f>VLOOKUP($A15,'Data shares'!$C:$FB,7)</f>
        <v>5642</v>
      </c>
      <c r="C15" s="140">
        <f>VLOOKUP($A15,'Data shares'!$C:$FB,3)</f>
        <v>5638</v>
      </c>
      <c r="D15" s="140">
        <f>VLOOKUP($A15,'Data shares'!$C:$FB,4)</f>
        <v>5579</v>
      </c>
      <c r="E15" s="50">
        <f t="shared" si="0"/>
        <v>1.0575371930453488</v>
      </c>
      <c r="F15" s="49">
        <f>VLOOKUP($A15,'Data shares'!$C:$FB,98)</f>
        <v>1782250</v>
      </c>
      <c r="G15" s="49">
        <f>VLOOKUP($A15,'Data shares'!$C:$FB,99)</f>
        <v>1606750</v>
      </c>
      <c r="H15" s="50">
        <f t="shared" si="1"/>
        <v>10.922669985996578</v>
      </c>
      <c r="I15" s="49">
        <f>VLOOKUP($A15,'Data shares'!$C:$FB,66)</f>
        <v>1528500</v>
      </c>
      <c r="J15" s="49">
        <f>VLOOKUP($A15,'Data shares'!$C:$FB,67)</f>
        <v>479000</v>
      </c>
      <c r="K15" s="50">
        <f t="shared" si="2"/>
        <v>68.662087013411849</v>
      </c>
      <c r="L15" s="50">
        <f>VLOOKUP($A15,'Data shares'!$C:$FB,118)</f>
        <v>0.53</v>
      </c>
      <c r="M15" s="50">
        <f>VLOOKUP($A15,'Data shares'!$C:$FB,119)</f>
        <v>0.54</v>
      </c>
      <c r="N15" s="50">
        <f>VLOOKUP($A15,'Data shares'!$C:$FB,121)*100</f>
        <v>-1.8499999999999999</v>
      </c>
      <c r="O15" s="50">
        <f>VLOOKUP($A15,'Data shares'!$C:$FB,124)</f>
        <v>0.24</v>
      </c>
      <c r="P15" s="50">
        <f>VLOOKUP($A15,'Data shares'!$C:$FB,125)</f>
        <v>0.33</v>
      </c>
      <c r="Q15" s="50">
        <f>VLOOKUP($A15,'Data shares'!$C:$FB,127)*100</f>
        <v>-27.27</v>
      </c>
    </row>
    <row r="16" spans="1:17" x14ac:dyDescent="0.25">
      <c r="A16" s="97" t="str">
        <f>'Data Vlaue (Cr)'!C11</f>
        <v>AMBER</v>
      </c>
      <c r="B16" s="140">
        <f>VLOOKUP($A16,'Data shares'!$C:$FB,7)</f>
        <v>7980.5</v>
      </c>
      <c r="C16" s="140">
        <f>VLOOKUP($A16,'Data shares'!$C:$FB,3)</f>
        <v>7944</v>
      </c>
      <c r="D16" s="140">
        <f>VLOOKUP($A16,'Data shares'!$C:$FB,4)</f>
        <v>7941.5</v>
      </c>
      <c r="E16" s="50">
        <f t="shared" si="0"/>
        <v>3.1480198954857395E-2</v>
      </c>
      <c r="F16" s="49">
        <f>VLOOKUP($A16,'Data shares'!$C:$FB,98)</f>
        <v>3079800</v>
      </c>
      <c r="G16" s="49">
        <f>VLOOKUP($A16,'Data shares'!$C:$FB,99)</f>
        <v>3063900</v>
      </c>
      <c r="H16" s="50">
        <f t="shared" si="1"/>
        <v>0.51894644081073138</v>
      </c>
      <c r="I16" s="49">
        <f>VLOOKUP($A16,'Data shares'!$C:$FB,66)</f>
        <v>3334500</v>
      </c>
      <c r="J16" s="49">
        <f>VLOOKUP($A16,'Data shares'!$C:$FB,67)</f>
        <v>4127900</v>
      </c>
      <c r="K16" s="50">
        <f t="shared" si="2"/>
        <v>-23.793672214724847</v>
      </c>
      <c r="L16" s="50">
        <f>VLOOKUP($A16,'Data shares'!$C:$FB,118)</f>
        <v>0.68</v>
      </c>
      <c r="M16" s="50">
        <f>VLOOKUP($A16,'Data shares'!$C:$FB,119)</f>
        <v>0.78</v>
      </c>
      <c r="N16" s="50">
        <f>VLOOKUP($A16,'Data shares'!$C:$FB,121)*100</f>
        <v>-12.82</v>
      </c>
      <c r="O16" s="50">
        <f>VLOOKUP($A16,'Data shares'!$C:$FB,124)</f>
        <v>0.75</v>
      </c>
      <c r="P16" s="50">
        <f>VLOOKUP($A16,'Data shares'!$C:$FB,125)</f>
        <v>0.55000000000000004</v>
      </c>
      <c r="Q16" s="50">
        <f>VLOOKUP($A16,'Data shares'!$C:$FB,127)*100</f>
        <v>36.36</v>
      </c>
    </row>
    <row r="17" spans="1:17" x14ac:dyDescent="0.25">
      <c r="A17" s="97" t="str">
        <f>'Data Vlaue (Cr)'!C12</f>
        <v>AMBUJACEM</v>
      </c>
      <c r="B17" s="140">
        <f>VLOOKUP($A17,'Data shares'!$C:$FB,7)</f>
        <v>454.9</v>
      </c>
      <c r="C17" s="140">
        <f>VLOOKUP($A17,'Data shares'!$C:$FB,3)</f>
        <v>454.95</v>
      </c>
      <c r="D17" s="140">
        <f>VLOOKUP($A17,'Data shares'!$C:$FB,4)</f>
        <v>458.8</v>
      </c>
      <c r="E17" s="50">
        <f t="shared" si="0"/>
        <v>-0.83914559721011828</v>
      </c>
      <c r="F17" s="49">
        <f>VLOOKUP($A17,'Data shares'!$C:$FB,98)</f>
        <v>79979550</v>
      </c>
      <c r="G17" s="49">
        <f>VLOOKUP($A17,'Data shares'!$C:$FB,99)</f>
        <v>80276700</v>
      </c>
      <c r="H17" s="50">
        <f t="shared" si="1"/>
        <v>-0.37015721871975305</v>
      </c>
      <c r="I17" s="49">
        <f>VLOOKUP($A17,'Data shares'!$C:$FB,66)</f>
        <v>20955900</v>
      </c>
      <c r="J17" s="49">
        <f>VLOOKUP($A17,'Data shares'!$C:$FB,67)</f>
        <v>14400750</v>
      </c>
      <c r="K17" s="50">
        <f t="shared" si="2"/>
        <v>31.280689447840466</v>
      </c>
      <c r="L17" s="50">
        <f>VLOOKUP($A17,'Data shares'!$C:$FB,118)</f>
        <v>0.94</v>
      </c>
      <c r="M17" s="50">
        <f>VLOOKUP($A17,'Data shares'!$C:$FB,119)</f>
        <v>0.94</v>
      </c>
      <c r="N17" s="50">
        <f>VLOOKUP($A17,'Data shares'!$C:$FB,121)*100</f>
        <v>0</v>
      </c>
      <c r="O17" s="50">
        <f>VLOOKUP($A17,'Data shares'!$C:$FB,124)</f>
        <v>0.35</v>
      </c>
      <c r="P17" s="50">
        <f>VLOOKUP($A17,'Data shares'!$C:$FB,125)</f>
        <v>0.56000000000000005</v>
      </c>
      <c r="Q17" s="50">
        <f>VLOOKUP($A17,'Data shares'!$C:$FB,127)*100</f>
        <v>-37.5</v>
      </c>
    </row>
    <row r="18" spans="1:17" x14ac:dyDescent="0.25">
      <c r="A18" s="97" t="str">
        <f>'Data Vlaue (Cr)'!C13</f>
        <v>ANGELONE</v>
      </c>
      <c r="B18" s="140">
        <f>VLOOKUP($A18,'Data shares'!$C:$FB,7)</f>
        <v>319.16000000000003</v>
      </c>
      <c r="C18" s="140">
        <f>VLOOKUP($A18,'Data shares'!$C:$FB,3)</f>
        <v>319.7</v>
      </c>
      <c r="D18" s="140">
        <f>VLOOKUP($A18,'Data shares'!$C:$FB,4)</f>
        <v>322.60000000000002</v>
      </c>
      <c r="E18" s="50">
        <f t="shared" si="0"/>
        <v>-0.8989460632362164</v>
      </c>
      <c r="F18" s="49">
        <f>VLOOKUP($A18,'Data shares'!$C:$FB,98)</f>
        <v>101200000</v>
      </c>
      <c r="G18" s="49">
        <f>VLOOKUP($A18,'Data shares'!$C:$FB,99)</f>
        <v>104005000</v>
      </c>
      <c r="H18" s="50">
        <f t="shared" si="1"/>
        <v>-2.6969857218402962</v>
      </c>
      <c r="I18" s="49">
        <f>VLOOKUP($A18,'Data shares'!$C:$FB,66)</f>
        <v>204637500</v>
      </c>
      <c r="J18" s="49">
        <f>VLOOKUP($A18,'Data shares'!$C:$FB,67)</f>
        <v>688607500</v>
      </c>
      <c r="K18" s="50">
        <f t="shared" si="2"/>
        <v>-236.50113004703437</v>
      </c>
      <c r="L18" s="50">
        <f>VLOOKUP($A18,'Data shares'!$C:$FB,118)</f>
        <v>0.98</v>
      </c>
      <c r="M18" s="50">
        <f>VLOOKUP($A18,'Data shares'!$C:$FB,119)</f>
        <v>1.23</v>
      </c>
      <c r="N18" s="50">
        <f>VLOOKUP($A18,'Data shares'!$C:$FB,121)*100</f>
        <v>-20.330000000000002</v>
      </c>
      <c r="O18" s="50">
        <f>VLOOKUP($A18,'Data shares'!$C:$FB,124)</f>
        <v>0.73</v>
      </c>
      <c r="P18" s="50">
        <f>VLOOKUP($A18,'Data shares'!$C:$FB,125)</f>
        <v>0.48</v>
      </c>
      <c r="Q18" s="50">
        <f>VLOOKUP($A18,'Data shares'!$C:$FB,127)*100</f>
        <v>52.080000000000005</v>
      </c>
    </row>
    <row r="19" spans="1:17" x14ac:dyDescent="0.25">
      <c r="A19" s="97" t="str">
        <f>'Data Vlaue (Cr)'!C14</f>
        <v>APLAPOLLO</v>
      </c>
      <c r="B19" s="140">
        <f>VLOOKUP($A19,'Data shares'!$C:$FB,7)</f>
        <v>2143.9</v>
      </c>
      <c r="C19" s="140">
        <f>VLOOKUP($A19,'Data shares'!$C:$FB,3)</f>
        <v>2140.5</v>
      </c>
      <c r="D19" s="140">
        <f>VLOOKUP($A19,'Data shares'!$C:$FB,4)</f>
        <v>2105.9</v>
      </c>
      <c r="E19" s="50">
        <f t="shared" si="0"/>
        <v>1.6430029915950379</v>
      </c>
      <c r="F19" s="49">
        <f>VLOOKUP($A19,'Data shares'!$C:$FB,98)</f>
        <v>6952400</v>
      </c>
      <c r="G19" s="49">
        <f>VLOOKUP($A19,'Data shares'!$C:$FB,99)</f>
        <v>7244300</v>
      </c>
      <c r="H19" s="50">
        <f t="shared" si="1"/>
        <v>-4.0293748188230749</v>
      </c>
      <c r="I19" s="49">
        <f>VLOOKUP($A19,'Data shares'!$C:$FB,66)</f>
        <v>4569250</v>
      </c>
      <c r="J19" s="49">
        <f>VLOOKUP($A19,'Data shares'!$C:$FB,67)</f>
        <v>5713400</v>
      </c>
      <c r="K19" s="50">
        <f t="shared" si="2"/>
        <v>-25.040214477211798</v>
      </c>
      <c r="L19" s="50">
        <f>VLOOKUP($A19,'Data shares'!$C:$FB,118)</f>
        <v>0.71</v>
      </c>
      <c r="M19" s="50">
        <f>VLOOKUP($A19,'Data shares'!$C:$FB,119)</f>
        <v>0.67</v>
      </c>
      <c r="N19" s="50">
        <f>VLOOKUP($A19,'Data shares'!$C:$FB,121)*100</f>
        <v>5.9700000000000006</v>
      </c>
      <c r="O19" s="50">
        <f>VLOOKUP($A19,'Data shares'!$C:$FB,124)</f>
        <v>0.4</v>
      </c>
      <c r="P19" s="50">
        <f>VLOOKUP($A19,'Data shares'!$C:$FB,125)</f>
        <v>0.28000000000000003</v>
      </c>
      <c r="Q19" s="50">
        <f>VLOOKUP($A19,'Data shares'!$C:$FB,127)*100</f>
        <v>42.86</v>
      </c>
    </row>
    <row r="20" spans="1:17" x14ac:dyDescent="0.25">
      <c r="A20" s="97" t="str">
        <f>'Data Vlaue (Cr)'!C15</f>
        <v>APOLLOHOSP</v>
      </c>
      <c r="B20" s="140">
        <f>VLOOKUP($A20,'Data shares'!$C:$FB,7)</f>
        <v>7657</v>
      </c>
      <c r="C20" s="140">
        <f>VLOOKUP($A20,'Data shares'!$C:$FB,3)</f>
        <v>7650</v>
      </c>
      <c r="D20" s="140">
        <f>VLOOKUP($A20,'Data shares'!$C:$FB,4)</f>
        <v>7698</v>
      </c>
      <c r="E20" s="50">
        <f t="shared" si="0"/>
        <v>-0.62353858144972718</v>
      </c>
      <c r="F20" s="49">
        <f>VLOOKUP($A20,'Data shares'!$C:$FB,98)</f>
        <v>4046375</v>
      </c>
      <c r="G20" s="49">
        <f>VLOOKUP($A20,'Data shares'!$C:$FB,99)</f>
        <v>4065750</v>
      </c>
      <c r="H20" s="50">
        <f t="shared" si="1"/>
        <v>-0.47654184344831824</v>
      </c>
      <c r="I20" s="49">
        <f>VLOOKUP($A20,'Data shares'!$C:$FB,66)</f>
        <v>2665250</v>
      </c>
      <c r="J20" s="49">
        <f>VLOOKUP($A20,'Data shares'!$C:$FB,67)</f>
        <v>4238875</v>
      </c>
      <c r="K20" s="50">
        <f t="shared" si="2"/>
        <v>-59.042303723853294</v>
      </c>
      <c r="L20" s="50">
        <f>VLOOKUP($A20,'Data shares'!$C:$FB,118)</f>
        <v>0.87</v>
      </c>
      <c r="M20" s="50">
        <f>VLOOKUP($A20,'Data shares'!$C:$FB,119)</f>
        <v>0.91</v>
      </c>
      <c r="N20" s="50">
        <f>VLOOKUP($A20,'Data shares'!$C:$FB,121)*100</f>
        <v>-4.3999999999999995</v>
      </c>
      <c r="O20" s="50">
        <f>VLOOKUP($A20,'Data shares'!$C:$FB,124)</f>
        <v>0.54</v>
      </c>
      <c r="P20" s="50">
        <f>VLOOKUP($A20,'Data shares'!$C:$FB,125)</f>
        <v>0.37</v>
      </c>
      <c r="Q20" s="50">
        <f>VLOOKUP($A20,'Data shares'!$C:$FB,127)*100</f>
        <v>45.95</v>
      </c>
    </row>
    <row r="21" spans="1:17" x14ac:dyDescent="0.25">
      <c r="A21" s="97" t="str">
        <f>'Data Vlaue (Cr)'!C16</f>
        <v>ASHOKLEY</v>
      </c>
      <c r="B21" s="140">
        <f>VLOOKUP($A21,'Data shares'!$C:$FB,7)</f>
        <v>175.96</v>
      </c>
      <c r="C21" s="140">
        <f>VLOOKUP($A21,'Data shares'!$C:$FB,3)</f>
        <v>176.18</v>
      </c>
      <c r="D21" s="140">
        <f>VLOOKUP($A21,'Data shares'!$C:$FB,4)</f>
        <v>174.97</v>
      </c>
      <c r="E21" s="50">
        <f t="shared" si="0"/>
        <v>0.69154712236383831</v>
      </c>
      <c r="F21" s="49">
        <f>VLOOKUP($A21,'Data shares'!$C:$FB,98)</f>
        <v>300470000</v>
      </c>
      <c r="G21" s="49">
        <f>VLOOKUP($A21,'Data shares'!$C:$FB,99)</f>
        <v>298470000</v>
      </c>
      <c r="H21" s="50">
        <f t="shared" si="1"/>
        <v>0.67008409555399207</v>
      </c>
      <c r="I21" s="49">
        <f>VLOOKUP($A21,'Data shares'!$C:$FB,66)</f>
        <v>162665000</v>
      </c>
      <c r="J21" s="49">
        <f>VLOOKUP($A21,'Data shares'!$C:$FB,67)</f>
        <v>152315000</v>
      </c>
      <c r="K21" s="50">
        <f t="shared" si="2"/>
        <v>6.3627701103494916</v>
      </c>
      <c r="L21" s="50">
        <f>VLOOKUP($A21,'Data shares'!$C:$FB,118)</f>
        <v>0.72</v>
      </c>
      <c r="M21" s="50">
        <f>VLOOKUP($A21,'Data shares'!$C:$FB,119)</f>
        <v>0.74</v>
      </c>
      <c r="N21" s="50">
        <f>VLOOKUP($A21,'Data shares'!$C:$FB,121)*100</f>
        <v>-2.7</v>
      </c>
      <c r="O21" s="50">
        <f>VLOOKUP($A21,'Data shares'!$C:$FB,124)</f>
        <v>0.46</v>
      </c>
      <c r="P21" s="50">
        <f>VLOOKUP($A21,'Data shares'!$C:$FB,125)</f>
        <v>0.56999999999999995</v>
      </c>
      <c r="Q21" s="50">
        <f>VLOOKUP($A21,'Data shares'!$C:$FB,127)*100</f>
        <v>-19.3</v>
      </c>
    </row>
    <row r="22" spans="1:17" x14ac:dyDescent="0.25">
      <c r="A22" s="97" t="str">
        <f>'Data Vlaue (Cr)'!C17</f>
        <v>ASIANPAINT</v>
      </c>
      <c r="B22" s="140">
        <f>VLOOKUP($A22,'Data shares'!$C:$FB,7)</f>
        <v>2516.8000000000002</v>
      </c>
      <c r="C22" s="140">
        <f>VLOOKUP($A22,'Data shares'!$C:$FB,3)</f>
        <v>2514.6</v>
      </c>
      <c r="D22" s="140">
        <f>VLOOKUP($A22,'Data shares'!$C:$FB,4)</f>
        <v>2464.3000000000002</v>
      </c>
      <c r="E22" s="50">
        <f t="shared" si="0"/>
        <v>2.0411475875502059</v>
      </c>
      <c r="F22" s="49">
        <f>VLOOKUP($A22,'Data shares'!$C:$FB,98)</f>
        <v>25262500</v>
      </c>
      <c r="G22" s="49">
        <f>VLOOKUP($A22,'Data shares'!$C:$FB,99)</f>
        <v>24184500</v>
      </c>
      <c r="H22" s="50">
        <f t="shared" si="1"/>
        <v>4.4574004010833379</v>
      </c>
      <c r="I22" s="49">
        <f>VLOOKUP($A22,'Data shares'!$C:$FB,66)</f>
        <v>18588500</v>
      </c>
      <c r="J22" s="49">
        <f>VLOOKUP($A22,'Data shares'!$C:$FB,67)</f>
        <v>18909250</v>
      </c>
      <c r="K22" s="50">
        <f t="shared" si="2"/>
        <v>-1.7255292250585041</v>
      </c>
      <c r="L22" s="50">
        <f>VLOOKUP($A22,'Data shares'!$C:$FB,118)</f>
        <v>1.23</v>
      </c>
      <c r="M22" s="50">
        <f>VLOOKUP($A22,'Data shares'!$C:$FB,119)</f>
        <v>1.1499999999999999</v>
      </c>
      <c r="N22" s="50">
        <f>VLOOKUP($A22,'Data shares'!$C:$FB,121)*100</f>
        <v>6.9599999999999991</v>
      </c>
      <c r="O22" s="50">
        <f>VLOOKUP($A22,'Data shares'!$C:$FB,124)</f>
        <v>0.79</v>
      </c>
      <c r="P22" s="50">
        <f>VLOOKUP($A22,'Data shares'!$C:$FB,125)</f>
        <v>0.7</v>
      </c>
      <c r="Q22" s="50">
        <f>VLOOKUP($A22,'Data shares'!$C:$FB,127)*100</f>
        <v>12.86</v>
      </c>
    </row>
    <row r="23" spans="1:17" x14ac:dyDescent="0.25">
      <c r="A23" s="97" t="str">
        <f>'Data Vlaue (Cr)'!C18</f>
        <v>ASTRAL</v>
      </c>
      <c r="B23" s="140">
        <f>VLOOKUP($A23,'Data shares'!$C:$FB,7)</f>
        <v>1591.4</v>
      </c>
      <c r="C23" s="140">
        <f>VLOOKUP($A23,'Data shares'!$C:$FB,3)</f>
        <v>1542.6</v>
      </c>
      <c r="D23" s="140">
        <f>VLOOKUP($A23,'Data shares'!$C:$FB,4)</f>
        <v>1544.7</v>
      </c>
      <c r="E23" s="50">
        <f t="shared" si="0"/>
        <v>-0.13594872790834053</v>
      </c>
      <c r="F23" s="49">
        <f>VLOOKUP($A23,'Data shares'!$C:$FB,98)</f>
        <v>21006475</v>
      </c>
      <c r="G23" s="49">
        <f>VLOOKUP($A23,'Data shares'!$C:$FB,99)</f>
        <v>20852625</v>
      </c>
      <c r="H23" s="50">
        <f t="shared" si="1"/>
        <v>0.73779680016304905</v>
      </c>
      <c r="I23" s="49">
        <f>VLOOKUP($A23,'Data shares'!$C:$FB,66)</f>
        <v>9291775</v>
      </c>
      <c r="J23" s="49">
        <f>VLOOKUP($A23,'Data shares'!$C:$FB,67)</f>
        <v>17834275</v>
      </c>
      <c r="K23" s="50">
        <f t="shared" si="2"/>
        <v>-91.936147829666552</v>
      </c>
      <c r="L23" s="50">
        <f>VLOOKUP($A23,'Data shares'!$C:$FB,118)</f>
        <v>0.61</v>
      </c>
      <c r="M23" s="50">
        <f>VLOOKUP($A23,'Data shares'!$C:$FB,119)</f>
        <v>0.59</v>
      </c>
      <c r="N23" s="50">
        <f>VLOOKUP($A23,'Data shares'!$C:$FB,121)*100</f>
        <v>3.39</v>
      </c>
      <c r="O23" s="50">
        <f>VLOOKUP($A23,'Data shares'!$C:$FB,124)</f>
        <v>0.38</v>
      </c>
      <c r="P23" s="50">
        <f>VLOOKUP($A23,'Data shares'!$C:$FB,125)</f>
        <v>0.49</v>
      </c>
      <c r="Q23" s="50">
        <f>VLOOKUP($A23,'Data shares'!$C:$FB,127)*100</f>
        <v>-22.45</v>
      </c>
    </row>
    <row r="24" spans="1:17" x14ac:dyDescent="0.25">
      <c r="A24" s="97" t="str">
        <f>'Data Vlaue (Cr)'!C19</f>
        <v>AUBANK</v>
      </c>
      <c r="B24" s="140">
        <f>VLOOKUP($A24,'Data shares'!$C:$FB,7)</f>
        <v>997.65</v>
      </c>
      <c r="C24" s="140">
        <f>VLOOKUP($A24,'Data shares'!$C:$FB,3)</f>
        <v>998.65</v>
      </c>
      <c r="D24" s="140">
        <f>VLOOKUP($A24,'Data shares'!$C:$FB,4)</f>
        <v>993.2</v>
      </c>
      <c r="E24" s="50">
        <f t="shared" si="0"/>
        <v>0.54873137333869626</v>
      </c>
      <c r="F24" s="49">
        <f>VLOOKUP($A24,'Data shares'!$C:$FB,98)</f>
        <v>37668000</v>
      </c>
      <c r="G24" s="49">
        <f>VLOOKUP($A24,'Data shares'!$C:$FB,99)</f>
        <v>36954000</v>
      </c>
      <c r="H24" s="50">
        <f t="shared" si="1"/>
        <v>1.9321318395843481</v>
      </c>
      <c r="I24" s="49">
        <f>VLOOKUP($A24,'Data shares'!$C:$FB,66)</f>
        <v>20703000</v>
      </c>
      <c r="J24" s="49">
        <f>VLOOKUP($A24,'Data shares'!$C:$FB,67)</f>
        <v>11682000</v>
      </c>
      <c r="K24" s="50">
        <f t="shared" si="2"/>
        <v>43.57339516012172</v>
      </c>
      <c r="L24" s="50">
        <f>VLOOKUP($A24,'Data shares'!$C:$FB,118)</f>
        <v>0.8</v>
      </c>
      <c r="M24" s="50">
        <f>VLOOKUP($A24,'Data shares'!$C:$FB,119)</f>
        <v>0.8</v>
      </c>
      <c r="N24" s="50">
        <f>VLOOKUP($A24,'Data shares'!$C:$FB,121)*100</f>
        <v>0</v>
      </c>
      <c r="O24" s="50">
        <f>VLOOKUP($A24,'Data shares'!$C:$FB,124)</f>
        <v>0.56999999999999995</v>
      </c>
      <c r="P24" s="50">
        <f>VLOOKUP($A24,'Data shares'!$C:$FB,125)</f>
        <v>0.75</v>
      </c>
      <c r="Q24" s="50">
        <f>VLOOKUP($A24,'Data shares'!$C:$FB,127)*100</f>
        <v>-24</v>
      </c>
    </row>
    <row r="25" spans="1:17" x14ac:dyDescent="0.25">
      <c r="A25" s="97" t="str">
        <f>'Data Vlaue (Cr)'!C20</f>
        <v>AUROPHARMA</v>
      </c>
      <c r="B25" s="140">
        <f>VLOOKUP($A25,'Data shares'!$C:$FB,7)</f>
        <v>1367.8</v>
      </c>
      <c r="C25" s="140">
        <f>VLOOKUP($A25,'Data shares'!$C:$FB,3)</f>
        <v>1369.6</v>
      </c>
      <c r="D25" s="140">
        <f>VLOOKUP($A25,'Data shares'!$C:$FB,4)</f>
        <v>1388.6</v>
      </c>
      <c r="E25" s="50">
        <f t="shared" si="0"/>
        <v>-1.3682846031974651</v>
      </c>
      <c r="F25" s="49">
        <f>VLOOKUP($A25,'Data shares'!$C:$FB,98)</f>
        <v>28223800</v>
      </c>
      <c r="G25" s="49">
        <f>VLOOKUP($A25,'Data shares'!$C:$FB,99)</f>
        <v>27563800</v>
      </c>
      <c r="H25" s="50">
        <f t="shared" si="1"/>
        <v>2.3944448878601641</v>
      </c>
      <c r="I25" s="49">
        <f>VLOOKUP($A25,'Data shares'!$C:$FB,66)</f>
        <v>15115650</v>
      </c>
      <c r="J25" s="49">
        <f>VLOOKUP($A25,'Data shares'!$C:$FB,67)</f>
        <v>7662600</v>
      </c>
      <c r="K25" s="50">
        <f t="shared" si="2"/>
        <v>49.306844230979152</v>
      </c>
      <c r="L25" s="50">
        <f>VLOOKUP($A25,'Data shares'!$C:$FB,118)</f>
        <v>0.64</v>
      </c>
      <c r="M25" s="50">
        <f>VLOOKUP($A25,'Data shares'!$C:$FB,119)</f>
        <v>0.7</v>
      </c>
      <c r="N25" s="50">
        <f>VLOOKUP($A25,'Data shares'!$C:$FB,121)*100</f>
        <v>-8.57</v>
      </c>
      <c r="O25" s="50">
        <f>VLOOKUP($A25,'Data shares'!$C:$FB,124)</f>
        <v>0.63</v>
      </c>
      <c r="P25" s="50">
        <f>VLOOKUP($A25,'Data shares'!$C:$FB,125)</f>
        <v>0.67</v>
      </c>
      <c r="Q25" s="50">
        <f>VLOOKUP($A25,'Data shares'!$C:$FB,127)*100</f>
        <v>-5.9700000000000006</v>
      </c>
    </row>
    <row r="26" spans="1:17" x14ac:dyDescent="0.25">
      <c r="A26" s="97" t="str">
        <f>'Data Vlaue (Cr)'!C21</f>
        <v>AXISBANK</v>
      </c>
      <c r="B26" s="140">
        <f>VLOOKUP($A26,'Data shares'!$C:$FB,7)</f>
        <v>1354.7</v>
      </c>
      <c r="C26" s="140">
        <f>VLOOKUP($A26,'Data shares'!$C:$FB,3)</f>
        <v>1356.2</v>
      </c>
      <c r="D26" s="140">
        <f>VLOOKUP($A26,'Data shares'!$C:$FB,4)</f>
        <v>1363.3</v>
      </c>
      <c r="E26" s="50">
        <f t="shared" si="0"/>
        <v>-0.52079512946526141</v>
      </c>
      <c r="F26" s="49">
        <f>VLOOKUP($A26,'Data shares'!$C:$FB,98)</f>
        <v>95133125</v>
      </c>
      <c r="G26" s="49">
        <f>VLOOKUP($A26,'Data shares'!$C:$FB,99)</f>
        <v>95240000</v>
      </c>
      <c r="H26" s="50">
        <f t="shared" si="1"/>
        <v>-0.1122165056698866</v>
      </c>
      <c r="I26" s="49">
        <f>VLOOKUP($A26,'Data shares'!$C:$FB,66)</f>
        <v>39440000</v>
      </c>
      <c r="J26" s="49">
        <f>VLOOKUP($A26,'Data shares'!$C:$FB,67)</f>
        <v>34241250</v>
      </c>
      <c r="K26" s="50">
        <f t="shared" si="2"/>
        <v>13.181414807302231</v>
      </c>
      <c r="L26" s="50">
        <f>VLOOKUP($A26,'Data shares'!$C:$FB,118)</f>
        <v>0.81</v>
      </c>
      <c r="M26" s="50">
        <f>VLOOKUP($A26,'Data shares'!$C:$FB,119)</f>
        <v>0.84</v>
      </c>
      <c r="N26" s="50">
        <f>VLOOKUP($A26,'Data shares'!$C:$FB,121)*100</f>
        <v>-3.5700000000000003</v>
      </c>
      <c r="O26" s="50">
        <f>VLOOKUP($A26,'Data shares'!$C:$FB,124)</f>
        <v>0.69</v>
      </c>
      <c r="P26" s="50">
        <f>VLOOKUP($A26,'Data shares'!$C:$FB,125)</f>
        <v>0.69</v>
      </c>
      <c r="Q26" s="50">
        <f>VLOOKUP($A26,'Data shares'!$C:$FB,127)*100</f>
        <v>0</v>
      </c>
    </row>
    <row r="27" spans="1:17" x14ac:dyDescent="0.25">
      <c r="A27" s="97" t="str">
        <f>'Data Vlaue (Cr)'!C22</f>
        <v>BAJAJ-AUTO</v>
      </c>
      <c r="B27" s="140">
        <f>VLOOKUP($A27,'Data shares'!$C:$FB,7)</f>
        <v>9803</v>
      </c>
      <c r="C27" s="140">
        <f>VLOOKUP($A27,'Data shares'!$C:$FB,3)</f>
        <v>9811</v>
      </c>
      <c r="D27" s="140">
        <f>VLOOKUP($A27,'Data shares'!$C:$FB,4)</f>
        <v>9761.5</v>
      </c>
      <c r="E27" s="50">
        <f t="shared" si="0"/>
        <v>0.50709419658863908</v>
      </c>
      <c r="F27" s="49">
        <f>VLOOKUP($A27,'Data shares'!$C:$FB,98)</f>
        <v>5395800</v>
      </c>
      <c r="G27" s="49">
        <f>VLOOKUP($A27,'Data shares'!$C:$FB,99)</f>
        <v>5486775</v>
      </c>
      <c r="H27" s="50">
        <f t="shared" si="1"/>
        <v>-1.6580778326065859</v>
      </c>
      <c r="I27" s="49">
        <f>VLOOKUP($A27,'Data shares'!$C:$FB,66)</f>
        <v>2968200</v>
      </c>
      <c r="J27" s="49">
        <f>VLOOKUP($A27,'Data shares'!$C:$FB,67)</f>
        <v>2426100</v>
      </c>
      <c r="K27" s="50">
        <f t="shared" si="2"/>
        <v>18.263594097432787</v>
      </c>
      <c r="L27" s="50">
        <f>VLOOKUP($A27,'Data shares'!$C:$FB,118)</f>
        <v>0.91</v>
      </c>
      <c r="M27" s="50">
        <f>VLOOKUP($A27,'Data shares'!$C:$FB,119)</f>
        <v>0.89</v>
      </c>
      <c r="N27" s="50">
        <f>VLOOKUP($A27,'Data shares'!$C:$FB,121)*100</f>
        <v>2.25</v>
      </c>
      <c r="O27" s="50">
        <f>VLOOKUP($A27,'Data shares'!$C:$FB,124)</f>
        <v>0.51</v>
      </c>
      <c r="P27" s="50">
        <f>VLOOKUP($A27,'Data shares'!$C:$FB,125)</f>
        <v>0.67</v>
      </c>
      <c r="Q27" s="50">
        <f>VLOOKUP($A27,'Data shares'!$C:$FB,127)*100</f>
        <v>-23.880000000000003</v>
      </c>
    </row>
    <row r="28" spans="1:17" x14ac:dyDescent="0.25">
      <c r="A28" s="97" t="str">
        <f>'Data Vlaue (Cr)'!C23</f>
        <v>BAJAJFINSV</v>
      </c>
      <c r="B28" s="140">
        <f>VLOOKUP($A28,'Data shares'!$C:$FB,7)</f>
        <v>1830.6</v>
      </c>
      <c r="C28" s="140">
        <f>VLOOKUP($A28,'Data shares'!$C:$FB,3)</f>
        <v>1828.1</v>
      </c>
      <c r="D28" s="140">
        <f>VLOOKUP($A28,'Data shares'!$C:$FB,4)</f>
        <v>1839.4</v>
      </c>
      <c r="E28" s="50">
        <f t="shared" si="0"/>
        <v>-0.6143307600304545</v>
      </c>
      <c r="F28" s="49">
        <f>VLOOKUP($A28,'Data shares'!$C:$FB,98)</f>
        <v>18117250</v>
      </c>
      <c r="G28" s="49">
        <f>VLOOKUP($A28,'Data shares'!$C:$FB,99)</f>
        <v>18279500</v>
      </c>
      <c r="H28" s="50">
        <f t="shared" si="1"/>
        <v>-0.88760633496539842</v>
      </c>
      <c r="I28" s="49">
        <f>VLOOKUP($A28,'Data shares'!$C:$FB,66)</f>
        <v>5063750</v>
      </c>
      <c r="J28" s="49">
        <f>VLOOKUP($A28,'Data shares'!$C:$FB,67)</f>
        <v>3670250</v>
      </c>
      <c r="K28" s="50">
        <f t="shared" si="2"/>
        <v>27.519131078745989</v>
      </c>
      <c r="L28" s="50">
        <f>VLOOKUP($A28,'Data shares'!$C:$FB,118)</f>
        <v>1.01</v>
      </c>
      <c r="M28" s="50">
        <f>VLOOKUP($A28,'Data shares'!$C:$FB,119)</f>
        <v>1.02</v>
      </c>
      <c r="N28" s="50">
        <f>VLOOKUP($A28,'Data shares'!$C:$FB,121)*100</f>
        <v>-0.98</v>
      </c>
      <c r="O28" s="50">
        <f>VLOOKUP($A28,'Data shares'!$C:$FB,124)</f>
        <v>0.66</v>
      </c>
      <c r="P28" s="50">
        <f>VLOOKUP($A28,'Data shares'!$C:$FB,125)</f>
        <v>0.66</v>
      </c>
      <c r="Q28" s="50">
        <f>VLOOKUP($A28,'Data shares'!$C:$FB,127)*100</f>
        <v>0</v>
      </c>
    </row>
    <row r="29" spans="1:17" x14ac:dyDescent="0.25">
      <c r="A29" s="97" t="str">
        <f>'Data Vlaue (Cr)'!C24</f>
        <v>BAJAJHLDNG</v>
      </c>
      <c r="B29" s="140">
        <f>VLOOKUP($A29,'Data shares'!$C:$FB,7)</f>
        <v>10388</v>
      </c>
      <c r="C29" s="140">
        <f>VLOOKUP($A29,'Data shares'!$C:$FB,3)</f>
        <v>10373</v>
      </c>
      <c r="D29" s="140">
        <f>VLOOKUP($A29,'Data shares'!$C:$FB,4)</f>
        <v>10358</v>
      </c>
      <c r="E29" s="50">
        <f t="shared" si="0"/>
        <v>0.14481560146746478</v>
      </c>
      <c r="F29" s="49">
        <f>VLOOKUP($A29,'Data shares'!$C:$FB,98)</f>
        <v>426050</v>
      </c>
      <c r="G29" s="49">
        <f>VLOOKUP($A29,'Data shares'!$C:$FB,99)</f>
        <v>426000</v>
      </c>
      <c r="H29" s="50">
        <f t="shared" si="1"/>
        <v>1.1737089201877934E-2</v>
      </c>
      <c r="I29" s="49">
        <f>VLOOKUP($A29,'Data shares'!$C:$FB,66)</f>
        <v>536400</v>
      </c>
      <c r="J29" s="49">
        <f>VLOOKUP($A29,'Data shares'!$C:$FB,67)</f>
        <v>252400</v>
      </c>
      <c r="K29" s="50">
        <f t="shared" si="2"/>
        <v>52.945563012677113</v>
      </c>
      <c r="L29" s="50">
        <f>VLOOKUP($A29,'Data shares'!$C:$FB,118)</f>
        <v>0.75</v>
      </c>
      <c r="M29" s="50">
        <f>VLOOKUP($A29,'Data shares'!$C:$FB,119)</f>
        <v>0.55000000000000004</v>
      </c>
      <c r="N29" s="50">
        <f>VLOOKUP($A29,'Data shares'!$C:$FB,121)*100</f>
        <v>36.36</v>
      </c>
      <c r="O29" s="50">
        <f>VLOOKUP($A29,'Data shares'!$C:$FB,124)</f>
        <v>1.65</v>
      </c>
      <c r="P29" s="50">
        <f>VLOOKUP($A29,'Data shares'!$C:$FB,125)</f>
        <v>1.5</v>
      </c>
      <c r="Q29" s="50">
        <f>VLOOKUP($A29,'Data shares'!$C:$FB,127)*100</f>
        <v>10</v>
      </c>
    </row>
    <row r="30" spans="1:17" x14ac:dyDescent="0.25">
      <c r="A30" s="97" t="str">
        <f>'Data Vlaue (Cr)'!C25</f>
        <v>BAJFINANCE</v>
      </c>
      <c r="B30" s="176">
        <f>VLOOKUP($A30,'Data shares'!$C:$FB,7)</f>
        <v>917.75</v>
      </c>
      <c r="C30" s="176">
        <f>VLOOKUP($A30,'Data shares'!$C:$FB,3)</f>
        <v>916.95</v>
      </c>
      <c r="D30" s="176">
        <f>VLOOKUP($A30,'Data shares'!$C:$FB,4)</f>
        <v>910.95</v>
      </c>
      <c r="E30" s="50">
        <f t="shared" si="0"/>
        <v>0.65865305450354028</v>
      </c>
      <c r="F30" s="49">
        <f>VLOOKUP($A30,'Data shares'!$C:$FB,98)</f>
        <v>108551250</v>
      </c>
      <c r="G30" s="49">
        <f>VLOOKUP($A30,'Data shares'!$C:$FB,99)</f>
        <v>109996500</v>
      </c>
      <c r="H30" s="50">
        <f t="shared" si="1"/>
        <v>-1.313905442445896</v>
      </c>
      <c r="I30" s="49">
        <f>VLOOKUP($A30,'Data shares'!$C:$FB,66)</f>
        <v>38284500</v>
      </c>
      <c r="J30" s="49">
        <f>VLOOKUP($A30,'Data shares'!$C:$FB,67)</f>
        <v>27449250</v>
      </c>
      <c r="K30" s="50">
        <f t="shared" si="2"/>
        <v>28.301923755044474</v>
      </c>
      <c r="L30" s="50">
        <f>VLOOKUP($A30,'Data shares'!$C:$FB,118)</f>
        <v>0.8</v>
      </c>
      <c r="M30" s="50">
        <f>VLOOKUP($A30,'Data shares'!$C:$FB,119)</f>
        <v>0.78</v>
      </c>
      <c r="N30" s="50">
        <f>VLOOKUP($A30,'Data shares'!$C:$FB,121)*100</f>
        <v>2.56</v>
      </c>
      <c r="O30" s="50">
        <f>VLOOKUP($A30,'Data shares'!$C:$FB,124)</f>
        <v>0.56000000000000005</v>
      </c>
      <c r="P30" s="50">
        <f>VLOOKUP($A30,'Data shares'!$C:$FB,125)</f>
        <v>0.63</v>
      </c>
      <c r="Q30" s="50">
        <f>VLOOKUP($A30,'Data shares'!$C:$FB,127)*100</f>
        <v>-11.110000000000001</v>
      </c>
    </row>
    <row r="31" spans="1:17" x14ac:dyDescent="0.25">
      <c r="A31" s="97" t="str">
        <f>'Data Vlaue (Cr)'!C26</f>
        <v>BANDHANBNK</v>
      </c>
      <c r="B31" s="140">
        <f>VLOOKUP($A31,'Data shares'!$C:$FB,7)</f>
        <v>175.43</v>
      </c>
      <c r="C31" s="140">
        <f>VLOOKUP($A31,'Data shares'!$C:$FB,3)</f>
        <v>175.22</v>
      </c>
      <c r="D31" s="140">
        <f>VLOOKUP($A31,'Data shares'!$C:$FB,4)</f>
        <v>175.02</v>
      </c>
      <c r="E31" s="50">
        <f t="shared" si="0"/>
        <v>0.11427265455375879</v>
      </c>
      <c r="F31" s="49">
        <f>VLOOKUP($A31,'Data shares'!$C:$FB,98)</f>
        <v>134139600</v>
      </c>
      <c r="G31" s="49">
        <f>VLOOKUP($A31,'Data shares'!$C:$FB,99)</f>
        <v>135511200</v>
      </c>
      <c r="H31" s="50">
        <f t="shared" si="1"/>
        <v>-1.0121672599755593</v>
      </c>
      <c r="I31" s="49">
        <f>VLOOKUP($A31,'Data shares'!$C:$FB,66)</f>
        <v>47278800</v>
      </c>
      <c r="J31" s="49">
        <f>VLOOKUP($A31,'Data shares'!$C:$FB,67)</f>
        <v>42001200</v>
      </c>
      <c r="K31" s="50">
        <f t="shared" si="2"/>
        <v>11.162719865986446</v>
      </c>
      <c r="L31" s="50">
        <f>VLOOKUP($A31,'Data shares'!$C:$FB,118)</f>
        <v>0.71</v>
      </c>
      <c r="M31" s="50">
        <f>VLOOKUP($A31,'Data shares'!$C:$FB,119)</f>
        <v>0.77</v>
      </c>
      <c r="N31" s="50">
        <f>VLOOKUP($A31,'Data shares'!$C:$FB,121)*100</f>
        <v>-7.79</v>
      </c>
      <c r="O31" s="50">
        <f>VLOOKUP($A31,'Data shares'!$C:$FB,124)</f>
        <v>0.6</v>
      </c>
      <c r="P31" s="50">
        <f>VLOOKUP($A31,'Data shares'!$C:$FB,125)</f>
        <v>0.74</v>
      </c>
      <c r="Q31" s="50">
        <f>VLOOKUP($A31,'Data shares'!$C:$FB,127)*100</f>
        <v>-18.920000000000002</v>
      </c>
    </row>
    <row r="32" spans="1:17" x14ac:dyDescent="0.25">
      <c r="A32" s="97" t="str">
        <f>'Data Vlaue (Cr)'!C27</f>
        <v>BANKBARODA</v>
      </c>
      <c r="B32" s="140">
        <f>VLOOKUP($A32,'Data shares'!$C:$FB,7)</f>
        <v>281.01</v>
      </c>
      <c r="C32" s="140">
        <f>VLOOKUP($A32,'Data shares'!$C:$FB,3)</f>
        <v>281</v>
      </c>
      <c r="D32" s="140">
        <f>VLOOKUP($A32,'Data shares'!$C:$FB,4)</f>
        <v>281.16000000000003</v>
      </c>
      <c r="E32" s="50">
        <f t="shared" si="0"/>
        <v>-5.6907099160629172E-2</v>
      </c>
      <c r="F32" s="49">
        <f>VLOOKUP($A32,'Data shares'!$C:$FB,98)</f>
        <v>188144775</v>
      </c>
      <c r="G32" s="49">
        <f>VLOOKUP($A32,'Data shares'!$C:$FB,99)</f>
        <v>183991275</v>
      </c>
      <c r="H32" s="50">
        <f t="shared" si="1"/>
        <v>2.2574440010810295</v>
      </c>
      <c r="I32" s="49">
        <f>VLOOKUP($A32,'Data shares'!$C:$FB,66)</f>
        <v>116739675</v>
      </c>
      <c r="J32" s="49">
        <f>VLOOKUP($A32,'Data shares'!$C:$FB,67)</f>
        <v>84333600</v>
      </c>
      <c r="K32" s="50">
        <f t="shared" si="2"/>
        <v>27.759264363208136</v>
      </c>
      <c r="L32" s="50">
        <f>VLOOKUP($A32,'Data shares'!$C:$FB,118)</f>
        <v>0.95</v>
      </c>
      <c r="M32" s="50">
        <f>VLOOKUP($A32,'Data shares'!$C:$FB,119)</f>
        <v>0.95</v>
      </c>
      <c r="N32" s="50">
        <f>VLOOKUP($A32,'Data shares'!$C:$FB,121)*100</f>
        <v>0</v>
      </c>
      <c r="O32" s="50">
        <f>VLOOKUP($A32,'Data shares'!$C:$FB,124)</f>
        <v>0.62</v>
      </c>
      <c r="P32" s="50">
        <f>VLOOKUP($A32,'Data shares'!$C:$FB,125)</f>
        <v>0.71</v>
      </c>
      <c r="Q32" s="50">
        <f>VLOOKUP($A32,'Data shares'!$C:$FB,127)*100</f>
        <v>-12.68</v>
      </c>
    </row>
    <row r="33" spans="1:17" x14ac:dyDescent="0.25">
      <c r="A33" s="97" t="str">
        <f>'Data Vlaue (Cr)'!C28</f>
        <v>BANKINDIA</v>
      </c>
      <c r="B33" s="140">
        <f>VLOOKUP($A33,'Data shares'!$C:$FB,7)</f>
        <v>148.31</v>
      </c>
      <c r="C33" s="140">
        <f>VLOOKUP($A33,'Data shares'!$C:$FB,3)</f>
        <v>148.55000000000001</v>
      </c>
      <c r="D33" s="140">
        <f>VLOOKUP($A33,'Data shares'!$C:$FB,4)</f>
        <v>148.28</v>
      </c>
      <c r="E33" s="50">
        <f t="shared" si="0"/>
        <v>0.18208794173186554</v>
      </c>
      <c r="F33" s="49">
        <f>VLOOKUP($A33,'Data shares'!$C:$FB,98)</f>
        <v>109818800</v>
      </c>
      <c r="G33" s="49">
        <f>VLOOKUP($A33,'Data shares'!$C:$FB,99)</f>
        <v>104499200</v>
      </c>
      <c r="H33" s="50">
        <f t="shared" si="1"/>
        <v>5.0905652866242042</v>
      </c>
      <c r="I33" s="49">
        <f>VLOOKUP($A33,'Data shares'!$C:$FB,66)</f>
        <v>71682000</v>
      </c>
      <c r="J33" s="49">
        <f>VLOOKUP($A33,'Data shares'!$C:$FB,67)</f>
        <v>49228400</v>
      </c>
      <c r="K33" s="50">
        <f t="shared" si="2"/>
        <v>31.323902792890824</v>
      </c>
      <c r="L33" s="50">
        <f>VLOOKUP($A33,'Data shares'!$C:$FB,118)</f>
        <v>0.75</v>
      </c>
      <c r="M33" s="50">
        <f>VLOOKUP($A33,'Data shares'!$C:$FB,119)</f>
        <v>0.87</v>
      </c>
      <c r="N33" s="50">
        <f>VLOOKUP($A33,'Data shares'!$C:$FB,121)*100</f>
        <v>-13.79</v>
      </c>
      <c r="O33" s="50">
        <f>VLOOKUP($A33,'Data shares'!$C:$FB,124)</f>
        <v>0.26</v>
      </c>
      <c r="P33" s="50">
        <f>VLOOKUP($A33,'Data shares'!$C:$FB,125)</f>
        <v>0.48</v>
      </c>
      <c r="Q33" s="50">
        <f>VLOOKUP($A33,'Data shares'!$C:$FB,127)*100</f>
        <v>-45.83</v>
      </c>
    </row>
    <row r="34" spans="1:17" x14ac:dyDescent="0.25">
      <c r="A34" s="97" t="str">
        <f>'Data Vlaue (Cr)'!C29</f>
        <v>BANKNIFTY</v>
      </c>
      <c r="B34" s="140">
        <f>VLOOKUP($A34,'Data shares'!$C:$FB,7)</f>
        <v>56582.35</v>
      </c>
      <c r="C34" s="140">
        <f>VLOOKUP($A34,'Data shares'!$C:$FB,3)</f>
        <v>56568.800000000003</v>
      </c>
      <c r="D34" s="140">
        <f>VLOOKUP($A34,'Data shares'!$C:$FB,4)</f>
        <v>56666.8</v>
      </c>
      <c r="E34" s="50">
        <f t="shared" si="0"/>
        <v>-0.17294076955113047</v>
      </c>
      <c r="F34" s="49">
        <f>VLOOKUP($A34,'Data shares'!$C:$FB,98)</f>
        <v>41878200</v>
      </c>
      <c r="G34" s="49">
        <f>VLOOKUP($A34,'Data shares'!$C:$FB,99)</f>
        <v>41114100</v>
      </c>
      <c r="H34" s="50">
        <f t="shared" si="1"/>
        <v>1.8584865046297985</v>
      </c>
      <c r="I34" s="49">
        <f>VLOOKUP($A34,'Data shares'!$C:$FB,66)</f>
        <v>109443510</v>
      </c>
      <c r="J34" s="49">
        <f>VLOOKUP($A34,'Data shares'!$C:$FB,67)</f>
        <v>77146710</v>
      </c>
      <c r="K34" s="50">
        <f t="shared" si="2"/>
        <v>29.510018456096667</v>
      </c>
      <c r="L34" s="50">
        <f>VLOOKUP($A34,'Data shares'!$C:$FB,118)</f>
        <v>0.99</v>
      </c>
      <c r="M34" s="50">
        <f>VLOOKUP($A34,'Data shares'!$C:$FB,119)</f>
        <v>0.93</v>
      </c>
      <c r="N34" s="50">
        <f>VLOOKUP($A34,'Data shares'!$C:$FB,121)*100</f>
        <v>6.45</v>
      </c>
      <c r="O34" s="50">
        <f>VLOOKUP($A34,'Data shares'!$C:$FB,124)</f>
        <v>0.94</v>
      </c>
      <c r="P34" s="50">
        <f>VLOOKUP($A34,'Data shares'!$C:$FB,125)</f>
        <v>0.88</v>
      </c>
      <c r="Q34" s="50">
        <f>VLOOKUP($A34,'Data shares'!$C:$FB,127)*100</f>
        <v>6.8199999999999994</v>
      </c>
    </row>
    <row r="35" spans="1:17" x14ac:dyDescent="0.25">
      <c r="A35" s="97" t="str">
        <f>'Data Vlaue (Cr)'!C30</f>
        <v>BDL</v>
      </c>
      <c r="B35" s="140">
        <f>VLOOKUP($A35,'Data shares'!$C:$FB,7)</f>
        <v>1369.8</v>
      </c>
      <c r="C35" s="140">
        <f>VLOOKUP($A35,'Data shares'!$C:$FB,3)</f>
        <v>1370.2</v>
      </c>
      <c r="D35" s="140">
        <f>VLOOKUP($A35,'Data shares'!$C:$FB,4)</f>
        <v>1380.8</v>
      </c>
      <c r="E35" s="50">
        <f t="shared" si="0"/>
        <v>-0.76767091541134913</v>
      </c>
      <c r="F35" s="49">
        <f>VLOOKUP($A35,'Data shares'!$C:$FB,98)</f>
        <v>9951550</v>
      </c>
      <c r="G35" s="49">
        <f>VLOOKUP($A35,'Data shares'!$C:$FB,99)</f>
        <v>9924600</v>
      </c>
      <c r="H35" s="50">
        <f t="shared" si="1"/>
        <v>0.27154746790802653</v>
      </c>
      <c r="I35" s="49">
        <f>VLOOKUP($A35,'Data shares'!$C:$FB,66)</f>
        <v>4786600</v>
      </c>
      <c r="J35" s="49">
        <f>VLOOKUP($A35,'Data shares'!$C:$FB,67)</f>
        <v>10328150</v>
      </c>
      <c r="K35" s="50">
        <f t="shared" si="2"/>
        <v>-115.77215560105294</v>
      </c>
      <c r="L35" s="50">
        <f>VLOOKUP($A35,'Data shares'!$C:$FB,118)</f>
        <v>0.84</v>
      </c>
      <c r="M35" s="50">
        <f>VLOOKUP($A35,'Data shares'!$C:$FB,119)</f>
        <v>0.8</v>
      </c>
      <c r="N35" s="50">
        <f>VLOOKUP($A35,'Data shares'!$C:$FB,121)*100</f>
        <v>5</v>
      </c>
      <c r="O35" s="50">
        <f>VLOOKUP($A35,'Data shares'!$C:$FB,124)</f>
        <v>0.73</v>
      </c>
      <c r="P35" s="50">
        <f>VLOOKUP($A35,'Data shares'!$C:$FB,125)</f>
        <v>0.52</v>
      </c>
      <c r="Q35" s="50">
        <f>VLOOKUP($A35,'Data shares'!$C:$FB,127)*100</f>
        <v>40.380000000000003</v>
      </c>
    </row>
    <row r="36" spans="1:17" x14ac:dyDescent="0.25">
      <c r="A36" s="97" t="str">
        <f>'Data Vlaue (Cr)'!C31</f>
        <v>BEL</v>
      </c>
      <c r="B36" s="140">
        <f>VLOOKUP($A36,'Data shares'!$C:$FB,7)</f>
        <v>457.55</v>
      </c>
      <c r="C36" s="140">
        <f>VLOOKUP($A36,'Data shares'!$C:$FB,3)</f>
        <v>457.8</v>
      </c>
      <c r="D36" s="140">
        <f>VLOOKUP($A36,'Data shares'!$C:$FB,4)</f>
        <v>462.9</v>
      </c>
      <c r="E36" s="50">
        <f t="shared" si="0"/>
        <v>-1.1017498379779576</v>
      </c>
      <c r="F36" s="49">
        <f>VLOOKUP($A36,'Data shares'!$C:$FB,98)</f>
        <v>179621250</v>
      </c>
      <c r="G36" s="49">
        <f>VLOOKUP($A36,'Data shares'!$C:$FB,99)</f>
        <v>179190900</v>
      </c>
      <c r="H36" s="50">
        <f t="shared" si="1"/>
        <v>0.24016286541336643</v>
      </c>
      <c r="I36" s="49">
        <f>VLOOKUP($A36,'Data shares'!$C:$FB,66)</f>
        <v>86208225</v>
      </c>
      <c r="J36" s="49">
        <f>VLOOKUP($A36,'Data shares'!$C:$FB,67)</f>
        <v>128812875</v>
      </c>
      <c r="K36" s="50">
        <f t="shared" si="2"/>
        <v>-49.420632428054283</v>
      </c>
      <c r="L36" s="50">
        <f>VLOOKUP($A36,'Data shares'!$C:$FB,118)</f>
        <v>0.73</v>
      </c>
      <c r="M36" s="50">
        <f>VLOOKUP($A36,'Data shares'!$C:$FB,119)</f>
        <v>0.75</v>
      </c>
      <c r="N36" s="50">
        <f>VLOOKUP($A36,'Data shares'!$C:$FB,121)*100</f>
        <v>-2.67</v>
      </c>
      <c r="O36" s="50">
        <f>VLOOKUP($A36,'Data shares'!$C:$FB,124)</f>
        <v>0.59</v>
      </c>
      <c r="P36" s="50">
        <f>VLOOKUP($A36,'Data shares'!$C:$FB,125)</f>
        <v>0.5</v>
      </c>
      <c r="Q36" s="50">
        <f>VLOOKUP($A36,'Data shares'!$C:$FB,127)*100</f>
        <v>18</v>
      </c>
    </row>
    <row r="37" spans="1:17" x14ac:dyDescent="0.25">
      <c r="A37" s="97" t="str">
        <f>'Data Vlaue (Cr)'!C32</f>
        <v>BHARATFORG</v>
      </c>
      <c r="B37" s="140">
        <f>VLOOKUP($A37,'Data shares'!$C:$FB,7)</f>
        <v>1866.2</v>
      </c>
      <c r="C37" s="140">
        <f>VLOOKUP($A37,'Data shares'!$C:$FB,3)</f>
        <v>1869.6</v>
      </c>
      <c r="D37" s="140">
        <f>VLOOKUP($A37,'Data shares'!$C:$FB,4)</f>
        <v>1858.1</v>
      </c>
      <c r="E37" s="50">
        <f t="shared" si="0"/>
        <v>0.61891179161509069</v>
      </c>
      <c r="F37" s="49">
        <f>VLOOKUP($A37,'Data shares'!$C:$FB,98)</f>
        <v>13395500</v>
      </c>
      <c r="G37" s="49">
        <f>VLOOKUP($A37,'Data shares'!$C:$FB,99)</f>
        <v>13310500</v>
      </c>
      <c r="H37" s="50">
        <f t="shared" si="1"/>
        <v>0.63859359152548745</v>
      </c>
      <c r="I37" s="49">
        <f>VLOOKUP($A37,'Data shares'!$C:$FB,66)</f>
        <v>6204000</v>
      </c>
      <c r="J37" s="49">
        <f>VLOOKUP($A37,'Data shares'!$C:$FB,67)</f>
        <v>7707000</v>
      </c>
      <c r="K37" s="50">
        <f t="shared" si="2"/>
        <v>-24.226305609284331</v>
      </c>
      <c r="L37" s="50">
        <f>VLOOKUP($A37,'Data shares'!$C:$FB,118)</f>
        <v>0.66</v>
      </c>
      <c r="M37" s="50">
        <f>VLOOKUP($A37,'Data shares'!$C:$FB,119)</f>
        <v>0.61</v>
      </c>
      <c r="N37" s="50">
        <f>VLOOKUP($A37,'Data shares'!$C:$FB,121)*100</f>
        <v>8.2000000000000011</v>
      </c>
      <c r="O37" s="50">
        <f>VLOOKUP($A37,'Data shares'!$C:$FB,124)</f>
        <v>0.61</v>
      </c>
      <c r="P37" s="50">
        <f>VLOOKUP($A37,'Data shares'!$C:$FB,125)</f>
        <v>0.64</v>
      </c>
      <c r="Q37" s="50">
        <f>VLOOKUP($A37,'Data shares'!$C:$FB,127)*100</f>
        <v>-4.6899999999999995</v>
      </c>
    </row>
    <row r="38" spans="1:17" x14ac:dyDescent="0.25">
      <c r="A38" s="97" t="str">
        <f>'Data Vlaue (Cr)'!C33</f>
        <v>BHARTIARTL</v>
      </c>
      <c r="B38" s="140">
        <f>VLOOKUP($A38,'Data shares'!$C:$FB,7)</f>
        <v>1846.1</v>
      </c>
      <c r="C38" s="140">
        <f>VLOOKUP($A38,'Data shares'!$C:$FB,3)</f>
        <v>1845.6</v>
      </c>
      <c r="D38" s="140">
        <f>VLOOKUP($A38,'Data shares'!$C:$FB,4)</f>
        <v>1849</v>
      </c>
      <c r="E38" s="50">
        <f t="shared" si="0"/>
        <v>-0.18388318009735483</v>
      </c>
      <c r="F38" s="49">
        <f>VLOOKUP($A38,'Data shares'!$C:$FB,98)</f>
        <v>83023350</v>
      </c>
      <c r="G38" s="49">
        <f>VLOOKUP($A38,'Data shares'!$C:$FB,99)</f>
        <v>82734550</v>
      </c>
      <c r="H38" s="50">
        <f t="shared" si="1"/>
        <v>0.34906819460551852</v>
      </c>
      <c r="I38" s="49">
        <f>VLOOKUP($A38,'Data shares'!$C:$FB,66)</f>
        <v>36109975</v>
      </c>
      <c r="J38" s="49">
        <f>VLOOKUP($A38,'Data shares'!$C:$FB,67)</f>
        <v>26877400</v>
      </c>
      <c r="K38" s="50">
        <f t="shared" si="2"/>
        <v>25.567935175806682</v>
      </c>
      <c r="L38" s="50">
        <f>VLOOKUP($A38,'Data shares'!$C:$FB,118)</f>
        <v>0.6</v>
      </c>
      <c r="M38" s="50">
        <f>VLOOKUP($A38,'Data shares'!$C:$FB,119)</f>
        <v>0.61</v>
      </c>
      <c r="N38" s="50">
        <f>VLOOKUP($A38,'Data shares'!$C:$FB,121)*100</f>
        <v>-1.6400000000000001</v>
      </c>
      <c r="O38" s="50">
        <f>VLOOKUP($A38,'Data shares'!$C:$FB,124)</f>
        <v>0.43</v>
      </c>
      <c r="P38" s="50">
        <f>VLOOKUP($A38,'Data shares'!$C:$FB,125)</f>
        <v>0.47</v>
      </c>
      <c r="Q38" s="50">
        <f>VLOOKUP($A38,'Data shares'!$C:$FB,127)*100</f>
        <v>-8.51</v>
      </c>
    </row>
    <row r="39" spans="1:17" x14ac:dyDescent="0.25">
      <c r="A39" s="97" t="str">
        <f>'Data Vlaue (Cr)'!C34</f>
        <v>BHEL</v>
      </c>
      <c r="B39" s="140">
        <f>VLOOKUP($A39,'Data shares'!$C:$FB,7)</f>
        <v>325.63</v>
      </c>
      <c r="C39" s="140">
        <f>VLOOKUP($A39,'Data shares'!$C:$FB,3)</f>
        <v>325.26</v>
      </c>
      <c r="D39" s="140">
        <f>VLOOKUP($A39,'Data shares'!$C:$FB,4)</f>
        <v>317.22000000000003</v>
      </c>
      <c r="E39" s="50">
        <f t="shared" si="0"/>
        <v>2.5345186306033551</v>
      </c>
      <c r="F39" s="49">
        <f>VLOOKUP($A39,'Data shares'!$C:$FB,98)</f>
        <v>204807750</v>
      </c>
      <c r="G39" s="49">
        <f>VLOOKUP($A39,'Data shares'!$C:$FB,99)</f>
        <v>182316750</v>
      </c>
      <c r="H39" s="50">
        <f t="shared" si="1"/>
        <v>12.336222535779076</v>
      </c>
      <c r="I39" s="49">
        <f>VLOOKUP($A39,'Data shares'!$C:$FB,66)</f>
        <v>424908750</v>
      </c>
      <c r="J39" s="49">
        <f>VLOOKUP($A39,'Data shares'!$C:$FB,67)</f>
        <v>274824375</v>
      </c>
      <c r="K39" s="50">
        <f t="shared" si="2"/>
        <v>35.321554333724592</v>
      </c>
      <c r="L39" s="50">
        <f>VLOOKUP($A39,'Data shares'!$C:$FB,118)</f>
        <v>0.86</v>
      </c>
      <c r="M39" s="50">
        <f>VLOOKUP($A39,'Data shares'!$C:$FB,119)</f>
        <v>0.88</v>
      </c>
      <c r="N39" s="50">
        <f>VLOOKUP($A39,'Data shares'!$C:$FB,121)*100</f>
        <v>-2.27</v>
      </c>
      <c r="O39" s="50">
        <f>VLOOKUP($A39,'Data shares'!$C:$FB,124)</f>
        <v>0.52</v>
      </c>
      <c r="P39" s="50">
        <f>VLOOKUP($A39,'Data shares'!$C:$FB,125)</f>
        <v>0.6</v>
      </c>
      <c r="Q39" s="50">
        <f>VLOOKUP($A39,'Data shares'!$C:$FB,127)*100</f>
        <v>-13.33</v>
      </c>
    </row>
    <row r="40" spans="1:17" x14ac:dyDescent="0.25">
      <c r="A40" s="97" t="str">
        <f>'Data Vlaue (Cr)'!C35</f>
        <v>BIOCON</v>
      </c>
      <c r="B40" s="140">
        <f>VLOOKUP($A40,'Data shares'!$C:$FB,7)</f>
        <v>359.05</v>
      </c>
      <c r="C40" s="140">
        <f>VLOOKUP($A40,'Data shares'!$C:$FB,3)</f>
        <v>358.7</v>
      </c>
      <c r="D40" s="140">
        <f>VLOOKUP($A40,'Data shares'!$C:$FB,4)</f>
        <v>358.45</v>
      </c>
      <c r="E40" s="50">
        <f t="shared" si="0"/>
        <v>6.974473427256242E-2</v>
      </c>
      <c r="F40" s="49">
        <f>VLOOKUP($A40,'Data shares'!$C:$FB,98)</f>
        <v>75410000</v>
      </c>
      <c r="G40" s="49">
        <f>VLOOKUP($A40,'Data shares'!$C:$FB,99)</f>
        <v>76672500</v>
      </c>
      <c r="H40" s="50">
        <f t="shared" si="1"/>
        <v>-1.6466138445987804</v>
      </c>
      <c r="I40" s="49">
        <f>VLOOKUP($A40,'Data shares'!$C:$FB,66)</f>
        <v>38260000</v>
      </c>
      <c r="J40" s="49">
        <f>VLOOKUP($A40,'Data shares'!$C:$FB,67)</f>
        <v>83432500</v>
      </c>
      <c r="K40" s="50">
        <f t="shared" si="2"/>
        <v>-118.06717198118139</v>
      </c>
      <c r="L40" s="50">
        <f>VLOOKUP($A40,'Data shares'!$C:$FB,118)</f>
        <v>0.68</v>
      </c>
      <c r="M40" s="50">
        <f>VLOOKUP($A40,'Data shares'!$C:$FB,119)</f>
        <v>0.64</v>
      </c>
      <c r="N40" s="50">
        <f>VLOOKUP($A40,'Data shares'!$C:$FB,121)*100</f>
        <v>6.25</v>
      </c>
      <c r="O40" s="50">
        <f>VLOOKUP($A40,'Data shares'!$C:$FB,124)</f>
        <v>0.42</v>
      </c>
      <c r="P40" s="50">
        <f>VLOOKUP($A40,'Data shares'!$C:$FB,125)</f>
        <v>0.24</v>
      </c>
      <c r="Q40" s="50">
        <f>VLOOKUP($A40,'Data shares'!$C:$FB,127)*100</f>
        <v>75</v>
      </c>
    </row>
    <row r="41" spans="1:17" x14ac:dyDescent="0.25">
      <c r="A41" s="97" t="str">
        <f>'Data Vlaue (Cr)'!C36</f>
        <v>BLUESTARCO</v>
      </c>
      <c r="B41" s="140">
        <f>VLOOKUP($A41,'Data shares'!$C:$FB,7)</f>
        <v>1889</v>
      </c>
      <c r="C41" s="140">
        <f>VLOOKUP($A41,'Data shares'!$C:$FB,3)</f>
        <v>1864.6</v>
      </c>
      <c r="D41" s="140">
        <f>VLOOKUP($A41,'Data shares'!$C:$FB,4)</f>
        <v>1856.5</v>
      </c>
      <c r="E41" s="50">
        <f t="shared" si="0"/>
        <v>0.4363048747643366</v>
      </c>
      <c r="F41" s="49">
        <f>VLOOKUP($A41,'Data shares'!$C:$FB,98)</f>
        <v>6728475</v>
      </c>
      <c r="G41" s="49">
        <f>VLOOKUP($A41,'Data shares'!$C:$FB,99)</f>
        <v>6087250</v>
      </c>
      <c r="H41" s="50">
        <f t="shared" si="1"/>
        <v>10.533902829684997</v>
      </c>
      <c r="I41" s="49">
        <f>VLOOKUP($A41,'Data shares'!$C:$FB,66)</f>
        <v>6786000</v>
      </c>
      <c r="J41" s="49">
        <f>VLOOKUP($A41,'Data shares'!$C:$FB,67)</f>
        <v>4043325</v>
      </c>
      <c r="K41" s="50">
        <f t="shared" si="2"/>
        <v>40.416666666666664</v>
      </c>
      <c r="L41" s="50">
        <f>VLOOKUP($A41,'Data shares'!$C:$FB,118)</f>
        <v>0.69</v>
      </c>
      <c r="M41" s="50">
        <f>VLOOKUP($A41,'Data shares'!$C:$FB,119)</f>
        <v>0.63</v>
      </c>
      <c r="N41" s="50">
        <f>VLOOKUP($A41,'Data shares'!$C:$FB,121)*100</f>
        <v>9.5200000000000014</v>
      </c>
      <c r="O41" s="50">
        <f>VLOOKUP($A41,'Data shares'!$C:$FB,124)</f>
        <v>0.37</v>
      </c>
      <c r="P41" s="50">
        <f>VLOOKUP($A41,'Data shares'!$C:$FB,125)</f>
        <v>0.52</v>
      </c>
      <c r="Q41" s="50">
        <f>VLOOKUP($A41,'Data shares'!$C:$FB,127)*100</f>
        <v>-28.849999999999998</v>
      </c>
    </row>
    <row r="42" spans="1:17" x14ac:dyDescent="0.25">
      <c r="A42" s="97" t="str">
        <f>'Data Vlaue (Cr)'!C37</f>
        <v>BOSCHLTD</v>
      </c>
      <c r="B42" s="140">
        <f>VLOOKUP($A42,'Data shares'!$C:$FB,7)</f>
        <v>37790</v>
      </c>
      <c r="C42" s="140">
        <f>VLOOKUP($A42,'Data shares'!$C:$FB,3)</f>
        <v>37770</v>
      </c>
      <c r="D42" s="140">
        <f>VLOOKUP($A42,'Data shares'!$C:$FB,4)</f>
        <v>37580</v>
      </c>
      <c r="E42" s="50">
        <f t="shared" si="0"/>
        <v>0.50558807876530065</v>
      </c>
      <c r="F42" s="49">
        <f>VLOOKUP($A42,'Data shares'!$C:$FB,98)</f>
        <v>751600</v>
      </c>
      <c r="G42" s="49">
        <f>VLOOKUP($A42,'Data shares'!$C:$FB,99)</f>
        <v>752925</v>
      </c>
      <c r="H42" s="50">
        <f t="shared" si="1"/>
        <v>-0.17598034332768869</v>
      </c>
      <c r="I42" s="49">
        <f>VLOOKUP($A42,'Data shares'!$C:$FB,66)</f>
        <v>587375</v>
      </c>
      <c r="J42" s="49">
        <f>VLOOKUP($A42,'Data shares'!$C:$FB,67)</f>
        <v>871700</v>
      </c>
      <c r="K42" s="50">
        <f t="shared" si="2"/>
        <v>-48.406043839114702</v>
      </c>
      <c r="L42" s="50">
        <f>VLOOKUP($A42,'Data shares'!$C:$FB,118)</f>
        <v>0.86</v>
      </c>
      <c r="M42" s="50">
        <f>VLOOKUP($A42,'Data shares'!$C:$FB,119)</f>
        <v>0.89</v>
      </c>
      <c r="N42" s="50">
        <f>VLOOKUP($A42,'Data shares'!$C:$FB,121)*100</f>
        <v>-3.37</v>
      </c>
      <c r="O42" s="50">
        <f>VLOOKUP($A42,'Data shares'!$C:$FB,124)</f>
        <v>1.1100000000000001</v>
      </c>
      <c r="P42" s="50">
        <f>VLOOKUP($A42,'Data shares'!$C:$FB,125)</f>
        <v>3.76</v>
      </c>
      <c r="Q42" s="50">
        <f>VLOOKUP($A42,'Data shares'!$C:$FB,127)*100</f>
        <v>-70.48</v>
      </c>
    </row>
    <row r="43" spans="1:17" x14ac:dyDescent="0.25">
      <c r="A43" s="97" t="str">
        <f>'Data Vlaue (Cr)'!C38</f>
        <v>BPCL</v>
      </c>
      <c r="B43" s="140">
        <f>VLOOKUP($A43,'Data shares'!$C:$FB,7)</f>
        <v>316.05</v>
      </c>
      <c r="C43" s="140">
        <f>VLOOKUP($A43,'Data shares'!$C:$FB,3)</f>
        <v>315.75</v>
      </c>
      <c r="D43" s="140">
        <f>VLOOKUP($A43,'Data shares'!$C:$FB,4)</f>
        <v>313.05</v>
      </c>
      <c r="E43" s="50">
        <f t="shared" si="0"/>
        <v>0.86248203162433756</v>
      </c>
      <c r="F43" s="49">
        <f>VLOOKUP($A43,'Data shares'!$C:$FB,98)</f>
        <v>105528200</v>
      </c>
      <c r="G43" s="49">
        <f>VLOOKUP($A43,'Data shares'!$C:$FB,99)</f>
        <v>97555125</v>
      </c>
      <c r="H43" s="50">
        <f t="shared" si="1"/>
        <v>8.1728919931167123</v>
      </c>
      <c r="I43" s="49">
        <f>VLOOKUP($A43,'Data shares'!$C:$FB,66)</f>
        <v>104094350</v>
      </c>
      <c r="J43" s="49">
        <f>VLOOKUP($A43,'Data shares'!$C:$FB,67)</f>
        <v>59779300</v>
      </c>
      <c r="K43" s="50">
        <f t="shared" si="2"/>
        <v>42.572003187492882</v>
      </c>
      <c r="L43" s="50">
        <f>VLOOKUP($A43,'Data shares'!$C:$FB,118)</f>
        <v>0.83</v>
      </c>
      <c r="M43" s="50">
        <f>VLOOKUP($A43,'Data shares'!$C:$FB,119)</f>
        <v>0.88</v>
      </c>
      <c r="N43" s="50">
        <f>VLOOKUP($A43,'Data shares'!$C:$FB,121)*100</f>
        <v>-5.6800000000000006</v>
      </c>
      <c r="O43" s="50">
        <f>VLOOKUP($A43,'Data shares'!$C:$FB,124)</f>
        <v>0.41</v>
      </c>
      <c r="P43" s="50">
        <f>VLOOKUP($A43,'Data shares'!$C:$FB,125)</f>
        <v>0.48</v>
      </c>
      <c r="Q43" s="50">
        <f>VLOOKUP($A43,'Data shares'!$C:$FB,127)*100</f>
        <v>-14.580000000000002</v>
      </c>
    </row>
    <row r="44" spans="1:17" x14ac:dyDescent="0.25">
      <c r="A44" s="97" t="str">
        <f>'Data Vlaue (Cr)'!C39</f>
        <v>BRITANNIA</v>
      </c>
      <c r="B44" s="140">
        <f>VLOOKUP($A44,'Data shares'!$C:$FB,7)</f>
        <v>5700</v>
      </c>
      <c r="C44" s="140">
        <f>VLOOKUP($A44,'Data shares'!$C:$FB,3)</f>
        <v>5697.5</v>
      </c>
      <c r="D44" s="140">
        <f>VLOOKUP($A44,'Data shares'!$C:$FB,4)</f>
        <v>5737.5</v>
      </c>
      <c r="E44" s="50">
        <f t="shared" si="0"/>
        <v>-0.69716775599128533</v>
      </c>
      <c r="F44" s="49">
        <f>VLOOKUP($A44,'Data shares'!$C:$FB,98)</f>
        <v>3896250</v>
      </c>
      <c r="G44" s="49">
        <f>VLOOKUP($A44,'Data shares'!$C:$FB,99)</f>
        <v>3963250</v>
      </c>
      <c r="H44" s="50">
        <f t="shared" si="1"/>
        <v>-1.6905317605500534</v>
      </c>
      <c r="I44" s="49">
        <f>VLOOKUP($A44,'Data shares'!$C:$FB,66)</f>
        <v>1408500</v>
      </c>
      <c r="J44" s="49">
        <f>VLOOKUP($A44,'Data shares'!$C:$FB,67)</f>
        <v>3647000</v>
      </c>
      <c r="K44" s="50">
        <f t="shared" si="2"/>
        <v>-158.92793752218671</v>
      </c>
      <c r="L44" s="50">
        <f>VLOOKUP($A44,'Data shares'!$C:$FB,118)</f>
        <v>1.06</v>
      </c>
      <c r="M44" s="50">
        <f>VLOOKUP($A44,'Data shares'!$C:$FB,119)</f>
        <v>1.06</v>
      </c>
      <c r="N44" s="50">
        <f>VLOOKUP($A44,'Data shares'!$C:$FB,121)*100</f>
        <v>0</v>
      </c>
      <c r="O44" s="50">
        <f>VLOOKUP($A44,'Data shares'!$C:$FB,124)</f>
        <v>0.46</v>
      </c>
      <c r="P44" s="50">
        <f>VLOOKUP($A44,'Data shares'!$C:$FB,125)</f>
        <v>0.28000000000000003</v>
      </c>
      <c r="Q44" s="50">
        <f>VLOOKUP($A44,'Data shares'!$C:$FB,127)*100</f>
        <v>64.290000000000006</v>
      </c>
    </row>
    <row r="45" spans="1:17" x14ac:dyDescent="0.25">
      <c r="A45" s="97" t="str">
        <f>'Data Vlaue (Cr)'!C40</f>
        <v>BSE</v>
      </c>
      <c r="B45" s="140">
        <f>VLOOKUP($A45,'Data shares'!$C:$FB,7)</f>
        <v>3470.7</v>
      </c>
      <c r="C45" s="140">
        <f>VLOOKUP($A45,'Data shares'!$C:$FB,3)</f>
        <v>3477.8</v>
      </c>
      <c r="D45" s="140">
        <f>VLOOKUP($A45,'Data shares'!$C:$FB,4)</f>
        <v>3540.9</v>
      </c>
      <c r="E45" s="50">
        <f t="shared" si="0"/>
        <v>-1.7820328165155725</v>
      </c>
      <c r="F45" s="49">
        <f>VLOOKUP($A45,'Data shares'!$C:$FB,98)</f>
        <v>26715375</v>
      </c>
      <c r="G45" s="49">
        <f>VLOOKUP($A45,'Data shares'!$C:$FB,99)</f>
        <v>27006375</v>
      </c>
      <c r="H45" s="50">
        <f t="shared" si="1"/>
        <v>-1.0775233625394005</v>
      </c>
      <c r="I45" s="49">
        <f>VLOOKUP($A45,'Data shares'!$C:$FB,66)</f>
        <v>29673000</v>
      </c>
      <c r="J45" s="49">
        <f>VLOOKUP($A45,'Data shares'!$C:$FB,67)</f>
        <v>64996500</v>
      </c>
      <c r="K45" s="50">
        <f t="shared" si="2"/>
        <v>-119.04256394702256</v>
      </c>
      <c r="L45" s="50">
        <f>VLOOKUP($A45,'Data shares'!$C:$FB,118)</f>
        <v>1.21</v>
      </c>
      <c r="M45" s="50">
        <f>VLOOKUP($A45,'Data shares'!$C:$FB,119)</f>
        <v>1.32</v>
      </c>
      <c r="N45" s="50">
        <f>VLOOKUP($A45,'Data shares'!$C:$FB,121)*100</f>
        <v>-8.33</v>
      </c>
      <c r="O45" s="50">
        <f>VLOOKUP($A45,'Data shares'!$C:$FB,124)</f>
        <v>1.3</v>
      </c>
      <c r="P45" s="50">
        <f>VLOOKUP($A45,'Data shares'!$C:$FB,125)</f>
        <v>0.77</v>
      </c>
      <c r="Q45" s="50">
        <f>VLOOKUP($A45,'Data shares'!$C:$FB,127)*100</f>
        <v>68.83</v>
      </c>
    </row>
    <row r="46" spans="1:17" x14ac:dyDescent="0.25">
      <c r="A46" s="97" t="str">
        <f>'Data Vlaue (Cr)'!C41</f>
        <v>CAMS</v>
      </c>
      <c r="B46" s="140">
        <f>VLOOKUP($A46,'Data shares'!$C:$FB,7)</f>
        <v>749.25</v>
      </c>
      <c r="C46" s="140">
        <f>VLOOKUP($A46,'Data shares'!$C:$FB,3)</f>
        <v>747.55</v>
      </c>
      <c r="D46" s="140">
        <f>VLOOKUP($A46,'Data shares'!$C:$FB,4)</f>
        <v>752.35</v>
      </c>
      <c r="E46" s="50">
        <f t="shared" si="0"/>
        <v>-0.63800093041803252</v>
      </c>
      <c r="F46" s="49">
        <f>VLOOKUP($A46,'Data shares'!$C:$FB,98)</f>
        <v>13161000</v>
      </c>
      <c r="G46" s="49">
        <f>VLOOKUP($A46,'Data shares'!$C:$FB,99)</f>
        <v>13125750</v>
      </c>
      <c r="H46" s="50">
        <f t="shared" si="1"/>
        <v>0.26855608250957086</v>
      </c>
      <c r="I46" s="49">
        <f>VLOOKUP($A46,'Data shares'!$C:$FB,66)</f>
        <v>5912250</v>
      </c>
      <c r="J46" s="49">
        <f>VLOOKUP($A46,'Data shares'!$C:$FB,67)</f>
        <v>12684750</v>
      </c>
      <c r="K46" s="50">
        <f t="shared" si="2"/>
        <v>-114.55029810985667</v>
      </c>
      <c r="L46" s="50">
        <f>VLOOKUP($A46,'Data shares'!$C:$FB,118)</f>
        <v>0.84</v>
      </c>
      <c r="M46" s="50">
        <f>VLOOKUP($A46,'Data shares'!$C:$FB,119)</f>
        <v>0.85</v>
      </c>
      <c r="N46" s="50">
        <f>VLOOKUP($A46,'Data shares'!$C:$FB,121)*100</f>
        <v>-1.18</v>
      </c>
      <c r="O46" s="50">
        <f>VLOOKUP($A46,'Data shares'!$C:$FB,124)</f>
        <v>0.85</v>
      </c>
      <c r="P46" s="50">
        <f>VLOOKUP($A46,'Data shares'!$C:$FB,125)</f>
        <v>0.49</v>
      </c>
      <c r="Q46" s="50">
        <f>VLOOKUP($A46,'Data shares'!$C:$FB,127)*100</f>
        <v>73.47</v>
      </c>
    </row>
    <row r="47" spans="1:17" x14ac:dyDescent="0.25">
      <c r="A47" s="97" t="str">
        <f>'Data Vlaue (Cr)'!C42</f>
        <v>CANBK</v>
      </c>
      <c r="B47" s="140">
        <f>VLOOKUP($A47,'Data shares'!$C:$FB,7)</f>
        <v>142.74</v>
      </c>
      <c r="C47" s="140">
        <f>VLOOKUP($A47,'Data shares'!$C:$FB,3)</f>
        <v>143.07</v>
      </c>
      <c r="D47" s="140">
        <f>VLOOKUP($A47,'Data shares'!$C:$FB,4)</f>
        <v>142.61000000000001</v>
      </c>
      <c r="E47" s="50">
        <f t="shared" si="0"/>
        <v>0.32255802538389983</v>
      </c>
      <c r="F47" s="49">
        <f>VLOOKUP($A47,'Data shares'!$C:$FB,98)</f>
        <v>354658500</v>
      </c>
      <c r="G47" s="49">
        <f>VLOOKUP($A47,'Data shares'!$C:$FB,99)</f>
        <v>343608750</v>
      </c>
      <c r="H47" s="50">
        <f t="shared" si="1"/>
        <v>3.2157941263137215</v>
      </c>
      <c r="I47" s="49">
        <f>VLOOKUP($A47,'Data shares'!$C:$FB,66)</f>
        <v>224518500</v>
      </c>
      <c r="J47" s="49">
        <f>VLOOKUP($A47,'Data shares'!$C:$FB,67)</f>
        <v>153555750</v>
      </c>
      <c r="K47" s="50">
        <f t="shared" si="2"/>
        <v>31.60663820576033</v>
      </c>
      <c r="L47" s="50">
        <f>VLOOKUP($A47,'Data shares'!$C:$FB,118)</f>
        <v>0.93</v>
      </c>
      <c r="M47" s="50">
        <f>VLOOKUP($A47,'Data shares'!$C:$FB,119)</f>
        <v>0.93</v>
      </c>
      <c r="N47" s="50">
        <f>VLOOKUP($A47,'Data shares'!$C:$FB,121)*100</f>
        <v>0</v>
      </c>
      <c r="O47" s="50">
        <f>VLOOKUP($A47,'Data shares'!$C:$FB,124)</f>
        <v>0.7</v>
      </c>
      <c r="P47" s="50">
        <f>VLOOKUP($A47,'Data shares'!$C:$FB,125)</f>
        <v>0.56999999999999995</v>
      </c>
      <c r="Q47" s="50">
        <f>VLOOKUP($A47,'Data shares'!$C:$FB,127)*100</f>
        <v>22.81</v>
      </c>
    </row>
    <row r="48" spans="1:17" x14ac:dyDescent="0.25">
      <c r="A48" s="97" t="str">
        <f>'Data Vlaue (Cr)'!C43</f>
        <v>CDSL</v>
      </c>
      <c r="B48" s="140">
        <f>VLOOKUP($A48,'Data shares'!$C:$FB,7)</f>
        <v>1370.3</v>
      </c>
      <c r="C48" s="140">
        <f>VLOOKUP($A48,'Data shares'!$C:$FB,3)</f>
        <v>1365.7</v>
      </c>
      <c r="D48" s="140">
        <f>VLOOKUP($A48,'Data shares'!$C:$FB,4)</f>
        <v>1396.1</v>
      </c>
      <c r="E48" s="50">
        <f t="shared" si="0"/>
        <v>-2.1774944488217081</v>
      </c>
      <c r="F48" s="49">
        <f>VLOOKUP($A48,'Data shares'!$C:$FB,98)</f>
        <v>21401125</v>
      </c>
      <c r="G48" s="49">
        <f>VLOOKUP($A48,'Data shares'!$C:$FB,99)</f>
        <v>20244500</v>
      </c>
      <c r="H48" s="50">
        <f t="shared" si="1"/>
        <v>5.7132801501642421</v>
      </c>
      <c r="I48" s="49">
        <f>VLOOKUP($A48,'Data shares'!$C:$FB,66)</f>
        <v>15124950</v>
      </c>
      <c r="J48" s="49">
        <f>VLOOKUP($A48,'Data shares'!$C:$FB,67)</f>
        <v>19797525</v>
      </c>
      <c r="K48" s="50">
        <f t="shared" si="2"/>
        <v>-30.893159977388358</v>
      </c>
      <c r="L48" s="50">
        <f>VLOOKUP($A48,'Data shares'!$C:$FB,118)</f>
        <v>0.88</v>
      </c>
      <c r="M48" s="50">
        <f>VLOOKUP($A48,'Data shares'!$C:$FB,119)</f>
        <v>0.91</v>
      </c>
      <c r="N48" s="50">
        <f>VLOOKUP($A48,'Data shares'!$C:$FB,121)*100</f>
        <v>-3.3000000000000003</v>
      </c>
      <c r="O48" s="50">
        <f>VLOOKUP($A48,'Data shares'!$C:$FB,124)</f>
        <v>0.68</v>
      </c>
      <c r="P48" s="50">
        <f>VLOOKUP($A48,'Data shares'!$C:$FB,125)</f>
        <v>0.56999999999999995</v>
      </c>
      <c r="Q48" s="50">
        <f>VLOOKUP($A48,'Data shares'!$C:$FB,127)*100</f>
        <v>19.3</v>
      </c>
    </row>
    <row r="49" spans="1:17" x14ac:dyDescent="0.25">
      <c r="A49" s="97" t="str">
        <f>'Data Vlaue (Cr)'!C44</f>
        <v>CGPOWER</v>
      </c>
      <c r="B49" s="140">
        <f>VLOOKUP($A49,'Data shares'!$C:$FB,7)</f>
        <v>795.7</v>
      </c>
      <c r="C49" s="140">
        <f>VLOOKUP($A49,'Data shares'!$C:$FB,3)</f>
        <v>795.55</v>
      </c>
      <c r="D49" s="140">
        <f>VLOOKUP($A49,'Data shares'!$C:$FB,4)</f>
        <v>774.65</v>
      </c>
      <c r="E49" s="50">
        <f t="shared" si="0"/>
        <v>2.6979926418382467</v>
      </c>
      <c r="F49" s="49">
        <f>VLOOKUP($A49,'Data shares'!$C:$FB,98)</f>
        <v>29115050</v>
      </c>
      <c r="G49" s="49">
        <f>VLOOKUP($A49,'Data shares'!$C:$FB,99)</f>
        <v>26677250</v>
      </c>
      <c r="H49" s="50">
        <f t="shared" si="1"/>
        <v>9.1381233073124104</v>
      </c>
      <c r="I49" s="49">
        <f>VLOOKUP($A49,'Data shares'!$C:$FB,66)</f>
        <v>41445150</v>
      </c>
      <c r="J49" s="49">
        <f>VLOOKUP($A49,'Data shares'!$C:$FB,67)</f>
        <v>21726000</v>
      </c>
      <c r="K49" s="50">
        <f t="shared" si="2"/>
        <v>47.5789085091983</v>
      </c>
      <c r="L49" s="50">
        <f>VLOOKUP($A49,'Data shares'!$C:$FB,118)</f>
        <v>0.7</v>
      </c>
      <c r="M49" s="50">
        <f>VLOOKUP($A49,'Data shares'!$C:$FB,119)</f>
        <v>0.64</v>
      </c>
      <c r="N49" s="50">
        <f>VLOOKUP($A49,'Data shares'!$C:$FB,121)*100</f>
        <v>9.370000000000001</v>
      </c>
      <c r="O49" s="50">
        <f>VLOOKUP($A49,'Data shares'!$C:$FB,124)</f>
        <v>0.36</v>
      </c>
      <c r="P49" s="50">
        <f>VLOOKUP($A49,'Data shares'!$C:$FB,125)</f>
        <v>0.32</v>
      </c>
      <c r="Q49" s="50">
        <f>VLOOKUP($A49,'Data shares'!$C:$FB,127)*100</f>
        <v>12.5</v>
      </c>
    </row>
    <row r="50" spans="1:17" x14ac:dyDescent="0.25">
      <c r="A50" s="97" t="str">
        <f>'Data Vlaue (Cr)'!C45</f>
        <v>CHOLAFIN</v>
      </c>
      <c r="B50" s="140">
        <f>VLOOKUP($A50,'Data shares'!$C:$FB,7)</f>
        <v>1569.3</v>
      </c>
      <c r="C50" s="140">
        <f>VLOOKUP($A50,'Data shares'!$C:$FB,3)</f>
        <v>1568.8</v>
      </c>
      <c r="D50" s="140">
        <f>VLOOKUP($A50,'Data shares'!$C:$FB,4)</f>
        <v>1578.4</v>
      </c>
      <c r="E50" s="50">
        <f t="shared" si="0"/>
        <v>-0.60821084642676992</v>
      </c>
      <c r="F50" s="49">
        <f>VLOOKUP($A50,'Data shares'!$C:$FB,98)</f>
        <v>29011250</v>
      </c>
      <c r="G50" s="49">
        <f>VLOOKUP($A50,'Data shares'!$C:$FB,99)</f>
        <v>28711250</v>
      </c>
      <c r="H50" s="50">
        <f t="shared" si="1"/>
        <v>1.0448865862684489</v>
      </c>
      <c r="I50" s="49">
        <f>VLOOKUP($A50,'Data shares'!$C:$FB,66)</f>
        <v>6628750</v>
      </c>
      <c r="J50" s="49">
        <f>VLOOKUP($A50,'Data shares'!$C:$FB,67)</f>
        <v>11315625</v>
      </c>
      <c r="K50" s="50">
        <f t="shared" si="2"/>
        <v>-70.705261172920984</v>
      </c>
      <c r="L50" s="50">
        <f>VLOOKUP($A50,'Data shares'!$C:$FB,118)</f>
        <v>0.86</v>
      </c>
      <c r="M50" s="50">
        <f>VLOOKUP($A50,'Data shares'!$C:$FB,119)</f>
        <v>0.86</v>
      </c>
      <c r="N50" s="50">
        <f>VLOOKUP($A50,'Data shares'!$C:$FB,121)*100</f>
        <v>0</v>
      </c>
      <c r="O50" s="50">
        <f>VLOOKUP($A50,'Data shares'!$C:$FB,124)</f>
        <v>0.68</v>
      </c>
      <c r="P50" s="50">
        <f>VLOOKUP($A50,'Data shares'!$C:$FB,125)</f>
        <v>0.66</v>
      </c>
      <c r="Q50" s="50">
        <f>VLOOKUP($A50,'Data shares'!$C:$FB,127)*100</f>
        <v>3.0300000000000002</v>
      </c>
    </row>
    <row r="51" spans="1:17" x14ac:dyDescent="0.25">
      <c r="A51" s="97" t="str">
        <f>'Data Vlaue (Cr)'!C46</f>
        <v>CIPLA</v>
      </c>
      <c r="B51" s="140">
        <f>VLOOKUP($A51,'Data shares'!$C:$FB,7)</f>
        <v>1229.5</v>
      </c>
      <c r="C51" s="140">
        <f>VLOOKUP($A51,'Data shares'!$C:$FB,3)</f>
        <v>1230.0999999999999</v>
      </c>
      <c r="D51" s="140">
        <f>VLOOKUP($A51,'Data shares'!$C:$FB,4)</f>
        <v>1245.0999999999999</v>
      </c>
      <c r="E51" s="50">
        <f t="shared" si="0"/>
        <v>-1.2047225122480123</v>
      </c>
      <c r="F51" s="49">
        <f>VLOOKUP($A51,'Data shares'!$C:$FB,98)</f>
        <v>24539250</v>
      </c>
      <c r="G51" s="49">
        <f>VLOOKUP($A51,'Data shares'!$C:$FB,99)</f>
        <v>23799375</v>
      </c>
      <c r="H51" s="50">
        <f t="shared" si="1"/>
        <v>3.1088001260537306</v>
      </c>
      <c r="I51" s="49">
        <f>VLOOKUP($A51,'Data shares'!$C:$FB,66)</f>
        <v>10544250</v>
      </c>
      <c r="J51" s="49">
        <f>VLOOKUP($A51,'Data shares'!$C:$FB,67)</f>
        <v>9726375</v>
      </c>
      <c r="K51" s="50">
        <f t="shared" si="2"/>
        <v>7.7565971975247177</v>
      </c>
      <c r="L51" s="50">
        <f>VLOOKUP($A51,'Data shares'!$C:$FB,118)</f>
        <v>0.83</v>
      </c>
      <c r="M51" s="50">
        <f>VLOOKUP($A51,'Data shares'!$C:$FB,119)</f>
        <v>0.89</v>
      </c>
      <c r="N51" s="50">
        <f>VLOOKUP($A51,'Data shares'!$C:$FB,121)*100</f>
        <v>-6.74</v>
      </c>
      <c r="O51" s="50">
        <f>VLOOKUP($A51,'Data shares'!$C:$FB,124)</f>
        <v>0.32</v>
      </c>
      <c r="P51" s="50">
        <f>VLOOKUP($A51,'Data shares'!$C:$FB,125)</f>
        <v>0.37</v>
      </c>
      <c r="Q51" s="50">
        <f>VLOOKUP($A51,'Data shares'!$C:$FB,127)*100</f>
        <v>-13.51</v>
      </c>
    </row>
    <row r="52" spans="1:17" x14ac:dyDescent="0.25">
      <c r="A52" s="97" t="str">
        <f>'Data Vlaue (Cr)'!C47</f>
        <v>COALINDIA</v>
      </c>
      <c r="B52" s="140">
        <f>VLOOKUP($A52,'Data shares'!$C:$FB,7)</f>
        <v>441.75</v>
      </c>
      <c r="C52" s="140">
        <f>VLOOKUP($A52,'Data shares'!$C:$FB,3)</f>
        <v>442.35</v>
      </c>
      <c r="D52" s="140">
        <f>VLOOKUP($A52,'Data shares'!$C:$FB,4)</f>
        <v>439.55</v>
      </c>
      <c r="E52" s="50">
        <f t="shared" si="0"/>
        <v>0.63701512910931901</v>
      </c>
      <c r="F52" s="49">
        <f>VLOOKUP($A52,'Data shares'!$C:$FB,98)</f>
        <v>139598100</v>
      </c>
      <c r="G52" s="49">
        <f>VLOOKUP($A52,'Data shares'!$C:$FB,99)</f>
        <v>142797600</v>
      </c>
      <c r="H52" s="50">
        <f t="shared" si="1"/>
        <v>-2.24058387535925</v>
      </c>
      <c r="I52" s="49">
        <f>VLOOKUP($A52,'Data shares'!$C:$FB,66)</f>
        <v>83357100</v>
      </c>
      <c r="J52" s="49">
        <f>VLOOKUP($A52,'Data shares'!$C:$FB,67)</f>
        <v>95242500</v>
      </c>
      <c r="K52" s="50">
        <f t="shared" si="2"/>
        <v>-14.258413500469667</v>
      </c>
      <c r="L52" s="50">
        <f>VLOOKUP($A52,'Data shares'!$C:$FB,118)</f>
        <v>0.62</v>
      </c>
      <c r="M52" s="50">
        <f>VLOOKUP($A52,'Data shares'!$C:$FB,119)</f>
        <v>0.64</v>
      </c>
      <c r="N52" s="50">
        <f>VLOOKUP($A52,'Data shares'!$C:$FB,121)*100</f>
        <v>-3.1300000000000003</v>
      </c>
      <c r="O52" s="50">
        <f>VLOOKUP($A52,'Data shares'!$C:$FB,124)</f>
        <v>0.54</v>
      </c>
      <c r="P52" s="50">
        <f>VLOOKUP($A52,'Data shares'!$C:$FB,125)</f>
        <v>0.6</v>
      </c>
      <c r="Q52" s="50">
        <f>VLOOKUP($A52,'Data shares'!$C:$FB,127)*100</f>
        <v>-10</v>
      </c>
    </row>
    <row r="53" spans="1:17" x14ac:dyDescent="0.25">
      <c r="A53" s="97" t="str">
        <f>'Data Vlaue (Cr)'!C48</f>
        <v>COCHINSHIP</v>
      </c>
      <c r="B53" s="140">
        <f>VLOOKUP($A53,'Data shares'!$C:$FB,7)</f>
        <v>1544.9</v>
      </c>
      <c r="C53" s="140">
        <f>VLOOKUP($A53,'Data shares'!$C:$FB,3)</f>
        <v>1545.7</v>
      </c>
      <c r="D53" s="140">
        <f>VLOOKUP($A53,'Data shares'!$C:$FB,4)</f>
        <v>1566.2</v>
      </c>
      <c r="E53" s="50">
        <f t="shared" si="0"/>
        <v>-1.3089005235602094</v>
      </c>
      <c r="F53" s="49">
        <f>VLOOKUP($A53,'Data shares'!$C:$FB,98)</f>
        <v>4054400</v>
      </c>
      <c r="G53" s="49">
        <f>VLOOKUP($A53,'Data shares'!$C:$FB,99)</f>
        <v>3617600</v>
      </c>
      <c r="H53" s="50">
        <f t="shared" si="1"/>
        <v>12.074303405572756</v>
      </c>
      <c r="I53" s="49">
        <f>VLOOKUP($A53,'Data shares'!$C:$FB,66)</f>
        <v>4341200</v>
      </c>
      <c r="J53" s="49">
        <f>VLOOKUP($A53,'Data shares'!$C:$FB,67)</f>
        <v>12188800</v>
      </c>
      <c r="K53" s="50">
        <f t="shared" si="2"/>
        <v>-180.7702939279462</v>
      </c>
      <c r="L53" s="50">
        <f>VLOOKUP($A53,'Data shares'!$C:$FB,118)</f>
        <v>0.59</v>
      </c>
      <c r="M53" s="50">
        <f>VLOOKUP($A53,'Data shares'!$C:$FB,119)</f>
        <v>0.68</v>
      </c>
      <c r="N53" s="50">
        <f>VLOOKUP($A53,'Data shares'!$C:$FB,121)*100</f>
        <v>-13.239999999999998</v>
      </c>
      <c r="O53" s="50">
        <f>VLOOKUP($A53,'Data shares'!$C:$FB,124)</f>
        <v>0.31</v>
      </c>
      <c r="P53" s="50">
        <f>VLOOKUP($A53,'Data shares'!$C:$FB,125)</f>
        <v>0.19</v>
      </c>
      <c r="Q53" s="50">
        <f>VLOOKUP($A53,'Data shares'!$C:$FB,127)*100</f>
        <v>63.160000000000004</v>
      </c>
    </row>
    <row r="54" spans="1:17" x14ac:dyDescent="0.25">
      <c r="A54" s="97" t="str">
        <f>'Data Vlaue (Cr)'!C49</f>
        <v>COFORGE</v>
      </c>
      <c r="B54" s="140">
        <f>VLOOKUP($A54,'Data shares'!$C:$FB,7)</f>
        <v>1288.0999999999999</v>
      </c>
      <c r="C54" s="140">
        <f>VLOOKUP($A54,'Data shares'!$C:$FB,3)</f>
        <v>1284.7</v>
      </c>
      <c r="D54" s="140">
        <f>VLOOKUP($A54,'Data shares'!$C:$FB,4)</f>
        <v>1316.8</v>
      </c>
      <c r="E54" s="50">
        <f t="shared" si="0"/>
        <v>-2.43772782503037</v>
      </c>
      <c r="F54" s="49">
        <f>VLOOKUP($A54,'Data shares'!$C:$FB,98)</f>
        <v>30865500</v>
      </c>
      <c r="G54" s="49">
        <f>VLOOKUP($A54,'Data shares'!$C:$FB,99)</f>
        <v>30873000</v>
      </c>
      <c r="H54" s="50">
        <f t="shared" si="1"/>
        <v>-2.4293071615975124E-2</v>
      </c>
      <c r="I54" s="49">
        <f>VLOOKUP($A54,'Data shares'!$C:$FB,66)</f>
        <v>10797000</v>
      </c>
      <c r="J54" s="49">
        <f>VLOOKUP($A54,'Data shares'!$C:$FB,67)</f>
        <v>12450750</v>
      </c>
      <c r="K54" s="50">
        <f t="shared" si="2"/>
        <v>-15.316754654070575</v>
      </c>
      <c r="L54" s="50">
        <f>VLOOKUP($A54,'Data shares'!$C:$FB,118)</f>
        <v>0.62</v>
      </c>
      <c r="M54" s="50">
        <f>VLOOKUP($A54,'Data shares'!$C:$FB,119)</f>
        <v>0.65</v>
      </c>
      <c r="N54" s="50">
        <f>VLOOKUP($A54,'Data shares'!$C:$FB,121)*100</f>
        <v>-4.62</v>
      </c>
      <c r="O54" s="50">
        <f>VLOOKUP($A54,'Data shares'!$C:$FB,124)</f>
        <v>0.57999999999999996</v>
      </c>
      <c r="P54" s="50">
        <f>VLOOKUP($A54,'Data shares'!$C:$FB,125)</f>
        <v>0.55000000000000004</v>
      </c>
      <c r="Q54" s="50">
        <f>VLOOKUP($A54,'Data shares'!$C:$FB,127)*100</f>
        <v>5.45</v>
      </c>
    </row>
    <row r="55" spans="1:17" x14ac:dyDescent="0.25">
      <c r="A55" s="97" t="str">
        <f>'Data Vlaue (Cr)'!C50</f>
        <v>COLPAL</v>
      </c>
      <c r="B55" s="140">
        <f>VLOOKUP($A55,'Data shares'!$C:$FB,7)</f>
        <v>2129</v>
      </c>
      <c r="C55" s="140">
        <f>VLOOKUP($A55,'Data shares'!$C:$FB,3)</f>
        <v>2122.6</v>
      </c>
      <c r="D55" s="140">
        <f>VLOOKUP($A55,'Data shares'!$C:$FB,4)</f>
        <v>2109.1999999999998</v>
      </c>
      <c r="E55" s="50">
        <f t="shared" si="0"/>
        <v>0.6353119666224204</v>
      </c>
      <c r="F55" s="49">
        <f>VLOOKUP($A55,'Data shares'!$C:$FB,98)</f>
        <v>9892800</v>
      </c>
      <c r="G55" s="49">
        <f>VLOOKUP($A55,'Data shares'!$C:$FB,99)</f>
        <v>10500075</v>
      </c>
      <c r="H55" s="50">
        <f t="shared" si="1"/>
        <v>-5.7835301176420169</v>
      </c>
      <c r="I55" s="49">
        <f>VLOOKUP($A55,'Data shares'!$C:$FB,66)</f>
        <v>7849575</v>
      </c>
      <c r="J55" s="49">
        <f>VLOOKUP($A55,'Data shares'!$C:$FB,67)</f>
        <v>41450850</v>
      </c>
      <c r="K55" s="50">
        <f t="shared" si="2"/>
        <v>-428.06489523318146</v>
      </c>
      <c r="L55" s="50">
        <f>VLOOKUP($A55,'Data shares'!$C:$FB,118)</f>
        <v>0.77</v>
      </c>
      <c r="M55" s="50">
        <f>VLOOKUP($A55,'Data shares'!$C:$FB,119)</f>
        <v>0.73</v>
      </c>
      <c r="N55" s="50">
        <f>VLOOKUP($A55,'Data shares'!$C:$FB,121)*100</f>
        <v>5.48</v>
      </c>
      <c r="O55" s="50">
        <f>VLOOKUP($A55,'Data shares'!$C:$FB,124)</f>
        <v>0.42</v>
      </c>
      <c r="P55" s="50">
        <f>VLOOKUP($A55,'Data shares'!$C:$FB,125)</f>
        <v>0.38</v>
      </c>
      <c r="Q55" s="50">
        <f>VLOOKUP($A55,'Data shares'!$C:$FB,127)*100</f>
        <v>10.530000000000001</v>
      </c>
    </row>
    <row r="56" spans="1:17" x14ac:dyDescent="0.25">
      <c r="A56" s="97" t="str">
        <f>'Data Vlaue (Cr)'!C51</f>
        <v>CONCOR</v>
      </c>
      <c r="B56" s="140">
        <f>VLOOKUP($A56,'Data shares'!$C:$FB,7)</f>
        <v>501.05</v>
      </c>
      <c r="C56" s="140">
        <f>VLOOKUP($A56,'Data shares'!$C:$FB,3)</f>
        <v>501.95</v>
      </c>
      <c r="D56" s="140">
        <f>VLOOKUP($A56,'Data shares'!$C:$FB,4)</f>
        <v>504.5</v>
      </c>
      <c r="E56" s="50">
        <f t="shared" si="0"/>
        <v>-0.50545094152626591</v>
      </c>
      <c r="F56" s="49">
        <f>VLOOKUP($A56,'Data shares'!$C:$FB,98)</f>
        <v>36837500</v>
      </c>
      <c r="G56" s="49">
        <f>VLOOKUP($A56,'Data shares'!$C:$FB,99)</f>
        <v>37010000</v>
      </c>
      <c r="H56" s="50">
        <f t="shared" si="1"/>
        <v>-0.46609024587949199</v>
      </c>
      <c r="I56" s="49">
        <f>VLOOKUP($A56,'Data shares'!$C:$FB,66)</f>
        <v>10245000</v>
      </c>
      <c r="J56" s="49">
        <f>VLOOKUP($A56,'Data shares'!$C:$FB,67)</f>
        <v>14356250</v>
      </c>
      <c r="K56" s="50">
        <f t="shared" si="2"/>
        <v>-40.129331381161542</v>
      </c>
      <c r="L56" s="50">
        <f>VLOOKUP($A56,'Data shares'!$C:$FB,118)</f>
        <v>0.8</v>
      </c>
      <c r="M56" s="50">
        <f>VLOOKUP($A56,'Data shares'!$C:$FB,119)</f>
        <v>0.81</v>
      </c>
      <c r="N56" s="50">
        <f>VLOOKUP($A56,'Data shares'!$C:$FB,121)*100</f>
        <v>-1.23</v>
      </c>
      <c r="O56" s="50">
        <f>VLOOKUP($A56,'Data shares'!$C:$FB,124)</f>
        <v>0.39</v>
      </c>
      <c r="P56" s="50">
        <f>VLOOKUP($A56,'Data shares'!$C:$FB,125)</f>
        <v>0.41</v>
      </c>
      <c r="Q56" s="50">
        <f>VLOOKUP($A56,'Data shares'!$C:$FB,127)*100</f>
        <v>-4.88</v>
      </c>
    </row>
    <row r="57" spans="1:17" x14ac:dyDescent="0.25">
      <c r="A57" s="97" t="str">
        <f>'Data Vlaue (Cr)'!C52</f>
        <v>CROMPTON</v>
      </c>
      <c r="B57" s="140">
        <f>VLOOKUP($A57,'Data shares'!$C:$FB,7)</f>
        <v>261.22000000000003</v>
      </c>
      <c r="C57" s="140">
        <f>VLOOKUP($A57,'Data shares'!$C:$FB,3)</f>
        <v>260.98</v>
      </c>
      <c r="D57" s="140">
        <f>VLOOKUP($A57,'Data shares'!$C:$FB,4)</f>
        <v>261.39</v>
      </c>
      <c r="E57" s="50">
        <f t="shared" si="0"/>
        <v>-0.15685374344847478</v>
      </c>
      <c r="F57" s="49">
        <f>VLOOKUP($A57,'Data shares'!$C:$FB,98)</f>
        <v>65723400</v>
      </c>
      <c r="G57" s="49">
        <f>VLOOKUP($A57,'Data shares'!$C:$FB,99)</f>
        <v>65597400</v>
      </c>
      <c r="H57" s="50">
        <f t="shared" si="1"/>
        <v>0.19208078368959744</v>
      </c>
      <c r="I57" s="49">
        <f>VLOOKUP($A57,'Data shares'!$C:$FB,66)</f>
        <v>21627000</v>
      </c>
      <c r="J57" s="49">
        <f>VLOOKUP($A57,'Data shares'!$C:$FB,67)</f>
        <v>30367800</v>
      </c>
      <c r="K57" s="50">
        <f t="shared" si="2"/>
        <v>-40.416146483562216</v>
      </c>
      <c r="L57" s="50">
        <f>VLOOKUP($A57,'Data shares'!$C:$FB,118)</f>
        <v>0.67</v>
      </c>
      <c r="M57" s="50">
        <f>VLOOKUP($A57,'Data shares'!$C:$FB,119)</f>
        <v>0.7</v>
      </c>
      <c r="N57" s="50">
        <f>VLOOKUP($A57,'Data shares'!$C:$FB,121)*100</f>
        <v>-4.29</v>
      </c>
      <c r="O57" s="50">
        <f>VLOOKUP($A57,'Data shares'!$C:$FB,124)</f>
        <v>0.28999999999999998</v>
      </c>
      <c r="P57" s="50">
        <f>VLOOKUP($A57,'Data shares'!$C:$FB,125)</f>
        <v>0.44</v>
      </c>
      <c r="Q57" s="50">
        <f>VLOOKUP($A57,'Data shares'!$C:$FB,127)*100</f>
        <v>-34.089999999999996</v>
      </c>
    </row>
    <row r="58" spans="1:17" x14ac:dyDescent="0.25">
      <c r="A58" s="97" t="str">
        <f>'Data Vlaue (Cr)'!C53</f>
        <v>CUMMINSIND</v>
      </c>
      <c r="B58" s="140">
        <f>VLOOKUP($A58,'Data shares'!$C:$FB,7)</f>
        <v>5200.3</v>
      </c>
      <c r="C58" s="140">
        <f>VLOOKUP($A58,'Data shares'!$C:$FB,3)</f>
        <v>5196</v>
      </c>
      <c r="D58" s="140">
        <f>VLOOKUP($A58,'Data shares'!$C:$FB,4)</f>
        <v>5151.7</v>
      </c>
      <c r="E58" s="50">
        <f t="shared" si="0"/>
        <v>0.85991032086496078</v>
      </c>
      <c r="F58" s="49">
        <f>VLOOKUP($A58,'Data shares'!$C:$FB,98)</f>
        <v>6324600</v>
      </c>
      <c r="G58" s="49">
        <f>VLOOKUP($A58,'Data shares'!$C:$FB,99)</f>
        <v>6232600</v>
      </c>
      <c r="H58" s="50">
        <f t="shared" si="1"/>
        <v>1.476109488816866</v>
      </c>
      <c r="I58" s="49">
        <f>VLOOKUP($A58,'Data shares'!$C:$FB,66)</f>
        <v>6529800</v>
      </c>
      <c r="J58" s="49">
        <f>VLOOKUP($A58,'Data shares'!$C:$FB,67)</f>
        <v>7538400</v>
      </c>
      <c r="K58" s="50">
        <f t="shared" si="2"/>
        <v>-15.446108609758339</v>
      </c>
      <c r="L58" s="50">
        <f>VLOOKUP($A58,'Data shares'!$C:$FB,118)</f>
        <v>0.67</v>
      </c>
      <c r="M58" s="50">
        <f>VLOOKUP($A58,'Data shares'!$C:$FB,119)</f>
        <v>0.69</v>
      </c>
      <c r="N58" s="50">
        <f>VLOOKUP($A58,'Data shares'!$C:$FB,121)*100</f>
        <v>-2.9000000000000004</v>
      </c>
      <c r="O58" s="50">
        <f>VLOOKUP($A58,'Data shares'!$C:$FB,124)</f>
        <v>0.52</v>
      </c>
      <c r="P58" s="50">
        <f>VLOOKUP($A58,'Data shares'!$C:$FB,125)</f>
        <v>0.27</v>
      </c>
      <c r="Q58" s="50">
        <f>VLOOKUP($A58,'Data shares'!$C:$FB,127)*100</f>
        <v>92.589999999999989</v>
      </c>
    </row>
    <row r="59" spans="1:17" x14ac:dyDescent="0.25">
      <c r="A59" s="97" t="str">
        <f>'Data Vlaue (Cr)'!C54</f>
        <v>DABUR</v>
      </c>
      <c r="B59" s="140">
        <f>VLOOKUP($A59,'Data shares'!$C:$FB,7)</f>
        <v>441.7</v>
      </c>
      <c r="C59" s="140">
        <f>VLOOKUP($A59,'Data shares'!$C:$FB,3)</f>
        <v>441.8</v>
      </c>
      <c r="D59" s="140">
        <f>VLOOKUP($A59,'Data shares'!$C:$FB,4)</f>
        <v>442.75</v>
      </c>
      <c r="E59" s="50">
        <f t="shared" si="0"/>
        <v>-0.2145680406549946</v>
      </c>
      <c r="F59" s="49">
        <f>VLOOKUP($A59,'Data shares'!$C:$FB,98)</f>
        <v>49636250</v>
      </c>
      <c r="G59" s="49">
        <f>VLOOKUP($A59,'Data shares'!$C:$FB,99)</f>
        <v>50657500</v>
      </c>
      <c r="H59" s="50">
        <f t="shared" si="1"/>
        <v>-2.0159897349849478</v>
      </c>
      <c r="I59" s="49">
        <f>VLOOKUP($A59,'Data shares'!$C:$FB,66)</f>
        <v>24085000</v>
      </c>
      <c r="J59" s="49">
        <f>VLOOKUP($A59,'Data shares'!$C:$FB,67)</f>
        <v>58455000</v>
      </c>
      <c r="K59" s="50">
        <f t="shared" si="2"/>
        <v>-142.70292713307038</v>
      </c>
      <c r="L59" s="50">
        <f>VLOOKUP($A59,'Data shares'!$C:$FB,118)</f>
        <v>0.59</v>
      </c>
      <c r="M59" s="50">
        <f>VLOOKUP($A59,'Data shares'!$C:$FB,119)</f>
        <v>0.64</v>
      </c>
      <c r="N59" s="50">
        <f>VLOOKUP($A59,'Data shares'!$C:$FB,121)*100</f>
        <v>-7.8100000000000005</v>
      </c>
      <c r="O59" s="50">
        <f>VLOOKUP($A59,'Data shares'!$C:$FB,124)</f>
        <v>0.31</v>
      </c>
      <c r="P59" s="50">
        <f>VLOOKUP($A59,'Data shares'!$C:$FB,125)</f>
        <v>0.3</v>
      </c>
      <c r="Q59" s="50">
        <f>VLOOKUP($A59,'Data shares'!$C:$FB,127)*100</f>
        <v>3.3300000000000005</v>
      </c>
    </row>
    <row r="60" spans="1:17" x14ac:dyDescent="0.25">
      <c r="A60" s="97" t="str">
        <f>'Data Vlaue (Cr)'!C55</f>
        <v>DALBHARAT</v>
      </c>
      <c r="B60" s="140">
        <f>VLOOKUP($A60,'Data shares'!$C:$FB,7)</f>
        <v>1981.8</v>
      </c>
      <c r="C60" s="140">
        <f>VLOOKUP($A60,'Data shares'!$C:$FB,3)</f>
        <v>1982.2</v>
      </c>
      <c r="D60" s="140">
        <f>VLOOKUP($A60,'Data shares'!$C:$FB,4)</f>
        <v>1978.1</v>
      </c>
      <c r="E60" s="50">
        <f t="shared" si="0"/>
        <v>0.20726960214347789</v>
      </c>
      <c r="F60" s="49">
        <f>VLOOKUP($A60,'Data shares'!$C:$FB,98)</f>
        <v>4668950</v>
      </c>
      <c r="G60" s="49">
        <f>VLOOKUP($A60,'Data shares'!$C:$FB,99)</f>
        <v>4595825</v>
      </c>
      <c r="H60" s="50">
        <f t="shared" si="1"/>
        <v>1.5911180255993209</v>
      </c>
      <c r="I60" s="49">
        <f>VLOOKUP($A60,'Data shares'!$C:$FB,66)</f>
        <v>1645475</v>
      </c>
      <c r="J60" s="49">
        <f>VLOOKUP($A60,'Data shares'!$C:$FB,67)</f>
        <v>1954225</v>
      </c>
      <c r="K60" s="50">
        <f t="shared" si="2"/>
        <v>-18.763578905787082</v>
      </c>
      <c r="L60" s="50">
        <f>VLOOKUP($A60,'Data shares'!$C:$FB,118)</f>
        <v>0.91</v>
      </c>
      <c r="M60" s="50">
        <f>VLOOKUP($A60,'Data shares'!$C:$FB,119)</f>
        <v>0.99</v>
      </c>
      <c r="N60" s="50">
        <f>VLOOKUP($A60,'Data shares'!$C:$FB,121)*100</f>
        <v>-8.08</v>
      </c>
      <c r="O60" s="50">
        <f>VLOOKUP($A60,'Data shares'!$C:$FB,124)</f>
        <v>0.32</v>
      </c>
      <c r="P60" s="50">
        <f>VLOOKUP($A60,'Data shares'!$C:$FB,125)</f>
        <v>0.44</v>
      </c>
      <c r="Q60" s="50">
        <f>VLOOKUP($A60,'Data shares'!$C:$FB,127)*100</f>
        <v>-27.27</v>
      </c>
    </row>
    <row r="61" spans="1:17" x14ac:dyDescent="0.25">
      <c r="A61" s="97" t="str">
        <f>'Data Vlaue (Cr)'!C56</f>
        <v>DELHIVERY</v>
      </c>
      <c r="B61" s="140">
        <f>VLOOKUP($A61,'Data shares'!$C:$FB,7)</f>
        <v>464.5</v>
      </c>
      <c r="C61" s="140">
        <f>VLOOKUP($A61,'Data shares'!$C:$FB,3)</f>
        <v>464.8</v>
      </c>
      <c r="D61" s="140">
        <f>VLOOKUP($A61,'Data shares'!$C:$FB,4)</f>
        <v>464.5</v>
      </c>
      <c r="E61" s="50">
        <f t="shared" si="0"/>
        <v>6.4585575888054123E-2</v>
      </c>
      <c r="F61" s="49">
        <f>VLOOKUP($A61,'Data shares'!$C:$FB,98)</f>
        <v>50019950</v>
      </c>
      <c r="G61" s="49">
        <f>VLOOKUP($A61,'Data shares'!$C:$FB,99)</f>
        <v>51775400</v>
      </c>
      <c r="H61" s="50">
        <f t="shared" si="1"/>
        <v>-3.3905097787752485</v>
      </c>
      <c r="I61" s="49">
        <f>VLOOKUP($A61,'Data shares'!$C:$FB,66)</f>
        <v>47901375</v>
      </c>
      <c r="J61" s="49">
        <f>VLOOKUP($A61,'Data shares'!$C:$FB,67)</f>
        <v>45093900</v>
      </c>
      <c r="K61" s="50">
        <f t="shared" si="2"/>
        <v>5.8609486679662117</v>
      </c>
      <c r="L61" s="50">
        <f>VLOOKUP($A61,'Data shares'!$C:$FB,118)</f>
        <v>0.4</v>
      </c>
      <c r="M61" s="50">
        <f>VLOOKUP($A61,'Data shares'!$C:$FB,119)</f>
        <v>0.39</v>
      </c>
      <c r="N61" s="50">
        <f>VLOOKUP($A61,'Data shares'!$C:$FB,121)*100</f>
        <v>2.56</v>
      </c>
      <c r="O61" s="50">
        <f>VLOOKUP($A61,'Data shares'!$C:$FB,124)</f>
        <v>0.21</v>
      </c>
      <c r="P61" s="50">
        <f>VLOOKUP($A61,'Data shares'!$C:$FB,125)</f>
        <v>0.22</v>
      </c>
      <c r="Q61" s="50">
        <f>VLOOKUP($A61,'Data shares'!$C:$FB,127)*100</f>
        <v>-4.55</v>
      </c>
    </row>
    <row r="62" spans="1:17" x14ac:dyDescent="0.25">
      <c r="A62" s="97" t="str">
        <f>'Data Vlaue (Cr)'!C57</f>
        <v>DIVISLAB</v>
      </c>
      <c r="B62" s="140">
        <f>VLOOKUP($A62,'Data shares'!$C:$FB,7)</f>
        <v>6280</v>
      </c>
      <c r="C62" s="140">
        <f>VLOOKUP($A62,'Data shares'!$C:$FB,3)</f>
        <v>6274.5</v>
      </c>
      <c r="D62" s="140">
        <f>VLOOKUP($A62,'Data shares'!$C:$FB,4)</f>
        <v>6238</v>
      </c>
      <c r="E62" s="50">
        <f t="shared" si="0"/>
        <v>0.58512343699903813</v>
      </c>
      <c r="F62" s="49">
        <f>VLOOKUP($A62,'Data shares'!$C:$FB,98)</f>
        <v>4284500</v>
      </c>
      <c r="G62" s="49">
        <f>VLOOKUP($A62,'Data shares'!$C:$FB,99)</f>
        <v>4199800</v>
      </c>
      <c r="H62" s="50">
        <f t="shared" si="1"/>
        <v>2.0167627029858566</v>
      </c>
      <c r="I62" s="49">
        <f>VLOOKUP($A62,'Data shares'!$C:$FB,66)</f>
        <v>1876900</v>
      </c>
      <c r="J62" s="49">
        <f>VLOOKUP($A62,'Data shares'!$C:$FB,67)</f>
        <v>1821300</v>
      </c>
      <c r="K62" s="50">
        <f t="shared" si="2"/>
        <v>2.9623315040758698</v>
      </c>
      <c r="L62" s="50">
        <f>VLOOKUP($A62,'Data shares'!$C:$FB,118)</f>
        <v>1.01</v>
      </c>
      <c r="M62" s="50">
        <f>VLOOKUP($A62,'Data shares'!$C:$FB,119)</f>
        <v>1.05</v>
      </c>
      <c r="N62" s="50">
        <f>VLOOKUP($A62,'Data shares'!$C:$FB,121)*100</f>
        <v>-3.81</v>
      </c>
      <c r="O62" s="50">
        <f>VLOOKUP($A62,'Data shares'!$C:$FB,124)</f>
        <v>0.36</v>
      </c>
      <c r="P62" s="50">
        <f>VLOOKUP($A62,'Data shares'!$C:$FB,125)</f>
        <v>0.56999999999999995</v>
      </c>
      <c r="Q62" s="50">
        <f>VLOOKUP($A62,'Data shares'!$C:$FB,127)*100</f>
        <v>-36.840000000000003</v>
      </c>
    </row>
    <row r="63" spans="1:17" x14ac:dyDescent="0.25">
      <c r="A63" s="97" t="str">
        <f>'Data Vlaue (Cr)'!C58</f>
        <v>DIXON</v>
      </c>
      <c r="B63" s="140">
        <f>VLOOKUP($A63,'Data shares'!$C:$FB,7)</f>
        <v>11211</v>
      </c>
      <c r="C63" s="140">
        <f>VLOOKUP($A63,'Data shares'!$C:$FB,3)</f>
        <v>11195.5</v>
      </c>
      <c r="D63" s="140">
        <f>VLOOKUP($A63,'Data shares'!$C:$FB,4)</f>
        <v>11377.5</v>
      </c>
      <c r="E63" s="50">
        <f t="shared" si="0"/>
        <v>-1.5996484289167217</v>
      </c>
      <c r="F63" s="49">
        <f>VLOOKUP($A63,'Data shares'!$C:$FB,98)</f>
        <v>6737600</v>
      </c>
      <c r="G63" s="49">
        <f>VLOOKUP($A63,'Data shares'!$C:$FB,99)</f>
        <v>6749450</v>
      </c>
      <c r="H63" s="50">
        <f t="shared" si="1"/>
        <v>-0.17556986124795354</v>
      </c>
      <c r="I63" s="49">
        <f>VLOOKUP($A63,'Data shares'!$C:$FB,66)</f>
        <v>5367300</v>
      </c>
      <c r="J63" s="49">
        <f>VLOOKUP($A63,'Data shares'!$C:$FB,67)</f>
        <v>6342150</v>
      </c>
      <c r="K63" s="50">
        <f t="shared" si="2"/>
        <v>-18.162763400592478</v>
      </c>
      <c r="L63" s="50">
        <f>VLOOKUP($A63,'Data shares'!$C:$FB,118)</f>
        <v>0.71</v>
      </c>
      <c r="M63" s="50">
        <f>VLOOKUP($A63,'Data shares'!$C:$FB,119)</f>
        <v>0.74</v>
      </c>
      <c r="N63" s="50">
        <f>VLOOKUP($A63,'Data shares'!$C:$FB,121)*100</f>
        <v>-4.05</v>
      </c>
      <c r="O63" s="50">
        <f>VLOOKUP($A63,'Data shares'!$C:$FB,124)</f>
        <v>0.67</v>
      </c>
      <c r="P63" s="50">
        <f>VLOOKUP($A63,'Data shares'!$C:$FB,125)</f>
        <v>0.56000000000000005</v>
      </c>
      <c r="Q63" s="50">
        <f>VLOOKUP($A63,'Data shares'!$C:$FB,127)*100</f>
        <v>19.64</v>
      </c>
    </row>
    <row r="64" spans="1:17" x14ac:dyDescent="0.25">
      <c r="A64" s="97" t="str">
        <f>'Data Vlaue (Cr)'!C59</f>
        <v>DLF</v>
      </c>
      <c r="B64" s="140">
        <f>VLOOKUP($A64,'Data shares'!$C:$FB,7)</f>
        <v>596.4</v>
      </c>
      <c r="C64" s="140">
        <f>VLOOKUP($A64,'Data shares'!$C:$FB,3)</f>
        <v>595.54999999999995</v>
      </c>
      <c r="D64" s="140">
        <f>VLOOKUP($A64,'Data shares'!$C:$FB,4)</f>
        <v>601.54999999999995</v>
      </c>
      <c r="E64" s="50">
        <f t="shared" si="0"/>
        <v>-0.99742332308203807</v>
      </c>
      <c r="F64" s="49">
        <f>VLOOKUP($A64,'Data shares'!$C:$FB,98)</f>
        <v>72867300</v>
      </c>
      <c r="G64" s="49">
        <f>VLOOKUP($A64,'Data shares'!$C:$FB,99)</f>
        <v>73074375</v>
      </c>
      <c r="H64" s="50">
        <f t="shared" si="1"/>
        <v>-0.28337567033587358</v>
      </c>
      <c r="I64" s="49">
        <f>VLOOKUP($A64,'Data shares'!$C:$FB,66)</f>
        <v>20881575</v>
      </c>
      <c r="J64" s="49">
        <f>VLOOKUP($A64,'Data shares'!$C:$FB,67)</f>
        <v>41220300</v>
      </c>
      <c r="K64" s="50">
        <f t="shared" si="2"/>
        <v>-97.400339773221134</v>
      </c>
      <c r="L64" s="50">
        <f>VLOOKUP($A64,'Data shares'!$C:$FB,118)</f>
        <v>1.06</v>
      </c>
      <c r="M64" s="50">
        <f>VLOOKUP($A64,'Data shares'!$C:$FB,119)</f>
        <v>1.08</v>
      </c>
      <c r="N64" s="50">
        <f>VLOOKUP($A64,'Data shares'!$C:$FB,121)*100</f>
        <v>-1.8499999999999999</v>
      </c>
      <c r="O64" s="50">
        <f>VLOOKUP($A64,'Data shares'!$C:$FB,124)</f>
        <v>0.67</v>
      </c>
      <c r="P64" s="50">
        <f>VLOOKUP($A64,'Data shares'!$C:$FB,125)</f>
        <v>0.84</v>
      </c>
      <c r="Q64" s="50">
        <f>VLOOKUP($A64,'Data shares'!$C:$FB,127)*100</f>
        <v>-20.239999999999998</v>
      </c>
    </row>
    <row r="65" spans="1:17" x14ac:dyDescent="0.25">
      <c r="A65" s="97" t="str">
        <f>'Data Vlaue (Cr)'!C60</f>
        <v>DMART</v>
      </c>
      <c r="B65" s="140">
        <f>VLOOKUP($A65,'Data shares'!$C:$FB,7)</f>
        <v>4605.2</v>
      </c>
      <c r="C65" s="140">
        <f>VLOOKUP($A65,'Data shares'!$C:$FB,3)</f>
        <v>4607.8</v>
      </c>
      <c r="D65" s="140">
        <f>VLOOKUP($A65,'Data shares'!$C:$FB,4)</f>
        <v>4644.8999999999996</v>
      </c>
      <c r="E65" s="50">
        <f t="shared" si="0"/>
        <v>-0.7987254838640111</v>
      </c>
      <c r="F65" s="49">
        <f>VLOOKUP($A65,'Data shares'!$C:$FB,98)</f>
        <v>7750500</v>
      </c>
      <c r="G65" s="49">
        <f>VLOOKUP($A65,'Data shares'!$C:$FB,99)</f>
        <v>7862550</v>
      </c>
      <c r="H65" s="50">
        <f t="shared" si="1"/>
        <v>-1.4251101741801324</v>
      </c>
      <c r="I65" s="49">
        <f>VLOOKUP($A65,'Data shares'!$C:$FB,66)</f>
        <v>5050350</v>
      </c>
      <c r="J65" s="49">
        <f>VLOOKUP($A65,'Data shares'!$C:$FB,67)</f>
        <v>15516450</v>
      </c>
      <c r="K65" s="50">
        <f t="shared" si="2"/>
        <v>-207.23514211886305</v>
      </c>
      <c r="L65" s="50">
        <f>VLOOKUP($A65,'Data shares'!$C:$FB,118)</f>
        <v>0.94</v>
      </c>
      <c r="M65" s="50">
        <f>VLOOKUP($A65,'Data shares'!$C:$FB,119)</f>
        <v>0.96</v>
      </c>
      <c r="N65" s="50">
        <f>VLOOKUP($A65,'Data shares'!$C:$FB,121)*100</f>
        <v>-2.08</v>
      </c>
      <c r="O65" s="50">
        <f>VLOOKUP($A65,'Data shares'!$C:$FB,124)</f>
        <v>0.81</v>
      </c>
      <c r="P65" s="50">
        <f>VLOOKUP($A65,'Data shares'!$C:$FB,125)</f>
        <v>0.45</v>
      </c>
      <c r="Q65" s="50">
        <f>VLOOKUP($A65,'Data shares'!$C:$FB,127)*100</f>
        <v>80</v>
      </c>
    </row>
    <row r="66" spans="1:17" x14ac:dyDescent="0.25">
      <c r="A66" s="97" t="str">
        <f>'Data Vlaue (Cr)'!C61</f>
        <v>DRREDDY</v>
      </c>
      <c r="B66" s="140">
        <f>VLOOKUP($A66,'Data shares'!$C:$FB,7)</f>
        <v>1232.5999999999999</v>
      </c>
      <c r="C66" s="140">
        <f>VLOOKUP($A66,'Data shares'!$C:$FB,3)</f>
        <v>1224.0999999999999</v>
      </c>
      <c r="D66" s="140">
        <f>VLOOKUP($A66,'Data shares'!$C:$FB,4)</f>
        <v>1231.8</v>
      </c>
      <c r="E66" s="50">
        <f t="shared" si="0"/>
        <v>-0.62510147751258693</v>
      </c>
      <c r="F66" s="49">
        <f>VLOOKUP($A66,'Data shares'!$C:$FB,98)</f>
        <v>26352500</v>
      </c>
      <c r="G66" s="49">
        <f>VLOOKUP($A66,'Data shares'!$C:$FB,99)</f>
        <v>26233125</v>
      </c>
      <c r="H66" s="50">
        <f t="shared" si="1"/>
        <v>0.45505443975889265</v>
      </c>
      <c r="I66" s="49">
        <f>VLOOKUP($A66,'Data shares'!$C:$FB,66)</f>
        <v>11824375</v>
      </c>
      <c r="J66" s="49">
        <f>VLOOKUP($A66,'Data shares'!$C:$FB,67)</f>
        <v>15924375</v>
      </c>
      <c r="K66" s="50">
        <f t="shared" si="2"/>
        <v>-34.674137110840952</v>
      </c>
      <c r="L66" s="50">
        <f>VLOOKUP($A66,'Data shares'!$C:$FB,118)</f>
        <v>0.7</v>
      </c>
      <c r="M66" s="50">
        <f>VLOOKUP($A66,'Data shares'!$C:$FB,119)</f>
        <v>0.71</v>
      </c>
      <c r="N66" s="50">
        <f>VLOOKUP($A66,'Data shares'!$C:$FB,121)*100</f>
        <v>-1.41</v>
      </c>
      <c r="O66" s="50">
        <f>VLOOKUP($A66,'Data shares'!$C:$FB,124)</f>
        <v>0.46</v>
      </c>
      <c r="P66" s="50">
        <f>VLOOKUP($A66,'Data shares'!$C:$FB,125)</f>
        <v>0.42</v>
      </c>
      <c r="Q66" s="50">
        <f>VLOOKUP($A66,'Data shares'!$C:$FB,127)*100</f>
        <v>9.5200000000000014</v>
      </c>
    </row>
    <row r="67" spans="1:17" x14ac:dyDescent="0.25">
      <c r="A67" s="97" t="str">
        <f>'Data Vlaue (Cr)'!C62</f>
        <v>EICHERMOT</v>
      </c>
      <c r="B67" s="140">
        <f>VLOOKUP($A67,'Data shares'!$C:$FB,7)</f>
        <v>7243</v>
      </c>
      <c r="C67" s="140">
        <f>VLOOKUP($A67,'Data shares'!$C:$FB,3)</f>
        <v>7233</v>
      </c>
      <c r="D67" s="140">
        <f>VLOOKUP($A67,'Data shares'!$C:$FB,4)</f>
        <v>7189.5</v>
      </c>
      <c r="E67" s="50">
        <f t="shared" si="0"/>
        <v>0.60504902983517628</v>
      </c>
      <c r="F67" s="49">
        <f>VLOOKUP($A67,'Data shares'!$C:$FB,98)</f>
        <v>8014600</v>
      </c>
      <c r="G67" s="49">
        <f>VLOOKUP($A67,'Data shares'!$C:$FB,99)</f>
        <v>8195200</v>
      </c>
      <c r="H67" s="50">
        <f t="shared" si="1"/>
        <v>-2.2037290121046467</v>
      </c>
      <c r="I67" s="49">
        <f>VLOOKUP($A67,'Data shares'!$C:$FB,66)</f>
        <v>5190300</v>
      </c>
      <c r="J67" s="49">
        <f>VLOOKUP($A67,'Data shares'!$C:$FB,67)</f>
        <v>4867500</v>
      </c>
      <c r="K67" s="50">
        <f t="shared" si="2"/>
        <v>6.2192936824461009</v>
      </c>
      <c r="L67" s="50">
        <f>VLOOKUP($A67,'Data shares'!$C:$FB,118)</f>
        <v>0.77</v>
      </c>
      <c r="M67" s="50">
        <f>VLOOKUP($A67,'Data shares'!$C:$FB,119)</f>
        <v>0.68</v>
      </c>
      <c r="N67" s="50">
        <f>VLOOKUP($A67,'Data shares'!$C:$FB,121)*100</f>
        <v>13.239999999999998</v>
      </c>
      <c r="O67" s="50">
        <f>VLOOKUP($A67,'Data shares'!$C:$FB,124)</f>
        <v>0.34</v>
      </c>
      <c r="P67" s="50">
        <f>VLOOKUP($A67,'Data shares'!$C:$FB,125)</f>
        <v>0.34</v>
      </c>
      <c r="Q67" s="50">
        <f>VLOOKUP($A67,'Data shares'!$C:$FB,127)*100</f>
        <v>0</v>
      </c>
    </row>
    <row r="68" spans="1:17" x14ac:dyDescent="0.25">
      <c r="A68" s="97" t="str">
        <f>'Data Vlaue (Cr)'!C63</f>
        <v>ETERNAL</v>
      </c>
      <c r="B68" s="140">
        <f>VLOOKUP($A68,'Data shares'!$C:$FB,7)</f>
        <v>254.88</v>
      </c>
      <c r="C68" s="140">
        <f>VLOOKUP($A68,'Data shares'!$C:$FB,3)</f>
        <v>254.72</v>
      </c>
      <c r="D68" s="140">
        <f>VLOOKUP($A68,'Data shares'!$C:$FB,4)</f>
        <v>252.59</v>
      </c>
      <c r="E68" s="50">
        <f t="shared" si="0"/>
        <v>0.84326378716496919</v>
      </c>
      <c r="F68" s="49">
        <f>VLOOKUP($A68,'Data shares'!$C:$FB,98)</f>
        <v>306798875</v>
      </c>
      <c r="G68" s="49">
        <f>VLOOKUP($A68,'Data shares'!$C:$FB,99)</f>
        <v>310545500</v>
      </c>
      <c r="H68" s="50">
        <f t="shared" si="1"/>
        <v>-1.2064657191941279</v>
      </c>
      <c r="I68" s="49">
        <f>VLOOKUP($A68,'Data shares'!$C:$FB,66)</f>
        <v>163512900</v>
      </c>
      <c r="J68" s="49">
        <f>VLOOKUP($A68,'Data shares'!$C:$FB,67)</f>
        <v>164007600</v>
      </c>
      <c r="K68" s="50">
        <f t="shared" si="2"/>
        <v>-0.30254493682149847</v>
      </c>
      <c r="L68" s="50">
        <f>VLOOKUP($A68,'Data shares'!$C:$FB,118)</f>
        <v>0.8</v>
      </c>
      <c r="M68" s="50">
        <f>VLOOKUP($A68,'Data shares'!$C:$FB,119)</f>
        <v>0.78</v>
      </c>
      <c r="N68" s="50">
        <f>VLOOKUP($A68,'Data shares'!$C:$FB,121)*100</f>
        <v>2.56</v>
      </c>
      <c r="O68" s="50">
        <f>VLOOKUP($A68,'Data shares'!$C:$FB,124)</f>
        <v>0.61</v>
      </c>
      <c r="P68" s="50">
        <f>VLOOKUP($A68,'Data shares'!$C:$FB,125)</f>
        <v>0.49</v>
      </c>
      <c r="Q68" s="50">
        <f>VLOOKUP($A68,'Data shares'!$C:$FB,127)*100</f>
        <v>24.490000000000002</v>
      </c>
    </row>
    <row r="69" spans="1:17" x14ac:dyDescent="0.25">
      <c r="A69" s="97" t="str">
        <f>'Data Vlaue (Cr)'!C64</f>
        <v>EXIDEIND</v>
      </c>
      <c r="B69" s="140">
        <f>VLOOKUP($A69,'Data shares'!$C:$FB,7)</f>
        <v>329.7</v>
      </c>
      <c r="C69" s="140">
        <f>VLOOKUP($A69,'Data shares'!$C:$FB,3)</f>
        <v>329.75</v>
      </c>
      <c r="D69" s="140">
        <f>VLOOKUP($A69,'Data shares'!$C:$FB,4)</f>
        <v>330.25</v>
      </c>
      <c r="E69" s="50">
        <f t="shared" si="0"/>
        <v>-0.15140045420136261</v>
      </c>
      <c r="F69" s="49">
        <f>VLOOKUP($A69,'Data shares'!$C:$FB,98)</f>
        <v>54208800</v>
      </c>
      <c r="G69" s="49">
        <f>VLOOKUP($A69,'Data shares'!$C:$FB,99)</f>
        <v>54329400</v>
      </c>
      <c r="H69" s="50">
        <f t="shared" si="1"/>
        <v>-0.22197925984825895</v>
      </c>
      <c r="I69" s="49">
        <f>VLOOKUP($A69,'Data shares'!$C:$FB,66)</f>
        <v>16581600</v>
      </c>
      <c r="J69" s="49">
        <f>VLOOKUP($A69,'Data shares'!$C:$FB,67)</f>
        <v>12105000</v>
      </c>
      <c r="K69" s="50">
        <f t="shared" si="2"/>
        <v>26.997394702561877</v>
      </c>
      <c r="L69" s="50">
        <f>VLOOKUP($A69,'Data shares'!$C:$FB,118)</f>
        <v>0.96</v>
      </c>
      <c r="M69" s="50">
        <f>VLOOKUP($A69,'Data shares'!$C:$FB,119)</f>
        <v>0.97</v>
      </c>
      <c r="N69" s="50">
        <f>VLOOKUP($A69,'Data shares'!$C:$FB,121)*100</f>
        <v>-1.03</v>
      </c>
      <c r="O69" s="50">
        <f>VLOOKUP($A69,'Data shares'!$C:$FB,124)</f>
        <v>0.48</v>
      </c>
      <c r="P69" s="50">
        <f>VLOOKUP($A69,'Data shares'!$C:$FB,125)</f>
        <v>0.52</v>
      </c>
      <c r="Q69" s="50">
        <f>VLOOKUP($A69,'Data shares'!$C:$FB,127)*100</f>
        <v>-7.6899999999999995</v>
      </c>
    </row>
    <row r="70" spans="1:17" x14ac:dyDescent="0.25">
      <c r="A70" s="97" t="str">
        <f>'Data Vlaue (Cr)'!C65</f>
        <v>FEDERALBNK</v>
      </c>
      <c r="B70" s="140">
        <f>VLOOKUP($A70,'Data shares'!$C:$FB,7)</f>
        <v>294.35000000000002</v>
      </c>
      <c r="C70" s="140">
        <f>VLOOKUP($A70,'Data shares'!$C:$FB,3)</f>
        <v>294.75</v>
      </c>
      <c r="D70" s="140">
        <f>VLOOKUP($A70,'Data shares'!$C:$FB,4)</f>
        <v>293.60000000000002</v>
      </c>
      <c r="E70" s="50">
        <f t="shared" si="0"/>
        <v>0.39168937329699499</v>
      </c>
      <c r="F70" s="49">
        <f>VLOOKUP($A70,'Data shares'!$C:$FB,98)</f>
        <v>146970000</v>
      </c>
      <c r="G70" s="49">
        <f>VLOOKUP($A70,'Data shares'!$C:$FB,99)</f>
        <v>147745000</v>
      </c>
      <c r="H70" s="50">
        <f t="shared" si="1"/>
        <v>-0.52455243832278586</v>
      </c>
      <c r="I70" s="49">
        <f>VLOOKUP($A70,'Data shares'!$C:$FB,66)</f>
        <v>109740000</v>
      </c>
      <c r="J70" s="49">
        <f>VLOOKUP($A70,'Data shares'!$C:$FB,67)</f>
        <v>123750000</v>
      </c>
      <c r="K70" s="50">
        <f t="shared" si="2"/>
        <v>-12.766539092400219</v>
      </c>
      <c r="L70" s="50">
        <f>VLOOKUP($A70,'Data shares'!$C:$FB,118)</f>
        <v>0.87</v>
      </c>
      <c r="M70" s="50">
        <f>VLOOKUP($A70,'Data shares'!$C:$FB,119)</f>
        <v>0.84</v>
      </c>
      <c r="N70" s="50">
        <f>VLOOKUP($A70,'Data shares'!$C:$FB,121)*100</f>
        <v>3.5700000000000003</v>
      </c>
      <c r="O70" s="50">
        <f>VLOOKUP($A70,'Data shares'!$C:$FB,124)</f>
        <v>0.43</v>
      </c>
      <c r="P70" s="50">
        <f>VLOOKUP($A70,'Data shares'!$C:$FB,125)</f>
        <v>0.55000000000000004</v>
      </c>
      <c r="Q70" s="50">
        <f>VLOOKUP($A70,'Data shares'!$C:$FB,127)*100</f>
        <v>-21.82</v>
      </c>
    </row>
    <row r="71" spans="1:17" x14ac:dyDescent="0.25">
      <c r="A71" s="97" t="str">
        <f>'Data Vlaue (Cr)'!C66</f>
        <v>FINNIFTY</v>
      </c>
      <c r="B71" s="140">
        <f>VLOOKUP($A71,'Data shares'!$C:$FB,7)</f>
        <v>26537.1</v>
      </c>
      <c r="C71" s="140">
        <f>VLOOKUP($A71,'Data shares'!$C:$FB,3)</f>
        <v>26511.9</v>
      </c>
      <c r="D71" s="140">
        <f>VLOOKUP($A71,'Data shares'!$C:$FB,4)</f>
        <v>26566.3</v>
      </c>
      <c r="E71" s="50">
        <f t="shared" si="0"/>
        <v>-0.20477070574373479</v>
      </c>
      <c r="F71" s="49">
        <f>VLOOKUP($A71,'Data shares'!$C:$FB,98)</f>
        <v>655200</v>
      </c>
      <c r="G71" s="49">
        <f>VLOOKUP($A71,'Data shares'!$C:$FB,99)</f>
        <v>692040</v>
      </c>
      <c r="H71" s="50">
        <f t="shared" si="1"/>
        <v>-5.323391711461765</v>
      </c>
      <c r="I71" s="49">
        <f>VLOOKUP($A71,'Data shares'!$C:$FB,66)</f>
        <v>1066740</v>
      </c>
      <c r="J71" s="49">
        <f>VLOOKUP($A71,'Data shares'!$C:$FB,67)</f>
        <v>931500</v>
      </c>
      <c r="K71" s="50">
        <f t="shared" si="2"/>
        <v>12.677878395860285</v>
      </c>
      <c r="L71" s="50">
        <f>VLOOKUP($A71,'Data shares'!$C:$FB,118)</f>
        <v>0.75</v>
      </c>
      <c r="M71" s="50">
        <f>VLOOKUP($A71,'Data shares'!$C:$FB,119)</f>
        <v>0.68</v>
      </c>
      <c r="N71" s="50">
        <f>VLOOKUP($A71,'Data shares'!$C:$FB,121)*100</f>
        <v>10.290000000000001</v>
      </c>
      <c r="O71" s="50">
        <f>VLOOKUP($A71,'Data shares'!$C:$FB,124)</f>
        <v>0.86</v>
      </c>
      <c r="P71" s="50">
        <f>VLOOKUP($A71,'Data shares'!$C:$FB,125)</f>
        <v>0.5</v>
      </c>
      <c r="Q71" s="50">
        <f>VLOOKUP($A71,'Data shares'!$C:$FB,127)*100</f>
        <v>72</v>
      </c>
    </row>
    <row r="72" spans="1:17" x14ac:dyDescent="0.25">
      <c r="A72" s="97" t="str">
        <f>'Data Vlaue (Cr)'!C67</f>
        <v>FORCEMOT</v>
      </c>
      <c r="B72" s="140">
        <f>VLOOKUP($A72,'Data shares'!$C:$FB,7)</f>
        <v>21925</v>
      </c>
      <c r="C72" s="140">
        <f>VLOOKUP($A72,'Data shares'!$C:$FB,3)</f>
        <v>21860</v>
      </c>
      <c r="D72" s="140">
        <f>VLOOKUP($A72,'Data shares'!$C:$FB,4)</f>
        <v>22371</v>
      </c>
      <c r="E72" s="50">
        <f t="shared" ref="E72:E135" si="3">(C72-D72)/D72*100</f>
        <v>-2.284207232577891</v>
      </c>
      <c r="F72" s="49">
        <f>VLOOKUP($A72,'Data shares'!$C:$FB,98)</f>
        <v>256500</v>
      </c>
      <c r="G72" s="49">
        <f>VLOOKUP($A72,'Data shares'!$C:$FB,99)</f>
        <v>236500</v>
      </c>
      <c r="H72" s="50">
        <f t="shared" ref="H72:H135" si="4">(F72-G72)/G72*100</f>
        <v>8.456659619450317</v>
      </c>
      <c r="I72" s="49">
        <f>VLOOKUP($A72,'Data shares'!$C:$FB,66)</f>
        <v>140375</v>
      </c>
      <c r="J72" s="49">
        <f>VLOOKUP($A72,'Data shares'!$C:$FB,67)</f>
        <v>99725</v>
      </c>
      <c r="K72" s="50">
        <f t="shared" ref="K72:K135" si="5">(I72-J72)/I72*100</f>
        <v>28.958147818343722</v>
      </c>
      <c r="L72" s="50">
        <f>VLOOKUP($A72,'Data shares'!$C:$FB,118)</f>
        <v>0.34</v>
      </c>
      <c r="M72" s="50">
        <f>VLOOKUP($A72,'Data shares'!$C:$FB,119)</f>
        <v>0.34</v>
      </c>
      <c r="N72" s="50">
        <f>VLOOKUP($A72,'Data shares'!$C:$FB,121)*100</f>
        <v>0</v>
      </c>
      <c r="O72" s="50">
        <f>VLOOKUP($A72,'Data shares'!$C:$FB,124)</f>
        <v>0.26</v>
      </c>
      <c r="P72" s="50">
        <f>VLOOKUP($A72,'Data shares'!$C:$FB,125)</f>
        <v>0.24</v>
      </c>
      <c r="Q72" s="50">
        <f>VLOOKUP($A72,'Data shares'!$C:$FB,127)*100</f>
        <v>8.33</v>
      </c>
    </row>
    <row r="73" spans="1:17" x14ac:dyDescent="0.25">
      <c r="A73" s="97" t="str">
        <f>'Data Vlaue (Cr)'!C68</f>
        <v>FORTIS</v>
      </c>
      <c r="B73" s="140">
        <f>VLOOKUP($A73,'Data shares'!$C:$FB,7)</f>
        <v>890.9</v>
      </c>
      <c r="C73" s="140">
        <f>VLOOKUP($A73,'Data shares'!$C:$FB,3)</f>
        <v>890.1</v>
      </c>
      <c r="D73" s="140">
        <f>VLOOKUP($A73,'Data shares'!$C:$FB,4)</f>
        <v>890.9</v>
      </c>
      <c r="E73" s="50">
        <f t="shared" si="3"/>
        <v>-8.979683466157308E-2</v>
      </c>
      <c r="F73" s="49">
        <f>VLOOKUP($A73,'Data shares'!$C:$FB,98)</f>
        <v>15265950</v>
      </c>
      <c r="G73" s="49">
        <f>VLOOKUP($A73,'Data shares'!$C:$FB,99)</f>
        <v>15195425</v>
      </c>
      <c r="H73" s="50">
        <f t="shared" si="4"/>
        <v>0.46411995715815785</v>
      </c>
      <c r="I73" s="49">
        <f>VLOOKUP($A73,'Data shares'!$C:$FB,66)</f>
        <v>4544600</v>
      </c>
      <c r="J73" s="49">
        <f>VLOOKUP($A73,'Data shares'!$C:$FB,67)</f>
        <v>8592425</v>
      </c>
      <c r="K73" s="50">
        <f t="shared" si="5"/>
        <v>-89.068894952251014</v>
      </c>
      <c r="L73" s="50">
        <f>VLOOKUP($A73,'Data shares'!$C:$FB,118)</f>
        <v>0.56000000000000005</v>
      </c>
      <c r="M73" s="50">
        <f>VLOOKUP($A73,'Data shares'!$C:$FB,119)</f>
        <v>0.63</v>
      </c>
      <c r="N73" s="50">
        <f>VLOOKUP($A73,'Data shares'!$C:$FB,121)*100</f>
        <v>-11.110000000000001</v>
      </c>
      <c r="O73" s="50">
        <f>VLOOKUP($A73,'Data shares'!$C:$FB,124)</f>
        <v>0.56999999999999995</v>
      </c>
      <c r="P73" s="50">
        <f>VLOOKUP($A73,'Data shares'!$C:$FB,125)</f>
        <v>0.46</v>
      </c>
      <c r="Q73" s="50">
        <f>VLOOKUP($A73,'Data shares'!$C:$FB,127)*100</f>
        <v>23.91</v>
      </c>
    </row>
    <row r="74" spans="1:17" x14ac:dyDescent="0.25">
      <c r="A74" s="97" t="str">
        <f>'Data Vlaue (Cr)'!C69</f>
        <v>GAIL</v>
      </c>
      <c r="B74" s="140">
        <f>VLOOKUP($A74,'Data shares'!$C:$FB,7)</f>
        <v>157.69999999999999</v>
      </c>
      <c r="C74" s="140">
        <f>VLOOKUP($A74,'Data shares'!$C:$FB,3)</f>
        <v>157.66</v>
      </c>
      <c r="D74" s="140">
        <f>VLOOKUP($A74,'Data shares'!$C:$FB,4)</f>
        <v>158.33000000000001</v>
      </c>
      <c r="E74" s="50">
        <f t="shared" si="3"/>
        <v>-0.42316680351166291</v>
      </c>
      <c r="F74" s="49">
        <f>VLOOKUP($A74,'Data shares'!$C:$FB,98)</f>
        <v>139648950</v>
      </c>
      <c r="G74" s="49">
        <f>VLOOKUP($A74,'Data shares'!$C:$FB,99)</f>
        <v>138940200</v>
      </c>
      <c r="H74" s="50">
        <f t="shared" si="4"/>
        <v>0.51011154439104012</v>
      </c>
      <c r="I74" s="49">
        <f>VLOOKUP($A74,'Data shares'!$C:$FB,66)</f>
        <v>29751750</v>
      </c>
      <c r="J74" s="49">
        <f>VLOOKUP($A74,'Data shares'!$C:$FB,67)</f>
        <v>35254800</v>
      </c>
      <c r="K74" s="50">
        <f t="shared" si="5"/>
        <v>-18.496559025939654</v>
      </c>
      <c r="L74" s="50">
        <f>VLOOKUP($A74,'Data shares'!$C:$FB,118)</f>
        <v>1.18</v>
      </c>
      <c r="M74" s="50">
        <f>VLOOKUP($A74,'Data shares'!$C:$FB,119)</f>
        <v>1.18</v>
      </c>
      <c r="N74" s="50">
        <f>VLOOKUP($A74,'Data shares'!$C:$FB,121)*100</f>
        <v>0</v>
      </c>
      <c r="O74" s="50">
        <f>VLOOKUP($A74,'Data shares'!$C:$FB,124)</f>
        <v>1.1000000000000001</v>
      </c>
      <c r="P74" s="50">
        <f>VLOOKUP($A74,'Data shares'!$C:$FB,125)</f>
        <v>0.83</v>
      </c>
      <c r="Q74" s="50">
        <f>VLOOKUP($A74,'Data shares'!$C:$FB,127)*100</f>
        <v>32.53</v>
      </c>
    </row>
    <row r="75" spans="1:17" x14ac:dyDescent="0.25">
      <c r="A75" s="97" t="str">
        <f>'Data Vlaue (Cr)'!C70</f>
        <v>GLENMARK</v>
      </c>
      <c r="B75" s="140">
        <f>VLOOKUP($A75,'Data shares'!$C:$FB,7)</f>
        <v>2230.6999999999998</v>
      </c>
      <c r="C75" s="140">
        <f>VLOOKUP($A75,'Data shares'!$C:$FB,3)</f>
        <v>2229.1</v>
      </c>
      <c r="D75" s="140">
        <f>VLOOKUP($A75,'Data shares'!$C:$FB,4)</f>
        <v>2253.8000000000002</v>
      </c>
      <c r="E75" s="50">
        <f t="shared" si="3"/>
        <v>-1.0959268790487298</v>
      </c>
      <c r="F75" s="49">
        <f>VLOOKUP($A75,'Data shares'!$C:$FB,98)</f>
        <v>13661625</v>
      </c>
      <c r="G75" s="49">
        <f>VLOOKUP($A75,'Data shares'!$C:$FB,99)</f>
        <v>13838250</v>
      </c>
      <c r="H75" s="50">
        <f t="shared" si="4"/>
        <v>-1.2763535851715353</v>
      </c>
      <c r="I75" s="49">
        <f>VLOOKUP($A75,'Data shares'!$C:$FB,66)</f>
        <v>5812125</v>
      </c>
      <c r="J75" s="49">
        <f>VLOOKUP($A75,'Data shares'!$C:$FB,67)</f>
        <v>6572625</v>
      </c>
      <c r="K75" s="50">
        <f t="shared" si="5"/>
        <v>-13.084715142912446</v>
      </c>
      <c r="L75" s="50">
        <f>VLOOKUP($A75,'Data shares'!$C:$FB,118)</f>
        <v>0.52</v>
      </c>
      <c r="M75" s="50">
        <f>VLOOKUP($A75,'Data shares'!$C:$FB,119)</f>
        <v>0.51</v>
      </c>
      <c r="N75" s="50">
        <f>VLOOKUP($A75,'Data shares'!$C:$FB,121)*100</f>
        <v>1.96</v>
      </c>
      <c r="O75" s="50">
        <f>VLOOKUP($A75,'Data shares'!$C:$FB,124)</f>
        <v>0.77</v>
      </c>
      <c r="P75" s="50">
        <f>VLOOKUP($A75,'Data shares'!$C:$FB,125)</f>
        <v>0.32</v>
      </c>
      <c r="Q75" s="50">
        <f>VLOOKUP($A75,'Data shares'!$C:$FB,127)*100</f>
        <v>140.63000000000002</v>
      </c>
    </row>
    <row r="76" spans="1:17" x14ac:dyDescent="0.25">
      <c r="A76" s="97" t="str">
        <f>'Data Vlaue (Cr)'!C71</f>
        <v>GMRAIRPORT</v>
      </c>
      <c r="B76" s="140">
        <f>VLOOKUP($A76,'Data shares'!$C:$FB,7)</f>
        <v>97.45</v>
      </c>
      <c r="C76" s="140">
        <f>VLOOKUP($A76,'Data shares'!$C:$FB,3)</f>
        <v>97.39</v>
      </c>
      <c r="D76" s="140">
        <f>VLOOKUP($A76,'Data shares'!$C:$FB,4)</f>
        <v>97.16</v>
      </c>
      <c r="E76" s="50">
        <f t="shared" si="3"/>
        <v>0.23672293124743102</v>
      </c>
      <c r="F76" s="49">
        <f>VLOOKUP($A76,'Data shares'!$C:$FB,98)</f>
        <v>211879575</v>
      </c>
      <c r="G76" s="49">
        <f>VLOOKUP($A76,'Data shares'!$C:$FB,99)</f>
        <v>202700475</v>
      </c>
      <c r="H76" s="50">
        <f t="shared" si="4"/>
        <v>4.5284057671793807</v>
      </c>
      <c r="I76" s="49">
        <f>VLOOKUP($A76,'Data shares'!$C:$FB,66)</f>
        <v>99072900</v>
      </c>
      <c r="J76" s="49">
        <f>VLOOKUP($A76,'Data shares'!$C:$FB,67)</f>
        <v>61582275</v>
      </c>
      <c r="K76" s="50">
        <f t="shared" si="5"/>
        <v>37.841453111799495</v>
      </c>
      <c r="L76" s="50">
        <f>VLOOKUP($A76,'Data shares'!$C:$FB,118)</f>
        <v>0.67</v>
      </c>
      <c r="M76" s="50">
        <f>VLOOKUP($A76,'Data shares'!$C:$FB,119)</f>
        <v>0.75</v>
      </c>
      <c r="N76" s="50">
        <f>VLOOKUP($A76,'Data shares'!$C:$FB,121)*100</f>
        <v>-10.67</v>
      </c>
      <c r="O76" s="50">
        <f>VLOOKUP($A76,'Data shares'!$C:$FB,124)</f>
        <v>0.36</v>
      </c>
      <c r="P76" s="50">
        <f>VLOOKUP($A76,'Data shares'!$C:$FB,125)</f>
        <v>0.5</v>
      </c>
      <c r="Q76" s="50">
        <f>VLOOKUP($A76,'Data shares'!$C:$FB,127)*100</f>
        <v>-28.000000000000004</v>
      </c>
    </row>
    <row r="77" spans="1:17" x14ac:dyDescent="0.25">
      <c r="A77" s="97" t="str">
        <f>'Data Vlaue (Cr)'!C72</f>
        <v>GODFRYPHLP</v>
      </c>
      <c r="B77" s="140">
        <f>VLOOKUP($A77,'Data shares'!$C:$FB,7)</f>
        <v>2137.8000000000002</v>
      </c>
      <c r="C77" s="140">
        <f>VLOOKUP($A77,'Data shares'!$C:$FB,3)</f>
        <v>2130.8000000000002</v>
      </c>
      <c r="D77" s="140">
        <f>VLOOKUP($A77,'Data shares'!$C:$FB,4)</f>
        <v>2184.1999999999998</v>
      </c>
      <c r="E77" s="50">
        <f t="shared" si="3"/>
        <v>-2.4448310594267761</v>
      </c>
      <c r="F77" s="49">
        <f>VLOOKUP($A77,'Data shares'!$C:$FB,98)</f>
        <v>2674100</v>
      </c>
      <c r="G77" s="49">
        <f>VLOOKUP($A77,'Data shares'!$C:$FB,99)</f>
        <v>2614150</v>
      </c>
      <c r="H77" s="50">
        <f t="shared" si="4"/>
        <v>2.2932884494003787</v>
      </c>
      <c r="I77" s="49">
        <f>VLOOKUP($A77,'Data shares'!$C:$FB,66)</f>
        <v>2364175</v>
      </c>
      <c r="J77" s="49">
        <f>VLOOKUP($A77,'Data shares'!$C:$FB,67)</f>
        <v>9280975</v>
      </c>
      <c r="K77" s="50">
        <f t="shared" si="5"/>
        <v>-292.5671745957892</v>
      </c>
      <c r="L77" s="50">
        <f>VLOOKUP($A77,'Data shares'!$C:$FB,118)</f>
        <v>0.4</v>
      </c>
      <c r="M77" s="50">
        <f>VLOOKUP($A77,'Data shares'!$C:$FB,119)</f>
        <v>0.43</v>
      </c>
      <c r="N77" s="50">
        <f>VLOOKUP($A77,'Data shares'!$C:$FB,121)*100</f>
        <v>-6.98</v>
      </c>
      <c r="O77" s="50">
        <f>VLOOKUP($A77,'Data shares'!$C:$FB,124)</f>
        <v>0.28999999999999998</v>
      </c>
      <c r="P77" s="50">
        <f>VLOOKUP($A77,'Data shares'!$C:$FB,125)</f>
        <v>0.24</v>
      </c>
      <c r="Q77" s="50">
        <f>VLOOKUP($A77,'Data shares'!$C:$FB,127)*100</f>
        <v>20.830000000000002</v>
      </c>
    </row>
    <row r="78" spans="1:17" x14ac:dyDescent="0.25">
      <c r="A78" s="97" t="str">
        <f>'Data Vlaue (Cr)'!C73</f>
        <v>GODREJCP</v>
      </c>
      <c r="B78" s="140">
        <f>VLOOKUP($A78,'Data shares'!$C:$FB,7)</f>
        <v>1104.8</v>
      </c>
      <c r="C78" s="140">
        <f>VLOOKUP($A78,'Data shares'!$C:$FB,3)</f>
        <v>1105.5999999999999</v>
      </c>
      <c r="D78" s="140">
        <f>VLOOKUP($A78,'Data shares'!$C:$FB,4)</f>
        <v>1112.6500000000001</v>
      </c>
      <c r="E78" s="50">
        <f t="shared" si="3"/>
        <v>-0.63362243293040765</v>
      </c>
      <c r="F78" s="49">
        <f>VLOOKUP($A78,'Data shares'!$C:$FB,98)</f>
        <v>15301500</v>
      </c>
      <c r="G78" s="49">
        <f>VLOOKUP($A78,'Data shares'!$C:$FB,99)</f>
        <v>15231500</v>
      </c>
      <c r="H78" s="50">
        <f t="shared" si="4"/>
        <v>0.45957390933263298</v>
      </c>
      <c r="I78" s="49">
        <f>VLOOKUP($A78,'Data shares'!$C:$FB,66)</f>
        <v>2742500</v>
      </c>
      <c r="J78" s="49">
        <f>VLOOKUP($A78,'Data shares'!$C:$FB,67)</f>
        <v>9947500</v>
      </c>
      <c r="K78" s="50">
        <f t="shared" si="5"/>
        <v>-262.7164995442115</v>
      </c>
      <c r="L78" s="50">
        <f>VLOOKUP($A78,'Data shares'!$C:$FB,118)</f>
        <v>0.76</v>
      </c>
      <c r="M78" s="50">
        <f>VLOOKUP($A78,'Data shares'!$C:$FB,119)</f>
        <v>0.76</v>
      </c>
      <c r="N78" s="50">
        <f>VLOOKUP($A78,'Data shares'!$C:$FB,121)*100</f>
        <v>0</v>
      </c>
      <c r="O78" s="50">
        <f>VLOOKUP($A78,'Data shares'!$C:$FB,124)</f>
        <v>0.35</v>
      </c>
      <c r="P78" s="50">
        <f>VLOOKUP($A78,'Data shares'!$C:$FB,125)</f>
        <v>0.36</v>
      </c>
      <c r="Q78" s="50">
        <f>VLOOKUP($A78,'Data shares'!$C:$FB,127)*100</f>
        <v>-2.78</v>
      </c>
    </row>
    <row r="79" spans="1:17" x14ac:dyDescent="0.25">
      <c r="A79" s="97" t="str">
        <f>'Data Vlaue (Cr)'!C74</f>
        <v>GODREJPROP</v>
      </c>
      <c r="B79" s="140">
        <f>VLOOKUP($A79,'Data shares'!$C:$FB,7)</f>
        <v>1759.7</v>
      </c>
      <c r="C79" s="140">
        <f>VLOOKUP($A79,'Data shares'!$C:$FB,3)</f>
        <v>1756.9</v>
      </c>
      <c r="D79" s="140">
        <f>VLOOKUP($A79,'Data shares'!$C:$FB,4)</f>
        <v>1764</v>
      </c>
      <c r="E79" s="50">
        <f t="shared" si="3"/>
        <v>-0.40249433106575444</v>
      </c>
      <c r="F79" s="49">
        <f>VLOOKUP($A79,'Data shares'!$C:$FB,98)</f>
        <v>13936450</v>
      </c>
      <c r="G79" s="49">
        <f>VLOOKUP($A79,'Data shares'!$C:$FB,99)</f>
        <v>13680425</v>
      </c>
      <c r="H79" s="50">
        <f t="shared" si="4"/>
        <v>1.8714696363599816</v>
      </c>
      <c r="I79" s="49">
        <f>VLOOKUP($A79,'Data shares'!$C:$FB,66)</f>
        <v>6287050</v>
      </c>
      <c r="J79" s="49">
        <f>VLOOKUP($A79,'Data shares'!$C:$FB,67)</f>
        <v>5262125</v>
      </c>
      <c r="K79" s="50">
        <f t="shared" si="5"/>
        <v>16.302160790831948</v>
      </c>
      <c r="L79" s="50">
        <f>VLOOKUP($A79,'Data shares'!$C:$FB,118)</f>
        <v>1.03</v>
      </c>
      <c r="M79" s="50">
        <f>VLOOKUP($A79,'Data shares'!$C:$FB,119)</f>
        <v>0.94</v>
      </c>
      <c r="N79" s="50">
        <f>VLOOKUP($A79,'Data shares'!$C:$FB,121)*100</f>
        <v>9.5699999999999985</v>
      </c>
      <c r="O79" s="50">
        <f>VLOOKUP($A79,'Data shares'!$C:$FB,124)</f>
        <v>0.75</v>
      </c>
      <c r="P79" s="50">
        <f>VLOOKUP($A79,'Data shares'!$C:$FB,125)</f>
        <v>0.82</v>
      </c>
      <c r="Q79" s="50">
        <f>VLOOKUP($A79,'Data shares'!$C:$FB,127)*100</f>
        <v>-8.5400000000000009</v>
      </c>
    </row>
    <row r="80" spans="1:17" x14ac:dyDescent="0.25">
      <c r="A80" s="97" t="str">
        <f>'Data Vlaue (Cr)'!C75</f>
        <v>GRASIM</v>
      </c>
      <c r="B80" s="140">
        <f>VLOOKUP($A80,'Data shares'!$C:$FB,7)</f>
        <v>2760.1</v>
      </c>
      <c r="C80" s="140">
        <f>VLOOKUP($A80,'Data shares'!$C:$FB,3)</f>
        <v>2757</v>
      </c>
      <c r="D80" s="140">
        <f>VLOOKUP($A80,'Data shares'!$C:$FB,4)</f>
        <v>2726.6</v>
      </c>
      <c r="E80" s="50">
        <f t="shared" si="3"/>
        <v>1.1149416856157885</v>
      </c>
      <c r="F80" s="49">
        <f>VLOOKUP($A80,'Data shares'!$C:$FB,98)</f>
        <v>16909750</v>
      </c>
      <c r="G80" s="49">
        <f>VLOOKUP($A80,'Data shares'!$C:$FB,99)</f>
        <v>17083750</v>
      </c>
      <c r="H80" s="50">
        <f t="shared" si="4"/>
        <v>-1.0185117436160094</v>
      </c>
      <c r="I80" s="49">
        <f>VLOOKUP($A80,'Data shares'!$C:$FB,66)</f>
        <v>5792500</v>
      </c>
      <c r="J80" s="49">
        <f>VLOOKUP($A80,'Data shares'!$C:$FB,67)</f>
        <v>2267250</v>
      </c>
      <c r="K80" s="50">
        <f t="shared" si="5"/>
        <v>60.858869227449283</v>
      </c>
      <c r="L80" s="50">
        <f>VLOOKUP($A80,'Data shares'!$C:$FB,118)</f>
        <v>0.77</v>
      </c>
      <c r="M80" s="50">
        <f>VLOOKUP($A80,'Data shares'!$C:$FB,119)</f>
        <v>0.73</v>
      </c>
      <c r="N80" s="50">
        <f>VLOOKUP($A80,'Data shares'!$C:$FB,121)*100</f>
        <v>5.48</v>
      </c>
      <c r="O80" s="50">
        <f>VLOOKUP($A80,'Data shares'!$C:$FB,124)</f>
        <v>0.39</v>
      </c>
      <c r="P80" s="50">
        <f>VLOOKUP($A80,'Data shares'!$C:$FB,125)</f>
        <v>0.42</v>
      </c>
      <c r="Q80" s="50">
        <f>VLOOKUP($A80,'Data shares'!$C:$FB,127)*100</f>
        <v>-7.1400000000000006</v>
      </c>
    </row>
    <row r="81" spans="1:17" x14ac:dyDescent="0.25">
      <c r="A81" s="97" t="str">
        <f>'Data Vlaue (Cr)'!C76</f>
        <v>HAL</v>
      </c>
      <c r="B81" s="140">
        <f>VLOOKUP($A81,'Data shares'!$C:$FB,7)</f>
        <v>4344.5</v>
      </c>
      <c r="C81" s="140">
        <f>VLOOKUP($A81,'Data shares'!$C:$FB,3)</f>
        <v>4343</v>
      </c>
      <c r="D81" s="140">
        <f>VLOOKUP($A81,'Data shares'!$C:$FB,4)</f>
        <v>4393.3</v>
      </c>
      <c r="E81" s="50">
        <f t="shared" si="3"/>
        <v>-1.1449252270502852</v>
      </c>
      <c r="F81" s="49">
        <f>VLOOKUP($A81,'Data shares'!$C:$FB,98)</f>
        <v>14318850</v>
      </c>
      <c r="G81" s="49">
        <f>VLOOKUP($A81,'Data shares'!$C:$FB,99)</f>
        <v>14383950</v>
      </c>
      <c r="H81" s="50">
        <f t="shared" si="4"/>
        <v>-0.4525877801299365</v>
      </c>
      <c r="I81" s="49">
        <f>VLOOKUP($A81,'Data shares'!$C:$FB,66)</f>
        <v>6739200</v>
      </c>
      <c r="J81" s="49">
        <f>VLOOKUP($A81,'Data shares'!$C:$FB,67)</f>
        <v>8750700</v>
      </c>
      <c r="K81" s="50">
        <f t="shared" si="5"/>
        <v>-29.847756410256409</v>
      </c>
      <c r="L81" s="50">
        <f>VLOOKUP($A81,'Data shares'!$C:$FB,118)</f>
        <v>0.93</v>
      </c>
      <c r="M81" s="50">
        <f>VLOOKUP($A81,'Data shares'!$C:$FB,119)</f>
        <v>0.95</v>
      </c>
      <c r="N81" s="50">
        <f>VLOOKUP($A81,'Data shares'!$C:$FB,121)*100</f>
        <v>-2.11</v>
      </c>
      <c r="O81" s="50">
        <f>VLOOKUP($A81,'Data shares'!$C:$FB,124)</f>
        <v>0.7</v>
      </c>
      <c r="P81" s="50">
        <f>VLOOKUP($A81,'Data shares'!$C:$FB,125)</f>
        <v>0.65</v>
      </c>
      <c r="Q81" s="50">
        <f>VLOOKUP($A81,'Data shares'!$C:$FB,127)*100</f>
        <v>7.6899999999999995</v>
      </c>
    </row>
    <row r="82" spans="1:17" x14ac:dyDescent="0.25">
      <c r="A82" s="97" t="str">
        <f>'Data Vlaue (Cr)'!C77</f>
        <v>HAVELLS</v>
      </c>
      <c r="B82" s="140">
        <f>VLOOKUP($A82,'Data shares'!$C:$FB,7)</f>
        <v>1302.0999999999999</v>
      </c>
      <c r="C82" s="140">
        <f>VLOOKUP($A82,'Data shares'!$C:$FB,3)</f>
        <v>1305.7</v>
      </c>
      <c r="D82" s="140">
        <f>VLOOKUP($A82,'Data shares'!$C:$FB,4)</f>
        <v>1309.8</v>
      </c>
      <c r="E82" s="50">
        <f t="shared" si="3"/>
        <v>-0.31302488929606881</v>
      </c>
      <c r="F82" s="49">
        <f>VLOOKUP($A82,'Data shares'!$C:$FB,98)</f>
        <v>14633000</v>
      </c>
      <c r="G82" s="49">
        <f>VLOOKUP($A82,'Data shares'!$C:$FB,99)</f>
        <v>14446500</v>
      </c>
      <c r="H82" s="50">
        <f t="shared" si="4"/>
        <v>1.2909701311736406</v>
      </c>
      <c r="I82" s="49">
        <f>VLOOKUP($A82,'Data shares'!$C:$FB,66)</f>
        <v>4600500</v>
      </c>
      <c r="J82" s="49">
        <f>VLOOKUP($A82,'Data shares'!$C:$FB,67)</f>
        <v>7586500</v>
      </c>
      <c r="K82" s="50">
        <f t="shared" si="5"/>
        <v>-64.905988479513098</v>
      </c>
      <c r="L82" s="50">
        <f>VLOOKUP($A82,'Data shares'!$C:$FB,118)</f>
        <v>0.73</v>
      </c>
      <c r="M82" s="50">
        <f>VLOOKUP($A82,'Data shares'!$C:$FB,119)</f>
        <v>0.74</v>
      </c>
      <c r="N82" s="50">
        <f>VLOOKUP($A82,'Data shares'!$C:$FB,121)*100</f>
        <v>-1.35</v>
      </c>
      <c r="O82" s="50">
        <f>VLOOKUP($A82,'Data shares'!$C:$FB,124)</f>
        <v>0.46</v>
      </c>
      <c r="P82" s="50">
        <f>VLOOKUP($A82,'Data shares'!$C:$FB,125)</f>
        <v>0.33</v>
      </c>
      <c r="Q82" s="50">
        <f>VLOOKUP($A82,'Data shares'!$C:$FB,127)*100</f>
        <v>39.39</v>
      </c>
    </row>
    <row r="83" spans="1:17" x14ac:dyDescent="0.25">
      <c r="A83" s="97" t="str">
        <f>'Data Vlaue (Cr)'!C78</f>
        <v>HCLTECH</v>
      </c>
      <c r="B83" s="140">
        <f>VLOOKUP($A83,'Data shares'!$C:$FB,7)</f>
        <v>1428.3</v>
      </c>
      <c r="C83" s="140">
        <f>VLOOKUP($A83,'Data shares'!$C:$FB,3)</f>
        <v>1407.1</v>
      </c>
      <c r="D83" s="140">
        <f>VLOOKUP($A83,'Data shares'!$C:$FB,4)</f>
        <v>1415.3</v>
      </c>
      <c r="E83" s="50">
        <f t="shared" si="3"/>
        <v>-0.57938246308203534</v>
      </c>
      <c r="F83" s="49">
        <f>VLOOKUP($A83,'Data shares'!$C:$FB,98)</f>
        <v>58397850</v>
      </c>
      <c r="G83" s="49">
        <f>VLOOKUP($A83,'Data shares'!$C:$FB,99)</f>
        <v>55914950</v>
      </c>
      <c r="H83" s="50">
        <f t="shared" si="4"/>
        <v>4.4404940002628992</v>
      </c>
      <c r="I83" s="49">
        <f>VLOOKUP($A83,'Data shares'!$C:$FB,66)</f>
        <v>20744850</v>
      </c>
      <c r="J83" s="49">
        <f>VLOOKUP($A83,'Data shares'!$C:$FB,67)</f>
        <v>23090200</v>
      </c>
      <c r="K83" s="50">
        <f t="shared" si="5"/>
        <v>-11.305697558671188</v>
      </c>
      <c r="L83" s="50">
        <f>VLOOKUP($A83,'Data shares'!$C:$FB,118)</f>
        <v>0.84</v>
      </c>
      <c r="M83" s="50">
        <f>VLOOKUP($A83,'Data shares'!$C:$FB,119)</f>
        <v>0.83</v>
      </c>
      <c r="N83" s="50">
        <f>VLOOKUP($A83,'Data shares'!$C:$FB,121)*100</f>
        <v>1.2</v>
      </c>
      <c r="O83" s="50">
        <f>VLOOKUP($A83,'Data shares'!$C:$FB,124)</f>
        <v>0.55000000000000004</v>
      </c>
      <c r="P83" s="50">
        <f>VLOOKUP($A83,'Data shares'!$C:$FB,125)</f>
        <v>0.56000000000000005</v>
      </c>
      <c r="Q83" s="50">
        <f>VLOOKUP($A83,'Data shares'!$C:$FB,127)*100</f>
        <v>-1.79</v>
      </c>
    </row>
    <row r="84" spans="1:17" x14ac:dyDescent="0.25">
      <c r="A84" s="97" t="str">
        <f>'Data Vlaue (Cr)'!C79</f>
        <v>HDFCAMC</v>
      </c>
      <c r="B84" s="140">
        <f>VLOOKUP($A84,'Data shares'!$C:$FB,7)</f>
        <v>2768.2</v>
      </c>
      <c r="C84" s="140">
        <f>VLOOKUP($A84,'Data shares'!$C:$FB,3)</f>
        <v>2763.8</v>
      </c>
      <c r="D84" s="140">
        <f>VLOOKUP($A84,'Data shares'!$C:$FB,4)</f>
        <v>2791.6</v>
      </c>
      <c r="E84" s="50">
        <f t="shared" si="3"/>
        <v>-0.99584467688779654</v>
      </c>
      <c r="F84" s="49">
        <f>VLOOKUP($A84,'Data shares'!$C:$FB,98)</f>
        <v>10026000</v>
      </c>
      <c r="G84" s="49">
        <f>VLOOKUP($A84,'Data shares'!$C:$FB,99)</f>
        <v>10717500</v>
      </c>
      <c r="H84" s="50">
        <f t="shared" si="4"/>
        <v>-6.452064380685794</v>
      </c>
      <c r="I84" s="49">
        <f>VLOOKUP($A84,'Data shares'!$C:$FB,66)</f>
        <v>6798900</v>
      </c>
      <c r="J84" s="49">
        <f>VLOOKUP($A84,'Data shares'!$C:$FB,67)</f>
        <v>32129100</v>
      </c>
      <c r="K84" s="50">
        <f t="shared" si="5"/>
        <v>-372.56320875435733</v>
      </c>
      <c r="L84" s="50">
        <f>VLOOKUP($A84,'Data shares'!$C:$FB,118)</f>
        <v>0.96</v>
      </c>
      <c r="M84" s="50">
        <f>VLOOKUP($A84,'Data shares'!$C:$FB,119)</f>
        <v>0.97</v>
      </c>
      <c r="N84" s="50">
        <f>VLOOKUP($A84,'Data shares'!$C:$FB,121)*100</f>
        <v>-1.03</v>
      </c>
      <c r="O84" s="50">
        <f>VLOOKUP($A84,'Data shares'!$C:$FB,124)</f>
        <v>0.8</v>
      </c>
      <c r="P84" s="50">
        <f>VLOOKUP($A84,'Data shares'!$C:$FB,125)</f>
        <v>0.44</v>
      </c>
      <c r="Q84" s="50">
        <f>VLOOKUP($A84,'Data shares'!$C:$FB,127)*100</f>
        <v>81.820000000000007</v>
      </c>
    </row>
    <row r="85" spans="1:17" x14ac:dyDescent="0.25">
      <c r="A85" s="97" t="str">
        <f>'Data Vlaue (Cr)'!C80</f>
        <v>HDFCBANK</v>
      </c>
      <c r="B85" s="140">
        <f>VLOOKUP($A85,'Data shares'!$C:$FB,7)</f>
        <v>795.45</v>
      </c>
      <c r="C85" s="140">
        <f>VLOOKUP($A85,'Data shares'!$C:$FB,3)</f>
        <v>794.9</v>
      </c>
      <c r="D85" s="140">
        <f>VLOOKUP($A85,'Data shares'!$C:$FB,4)</f>
        <v>801.6</v>
      </c>
      <c r="E85" s="50">
        <f t="shared" si="3"/>
        <v>-0.83582834331337885</v>
      </c>
      <c r="F85" s="49">
        <f>VLOOKUP($A85,'Data shares'!$C:$FB,98)</f>
        <v>488415950</v>
      </c>
      <c r="G85" s="49">
        <f>VLOOKUP($A85,'Data shares'!$C:$FB,99)</f>
        <v>484162800</v>
      </c>
      <c r="H85" s="50">
        <f t="shared" si="4"/>
        <v>0.87845451984332534</v>
      </c>
      <c r="I85" s="49">
        <f>VLOOKUP($A85,'Data shares'!$C:$FB,66)</f>
        <v>408091750</v>
      </c>
      <c r="J85" s="49">
        <f>VLOOKUP($A85,'Data shares'!$C:$FB,67)</f>
        <v>196860400</v>
      </c>
      <c r="K85" s="50">
        <f t="shared" si="5"/>
        <v>51.76074988038841</v>
      </c>
      <c r="L85" s="50">
        <f>VLOOKUP($A85,'Data shares'!$C:$FB,118)</f>
        <v>0.53</v>
      </c>
      <c r="M85" s="50">
        <f>VLOOKUP($A85,'Data shares'!$C:$FB,119)</f>
        <v>0.56999999999999995</v>
      </c>
      <c r="N85" s="50">
        <f>VLOOKUP($A85,'Data shares'!$C:$FB,121)*100</f>
        <v>-7.02</v>
      </c>
      <c r="O85" s="50">
        <f>VLOOKUP($A85,'Data shares'!$C:$FB,124)</f>
        <v>0.46</v>
      </c>
      <c r="P85" s="50">
        <f>VLOOKUP($A85,'Data shares'!$C:$FB,125)</f>
        <v>0.55000000000000004</v>
      </c>
      <c r="Q85" s="50">
        <f>VLOOKUP($A85,'Data shares'!$C:$FB,127)*100</f>
        <v>-16.36</v>
      </c>
    </row>
    <row r="86" spans="1:17" x14ac:dyDescent="0.25">
      <c r="A86" s="97" t="str">
        <f>'Data Vlaue (Cr)'!C81</f>
        <v>HDFCLIFE</v>
      </c>
      <c r="B86" s="140">
        <f>VLOOKUP($A86,'Data shares'!$C:$FB,7)</f>
        <v>609.75</v>
      </c>
      <c r="C86" s="140">
        <f>VLOOKUP($A86,'Data shares'!$C:$FB,3)</f>
        <v>611</v>
      </c>
      <c r="D86" s="140">
        <f>VLOOKUP($A86,'Data shares'!$C:$FB,4)</f>
        <v>616.29999999999995</v>
      </c>
      <c r="E86" s="50">
        <f t="shared" si="3"/>
        <v>-0.85997079344474359</v>
      </c>
      <c r="F86" s="49">
        <f>VLOOKUP($A86,'Data shares'!$C:$FB,98)</f>
        <v>75318100</v>
      </c>
      <c r="G86" s="49">
        <f>VLOOKUP($A86,'Data shares'!$C:$FB,99)</f>
        <v>76832800</v>
      </c>
      <c r="H86" s="50">
        <f t="shared" si="4"/>
        <v>-1.9714236628106747</v>
      </c>
      <c r="I86" s="49">
        <f>VLOOKUP($A86,'Data shares'!$C:$FB,66)</f>
        <v>41750500</v>
      </c>
      <c r="J86" s="49">
        <f>VLOOKUP($A86,'Data shares'!$C:$FB,67)</f>
        <v>112887500</v>
      </c>
      <c r="K86" s="50">
        <f t="shared" si="5"/>
        <v>-170.3859834013964</v>
      </c>
      <c r="L86" s="50">
        <f>VLOOKUP($A86,'Data shares'!$C:$FB,118)</f>
        <v>0.65</v>
      </c>
      <c r="M86" s="50">
        <f>VLOOKUP($A86,'Data shares'!$C:$FB,119)</f>
        <v>0.66</v>
      </c>
      <c r="N86" s="50">
        <f>VLOOKUP($A86,'Data shares'!$C:$FB,121)*100</f>
        <v>-1.52</v>
      </c>
      <c r="O86" s="50">
        <f>VLOOKUP($A86,'Data shares'!$C:$FB,124)</f>
        <v>0.56999999999999995</v>
      </c>
      <c r="P86" s="50">
        <f>VLOOKUP($A86,'Data shares'!$C:$FB,125)</f>
        <v>0.69</v>
      </c>
      <c r="Q86" s="50">
        <f>VLOOKUP($A86,'Data shares'!$C:$FB,127)*100</f>
        <v>-17.39</v>
      </c>
    </row>
    <row r="87" spans="1:17" x14ac:dyDescent="0.25">
      <c r="A87" s="97" t="str">
        <f>'Data Vlaue (Cr)'!C82</f>
        <v>HEROMOTOCO</v>
      </c>
      <c r="B87" s="140">
        <f>VLOOKUP($A87,'Data shares'!$C:$FB,7)</f>
        <v>5282.5</v>
      </c>
      <c r="C87" s="140">
        <f>VLOOKUP($A87,'Data shares'!$C:$FB,3)</f>
        <v>5288</v>
      </c>
      <c r="D87" s="140">
        <f>VLOOKUP($A87,'Data shares'!$C:$FB,4)</f>
        <v>5244.5</v>
      </c>
      <c r="E87" s="50">
        <f t="shared" si="3"/>
        <v>0.82944036609781668</v>
      </c>
      <c r="F87" s="49">
        <f>VLOOKUP($A87,'Data shares'!$C:$FB,98)</f>
        <v>7936500</v>
      </c>
      <c r="G87" s="49">
        <f>VLOOKUP($A87,'Data shares'!$C:$FB,99)</f>
        <v>8291100</v>
      </c>
      <c r="H87" s="50">
        <f t="shared" si="4"/>
        <v>-4.276875203531497</v>
      </c>
      <c r="I87" s="49">
        <f>VLOOKUP($A87,'Data shares'!$C:$FB,66)</f>
        <v>6888000</v>
      </c>
      <c r="J87" s="49">
        <f>VLOOKUP($A87,'Data shares'!$C:$FB,67)</f>
        <v>7485750</v>
      </c>
      <c r="K87" s="50">
        <f t="shared" si="5"/>
        <v>-8.6781358885017426</v>
      </c>
      <c r="L87" s="50">
        <f>VLOOKUP($A87,'Data shares'!$C:$FB,118)</f>
        <v>0.67</v>
      </c>
      <c r="M87" s="50">
        <f>VLOOKUP($A87,'Data shares'!$C:$FB,119)</f>
        <v>0.6</v>
      </c>
      <c r="N87" s="50">
        <f>VLOOKUP($A87,'Data shares'!$C:$FB,121)*100</f>
        <v>11.67</v>
      </c>
      <c r="O87" s="50">
        <f>VLOOKUP($A87,'Data shares'!$C:$FB,124)</f>
        <v>0.37</v>
      </c>
      <c r="P87" s="50">
        <f>VLOOKUP($A87,'Data shares'!$C:$FB,125)</f>
        <v>0.39</v>
      </c>
      <c r="Q87" s="50">
        <f>VLOOKUP($A87,'Data shares'!$C:$FB,127)*100</f>
        <v>-5.13</v>
      </c>
    </row>
    <row r="88" spans="1:17" x14ac:dyDescent="0.25">
      <c r="A88" s="97" t="str">
        <f>'Data Vlaue (Cr)'!C83</f>
        <v>HINDALCO</v>
      </c>
      <c r="B88" s="140">
        <f>VLOOKUP($A88,'Data shares'!$C:$FB,7)</f>
        <v>1015.25</v>
      </c>
      <c r="C88" s="140">
        <f>VLOOKUP($A88,'Data shares'!$C:$FB,3)</f>
        <v>1015.8</v>
      </c>
      <c r="D88" s="140">
        <f>VLOOKUP($A88,'Data shares'!$C:$FB,4)</f>
        <v>1040.95</v>
      </c>
      <c r="E88" s="50">
        <f t="shared" si="3"/>
        <v>-2.416062250828579</v>
      </c>
      <c r="F88" s="140">
        <f>VLOOKUP($A88,'Data shares'!$C:$FB,98)</f>
        <v>63278600</v>
      </c>
      <c r="G88" s="140">
        <f>VLOOKUP($A88,'Data shares'!$C:$FB,99)</f>
        <v>63815500</v>
      </c>
      <c r="H88" s="50">
        <f t="shared" si="4"/>
        <v>-0.84133165140130528</v>
      </c>
      <c r="I88" s="49">
        <f>VLOOKUP($A88,'Data shares'!$C:$FB,66)</f>
        <v>43316700</v>
      </c>
      <c r="J88" s="49">
        <f>VLOOKUP($A88,'Data shares'!$C:$FB,67)</f>
        <v>41369300</v>
      </c>
      <c r="K88" s="50">
        <f t="shared" si="5"/>
        <v>4.4957256670060275</v>
      </c>
      <c r="L88" s="50">
        <f>VLOOKUP($A88,'Data shares'!$C:$FB,118)</f>
        <v>0.69</v>
      </c>
      <c r="M88" s="50">
        <f>VLOOKUP($A88,'Data shares'!$C:$FB,119)</f>
        <v>0.79</v>
      </c>
      <c r="N88" s="50">
        <f>VLOOKUP($A88,'Data shares'!$C:$FB,121)*100</f>
        <v>-12.659999999999998</v>
      </c>
      <c r="O88" s="50">
        <f>VLOOKUP($A88,'Data shares'!$C:$FB,124)</f>
        <v>0.74</v>
      </c>
      <c r="P88" s="50">
        <f>VLOOKUP($A88,'Data shares'!$C:$FB,125)</f>
        <v>0.78</v>
      </c>
      <c r="Q88" s="50">
        <f>VLOOKUP($A88,'Data shares'!$C:$FB,127)*100</f>
        <v>-5.13</v>
      </c>
    </row>
    <row r="89" spans="1:17" x14ac:dyDescent="0.25">
      <c r="A89" s="97" t="str">
        <f>'Data Vlaue (Cr)'!C84</f>
        <v>HINDPETRO</v>
      </c>
      <c r="B89" s="140">
        <f>VLOOKUP($A89,'Data shares'!$C:$FB,7)</f>
        <v>379.5</v>
      </c>
      <c r="C89" s="140">
        <f>VLOOKUP($A89,'Data shares'!$C:$FB,3)</f>
        <v>378.8</v>
      </c>
      <c r="D89" s="140">
        <f>VLOOKUP($A89,'Data shares'!$C:$FB,4)</f>
        <v>372.35</v>
      </c>
      <c r="E89" s="50">
        <f t="shared" si="3"/>
        <v>1.7322411709413157</v>
      </c>
      <c r="F89" s="49">
        <f>VLOOKUP($A89,'Data shares'!$C:$FB,98)</f>
        <v>77496750</v>
      </c>
      <c r="G89" s="49">
        <f>VLOOKUP($A89,'Data shares'!$C:$FB,99)</f>
        <v>77899725</v>
      </c>
      <c r="H89" s="50">
        <f t="shared" si="4"/>
        <v>-0.51729964386908944</v>
      </c>
      <c r="I89" s="49">
        <f>VLOOKUP($A89,'Data shares'!$C:$FB,66)</f>
        <v>73345500</v>
      </c>
      <c r="J89" s="49">
        <f>VLOOKUP($A89,'Data shares'!$C:$FB,67)</f>
        <v>37808775</v>
      </c>
      <c r="K89" s="50">
        <f t="shared" si="5"/>
        <v>48.451131971286578</v>
      </c>
      <c r="L89" s="50">
        <f>VLOOKUP($A89,'Data shares'!$C:$FB,118)</f>
        <v>0.91</v>
      </c>
      <c r="M89" s="50">
        <f>VLOOKUP($A89,'Data shares'!$C:$FB,119)</f>
        <v>0.84</v>
      </c>
      <c r="N89" s="50">
        <f>VLOOKUP($A89,'Data shares'!$C:$FB,121)*100</f>
        <v>8.33</v>
      </c>
      <c r="O89" s="50">
        <f>VLOOKUP($A89,'Data shares'!$C:$FB,124)</f>
        <v>0.59</v>
      </c>
      <c r="P89" s="50">
        <f>VLOOKUP($A89,'Data shares'!$C:$FB,125)</f>
        <v>0.79</v>
      </c>
      <c r="Q89" s="50">
        <f>VLOOKUP($A89,'Data shares'!$C:$FB,127)*100</f>
        <v>-25.319999999999997</v>
      </c>
    </row>
    <row r="90" spans="1:17" x14ac:dyDescent="0.25">
      <c r="A90" s="97" t="str">
        <f>'Data Vlaue (Cr)'!C85</f>
        <v>HINDUNILVR</v>
      </c>
      <c r="B90" s="140">
        <f>VLOOKUP($A90,'Data shares'!$C:$FB,7)</f>
        <v>2231.5</v>
      </c>
      <c r="C90" s="140">
        <f>VLOOKUP($A90,'Data shares'!$C:$FB,3)</f>
        <v>2235.1999999999998</v>
      </c>
      <c r="D90" s="140">
        <f>VLOOKUP($A90,'Data shares'!$C:$FB,4)</f>
        <v>2240.6999999999998</v>
      </c>
      <c r="E90" s="50">
        <f t="shared" si="3"/>
        <v>-0.24545900834560633</v>
      </c>
      <c r="F90" s="49">
        <f>VLOOKUP($A90,'Data shares'!$C:$FB,98)</f>
        <v>29578500</v>
      </c>
      <c r="G90" s="49">
        <f>VLOOKUP($A90,'Data shares'!$C:$FB,99)</f>
        <v>29977800</v>
      </c>
      <c r="H90" s="50">
        <f t="shared" si="4"/>
        <v>-1.3319856693953527</v>
      </c>
      <c r="I90" s="49">
        <f>VLOOKUP($A90,'Data shares'!$C:$FB,66)</f>
        <v>14665500</v>
      </c>
      <c r="J90" s="49">
        <f>VLOOKUP($A90,'Data shares'!$C:$FB,67)</f>
        <v>59895600</v>
      </c>
      <c r="K90" s="50">
        <f t="shared" si="5"/>
        <v>-308.41157819371995</v>
      </c>
      <c r="L90" s="50">
        <f>VLOOKUP($A90,'Data shares'!$C:$FB,118)</f>
        <v>0.74</v>
      </c>
      <c r="M90" s="50">
        <f>VLOOKUP($A90,'Data shares'!$C:$FB,119)</f>
        <v>0.7</v>
      </c>
      <c r="N90" s="50">
        <f>VLOOKUP($A90,'Data shares'!$C:$FB,121)*100</f>
        <v>5.71</v>
      </c>
      <c r="O90" s="50">
        <f>VLOOKUP($A90,'Data shares'!$C:$FB,124)</f>
        <v>0.65</v>
      </c>
      <c r="P90" s="50">
        <f>VLOOKUP($A90,'Data shares'!$C:$FB,125)</f>
        <v>0.42</v>
      </c>
      <c r="Q90" s="50">
        <f>VLOOKUP($A90,'Data shares'!$C:$FB,127)*100</f>
        <v>54.76</v>
      </c>
    </row>
    <row r="91" spans="1:17" x14ac:dyDescent="0.25">
      <c r="A91" s="97" t="str">
        <f>'Data Vlaue (Cr)'!C86</f>
        <v>HINDZINC</v>
      </c>
      <c r="B91" s="140">
        <f>VLOOKUP($A91,'Data shares'!$C:$FB,7)</f>
        <v>590.29999999999995</v>
      </c>
      <c r="C91" s="140">
        <f>VLOOKUP($A91,'Data shares'!$C:$FB,3)</f>
        <v>590.29999999999995</v>
      </c>
      <c r="D91" s="140">
        <f>VLOOKUP($A91,'Data shares'!$C:$FB,4)</f>
        <v>593.20000000000005</v>
      </c>
      <c r="E91" s="50">
        <f t="shared" si="3"/>
        <v>-0.48887390424816096</v>
      </c>
      <c r="F91" s="49">
        <f>VLOOKUP($A91,'Data shares'!$C:$FB,98)</f>
        <v>74807075</v>
      </c>
      <c r="G91" s="49">
        <f>VLOOKUP($A91,'Data shares'!$C:$FB,99)</f>
        <v>74200700</v>
      </c>
      <c r="H91" s="50">
        <f t="shared" si="4"/>
        <v>0.81720927161064527</v>
      </c>
      <c r="I91" s="49">
        <f>VLOOKUP($A91,'Data shares'!$C:$FB,66)</f>
        <v>33371450</v>
      </c>
      <c r="J91" s="49">
        <f>VLOOKUP($A91,'Data shares'!$C:$FB,67)</f>
        <v>31339175</v>
      </c>
      <c r="K91" s="50">
        <f t="shared" si="5"/>
        <v>6.0898612436678654</v>
      </c>
      <c r="L91" s="50">
        <f>VLOOKUP($A91,'Data shares'!$C:$FB,118)</f>
        <v>0.78</v>
      </c>
      <c r="M91" s="50">
        <f>VLOOKUP($A91,'Data shares'!$C:$FB,119)</f>
        <v>0.8</v>
      </c>
      <c r="N91" s="50">
        <f>VLOOKUP($A91,'Data shares'!$C:$FB,121)*100</f>
        <v>-2.5</v>
      </c>
      <c r="O91" s="50">
        <f>VLOOKUP($A91,'Data shares'!$C:$FB,124)</f>
        <v>0.57999999999999996</v>
      </c>
      <c r="P91" s="50">
        <f>VLOOKUP($A91,'Data shares'!$C:$FB,125)</f>
        <v>0.6</v>
      </c>
      <c r="Q91" s="50">
        <f>VLOOKUP($A91,'Data shares'!$C:$FB,127)*100</f>
        <v>-3.3300000000000005</v>
      </c>
    </row>
    <row r="92" spans="1:17" x14ac:dyDescent="0.25">
      <c r="A92" s="97" t="str">
        <f>'Data Vlaue (Cr)'!C87</f>
        <v>HUDCO</v>
      </c>
      <c r="B92" s="140">
        <f>VLOOKUP($A92,'Data shares'!$C:$FB,7)</f>
        <v>199.4</v>
      </c>
      <c r="C92" s="140">
        <f>VLOOKUP($A92,'Data shares'!$C:$FB,3)</f>
        <v>199.26</v>
      </c>
      <c r="D92" s="140">
        <f>VLOOKUP($A92,'Data shares'!$C:$FB,4)</f>
        <v>197.6</v>
      </c>
      <c r="E92" s="50">
        <f t="shared" si="3"/>
        <v>0.84008097165991724</v>
      </c>
      <c r="F92" s="49">
        <f>VLOOKUP($A92,'Data shares'!$C:$FB,98)</f>
        <v>48665175</v>
      </c>
      <c r="G92" s="49">
        <f>VLOOKUP($A92,'Data shares'!$C:$FB,99)</f>
        <v>48745650</v>
      </c>
      <c r="H92" s="50">
        <f t="shared" si="4"/>
        <v>-0.16509165433223272</v>
      </c>
      <c r="I92" s="49">
        <f>VLOOKUP($A92,'Data shares'!$C:$FB,66)</f>
        <v>47555175</v>
      </c>
      <c r="J92" s="49">
        <f>VLOOKUP($A92,'Data shares'!$C:$FB,67)</f>
        <v>45584925</v>
      </c>
      <c r="K92" s="50">
        <f t="shared" si="5"/>
        <v>4.1430822197584174</v>
      </c>
      <c r="L92" s="50">
        <f>VLOOKUP($A92,'Data shares'!$C:$FB,118)</f>
        <v>0.95</v>
      </c>
      <c r="M92" s="50">
        <f>VLOOKUP($A92,'Data shares'!$C:$FB,119)</f>
        <v>0.89</v>
      </c>
      <c r="N92" s="50">
        <f>VLOOKUP($A92,'Data shares'!$C:$FB,121)*100</f>
        <v>6.74</v>
      </c>
      <c r="O92" s="50">
        <f>VLOOKUP($A92,'Data shares'!$C:$FB,124)</f>
        <v>0.52</v>
      </c>
      <c r="P92" s="50">
        <f>VLOOKUP($A92,'Data shares'!$C:$FB,125)</f>
        <v>0.56999999999999995</v>
      </c>
      <c r="Q92" s="50">
        <f>VLOOKUP($A92,'Data shares'!$C:$FB,127)*100</f>
        <v>-8.77</v>
      </c>
    </row>
    <row r="93" spans="1:17" x14ac:dyDescent="0.25">
      <c r="A93" s="97" t="str">
        <f>'Data Vlaue (Cr)'!C88</f>
        <v>HYUNDAI</v>
      </c>
      <c r="B93" s="140">
        <f>VLOOKUP($A93,'Data shares'!$C:$FB,7)</f>
        <v>1886</v>
      </c>
      <c r="C93" s="140">
        <f>VLOOKUP($A93,'Data shares'!$C:$FB,3)</f>
        <v>1868.7</v>
      </c>
      <c r="D93" s="140">
        <f>VLOOKUP($A93,'Data shares'!$C:$FB,4)</f>
        <v>1869.4</v>
      </c>
      <c r="E93" s="50">
        <f t="shared" si="3"/>
        <v>-3.7445169573127497E-2</v>
      </c>
      <c r="F93" s="49">
        <f>VLOOKUP($A93,'Data shares'!$C:$FB,98)</f>
        <v>10086725</v>
      </c>
      <c r="G93" s="49">
        <f>VLOOKUP($A93,'Data shares'!$C:$FB,99)</f>
        <v>9905500</v>
      </c>
      <c r="H93" s="50">
        <f t="shared" si="4"/>
        <v>1.8295391449194891</v>
      </c>
      <c r="I93" s="49">
        <f>VLOOKUP($A93,'Data shares'!$C:$FB,66)</f>
        <v>3135825</v>
      </c>
      <c r="J93" s="49">
        <f>VLOOKUP($A93,'Data shares'!$C:$FB,67)</f>
        <v>7158800</v>
      </c>
      <c r="K93" s="50">
        <f t="shared" si="5"/>
        <v>-128.29080066649126</v>
      </c>
      <c r="L93" s="50">
        <f>VLOOKUP($A93,'Data shares'!$C:$FB,118)</f>
        <v>0.7</v>
      </c>
      <c r="M93" s="50">
        <f>VLOOKUP($A93,'Data shares'!$C:$FB,119)</f>
        <v>0.66</v>
      </c>
      <c r="N93" s="50">
        <f>VLOOKUP($A93,'Data shares'!$C:$FB,121)*100</f>
        <v>6.0600000000000005</v>
      </c>
      <c r="O93" s="50">
        <f>VLOOKUP($A93,'Data shares'!$C:$FB,124)</f>
        <v>0.22</v>
      </c>
      <c r="P93" s="50">
        <f>VLOOKUP($A93,'Data shares'!$C:$FB,125)</f>
        <v>0.24</v>
      </c>
      <c r="Q93" s="50">
        <f>VLOOKUP($A93,'Data shares'!$C:$FB,127)*100</f>
        <v>-8.33</v>
      </c>
    </row>
    <row r="94" spans="1:17" x14ac:dyDescent="0.25">
      <c r="A94" s="97" t="str">
        <f>'Data Vlaue (Cr)'!C89</f>
        <v>ICICIBANK</v>
      </c>
      <c r="B94" s="140">
        <f>VLOOKUP($A94,'Data shares'!$C:$FB,7)</f>
        <v>1356.2</v>
      </c>
      <c r="C94" s="140">
        <f>VLOOKUP($A94,'Data shares'!$C:$FB,3)</f>
        <v>1357.3</v>
      </c>
      <c r="D94" s="140">
        <f>VLOOKUP($A94,'Data shares'!$C:$FB,4)</f>
        <v>1351.6</v>
      </c>
      <c r="E94" s="50">
        <f t="shared" si="3"/>
        <v>0.42172240307783704</v>
      </c>
      <c r="F94" s="49">
        <f>VLOOKUP($A94,'Data shares'!$C:$FB,98)</f>
        <v>173072900</v>
      </c>
      <c r="G94" s="49">
        <f>VLOOKUP($A94,'Data shares'!$C:$FB,99)</f>
        <v>171844400</v>
      </c>
      <c r="H94" s="50">
        <f t="shared" si="4"/>
        <v>0.71489091294217333</v>
      </c>
      <c r="I94" s="49">
        <f>VLOOKUP($A94,'Data shares'!$C:$FB,66)</f>
        <v>228769100</v>
      </c>
      <c r="J94" s="49">
        <f>VLOOKUP($A94,'Data shares'!$C:$FB,67)</f>
        <v>116723600</v>
      </c>
      <c r="K94" s="50">
        <f t="shared" si="5"/>
        <v>48.977549852668041</v>
      </c>
      <c r="L94" s="50">
        <f>VLOOKUP($A94,'Data shares'!$C:$FB,118)</f>
        <v>0.67</v>
      </c>
      <c r="M94" s="50">
        <f>VLOOKUP($A94,'Data shares'!$C:$FB,119)</f>
        <v>0.83</v>
      </c>
      <c r="N94" s="50">
        <f>VLOOKUP($A94,'Data shares'!$C:$FB,121)*100</f>
        <v>-19.28</v>
      </c>
      <c r="O94" s="50">
        <f>VLOOKUP($A94,'Data shares'!$C:$FB,124)</f>
        <v>0.52</v>
      </c>
      <c r="P94" s="50">
        <f>VLOOKUP($A94,'Data shares'!$C:$FB,125)</f>
        <v>0.68</v>
      </c>
      <c r="Q94" s="50">
        <f>VLOOKUP($A94,'Data shares'!$C:$FB,127)*100</f>
        <v>-23.53</v>
      </c>
    </row>
    <row r="95" spans="1:17" x14ac:dyDescent="0.25">
      <c r="A95" s="97" t="str">
        <f>'Data Vlaue (Cr)'!C90</f>
        <v>ICICIGI</v>
      </c>
      <c r="B95" s="140">
        <f>VLOOKUP($A95,'Data shares'!$C:$FB,7)</f>
        <v>1876.5</v>
      </c>
      <c r="C95" s="140">
        <f>VLOOKUP($A95,'Data shares'!$C:$FB,3)</f>
        <v>1872.3</v>
      </c>
      <c r="D95" s="140">
        <f>VLOOKUP($A95,'Data shares'!$C:$FB,4)</f>
        <v>1890.9</v>
      </c>
      <c r="E95" s="50">
        <f t="shared" si="3"/>
        <v>-0.98365857528161915</v>
      </c>
      <c r="F95" s="49">
        <f>VLOOKUP($A95,'Data shares'!$C:$FB,98)</f>
        <v>8170175</v>
      </c>
      <c r="G95" s="49">
        <f>VLOOKUP($A95,'Data shares'!$C:$FB,99)</f>
        <v>8403200</v>
      </c>
      <c r="H95" s="50">
        <f t="shared" si="4"/>
        <v>-2.7730507425742577</v>
      </c>
      <c r="I95" s="49">
        <f>VLOOKUP($A95,'Data shares'!$C:$FB,66)</f>
        <v>2057250</v>
      </c>
      <c r="J95" s="49">
        <f>VLOOKUP($A95,'Data shares'!$C:$FB,67)</f>
        <v>4885725</v>
      </c>
      <c r="K95" s="50">
        <f t="shared" si="5"/>
        <v>-137.48815165876778</v>
      </c>
      <c r="L95" s="50">
        <f>VLOOKUP($A95,'Data shares'!$C:$FB,118)</f>
        <v>0.82</v>
      </c>
      <c r="M95" s="50">
        <f>VLOOKUP($A95,'Data shares'!$C:$FB,119)</f>
        <v>0.88</v>
      </c>
      <c r="N95" s="50">
        <f>VLOOKUP($A95,'Data shares'!$C:$FB,121)*100</f>
        <v>-6.8199999999999994</v>
      </c>
      <c r="O95" s="50">
        <f>VLOOKUP($A95,'Data shares'!$C:$FB,124)</f>
        <v>0.6</v>
      </c>
      <c r="P95" s="50">
        <f>VLOOKUP($A95,'Data shares'!$C:$FB,125)</f>
        <v>0.65</v>
      </c>
      <c r="Q95" s="50">
        <f>VLOOKUP($A95,'Data shares'!$C:$FB,127)*100</f>
        <v>-7.6899999999999995</v>
      </c>
    </row>
    <row r="96" spans="1:17" x14ac:dyDescent="0.25">
      <c r="A96" s="97" t="str">
        <f>'Data Vlaue (Cr)'!C91</f>
        <v>ICICIPRULI</v>
      </c>
      <c r="B96" s="140">
        <f>VLOOKUP($A96,'Data shares'!$C:$FB,7)</f>
        <v>557.9</v>
      </c>
      <c r="C96" s="140">
        <f>VLOOKUP($A96,'Data shares'!$C:$FB,3)</f>
        <v>559.20000000000005</v>
      </c>
      <c r="D96" s="140">
        <f>VLOOKUP($A96,'Data shares'!$C:$FB,4)</f>
        <v>562.75</v>
      </c>
      <c r="E96" s="50">
        <f t="shared" si="3"/>
        <v>-0.63083074189248423</v>
      </c>
      <c r="F96" s="49">
        <f>VLOOKUP($A96,'Data shares'!$C:$FB,98)</f>
        <v>32254750</v>
      </c>
      <c r="G96" s="49">
        <f>VLOOKUP($A96,'Data shares'!$C:$FB,99)</f>
        <v>32592375</v>
      </c>
      <c r="H96" s="50">
        <f t="shared" si="4"/>
        <v>-1.035901802185327</v>
      </c>
      <c r="I96" s="49">
        <f>VLOOKUP($A96,'Data shares'!$C:$FB,66)</f>
        <v>11621700</v>
      </c>
      <c r="J96" s="49">
        <f>VLOOKUP($A96,'Data shares'!$C:$FB,67)</f>
        <v>18208625</v>
      </c>
      <c r="K96" s="50">
        <f t="shared" si="5"/>
        <v>-56.677809614772364</v>
      </c>
      <c r="L96" s="50">
        <f>VLOOKUP($A96,'Data shares'!$C:$FB,118)</f>
        <v>0.65</v>
      </c>
      <c r="M96" s="50">
        <f>VLOOKUP($A96,'Data shares'!$C:$FB,119)</f>
        <v>0.71</v>
      </c>
      <c r="N96" s="50">
        <f>VLOOKUP($A96,'Data shares'!$C:$FB,121)*100</f>
        <v>-8.4500000000000011</v>
      </c>
      <c r="O96" s="50">
        <f>VLOOKUP($A96,'Data shares'!$C:$FB,124)</f>
        <v>0.66</v>
      </c>
      <c r="P96" s="50">
        <f>VLOOKUP($A96,'Data shares'!$C:$FB,125)</f>
        <v>0.55000000000000004</v>
      </c>
      <c r="Q96" s="50">
        <f>VLOOKUP($A96,'Data shares'!$C:$FB,127)*100</f>
        <v>20</v>
      </c>
    </row>
    <row r="97" spans="1:17" x14ac:dyDescent="0.25">
      <c r="A97" s="97" t="str">
        <f>'Data Vlaue (Cr)'!C92</f>
        <v>IDEA</v>
      </c>
      <c r="B97" s="140">
        <f>VLOOKUP($A97,'Data shares'!$C:$FB,7)</f>
        <v>9.4700000000000006</v>
      </c>
      <c r="C97" s="140">
        <f>VLOOKUP($A97,'Data shares'!$C:$FB,3)</f>
        <v>9.4499999999999993</v>
      </c>
      <c r="D97" s="140">
        <f>VLOOKUP($A97,'Data shares'!$C:$FB,4)</f>
        <v>9.61</v>
      </c>
      <c r="E97" s="50">
        <f t="shared" si="3"/>
        <v>-1.6649323621227903</v>
      </c>
      <c r="F97" s="49">
        <f>VLOOKUP($A97,'Data shares'!$C:$FB,98)</f>
        <v>8866259325</v>
      </c>
      <c r="G97" s="49">
        <f>VLOOKUP($A97,'Data shares'!$C:$FB,99)</f>
        <v>8756044875</v>
      </c>
      <c r="H97" s="50">
        <f t="shared" si="4"/>
        <v>1.2587241337088282</v>
      </c>
      <c r="I97" s="49">
        <f>VLOOKUP($A97,'Data shares'!$C:$FB,66)</f>
        <v>2146465725</v>
      </c>
      <c r="J97" s="49">
        <f>VLOOKUP($A97,'Data shares'!$C:$FB,67)</f>
        <v>1973067375</v>
      </c>
      <c r="K97" s="50">
        <f t="shared" si="5"/>
        <v>8.0783190702940288</v>
      </c>
      <c r="L97" s="50">
        <f>VLOOKUP($A97,'Data shares'!$C:$FB,118)</f>
        <v>0.52</v>
      </c>
      <c r="M97" s="50">
        <f>VLOOKUP($A97,'Data shares'!$C:$FB,119)</f>
        <v>0.52</v>
      </c>
      <c r="N97" s="50">
        <f>VLOOKUP($A97,'Data shares'!$C:$FB,121)*100</f>
        <v>0</v>
      </c>
      <c r="O97" s="50">
        <f>VLOOKUP($A97,'Data shares'!$C:$FB,124)</f>
        <v>0.37</v>
      </c>
      <c r="P97" s="50">
        <f>VLOOKUP($A97,'Data shares'!$C:$FB,125)</f>
        <v>0.38</v>
      </c>
      <c r="Q97" s="50">
        <f>VLOOKUP($A97,'Data shares'!$C:$FB,127)*100</f>
        <v>-2.63</v>
      </c>
    </row>
    <row r="98" spans="1:17" x14ac:dyDescent="0.25">
      <c r="A98" s="97" t="str">
        <f>'Data Vlaue (Cr)'!C93</f>
        <v>IDFCFIRSTB</v>
      </c>
      <c r="B98" s="140">
        <f>VLOOKUP($A98,'Data shares'!$C:$FB,7)</f>
        <v>67.5</v>
      </c>
      <c r="C98" s="140">
        <f>VLOOKUP($A98,'Data shares'!$C:$FB,3)</f>
        <v>67.599999999999994</v>
      </c>
      <c r="D98" s="140">
        <f>VLOOKUP($A98,'Data shares'!$C:$FB,4)</f>
        <v>68.55</v>
      </c>
      <c r="E98" s="50">
        <f t="shared" si="3"/>
        <v>-1.3858497447118934</v>
      </c>
      <c r="F98" s="49">
        <f>VLOOKUP($A98,'Data shares'!$C:$FB,98)</f>
        <v>648155550</v>
      </c>
      <c r="G98" s="49">
        <f>VLOOKUP($A98,'Data shares'!$C:$FB,99)</f>
        <v>651002975</v>
      </c>
      <c r="H98" s="50">
        <f t="shared" si="4"/>
        <v>-0.43739047429084332</v>
      </c>
      <c r="I98" s="49">
        <f>VLOOKUP($A98,'Data shares'!$C:$FB,66)</f>
        <v>203011200</v>
      </c>
      <c r="J98" s="49">
        <f>VLOOKUP($A98,'Data shares'!$C:$FB,67)</f>
        <v>215634475</v>
      </c>
      <c r="K98" s="50">
        <f t="shared" si="5"/>
        <v>-6.2180190058479532</v>
      </c>
      <c r="L98" s="50">
        <f>VLOOKUP($A98,'Data shares'!$C:$FB,118)</f>
        <v>0.91</v>
      </c>
      <c r="M98" s="50">
        <f>VLOOKUP($A98,'Data shares'!$C:$FB,119)</f>
        <v>0.93</v>
      </c>
      <c r="N98" s="50">
        <f>VLOOKUP($A98,'Data shares'!$C:$FB,121)*100</f>
        <v>-2.15</v>
      </c>
      <c r="O98" s="50">
        <f>VLOOKUP($A98,'Data shares'!$C:$FB,124)</f>
        <v>0.86</v>
      </c>
      <c r="P98" s="50">
        <f>VLOOKUP($A98,'Data shares'!$C:$FB,125)</f>
        <v>0.88</v>
      </c>
      <c r="Q98" s="50">
        <f>VLOOKUP($A98,'Data shares'!$C:$FB,127)*100</f>
        <v>-2.27</v>
      </c>
    </row>
    <row r="99" spans="1:17" x14ac:dyDescent="0.25">
      <c r="A99" s="97" t="str">
        <f>'Data Vlaue (Cr)'!C94</f>
        <v>IEX</v>
      </c>
      <c r="B99" s="140">
        <f>VLOOKUP($A99,'Data shares'!$C:$FB,7)</f>
        <v>124.99</v>
      </c>
      <c r="C99" s="140">
        <f>VLOOKUP($A99,'Data shares'!$C:$FB,3)</f>
        <v>124.98</v>
      </c>
      <c r="D99" s="140">
        <f>VLOOKUP($A99,'Data shares'!$C:$FB,4)</f>
        <v>135.82</v>
      </c>
      <c r="E99" s="50">
        <f t="shared" si="3"/>
        <v>-7.9811515240759761</v>
      </c>
      <c r="F99" s="49">
        <f>VLOOKUP($A99,'Data shares'!$C:$FB,98)</f>
        <v>176636250</v>
      </c>
      <c r="G99" s="49">
        <f>VLOOKUP($A99,'Data shares'!$C:$FB,99)</f>
        <v>138453750</v>
      </c>
      <c r="H99" s="50">
        <f t="shared" si="4"/>
        <v>27.577801251320388</v>
      </c>
      <c r="I99" s="49">
        <f>VLOOKUP($A99,'Data shares'!$C:$FB,66)</f>
        <v>292068750</v>
      </c>
      <c r="J99" s="49">
        <f>VLOOKUP($A99,'Data shares'!$C:$FB,67)</f>
        <v>65677500</v>
      </c>
      <c r="K99" s="50">
        <f t="shared" si="5"/>
        <v>77.512999935802782</v>
      </c>
      <c r="L99" s="50">
        <f>VLOOKUP($A99,'Data shares'!$C:$FB,118)</f>
        <v>0.79</v>
      </c>
      <c r="M99" s="50">
        <f>VLOOKUP($A99,'Data shares'!$C:$FB,119)</f>
        <v>0.93</v>
      </c>
      <c r="N99" s="50">
        <f>VLOOKUP($A99,'Data shares'!$C:$FB,121)*100</f>
        <v>-15.049999999999999</v>
      </c>
      <c r="O99" s="50">
        <f>VLOOKUP($A99,'Data shares'!$C:$FB,124)</f>
        <v>1.06</v>
      </c>
      <c r="P99" s="50">
        <f>VLOOKUP($A99,'Data shares'!$C:$FB,125)</f>
        <v>0.44</v>
      </c>
      <c r="Q99" s="50">
        <f>VLOOKUP($A99,'Data shares'!$C:$FB,127)*100</f>
        <v>140.91</v>
      </c>
    </row>
    <row r="100" spans="1:17" x14ac:dyDescent="0.25">
      <c r="A100" s="97" t="str">
        <f>'Data Vlaue (Cr)'!C95</f>
        <v>INDHOTEL</v>
      </c>
      <c r="B100" s="140">
        <f>VLOOKUP($A100,'Data shares'!$C:$FB,7)</f>
        <v>659.5</v>
      </c>
      <c r="C100" s="140">
        <f>VLOOKUP($A100,'Data shares'!$C:$FB,3)</f>
        <v>657.95</v>
      </c>
      <c r="D100" s="140">
        <f>VLOOKUP($A100,'Data shares'!$C:$FB,4)</f>
        <v>659.55</v>
      </c>
      <c r="E100" s="50">
        <f t="shared" si="3"/>
        <v>-0.24258964445453857</v>
      </c>
      <c r="F100" s="49">
        <f>VLOOKUP($A100,'Data shares'!$C:$FB,98)</f>
        <v>33818000</v>
      </c>
      <c r="G100" s="49">
        <f>VLOOKUP($A100,'Data shares'!$C:$FB,99)</f>
        <v>34118000</v>
      </c>
      <c r="H100" s="50">
        <f t="shared" si="4"/>
        <v>-0.87930124860777292</v>
      </c>
      <c r="I100" s="49">
        <f>VLOOKUP($A100,'Data shares'!$C:$FB,66)</f>
        <v>11338000</v>
      </c>
      <c r="J100" s="49">
        <f>VLOOKUP($A100,'Data shares'!$C:$FB,67)</f>
        <v>15126000</v>
      </c>
      <c r="K100" s="50">
        <f t="shared" si="5"/>
        <v>-33.409772446639622</v>
      </c>
      <c r="L100" s="50">
        <f>VLOOKUP($A100,'Data shares'!$C:$FB,118)</f>
        <v>0.98</v>
      </c>
      <c r="M100" s="50">
        <f>VLOOKUP($A100,'Data shares'!$C:$FB,119)</f>
        <v>0.97</v>
      </c>
      <c r="N100" s="50">
        <f>VLOOKUP($A100,'Data shares'!$C:$FB,121)*100</f>
        <v>1.03</v>
      </c>
      <c r="O100" s="50">
        <f>VLOOKUP($A100,'Data shares'!$C:$FB,124)</f>
        <v>0.73</v>
      </c>
      <c r="P100" s="50">
        <f>VLOOKUP($A100,'Data shares'!$C:$FB,125)</f>
        <v>0.68</v>
      </c>
      <c r="Q100" s="50">
        <f>VLOOKUP($A100,'Data shares'!$C:$FB,127)*100</f>
        <v>7.35</v>
      </c>
    </row>
    <row r="101" spans="1:17" x14ac:dyDescent="0.25">
      <c r="A101" s="97" t="str">
        <f>'Data Vlaue (Cr)'!C96</f>
        <v>INDIANB</v>
      </c>
      <c r="B101" s="140">
        <f>VLOOKUP($A101,'Data shares'!$C:$FB,7)</f>
        <v>928.3</v>
      </c>
      <c r="C101" s="140">
        <f>VLOOKUP($A101,'Data shares'!$C:$FB,3)</f>
        <v>931.2</v>
      </c>
      <c r="D101" s="140">
        <f>VLOOKUP($A101,'Data shares'!$C:$FB,4)</f>
        <v>942.25</v>
      </c>
      <c r="E101" s="50">
        <f t="shared" si="3"/>
        <v>-1.1727248607057528</v>
      </c>
      <c r="F101" s="49">
        <f>VLOOKUP($A101,'Data shares'!$C:$FB,98)</f>
        <v>21334000</v>
      </c>
      <c r="G101" s="49">
        <f>VLOOKUP($A101,'Data shares'!$C:$FB,99)</f>
        <v>19614000</v>
      </c>
      <c r="H101" s="50">
        <f t="shared" si="4"/>
        <v>8.769246456612624</v>
      </c>
      <c r="I101" s="49">
        <f>VLOOKUP($A101,'Data shares'!$C:$FB,66)</f>
        <v>16914000</v>
      </c>
      <c r="J101" s="49">
        <f>VLOOKUP($A101,'Data shares'!$C:$FB,67)</f>
        <v>9866000</v>
      </c>
      <c r="K101" s="50">
        <f t="shared" si="5"/>
        <v>41.669622797682393</v>
      </c>
      <c r="L101" s="50">
        <f>VLOOKUP($A101,'Data shares'!$C:$FB,118)</f>
        <v>0.5</v>
      </c>
      <c r="M101" s="50">
        <f>VLOOKUP($A101,'Data shares'!$C:$FB,119)</f>
        <v>0.53</v>
      </c>
      <c r="N101" s="50">
        <f>VLOOKUP($A101,'Data shares'!$C:$FB,121)*100</f>
        <v>-5.66</v>
      </c>
      <c r="O101" s="50">
        <f>VLOOKUP($A101,'Data shares'!$C:$FB,124)</f>
        <v>0.33</v>
      </c>
      <c r="P101" s="50">
        <f>VLOOKUP($A101,'Data shares'!$C:$FB,125)</f>
        <v>0.35</v>
      </c>
      <c r="Q101" s="50">
        <f>VLOOKUP($A101,'Data shares'!$C:$FB,127)*100</f>
        <v>-5.71</v>
      </c>
    </row>
    <row r="102" spans="1:17" x14ac:dyDescent="0.25">
      <c r="A102" s="97" t="str">
        <f>'Data Vlaue (Cr)'!C97</f>
        <v>INDIAVIX</v>
      </c>
      <c r="B102" s="140">
        <f>VLOOKUP($A102,'Data shares'!$C:$FB,7)</f>
        <v>18.79</v>
      </c>
      <c r="C102" s="140">
        <f>VLOOKUP($A102,'Data shares'!$C:$FB,3)</f>
        <v>18.79</v>
      </c>
      <c r="D102" s="140">
        <f>VLOOKUP($A102,'Data shares'!$C:$FB,4)</f>
        <v>17.2</v>
      </c>
      <c r="E102" s="50">
        <f t="shared" si="3"/>
        <v>9.2441860465116275</v>
      </c>
      <c r="F102" s="49">
        <f>VLOOKUP($A102,'Data shares'!$C:$FB,98)</f>
        <v>0</v>
      </c>
      <c r="G102" s="49">
        <f>VLOOKUP($A102,'Data shares'!$C:$FB,99)</f>
        <v>0</v>
      </c>
      <c r="H102" s="50" t="e">
        <f t="shared" si="4"/>
        <v>#DIV/0!</v>
      </c>
      <c r="I102" s="49">
        <f>VLOOKUP($A102,'Data shares'!$C:$FB,66)</f>
        <v>0</v>
      </c>
      <c r="J102" s="49">
        <f>VLOOKUP($A102,'Data shares'!$C:$FB,67)</f>
        <v>0</v>
      </c>
      <c r="K102" s="50" t="e">
        <f t="shared" si="5"/>
        <v>#DIV/0!</v>
      </c>
      <c r="L102" s="50">
        <f>VLOOKUP($A102,'Data shares'!$C:$FB,118)</f>
        <v>0</v>
      </c>
      <c r="M102" s="50">
        <f>VLOOKUP($A102,'Data shares'!$C:$FB,119)</f>
        <v>0</v>
      </c>
      <c r="N102" s="50">
        <f>VLOOKUP($A102,'Data shares'!$C:$FB,121)*100</f>
        <v>0</v>
      </c>
      <c r="O102" s="50">
        <f>VLOOKUP($A102,'Data shares'!$C:$FB,124)</f>
        <v>0</v>
      </c>
      <c r="P102" s="50">
        <f>VLOOKUP($A102,'Data shares'!$C:$FB,125)</f>
        <v>0</v>
      </c>
      <c r="Q102" s="50">
        <f>VLOOKUP($A102,'Data shares'!$C:$FB,127)*100</f>
        <v>0</v>
      </c>
    </row>
    <row r="103" spans="1:17" x14ac:dyDescent="0.25">
      <c r="A103" s="97" t="str">
        <f>'Data Vlaue (Cr)'!C98</f>
        <v>INDIGO</v>
      </c>
      <c r="B103" s="140">
        <f>VLOOKUP($A103,'Data shares'!$C:$FB,7)</f>
        <v>4678.2</v>
      </c>
      <c r="C103" s="140">
        <f>VLOOKUP($A103,'Data shares'!$C:$FB,3)</f>
        <v>4672.3</v>
      </c>
      <c r="D103" s="140">
        <f>VLOOKUP($A103,'Data shares'!$C:$FB,4)</f>
        <v>4647.8999999999996</v>
      </c>
      <c r="E103" s="50">
        <f t="shared" si="3"/>
        <v>0.52496826523807627</v>
      </c>
      <c r="F103" s="49">
        <f>VLOOKUP($A103,'Data shares'!$C:$FB,98)</f>
        <v>17881950</v>
      </c>
      <c r="G103" s="49">
        <f>VLOOKUP($A103,'Data shares'!$C:$FB,99)</f>
        <v>17672400</v>
      </c>
      <c r="H103" s="50">
        <f t="shared" si="4"/>
        <v>1.185747266924696</v>
      </c>
      <c r="I103" s="49">
        <f>VLOOKUP($A103,'Data shares'!$C:$FB,66)</f>
        <v>11590800</v>
      </c>
      <c r="J103" s="49">
        <f>VLOOKUP($A103,'Data shares'!$C:$FB,67)</f>
        <v>8943000</v>
      </c>
      <c r="K103" s="50">
        <f t="shared" si="5"/>
        <v>22.843979708044309</v>
      </c>
      <c r="L103" s="50">
        <f>VLOOKUP($A103,'Data shares'!$C:$FB,118)</f>
        <v>0.74</v>
      </c>
      <c r="M103" s="50">
        <f>VLOOKUP($A103,'Data shares'!$C:$FB,119)</f>
        <v>0.69</v>
      </c>
      <c r="N103" s="50">
        <f>VLOOKUP($A103,'Data shares'!$C:$FB,121)*100</f>
        <v>7.2499999999999991</v>
      </c>
      <c r="O103" s="50">
        <f>VLOOKUP($A103,'Data shares'!$C:$FB,124)</f>
        <v>0.96</v>
      </c>
      <c r="P103" s="50">
        <f>VLOOKUP($A103,'Data shares'!$C:$FB,125)</f>
        <v>0.89</v>
      </c>
      <c r="Q103" s="50">
        <f>VLOOKUP($A103,'Data shares'!$C:$FB,127)*100</f>
        <v>7.870000000000001</v>
      </c>
    </row>
    <row r="104" spans="1:17" x14ac:dyDescent="0.25">
      <c r="A104" s="97" t="str">
        <f>'Data Vlaue (Cr)'!C99</f>
        <v>INDUSINDBK</v>
      </c>
      <c r="B104" s="140">
        <f>VLOOKUP($A104,'Data shares'!$C:$FB,7)</f>
        <v>851.95</v>
      </c>
      <c r="C104" s="140">
        <f>VLOOKUP($A104,'Data shares'!$C:$FB,3)</f>
        <v>850.2</v>
      </c>
      <c r="D104" s="140">
        <f>VLOOKUP($A104,'Data shares'!$C:$FB,4)</f>
        <v>852.35</v>
      </c>
      <c r="E104" s="50">
        <f t="shared" si="3"/>
        <v>-0.25224379656244234</v>
      </c>
      <c r="F104" s="49">
        <f>VLOOKUP($A104,'Data shares'!$C:$FB,98)</f>
        <v>51695000</v>
      </c>
      <c r="G104" s="49">
        <f>VLOOKUP($A104,'Data shares'!$C:$FB,99)</f>
        <v>52703700</v>
      </c>
      <c r="H104" s="50">
        <f t="shared" si="4"/>
        <v>-1.9139073727271521</v>
      </c>
      <c r="I104" s="49">
        <f>VLOOKUP($A104,'Data shares'!$C:$FB,66)</f>
        <v>16128000</v>
      </c>
      <c r="J104" s="49">
        <f>VLOOKUP($A104,'Data shares'!$C:$FB,67)</f>
        <v>16914100</v>
      </c>
      <c r="K104" s="50">
        <f t="shared" si="5"/>
        <v>-4.8741319444444446</v>
      </c>
      <c r="L104" s="50">
        <f>VLOOKUP($A104,'Data shares'!$C:$FB,118)</f>
        <v>0.77</v>
      </c>
      <c r="M104" s="50">
        <f>VLOOKUP($A104,'Data shares'!$C:$FB,119)</f>
        <v>0.77</v>
      </c>
      <c r="N104" s="50">
        <f>VLOOKUP($A104,'Data shares'!$C:$FB,121)*100</f>
        <v>0</v>
      </c>
      <c r="O104" s="50">
        <f>VLOOKUP($A104,'Data shares'!$C:$FB,124)</f>
        <v>0.75</v>
      </c>
      <c r="P104" s="50">
        <f>VLOOKUP($A104,'Data shares'!$C:$FB,125)</f>
        <v>0.57999999999999996</v>
      </c>
      <c r="Q104" s="50">
        <f>VLOOKUP($A104,'Data shares'!$C:$FB,127)*100</f>
        <v>29.310000000000002</v>
      </c>
    </row>
    <row r="105" spans="1:17" x14ac:dyDescent="0.25">
      <c r="A105" s="97" t="str">
        <f>'Data Vlaue (Cr)'!C100</f>
        <v>INDUSTOWER</v>
      </c>
      <c r="B105" s="140">
        <f>VLOOKUP($A105,'Data shares'!$C:$FB,7)</f>
        <v>405.8</v>
      </c>
      <c r="C105" s="140">
        <f>VLOOKUP($A105,'Data shares'!$C:$FB,3)</f>
        <v>406.95</v>
      </c>
      <c r="D105" s="140">
        <f>VLOOKUP($A105,'Data shares'!$C:$FB,4)</f>
        <v>413.35</v>
      </c>
      <c r="E105" s="50">
        <f t="shared" si="3"/>
        <v>-1.5483246643280595</v>
      </c>
      <c r="F105" s="49">
        <f>VLOOKUP($A105,'Data shares'!$C:$FB,98)</f>
        <v>115941700</v>
      </c>
      <c r="G105" s="49">
        <f>VLOOKUP($A105,'Data shares'!$C:$FB,99)</f>
        <v>113077200</v>
      </c>
      <c r="H105" s="50">
        <f t="shared" si="4"/>
        <v>2.5332250887004628</v>
      </c>
      <c r="I105" s="49">
        <f>VLOOKUP($A105,'Data shares'!$C:$FB,66)</f>
        <v>42163400</v>
      </c>
      <c r="J105" s="49">
        <f>VLOOKUP($A105,'Data shares'!$C:$FB,67)</f>
        <v>73506300</v>
      </c>
      <c r="K105" s="50">
        <f t="shared" si="5"/>
        <v>-74.336747036529317</v>
      </c>
      <c r="L105" s="50">
        <f>VLOOKUP($A105,'Data shares'!$C:$FB,118)</f>
        <v>0.53</v>
      </c>
      <c r="M105" s="50">
        <f>VLOOKUP($A105,'Data shares'!$C:$FB,119)</f>
        <v>0.57999999999999996</v>
      </c>
      <c r="N105" s="50">
        <f>VLOOKUP($A105,'Data shares'!$C:$FB,121)*100</f>
        <v>-8.6199999999999992</v>
      </c>
      <c r="O105" s="50">
        <f>VLOOKUP($A105,'Data shares'!$C:$FB,124)</f>
        <v>0.39</v>
      </c>
      <c r="P105" s="50">
        <f>VLOOKUP($A105,'Data shares'!$C:$FB,125)</f>
        <v>0.52</v>
      </c>
      <c r="Q105" s="50">
        <f>VLOOKUP($A105,'Data shares'!$C:$FB,127)*100</f>
        <v>-25</v>
      </c>
    </row>
    <row r="106" spans="1:17" x14ac:dyDescent="0.25">
      <c r="A106" s="97" t="str">
        <f>'Data Vlaue (Cr)'!C101</f>
        <v>INFY</v>
      </c>
      <c r="B106" s="140">
        <f>VLOOKUP($A106,'Data shares'!$C:$FB,7)</f>
        <v>1312.6</v>
      </c>
      <c r="C106" s="140">
        <f>VLOOKUP($A106,'Data shares'!$C:$FB,3)</f>
        <v>1309.3</v>
      </c>
      <c r="D106" s="140">
        <f>VLOOKUP($A106,'Data shares'!$C:$FB,4)</f>
        <v>1321</v>
      </c>
      <c r="E106" s="50">
        <f t="shared" si="3"/>
        <v>-0.88569265707797473</v>
      </c>
      <c r="F106" s="49">
        <f>VLOOKUP($A106,'Data shares'!$C:$FB,98)</f>
        <v>129382000</v>
      </c>
      <c r="G106" s="49">
        <f>VLOOKUP($A106,'Data shares'!$C:$FB,99)</f>
        <v>128380400</v>
      </c>
      <c r="H106" s="50">
        <f t="shared" si="4"/>
        <v>0.78018139840661027</v>
      </c>
      <c r="I106" s="49">
        <f>VLOOKUP($A106,'Data shares'!$C:$FB,66)</f>
        <v>32884400</v>
      </c>
      <c r="J106" s="49">
        <f>VLOOKUP($A106,'Data shares'!$C:$FB,67)</f>
        <v>42485600</v>
      </c>
      <c r="K106" s="50">
        <f t="shared" si="5"/>
        <v>-29.196822809599688</v>
      </c>
      <c r="L106" s="50">
        <f>VLOOKUP($A106,'Data shares'!$C:$FB,118)</f>
        <v>0.71</v>
      </c>
      <c r="M106" s="50">
        <f>VLOOKUP($A106,'Data shares'!$C:$FB,119)</f>
        <v>0.71</v>
      </c>
      <c r="N106" s="50">
        <f>VLOOKUP($A106,'Data shares'!$C:$FB,121)*100</f>
        <v>0</v>
      </c>
      <c r="O106" s="50">
        <f>VLOOKUP($A106,'Data shares'!$C:$FB,124)</f>
        <v>0.57999999999999996</v>
      </c>
      <c r="P106" s="50">
        <f>VLOOKUP($A106,'Data shares'!$C:$FB,125)</f>
        <v>0.73</v>
      </c>
      <c r="Q106" s="50">
        <f>VLOOKUP($A106,'Data shares'!$C:$FB,127)*100</f>
        <v>-20.549999999999997</v>
      </c>
    </row>
    <row r="107" spans="1:17" x14ac:dyDescent="0.25">
      <c r="A107" s="97" t="str">
        <f>'Data Vlaue (Cr)'!C102</f>
        <v>INOXWIND</v>
      </c>
      <c r="B107" s="140">
        <f>VLOOKUP($A107,'Data shares'!$C:$FB,7)</f>
        <v>97.35</v>
      </c>
      <c r="C107" s="140">
        <f>VLOOKUP($A107,'Data shares'!$C:$FB,3)</f>
        <v>97.14</v>
      </c>
      <c r="D107" s="140">
        <f>VLOOKUP($A107,'Data shares'!$C:$FB,4)</f>
        <v>97.82</v>
      </c>
      <c r="E107" s="50">
        <f t="shared" si="3"/>
        <v>-0.69515436516049134</v>
      </c>
      <c r="F107" s="49">
        <f>VLOOKUP($A107,'Data shares'!$C:$FB,98)</f>
        <v>150157150</v>
      </c>
      <c r="G107" s="49">
        <f>VLOOKUP($A107,'Data shares'!$C:$FB,99)</f>
        <v>151061625</v>
      </c>
      <c r="H107" s="50">
        <f t="shared" si="4"/>
        <v>-0.59874571056679682</v>
      </c>
      <c r="I107" s="49">
        <f>VLOOKUP($A107,'Data shares'!$C:$FB,66)</f>
        <v>44161975</v>
      </c>
      <c r="J107" s="49">
        <f>VLOOKUP($A107,'Data shares'!$C:$FB,67)</f>
        <v>111675850</v>
      </c>
      <c r="K107" s="50">
        <f t="shared" si="5"/>
        <v>-152.87784343884076</v>
      </c>
      <c r="L107" s="50">
        <f>VLOOKUP($A107,'Data shares'!$C:$FB,118)</f>
        <v>0.82</v>
      </c>
      <c r="M107" s="50">
        <f>VLOOKUP($A107,'Data shares'!$C:$FB,119)</f>
        <v>0.82</v>
      </c>
      <c r="N107" s="50">
        <f>VLOOKUP($A107,'Data shares'!$C:$FB,121)*100</f>
        <v>0</v>
      </c>
      <c r="O107" s="50">
        <f>VLOOKUP($A107,'Data shares'!$C:$FB,124)</f>
        <v>0.32</v>
      </c>
      <c r="P107" s="50">
        <f>VLOOKUP($A107,'Data shares'!$C:$FB,125)</f>
        <v>0.35</v>
      </c>
      <c r="Q107" s="50">
        <f>VLOOKUP($A107,'Data shares'!$C:$FB,127)*100</f>
        <v>-8.57</v>
      </c>
    </row>
    <row r="108" spans="1:17" x14ac:dyDescent="0.25">
      <c r="A108" s="97" t="str">
        <f>'Data Vlaue (Cr)'!C103</f>
        <v>IOC</v>
      </c>
      <c r="B108" s="140">
        <f>VLOOKUP($A108,'Data shares'!$C:$FB,7)</f>
        <v>146.87</v>
      </c>
      <c r="C108" s="140">
        <f>VLOOKUP($A108,'Data shares'!$C:$FB,3)</f>
        <v>146.69</v>
      </c>
      <c r="D108" s="140">
        <f>VLOOKUP($A108,'Data shares'!$C:$FB,4)</f>
        <v>146.21</v>
      </c>
      <c r="E108" s="50">
        <f t="shared" si="3"/>
        <v>0.32829491826823731</v>
      </c>
      <c r="F108" s="49">
        <f>VLOOKUP($A108,'Data shares'!$C:$FB,98)</f>
        <v>223708875</v>
      </c>
      <c r="G108" s="49">
        <f>VLOOKUP($A108,'Data shares'!$C:$FB,99)</f>
        <v>214461000</v>
      </c>
      <c r="H108" s="50">
        <f t="shared" si="4"/>
        <v>4.3121476632114932</v>
      </c>
      <c r="I108" s="49">
        <f>VLOOKUP($A108,'Data shares'!$C:$FB,66)</f>
        <v>116078625</v>
      </c>
      <c r="J108" s="49">
        <f>VLOOKUP($A108,'Data shares'!$C:$FB,67)</f>
        <v>69717375</v>
      </c>
      <c r="K108" s="50">
        <f t="shared" si="5"/>
        <v>39.939523749527531</v>
      </c>
      <c r="L108" s="50">
        <f>VLOOKUP($A108,'Data shares'!$C:$FB,118)</f>
        <v>0.71</v>
      </c>
      <c r="M108" s="50">
        <f>VLOOKUP($A108,'Data shares'!$C:$FB,119)</f>
        <v>0.73</v>
      </c>
      <c r="N108" s="50">
        <f>VLOOKUP($A108,'Data shares'!$C:$FB,121)*100</f>
        <v>-2.74</v>
      </c>
      <c r="O108" s="50">
        <f>VLOOKUP($A108,'Data shares'!$C:$FB,124)</f>
        <v>0.66</v>
      </c>
      <c r="P108" s="50">
        <f>VLOOKUP($A108,'Data shares'!$C:$FB,125)</f>
        <v>0.6</v>
      </c>
      <c r="Q108" s="50">
        <f>VLOOKUP($A108,'Data shares'!$C:$FB,127)*100</f>
        <v>10</v>
      </c>
    </row>
    <row r="109" spans="1:17" x14ac:dyDescent="0.25">
      <c r="A109" s="97" t="str">
        <f>'Data Vlaue (Cr)'!C104</f>
        <v>IREDA</v>
      </c>
      <c r="B109" s="140">
        <f>VLOOKUP($A109,'Data shares'!$C:$FB,7)</f>
        <v>130.13999999999999</v>
      </c>
      <c r="C109" s="140">
        <f>VLOOKUP($A109,'Data shares'!$C:$FB,3)</f>
        <v>130.34</v>
      </c>
      <c r="D109" s="140">
        <f>VLOOKUP($A109,'Data shares'!$C:$FB,4)</f>
        <v>133.36000000000001</v>
      </c>
      <c r="E109" s="50">
        <f t="shared" si="3"/>
        <v>-2.2645470905818912</v>
      </c>
      <c r="F109" s="49">
        <f>VLOOKUP($A109,'Data shares'!$C:$FB,98)</f>
        <v>105028350</v>
      </c>
      <c r="G109" s="49">
        <f>VLOOKUP($A109,'Data shares'!$C:$FB,99)</f>
        <v>102640950</v>
      </c>
      <c r="H109" s="50">
        <f t="shared" si="4"/>
        <v>2.3259722362273538</v>
      </c>
      <c r="I109" s="49">
        <f>VLOOKUP($A109,'Data shares'!$C:$FB,66)</f>
        <v>33268350</v>
      </c>
      <c r="J109" s="49">
        <f>VLOOKUP($A109,'Data shares'!$C:$FB,67)</f>
        <v>92953350</v>
      </c>
      <c r="K109" s="50">
        <f t="shared" si="5"/>
        <v>-179.40474955926581</v>
      </c>
      <c r="L109" s="50">
        <f>VLOOKUP($A109,'Data shares'!$C:$FB,118)</f>
        <v>0.78</v>
      </c>
      <c r="M109" s="50">
        <f>VLOOKUP($A109,'Data shares'!$C:$FB,119)</f>
        <v>0.79</v>
      </c>
      <c r="N109" s="50">
        <f>VLOOKUP($A109,'Data shares'!$C:$FB,121)*100</f>
        <v>-1.27</v>
      </c>
      <c r="O109" s="50">
        <f>VLOOKUP($A109,'Data shares'!$C:$FB,124)</f>
        <v>0.37</v>
      </c>
      <c r="P109" s="50">
        <f>VLOOKUP($A109,'Data shares'!$C:$FB,125)</f>
        <v>0.32</v>
      </c>
      <c r="Q109" s="50">
        <f>VLOOKUP($A109,'Data shares'!$C:$FB,127)*100</f>
        <v>15.620000000000001</v>
      </c>
    </row>
    <row r="110" spans="1:17" x14ac:dyDescent="0.25">
      <c r="A110" s="97" t="str">
        <f>'Data Vlaue (Cr)'!C105</f>
        <v>IRFC</v>
      </c>
      <c r="B110" s="140">
        <f>VLOOKUP($A110,'Data shares'!$C:$FB,7)</f>
        <v>103.02</v>
      </c>
      <c r="C110" s="140">
        <f>VLOOKUP($A110,'Data shares'!$C:$FB,3)</f>
        <v>103.09</v>
      </c>
      <c r="D110" s="140">
        <f>VLOOKUP($A110,'Data shares'!$C:$FB,4)</f>
        <v>104.84</v>
      </c>
      <c r="E110" s="50">
        <f t="shared" si="3"/>
        <v>-1.6692102251049217</v>
      </c>
      <c r="F110" s="49">
        <f>VLOOKUP($A110,'Data shares'!$C:$FB,98)</f>
        <v>132893250</v>
      </c>
      <c r="G110" s="49">
        <f>VLOOKUP($A110,'Data shares'!$C:$FB,99)</f>
        <v>131881750</v>
      </c>
      <c r="H110" s="50">
        <f t="shared" si="4"/>
        <v>0.76697496052334757</v>
      </c>
      <c r="I110" s="49">
        <f>VLOOKUP($A110,'Data shares'!$C:$FB,66)</f>
        <v>53936750</v>
      </c>
      <c r="J110" s="49">
        <f>VLOOKUP($A110,'Data shares'!$C:$FB,67)</f>
        <v>120759500</v>
      </c>
      <c r="K110" s="50">
        <f t="shared" si="5"/>
        <v>-123.89094633992592</v>
      </c>
      <c r="L110" s="50">
        <f>VLOOKUP($A110,'Data shares'!$C:$FB,118)</f>
        <v>0.7</v>
      </c>
      <c r="M110" s="50">
        <f>VLOOKUP($A110,'Data shares'!$C:$FB,119)</f>
        <v>0.72</v>
      </c>
      <c r="N110" s="50">
        <f>VLOOKUP($A110,'Data shares'!$C:$FB,121)*100</f>
        <v>-2.78</v>
      </c>
      <c r="O110" s="50">
        <f>VLOOKUP($A110,'Data shares'!$C:$FB,124)</f>
        <v>0.44</v>
      </c>
      <c r="P110" s="50">
        <f>VLOOKUP($A110,'Data shares'!$C:$FB,125)</f>
        <v>0.39</v>
      </c>
      <c r="Q110" s="50">
        <f>VLOOKUP($A110,'Data shares'!$C:$FB,127)*100</f>
        <v>12.82</v>
      </c>
    </row>
    <row r="111" spans="1:17" x14ac:dyDescent="0.25">
      <c r="A111" s="97" t="str">
        <f>'Data Vlaue (Cr)'!C106</f>
        <v>ITC</v>
      </c>
      <c r="B111" s="140">
        <f>VLOOKUP($A111,'Data shares'!$C:$FB,7)</f>
        <v>305</v>
      </c>
      <c r="C111" s="140">
        <f>VLOOKUP($A111,'Data shares'!$C:$FB,3)</f>
        <v>305.25</v>
      </c>
      <c r="D111" s="140">
        <f>VLOOKUP($A111,'Data shares'!$C:$FB,4)</f>
        <v>307.5</v>
      </c>
      <c r="E111" s="50">
        <f t="shared" si="3"/>
        <v>-0.73170731707317083</v>
      </c>
      <c r="F111" s="49">
        <f>VLOOKUP($A111,'Data shares'!$C:$FB,98)</f>
        <v>339188800</v>
      </c>
      <c r="G111" s="49">
        <f>VLOOKUP($A111,'Data shares'!$C:$FB,99)</f>
        <v>336720000</v>
      </c>
      <c r="H111" s="50">
        <f t="shared" si="4"/>
        <v>0.73319078165835117</v>
      </c>
      <c r="I111" s="49">
        <f>VLOOKUP($A111,'Data shares'!$C:$FB,66)</f>
        <v>123320000</v>
      </c>
      <c r="J111" s="49">
        <f>VLOOKUP($A111,'Data shares'!$C:$FB,67)</f>
        <v>440985600</v>
      </c>
      <c r="K111" s="50">
        <f t="shared" si="5"/>
        <v>-257.59455076224458</v>
      </c>
      <c r="L111" s="50">
        <f>VLOOKUP($A111,'Data shares'!$C:$FB,118)</f>
        <v>0.48</v>
      </c>
      <c r="M111" s="50">
        <f>VLOOKUP($A111,'Data shares'!$C:$FB,119)</f>
        <v>0.5</v>
      </c>
      <c r="N111" s="50">
        <f>VLOOKUP($A111,'Data shares'!$C:$FB,121)*100</f>
        <v>-4</v>
      </c>
      <c r="O111" s="50">
        <f>VLOOKUP($A111,'Data shares'!$C:$FB,124)</f>
        <v>0.34</v>
      </c>
      <c r="P111" s="50">
        <f>VLOOKUP($A111,'Data shares'!$C:$FB,125)</f>
        <v>0.43</v>
      </c>
      <c r="Q111" s="50">
        <f>VLOOKUP($A111,'Data shares'!$C:$FB,127)*100</f>
        <v>-20.93</v>
      </c>
    </row>
    <row r="112" spans="1:17" x14ac:dyDescent="0.25">
      <c r="A112" s="97" t="str">
        <f>'Data Vlaue (Cr)'!C107</f>
        <v>JINDALSTEL</v>
      </c>
      <c r="B112" s="140">
        <f>VLOOKUP($A112,'Data shares'!$C:$FB,7)</f>
        <v>1287.7</v>
      </c>
      <c r="C112" s="140">
        <f>VLOOKUP($A112,'Data shares'!$C:$FB,3)</f>
        <v>1287</v>
      </c>
      <c r="D112" s="140">
        <f>VLOOKUP($A112,'Data shares'!$C:$FB,4)</f>
        <v>1271.4000000000001</v>
      </c>
      <c r="E112" s="50">
        <f t="shared" si="3"/>
        <v>1.2269938650306675</v>
      </c>
      <c r="F112" s="49">
        <f>VLOOKUP($A112,'Data shares'!$C:$FB,98)</f>
        <v>21345625</v>
      </c>
      <c r="G112" s="49">
        <f>VLOOKUP($A112,'Data shares'!$C:$FB,99)</f>
        <v>20543125</v>
      </c>
      <c r="H112" s="50">
        <f t="shared" si="4"/>
        <v>3.90641638017585</v>
      </c>
      <c r="I112" s="49">
        <f>VLOOKUP($A112,'Data shares'!$C:$FB,66)</f>
        <v>17013750</v>
      </c>
      <c r="J112" s="49">
        <f>VLOOKUP($A112,'Data shares'!$C:$FB,67)</f>
        <v>24908750</v>
      </c>
      <c r="K112" s="50">
        <f t="shared" si="5"/>
        <v>-46.403644111380501</v>
      </c>
      <c r="L112" s="50">
        <f>VLOOKUP($A112,'Data shares'!$C:$FB,118)</f>
        <v>1.17</v>
      </c>
      <c r="M112" s="50">
        <f>VLOOKUP($A112,'Data shares'!$C:$FB,119)</f>
        <v>1.0900000000000001</v>
      </c>
      <c r="N112" s="50">
        <f>VLOOKUP($A112,'Data shares'!$C:$FB,121)*100</f>
        <v>7.3400000000000007</v>
      </c>
      <c r="O112" s="50">
        <f>VLOOKUP($A112,'Data shares'!$C:$FB,124)</f>
        <v>0.52</v>
      </c>
      <c r="P112" s="50">
        <f>VLOOKUP($A112,'Data shares'!$C:$FB,125)</f>
        <v>0.61</v>
      </c>
      <c r="Q112" s="50">
        <f>VLOOKUP($A112,'Data shares'!$C:$FB,127)*100</f>
        <v>-14.75</v>
      </c>
    </row>
    <row r="113" spans="1:17" x14ac:dyDescent="0.25">
      <c r="A113" s="97" t="str">
        <f>'Data Vlaue (Cr)'!C108</f>
        <v>JIOFIN</v>
      </c>
      <c r="B113" s="140">
        <f>VLOOKUP($A113,'Data shares'!$C:$FB,7)</f>
        <v>237.15</v>
      </c>
      <c r="C113" s="140">
        <f>VLOOKUP($A113,'Data shares'!$C:$FB,3)</f>
        <v>236.9</v>
      </c>
      <c r="D113" s="140">
        <f>VLOOKUP($A113,'Data shares'!$C:$FB,4)</f>
        <v>244.6</v>
      </c>
      <c r="E113" s="50">
        <f t="shared" si="3"/>
        <v>-3.1479967293540425</v>
      </c>
      <c r="F113" s="49">
        <f>VLOOKUP($A113,'Data shares'!$C:$FB,98)</f>
        <v>290584550</v>
      </c>
      <c r="G113" s="49">
        <f>VLOOKUP($A113,'Data shares'!$C:$FB,99)</f>
        <v>285449800</v>
      </c>
      <c r="H113" s="50">
        <f t="shared" si="4"/>
        <v>1.7988276747785426</v>
      </c>
      <c r="I113" s="49">
        <f>VLOOKUP($A113,'Data shares'!$C:$FB,66)</f>
        <v>282105750</v>
      </c>
      <c r="J113" s="49">
        <f>VLOOKUP($A113,'Data shares'!$C:$FB,67)</f>
        <v>212703200</v>
      </c>
      <c r="K113" s="50">
        <f t="shared" si="5"/>
        <v>24.60160773043442</v>
      </c>
      <c r="L113" s="50">
        <f>VLOOKUP($A113,'Data shares'!$C:$FB,118)</f>
        <v>0.64</v>
      </c>
      <c r="M113" s="50">
        <f>VLOOKUP($A113,'Data shares'!$C:$FB,119)</f>
        <v>0.67</v>
      </c>
      <c r="N113" s="50">
        <f>VLOOKUP($A113,'Data shares'!$C:$FB,121)*100</f>
        <v>-4.4799999999999995</v>
      </c>
      <c r="O113" s="50">
        <f>VLOOKUP($A113,'Data shares'!$C:$FB,124)</f>
        <v>0.55000000000000004</v>
      </c>
      <c r="P113" s="50">
        <f>VLOOKUP($A113,'Data shares'!$C:$FB,125)</f>
        <v>0.34</v>
      </c>
      <c r="Q113" s="50">
        <f>VLOOKUP($A113,'Data shares'!$C:$FB,127)*100</f>
        <v>61.760000000000005</v>
      </c>
    </row>
    <row r="114" spans="1:17" x14ac:dyDescent="0.25">
      <c r="A114" s="97" t="str">
        <f>'Data Vlaue (Cr)'!C109</f>
        <v>JSWENERGY</v>
      </c>
      <c r="B114" s="140">
        <f>VLOOKUP($A114,'Data shares'!$C:$FB,7)</f>
        <v>543.04999999999995</v>
      </c>
      <c r="C114" s="140">
        <f>VLOOKUP($A114,'Data shares'!$C:$FB,3)</f>
        <v>542.95000000000005</v>
      </c>
      <c r="D114" s="140">
        <f>VLOOKUP($A114,'Data shares'!$C:$FB,4)</f>
        <v>538.1</v>
      </c>
      <c r="E114" s="50">
        <f t="shared" si="3"/>
        <v>0.90131945734993912</v>
      </c>
      <c r="F114" s="49">
        <f>VLOOKUP($A114,'Data shares'!$C:$FB,98)</f>
        <v>39237000</v>
      </c>
      <c r="G114" s="49">
        <f>VLOOKUP($A114,'Data shares'!$C:$FB,99)</f>
        <v>38543000</v>
      </c>
      <c r="H114" s="50">
        <f t="shared" si="4"/>
        <v>1.8005863580935577</v>
      </c>
      <c r="I114" s="49">
        <f>VLOOKUP($A114,'Data shares'!$C:$FB,66)</f>
        <v>28482000</v>
      </c>
      <c r="J114" s="49">
        <f>VLOOKUP($A114,'Data shares'!$C:$FB,67)</f>
        <v>16059000</v>
      </c>
      <c r="K114" s="50">
        <f t="shared" si="5"/>
        <v>43.61702127659575</v>
      </c>
      <c r="L114" s="50">
        <f>VLOOKUP($A114,'Data shares'!$C:$FB,118)</f>
        <v>0.65</v>
      </c>
      <c r="M114" s="50">
        <f>VLOOKUP($A114,'Data shares'!$C:$FB,119)</f>
        <v>0.69</v>
      </c>
      <c r="N114" s="50">
        <f>VLOOKUP($A114,'Data shares'!$C:$FB,121)*100</f>
        <v>-5.8000000000000007</v>
      </c>
      <c r="O114" s="50">
        <f>VLOOKUP($A114,'Data shares'!$C:$FB,124)</f>
        <v>0.31</v>
      </c>
      <c r="P114" s="50">
        <f>VLOOKUP($A114,'Data shares'!$C:$FB,125)</f>
        <v>0.53</v>
      </c>
      <c r="Q114" s="50">
        <f>VLOOKUP($A114,'Data shares'!$C:$FB,127)*100</f>
        <v>-41.510000000000005</v>
      </c>
    </row>
    <row r="115" spans="1:17" x14ac:dyDescent="0.25">
      <c r="A115" s="97" t="str">
        <f>'Data Vlaue (Cr)'!C110</f>
        <v>JSWSTEEL</v>
      </c>
      <c r="B115" s="140">
        <f>VLOOKUP($A115,'Data shares'!$C:$FB,7)</f>
        <v>1274.5</v>
      </c>
      <c r="C115" s="140">
        <f>VLOOKUP($A115,'Data shares'!$C:$FB,3)</f>
        <v>1273.2</v>
      </c>
      <c r="D115" s="140">
        <f>VLOOKUP($A115,'Data shares'!$C:$FB,4)</f>
        <v>1240.2</v>
      </c>
      <c r="E115" s="50">
        <f t="shared" si="3"/>
        <v>2.6608611514271892</v>
      </c>
      <c r="F115" s="49">
        <f>VLOOKUP($A115,'Data shares'!$C:$FB,98)</f>
        <v>61580250</v>
      </c>
      <c r="G115" s="49">
        <f>VLOOKUP($A115,'Data shares'!$C:$FB,99)</f>
        <v>61297425</v>
      </c>
      <c r="H115" s="50">
        <f t="shared" si="4"/>
        <v>0.46139784827829222</v>
      </c>
      <c r="I115" s="49">
        <f>VLOOKUP($A115,'Data shares'!$C:$FB,66)</f>
        <v>30964950</v>
      </c>
      <c r="J115" s="49">
        <f>VLOOKUP($A115,'Data shares'!$C:$FB,67)</f>
        <v>21487950</v>
      </c>
      <c r="K115" s="50">
        <f t="shared" si="5"/>
        <v>30.605571783581116</v>
      </c>
      <c r="L115" s="50">
        <f>VLOOKUP($A115,'Data shares'!$C:$FB,118)</f>
        <v>1.07</v>
      </c>
      <c r="M115" s="50">
        <f>VLOOKUP($A115,'Data shares'!$C:$FB,119)</f>
        <v>0.96</v>
      </c>
      <c r="N115" s="50">
        <f>VLOOKUP($A115,'Data shares'!$C:$FB,121)*100</f>
        <v>11.459999999999999</v>
      </c>
      <c r="O115" s="50">
        <f>VLOOKUP($A115,'Data shares'!$C:$FB,124)</f>
        <v>0.45</v>
      </c>
      <c r="P115" s="50">
        <f>VLOOKUP($A115,'Data shares'!$C:$FB,125)</f>
        <v>0.5</v>
      </c>
      <c r="Q115" s="50">
        <f>VLOOKUP($A115,'Data shares'!$C:$FB,127)*100</f>
        <v>-10</v>
      </c>
    </row>
    <row r="116" spans="1:17" x14ac:dyDescent="0.25">
      <c r="A116" s="97" t="str">
        <f>'Data Vlaue (Cr)'!C111</f>
        <v>JUBLFOOD</v>
      </c>
      <c r="B116" s="140">
        <f>VLOOKUP($A116,'Data shares'!$C:$FB,7)</f>
        <v>456.15</v>
      </c>
      <c r="C116" s="140">
        <f>VLOOKUP($A116,'Data shares'!$C:$FB,3)</f>
        <v>454.35</v>
      </c>
      <c r="D116" s="140">
        <f>VLOOKUP($A116,'Data shares'!$C:$FB,4)</f>
        <v>458.8</v>
      </c>
      <c r="E116" s="50">
        <f t="shared" si="3"/>
        <v>-0.96992153443766094</v>
      </c>
      <c r="F116" s="49">
        <f>VLOOKUP($A116,'Data shares'!$C:$FB,98)</f>
        <v>77575000</v>
      </c>
      <c r="G116" s="49">
        <f>VLOOKUP($A116,'Data shares'!$C:$FB,99)</f>
        <v>76172500</v>
      </c>
      <c r="H116" s="50">
        <f t="shared" si="4"/>
        <v>1.8412156618202107</v>
      </c>
      <c r="I116" s="49">
        <f>VLOOKUP($A116,'Data shares'!$C:$FB,66)</f>
        <v>29130000</v>
      </c>
      <c r="J116" s="49">
        <f>VLOOKUP($A116,'Data shares'!$C:$FB,67)</f>
        <v>39621250</v>
      </c>
      <c r="K116" s="50">
        <f t="shared" si="5"/>
        <v>-36.015276347408168</v>
      </c>
      <c r="L116" s="50">
        <f>VLOOKUP($A116,'Data shares'!$C:$FB,118)</f>
        <v>0.62</v>
      </c>
      <c r="M116" s="50">
        <f>VLOOKUP($A116,'Data shares'!$C:$FB,119)</f>
        <v>0.64</v>
      </c>
      <c r="N116" s="50">
        <f>VLOOKUP($A116,'Data shares'!$C:$FB,121)*100</f>
        <v>-3.1300000000000003</v>
      </c>
      <c r="O116" s="50">
        <f>VLOOKUP($A116,'Data shares'!$C:$FB,124)</f>
        <v>0.39</v>
      </c>
      <c r="P116" s="50">
        <f>VLOOKUP($A116,'Data shares'!$C:$FB,125)</f>
        <v>0.39</v>
      </c>
      <c r="Q116" s="50">
        <f>VLOOKUP($A116,'Data shares'!$C:$FB,127)*100</f>
        <v>0</v>
      </c>
    </row>
    <row r="117" spans="1:17" x14ac:dyDescent="0.25">
      <c r="A117" s="97" t="str">
        <f>'Data Vlaue (Cr)'!C112</f>
        <v>KALYANKJIL</v>
      </c>
      <c r="B117" s="140">
        <f>VLOOKUP($A117,'Data shares'!$C:$FB,7)</f>
        <v>417.5</v>
      </c>
      <c r="C117" s="140">
        <f>VLOOKUP($A117,'Data shares'!$C:$FB,3)</f>
        <v>417.2</v>
      </c>
      <c r="D117" s="140">
        <f>VLOOKUP($A117,'Data shares'!$C:$FB,4)</f>
        <v>427.95</v>
      </c>
      <c r="E117" s="50">
        <f t="shared" si="3"/>
        <v>-2.5119756980955721</v>
      </c>
      <c r="F117" s="49">
        <f>VLOOKUP($A117,'Data shares'!$C:$FB,98)</f>
        <v>49736575</v>
      </c>
      <c r="G117" s="49">
        <f>VLOOKUP($A117,'Data shares'!$C:$FB,99)</f>
        <v>47703825</v>
      </c>
      <c r="H117" s="50">
        <f t="shared" si="4"/>
        <v>4.2611886992290451</v>
      </c>
      <c r="I117" s="49">
        <f>VLOOKUP($A117,'Data shares'!$C:$FB,66)</f>
        <v>29362075</v>
      </c>
      <c r="J117" s="49">
        <f>VLOOKUP($A117,'Data shares'!$C:$FB,67)</f>
        <v>148035900</v>
      </c>
      <c r="K117" s="50">
        <f t="shared" si="5"/>
        <v>-404.17383648805475</v>
      </c>
      <c r="L117" s="50">
        <f>VLOOKUP($A117,'Data shares'!$C:$FB,118)</f>
        <v>0.45</v>
      </c>
      <c r="M117" s="50">
        <f>VLOOKUP($A117,'Data shares'!$C:$FB,119)</f>
        <v>0.53</v>
      </c>
      <c r="N117" s="50">
        <f>VLOOKUP($A117,'Data shares'!$C:$FB,121)*100</f>
        <v>-15.09</v>
      </c>
      <c r="O117" s="50">
        <f>VLOOKUP($A117,'Data shares'!$C:$FB,124)</f>
        <v>0.46</v>
      </c>
      <c r="P117" s="50">
        <f>VLOOKUP($A117,'Data shares'!$C:$FB,125)</f>
        <v>0.73</v>
      </c>
      <c r="Q117" s="50">
        <f>VLOOKUP($A117,'Data shares'!$C:$FB,127)*100</f>
        <v>-36.99</v>
      </c>
    </row>
    <row r="118" spans="1:17" x14ac:dyDescent="0.25">
      <c r="A118" s="97" t="str">
        <f>'Data Vlaue (Cr)'!C113</f>
        <v>KAYNES</v>
      </c>
      <c r="B118" s="140">
        <f>VLOOKUP($A118,'Data shares'!$C:$FB,7)</f>
        <v>4222.6000000000004</v>
      </c>
      <c r="C118" s="140">
        <f>VLOOKUP($A118,'Data shares'!$C:$FB,3)</f>
        <v>4206.2</v>
      </c>
      <c r="D118" s="140">
        <f>VLOOKUP($A118,'Data shares'!$C:$FB,4)</f>
        <v>4208.7</v>
      </c>
      <c r="E118" s="50">
        <f t="shared" si="3"/>
        <v>-5.9400765081854254E-2</v>
      </c>
      <c r="F118" s="49">
        <f>VLOOKUP($A118,'Data shares'!$C:$FB,98)</f>
        <v>6161900</v>
      </c>
      <c r="G118" s="49">
        <f>VLOOKUP($A118,'Data shares'!$C:$FB,99)</f>
        <v>6141100</v>
      </c>
      <c r="H118" s="50">
        <f t="shared" si="4"/>
        <v>0.33870153555551935</v>
      </c>
      <c r="I118" s="49">
        <f>VLOOKUP($A118,'Data shares'!$C:$FB,66)</f>
        <v>6410500</v>
      </c>
      <c r="J118" s="49">
        <f>VLOOKUP($A118,'Data shares'!$C:$FB,67)</f>
        <v>4778200</v>
      </c>
      <c r="K118" s="50">
        <f t="shared" si="5"/>
        <v>25.462912409328446</v>
      </c>
      <c r="L118" s="50">
        <f>VLOOKUP($A118,'Data shares'!$C:$FB,118)</f>
        <v>0.83</v>
      </c>
      <c r="M118" s="50">
        <f>VLOOKUP($A118,'Data shares'!$C:$FB,119)</f>
        <v>0.8</v>
      </c>
      <c r="N118" s="50">
        <f>VLOOKUP($A118,'Data shares'!$C:$FB,121)*100</f>
        <v>3.75</v>
      </c>
      <c r="O118" s="50">
        <f>VLOOKUP($A118,'Data shares'!$C:$FB,124)</f>
        <v>0.73</v>
      </c>
      <c r="P118" s="50">
        <f>VLOOKUP($A118,'Data shares'!$C:$FB,125)</f>
        <v>0.65</v>
      </c>
      <c r="Q118" s="50">
        <f>VLOOKUP($A118,'Data shares'!$C:$FB,127)*100</f>
        <v>12.31</v>
      </c>
    </row>
    <row r="119" spans="1:17" x14ac:dyDescent="0.25">
      <c r="A119" s="97" t="str">
        <f>'Data Vlaue (Cr)'!C114</f>
        <v>KEI</v>
      </c>
      <c r="B119" s="140">
        <f>VLOOKUP($A119,'Data shares'!$C:$FB,7)</f>
        <v>4880.6000000000004</v>
      </c>
      <c r="C119" s="140">
        <f>VLOOKUP($A119,'Data shares'!$C:$FB,3)</f>
        <v>4878</v>
      </c>
      <c r="D119" s="140">
        <f>VLOOKUP($A119,'Data shares'!$C:$FB,4)</f>
        <v>4823.5</v>
      </c>
      <c r="E119" s="50">
        <f t="shared" si="3"/>
        <v>1.1298849383227947</v>
      </c>
      <c r="F119" s="49">
        <f>VLOOKUP($A119,'Data shares'!$C:$FB,98)</f>
        <v>3531675</v>
      </c>
      <c r="G119" s="49">
        <f>VLOOKUP($A119,'Data shares'!$C:$FB,99)</f>
        <v>3508925</v>
      </c>
      <c r="H119" s="50">
        <f t="shared" si="4"/>
        <v>0.64834671587451997</v>
      </c>
      <c r="I119" s="49">
        <f>VLOOKUP($A119,'Data shares'!$C:$FB,66)</f>
        <v>2537850</v>
      </c>
      <c r="J119" s="49">
        <f>VLOOKUP($A119,'Data shares'!$C:$FB,67)</f>
        <v>5513200</v>
      </c>
      <c r="K119" s="50">
        <f t="shared" si="5"/>
        <v>-117.23900151703212</v>
      </c>
      <c r="L119" s="50">
        <f>VLOOKUP($A119,'Data shares'!$C:$FB,118)</f>
        <v>0.73</v>
      </c>
      <c r="M119" s="50">
        <f>VLOOKUP($A119,'Data shares'!$C:$FB,119)</f>
        <v>0.7</v>
      </c>
      <c r="N119" s="50">
        <f>VLOOKUP($A119,'Data shares'!$C:$FB,121)*100</f>
        <v>4.29</v>
      </c>
      <c r="O119" s="50">
        <f>VLOOKUP($A119,'Data shares'!$C:$FB,124)</f>
        <v>0.38</v>
      </c>
      <c r="P119" s="50">
        <f>VLOOKUP($A119,'Data shares'!$C:$FB,125)</f>
        <v>0.28000000000000003</v>
      </c>
      <c r="Q119" s="50">
        <f>VLOOKUP($A119,'Data shares'!$C:$FB,127)*100</f>
        <v>35.709999999999994</v>
      </c>
    </row>
    <row r="120" spans="1:17" x14ac:dyDescent="0.25">
      <c r="A120" s="97" t="str">
        <f>'Data Vlaue (Cr)'!C115</f>
        <v>KFINTECH</v>
      </c>
      <c r="B120" s="140">
        <f>VLOOKUP($A120,'Data shares'!$C:$FB,7)</f>
        <v>975.1</v>
      </c>
      <c r="C120" s="140">
        <f>VLOOKUP($A120,'Data shares'!$C:$FB,3)</f>
        <v>973.05</v>
      </c>
      <c r="D120" s="140">
        <f>VLOOKUP($A120,'Data shares'!$C:$FB,4)</f>
        <v>977.6</v>
      </c>
      <c r="E120" s="50">
        <f t="shared" si="3"/>
        <v>-0.4654255319149006</v>
      </c>
      <c r="F120" s="49">
        <f>VLOOKUP($A120,'Data shares'!$C:$FB,98)</f>
        <v>7552000</v>
      </c>
      <c r="G120" s="49">
        <f>VLOOKUP($A120,'Data shares'!$C:$FB,99)</f>
        <v>7392500</v>
      </c>
      <c r="H120" s="50">
        <f t="shared" si="4"/>
        <v>2.1575921542103482</v>
      </c>
      <c r="I120" s="49">
        <f>VLOOKUP($A120,'Data shares'!$C:$FB,66)</f>
        <v>6351000</v>
      </c>
      <c r="J120" s="49">
        <f>VLOOKUP($A120,'Data shares'!$C:$FB,67)</f>
        <v>9726000</v>
      </c>
      <c r="K120" s="50">
        <f t="shared" si="5"/>
        <v>-53.141237600377892</v>
      </c>
      <c r="L120" s="50">
        <f>VLOOKUP($A120,'Data shares'!$C:$FB,118)</f>
        <v>0.56000000000000005</v>
      </c>
      <c r="M120" s="50">
        <f>VLOOKUP($A120,'Data shares'!$C:$FB,119)</f>
        <v>0.5</v>
      </c>
      <c r="N120" s="50">
        <f>VLOOKUP($A120,'Data shares'!$C:$FB,121)*100</f>
        <v>12</v>
      </c>
      <c r="O120" s="50">
        <f>VLOOKUP($A120,'Data shares'!$C:$FB,124)</f>
        <v>0.31</v>
      </c>
      <c r="P120" s="50">
        <f>VLOOKUP($A120,'Data shares'!$C:$FB,125)</f>
        <v>0.26</v>
      </c>
      <c r="Q120" s="50">
        <f>VLOOKUP($A120,'Data shares'!$C:$FB,127)*100</f>
        <v>19.23</v>
      </c>
    </row>
    <row r="121" spans="1:17" x14ac:dyDescent="0.25">
      <c r="A121" s="97" t="str">
        <f>'Data Vlaue (Cr)'!C116</f>
        <v>KOTAKBANK</v>
      </c>
      <c r="B121" s="140">
        <f>VLOOKUP($A121,'Data shares'!$C:$FB,7)</f>
        <v>379.2</v>
      </c>
      <c r="C121" s="140">
        <f>VLOOKUP($A121,'Data shares'!$C:$FB,3)</f>
        <v>378.9</v>
      </c>
      <c r="D121" s="140">
        <f>VLOOKUP($A121,'Data shares'!$C:$FB,4)</f>
        <v>383.6</v>
      </c>
      <c r="E121" s="50">
        <f t="shared" si="3"/>
        <v>-1.2252346193952153</v>
      </c>
      <c r="F121" s="49">
        <f>VLOOKUP($A121,'Data shares'!$C:$FB,98)</f>
        <v>276082000</v>
      </c>
      <c r="G121" s="49">
        <f>VLOOKUP($A121,'Data shares'!$C:$FB,99)</f>
        <v>276060000</v>
      </c>
      <c r="H121" s="50">
        <f t="shared" si="4"/>
        <v>7.9692820401362028E-3</v>
      </c>
      <c r="I121" s="49">
        <f>VLOOKUP($A121,'Data shares'!$C:$FB,66)</f>
        <v>66728000</v>
      </c>
      <c r="J121" s="49">
        <f>VLOOKUP($A121,'Data shares'!$C:$FB,67)</f>
        <v>68980000</v>
      </c>
      <c r="K121" s="50">
        <f t="shared" si="5"/>
        <v>-3.3748950965112092</v>
      </c>
      <c r="L121" s="50">
        <f>VLOOKUP($A121,'Data shares'!$C:$FB,118)</f>
        <v>0.85</v>
      </c>
      <c r="M121" s="50">
        <f>VLOOKUP($A121,'Data shares'!$C:$FB,119)</f>
        <v>0.9</v>
      </c>
      <c r="N121" s="50">
        <f>VLOOKUP($A121,'Data shares'!$C:$FB,121)*100</f>
        <v>-5.56</v>
      </c>
      <c r="O121" s="50">
        <f>VLOOKUP($A121,'Data shares'!$C:$FB,124)</f>
        <v>0.55000000000000004</v>
      </c>
      <c r="P121" s="50">
        <f>VLOOKUP($A121,'Data shares'!$C:$FB,125)</f>
        <v>0.61</v>
      </c>
      <c r="Q121" s="50">
        <f>VLOOKUP($A121,'Data shares'!$C:$FB,127)*100</f>
        <v>-9.84</v>
      </c>
    </row>
    <row r="122" spans="1:17" x14ac:dyDescent="0.25">
      <c r="A122" s="97" t="str">
        <f>'Data Vlaue (Cr)'!C117</f>
        <v>KPITTECH</v>
      </c>
      <c r="B122" s="140">
        <f>VLOOKUP($A122,'Data shares'!$C:$FB,7)</f>
        <v>734.4</v>
      </c>
      <c r="C122" s="140">
        <f>VLOOKUP($A122,'Data shares'!$C:$FB,3)</f>
        <v>736.15</v>
      </c>
      <c r="D122" s="140">
        <f>VLOOKUP($A122,'Data shares'!$C:$FB,4)</f>
        <v>747.85</v>
      </c>
      <c r="E122" s="50">
        <f t="shared" si="3"/>
        <v>-1.5644848565888942</v>
      </c>
      <c r="F122" s="49">
        <f>VLOOKUP($A122,'Data shares'!$C:$FB,98)</f>
        <v>12996075</v>
      </c>
      <c r="G122" s="49">
        <f>VLOOKUP($A122,'Data shares'!$C:$FB,99)</f>
        <v>12873250</v>
      </c>
      <c r="H122" s="50">
        <f t="shared" si="4"/>
        <v>0.95411026741498839</v>
      </c>
      <c r="I122" s="49">
        <f>VLOOKUP($A122,'Data shares'!$C:$FB,66)</f>
        <v>9279450</v>
      </c>
      <c r="J122" s="49">
        <f>VLOOKUP($A122,'Data shares'!$C:$FB,67)</f>
        <v>7751150</v>
      </c>
      <c r="K122" s="50">
        <f t="shared" si="5"/>
        <v>16.469726115233122</v>
      </c>
      <c r="L122" s="50">
        <f>VLOOKUP($A122,'Data shares'!$C:$FB,118)</f>
        <v>0.66</v>
      </c>
      <c r="M122" s="50">
        <f>VLOOKUP($A122,'Data shares'!$C:$FB,119)</f>
        <v>0.64</v>
      </c>
      <c r="N122" s="50">
        <f>VLOOKUP($A122,'Data shares'!$C:$FB,121)*100</f>
        <v>3.1300000000000003</v>
      </c>
      <c r="O122" s="50">
        <f>VLOOKUP($A122,'Data shares'!$C:$FB,124)</f>
        <v>1.08</v>
      </c>
      <c r="P122" s="50">
        <f>VLOOKUP($A122,'Data shares'!$C:$FB,125)</f>
        <v>0.42</v>
      </c>
      <c r="Q122" s="50">
        <f>VLOOKUP($A122,'Data shares'!$C:$FB,127)*100</f>
        <v>157.13999999999999</v>
      </c>
    </row>
    <row r="123" spans="1:17" x14ac:dyDescent="0.25">
      <c r="A123" s="97" t="str">
        <f>'Data Vlaue (Cr)'!C118</f>
        <v>LAURUSLABS</v>
      </c>
      <c r="B123" s="140">
        <f>VLOOKUP($A123,'Data shares'!$C:$FB,7)</f>
        <v>1129.5</v>
      </c>
      <c r="C123" s="140">
        <f>VLOOKUP($A123,'Data shares'!$C:$FB,3)</f>
        <v>1128.95</v>
      </c>
      <c r="D123" s="140">
        <f>VLOOKUP($A123,'Data shares'!$C:$FB,4)</f>
        <v>1137.7</v>
      </c>
      <c r="E123" s="50">
        <f t="shared" si="3"/>
        <v>-0.76909554364067856</v>
      </c>
      <c r="F123" s="49">
        <f>VLOOKUP($A123,'Data shares'!$C:$FB,98)</f>
        <v>27566350</v>
      </c>
      <c r="G123" s="49">
        <f>VLOOKUP($A123,'Data shares'!$C:$FB,99)</f>
        <v>27976050</v>
      </c>
      <c r="H123" s="50">
        <f t="shared" si="4"/>
        <v>-1.4644669279615958</v>
      </c>
      <c r="I123" s="49">
        <f>VLOOKUP($A123,'Data shares'!$C:$FB,66)</f>
        <v>10331750</v>
      </c>
      <c r="J123" s="49">
        <f>VLOOKUP($A123,'Data shares'!$C:$FB,67)</f>
        <v>12196650</v>
      </c>
      <c r="K123" s="50">
        <f t="shared" si="5"/>
        <v>-18.050185109008638</v>
      </c>
      <c r="L123" s="50">
        <f>VLOOKUP($A123,'Data shares'!$C:$FB,118)</f>
        <v>0.93</v>
      </c>
      <c r="M123" s="50">
        <f>VLOOKUP($A123,'Data shares'!$C:$FB,119)</f>
        <v>0.88</v>
      </c>
      <c r="N123" s="50">
        <f>VLOOKUP($A123,'Data shares'!$C:$FB,121)*100</f>
        <v>5.6800000000000006</v>
      </c>
      <c r="O123" s="50">
        <f>VLOOKUP($A123,'Data shares'!$C:$FB,124)</f>
        <v>0.55000000000000004</v>
      </c>
      <c r="P123" s="50">
        <f>VLOOKUP($A123,'Data shares'!$C:$FB,125)</f>
        <v>0.55000000000000004</v>
      </c>
      <c r="Q123" s="50">
        <f>VLOOKUP($A123,'Data shares'!$C:$FB,127)*100</f>
        <v>0</v>
      </c>
    </row>
    <row r="124" spans="1:17" x14ac:dyDescent="0.25">
      <c r="A124" s="97" t="str">
        <f>'Data Vlaue (Cr)'!C119</f>
        <v>LICHSGFIN</v>
      </c>
      <c r="B124" s="140">
        <f>VLOOKUP($A124,'Data shares'!$C:$FB,7)</f>
        <v>536.70000000000005</v>
      </c>
      <c r="C124" s="140">
        <f>VLOOKUP($A124,'Data shares'!$C:$FB,3)</f>
        <v>536.15</v>
      </c>
      <c r="D124" s="140">
        <f>VLOOKUP($A124,'Data shares'!$C:$FB,4)</f>
        <v>539.75</v>
      </c>
      <c r="E124" s="50">
        <f t="shared" si="3"/>
        <v>-0.66697545159796623</v>
      </c>
      <c r="F124" s="49">
        <f>VLOOKUP($A124,'Data shares'!$C:$FB,98)</f>
        <v>43284000</v>
      </c>
      <c r="G124" s="49">
        <f>VLOOKUP($A124,'Data shares'!$C:$FB,99)</f>
        <v>43733000</v>
      </c>
      <c r="H124" s="50">
        <f t="shared" si="4"/>
        <v>-1.0266846546086479</v>
      </c>
      <c r="I124" s="49">
        <f>VLOOKUP($A124,'Data shares'!$C:$FB,66)</f>
        <v>10733000</v>
      </c>
      <c r="J124" s="49">
        <f>VLOOKUP($A124,'Data shares'!$C:$FB,67)</f>
        <v>9559000</v>
      </c>
      <c r="K124" s="50">
        <f t="shared" si="5"/>
        <v>10.938227895276251</v>
      </c>
      <c r="L124" s="50">
        <f>VLOOKUP($A124,'Data shares'!$C:$FB,118)</f>
        <v>0.96</v>
      </c>
      <c r="M124" s="50">
        <f>VLOOKUP($A124,'Data shares'!$C:$FB,119)</f>
        <v>0.97</v>
      </c>
      <c r="N124" s="50">
        <f>VLOOKUP($A124,'Data shares'!$C:$FB,121)*100</f>
        <v>-1.03</v>
      </c>
      <c r="O124" s="50">
        <f>VLOOKUP($A124,'Data shares'!$C:$FB,124)</f>
        <v>0.39</v>
      </c>
      <c r="P124" s="50">
        <f>VLOOKUP($A124,'Data shares'!$C:$FB,125)</f>
        <v>0.34</v>
      </c>
      <c r="Q124" s="50">
        <f>VLOOKUP($A124,'Data shares'!$C:$FB,127)*100</f>
        <v>14.71</v>
      </c>
    </row>
    <row r="125" spans="1:17" x14ac:dyDescent="0.25">
      <c r="A125" s="97" t="str">
        <f>'Data Vlaue (Cr)'!C120</f>
        <v>LICI</v>
      </c>
      <c r="B125" s="140">
        <f>VLOOKUP($A125,'Data shares'!$C:$FB,7)</f>
        <v>828.1</v>
      </c>
      <c r="C125" s="140">
        <f>VLOOKUP($A125,'Data shares'!$C:$FB,3)</f>
        <v>827.25</v>
      </c>
      <c r="D125" s="140">
        <f>VLOOKUP($A125,'Data shares'!$C:$FB,4)</f>
        <v>844.15</v>
      </c>
      <c r="E125" s="50">
        <f t="shared" si="3"/>
        <v>-2.0020138600959516</v>
      </c>
      <c r="F125" s="49">
        <f>VLOOKUP($A125,'Data shares'!$C:$FB,98)</f>
        <v>22267700</v>
      </c>
      <c r="G125" s="49">
        <f>VLOOKUP($A125,'Data shares'!$C:$FB,99)</f>
        <v>22010800</v>
      </c>
      <c r="H125" s="50">
        <f t="shared" si="4"/>
        <v>1.1671543060679304</v>
      </c>
      <c r="I125" s="49">
        <f>VLOOKUP($A125,'Data shares'!$C:$FB,66)</f>
        <v>9800700</v>
      </c>
      <c r="J125" s="49">
        <f>VLOOKUP($A125,'Data shares'!$C:$FB,67)</f>
        <v>9534000</v>
      </c>
      <c r="K125" s="50">
        <f t="shared" si="5"/>
        <v>2.7212341975573171</v>
      </c>
      <c r="L125" s="50">
        <f>VLOOKUP($A125,'Data shares'!$C:$FB,118)</f>
        <v>0.65</v>
      </c>
      <c r="M125" s="50">
        <f>VLOOKUP($A125,'Data shares'!$C:$FB,119)</f>
        <v>0.59</v>
      </c>
      <c r="N125" s="50">
        <f>VLOOKUP($A125,'Data shares'!$C:$FB,121)*100</f>
        <v>10.17</v>
      </c>
      <c r="O125" s="50">
        <f>VLOOKUP($A125,'Data shares'!$C:$FB,124)</f>
        <v>0.49</v>
      </c>
      <c r="P125" s="50">
        <f>VLOOKUP($A125,'Data shares'!$C:$FB,125)</f>
        <v>0.47</v>
      </c>
      <c r="Q125" s="50">
        <f>VLOOKUP($A125,'Data shares'!$C:$FB,127)*100</f>
        <v>4.26</v>
      </c>
    </row>
    <row r="126" spans="1:17" x14ac:dyDescent="0.25">
      <c r="A126" s="97" t="str">
        <f>'Data Vlaue (Cr)'!C121</f>
        <v>LODHA</v>
      </c>
      <c r="B126" s="140">
        <f>VLOOKUP($A126,'Data shares'!$C:$FB,7)</f>
        <v>856.55</v>
      </c>
      <c r="C126" s="140">
        <f>VLOOKUP($A126,'Data shares'!$C:$FB,3)</f>
        <v>857.25</v>
      </c>
      <c r="D126" s="140">
        <f>VLOOKUP($A126,'Data shares'!$C:$FB,4)</f>
        <v>872.85</v>
      </c>
      <c r="E126" s="50">
        <f t="shared" si="3"/>
        <v>-1.7872486681560429</v>
      </c>
      <c r="F126" s="49">
        <f>VLOOKUP($A126,'Data shares'!$C:$FB,98)</f>
        <v>30194550</v>
      </c>
      <c r="G126" s="49">
        <f>VLOOKUP($A126,'Data shares'!$C:$FB,99)</f>
        <v>30568500</v>
      </c>
      <c r="H126" s="50">
        <f t="shared" si="4"/>
        <v>-1.2233181215957603</v>
      </c>
      <c r="I126" s="49">
        <f>VLOOKUP($A126,'Data shares'!$C:$FB,66)</f>
        <v>8994600</v>
      </c>
      <c r="J126" s="49">
        <f>VLOOKUP($A126,'Data shares'!$C:$FB,67)</f>
        <v>15045750</v>
      </c>
      <c r="K126" s="50">
        <f t="shared" si="5"/>
        <v>-67.275365219131473</v>
      </c>
      <c r="L126" s="50">
        <f>VLOOKUP($A126,'Data shares'!$C:$FB,118)</f>
        <v>0.83</v>
      </c>
      <c r="M126" s="50">
        <f>VLOOKUP($A126,'Data shares'!$C:$FB,119)</f>
        <v>0.84</v>
      </c>
      <c r="N126" s="50">
        <f>VLOOKUP($A126,'Data shares'!$C:$FB,121)*100</f>
        <v>-1.1900000000000002</v>
      </c>
      <c r="O126" s="50">
        <f>VLOOKUP($A126,'Data shares'!$C:$FB,124)</f>
        <v>1.08</v>
      </c>
      <c r="P126" s="50">
        <f>VLOOKUP($A126,'Data shares'!$C:$FB,125)</f>
        <v>0.82</v>
      </c>
      <c r="Q126" s="50">
        <f>VLOOKUP($A126,'Data shares'!$C:$FB,127)*100</f>
        <v>31.71</v>
      </c>
    </row>
    <row r="127" spans="1:17" x14ac:dyDescent="0.25">
      <c r="A127" s="97" t="str">
        <f>'Data Vlaue (Cr)'!C122</f>
        <v>LT</v>
      </c>
      <c r="B127" s="140">
        <f>VLOOKUP($A127,'Data shares'!$C:$FB,7)</f>
        <v>4051</v>
      </c>
      <c r="C127" s="140">
        <f>VLOOKUP($A127,'Data shares'!$C:$FB,3)</f>
        <v>4056.4</v>
      </c>
      <c r="D127" s="140">
        <f>VLOOKUP($A127,'Data shares'!$C:$FB,4)</f>
        <v>4106.8999999999996</v>
      </c>
      <c r="E127" s="50">
        <f t="shared" si="3"/>
        <v>-1.2296379264165076</v>
      </c>
      <c r="F127" s="49">
        <f>VLOOKUP($A127,'Data shares'!$C:$FB,98)</f>
        <v>32882675</v>
      </c>
      <c r="G127" s="49">
        <f>VLOOKUP($A127,'Data shares'!$C:$FB,99)</f>
        <v>32313225</v>
      </c>
      <c r="H127" s="50">
        <f t="shared" si="4"/>
        <v>1.76228154261916</v>
      </c>
      <c r="I127" s="49">
        <f>VLOOKUP($A127,'Data shares'!$C:$FB,66)</f>
        <v>16262050</v>
      </c>
      <c r="J127" s="49">
        <f>VLOOKUP($A127,'Data shares'!$C:$FB,67)</f>
        <v>13683950</v>
      </c>
      <c r="K127" s="50">
        <f t="shared" si="5"/>
        <v>15.853474807911672</v>
      </c>
      <c r="L127" s="50">
        <f>VLOOKUP($A127,'Data shares'!$C:$FB,118)</f>
        <v>0.87</v>
      </c>
      <c r="M127" s="50">
        <f>VLOOKUP($A127,'Data shares'!$C:$FB,119)</f>
        <v>0.89</v>
      </c>
      <c r="N127" s="50">
        <f>VLOOKUP($A127,'Data shares'!$C:$FB,121)*100</f>
        <v>-2.25</v>
      </c>
      <c r="O127" s="50">
        <f>VLOOKUP($A127,'Data shares'!$C:$FB,124)</f>
        <v>0.79</v>
      </c>
      <c r="P127" s="50">
        <f>VLOOKUP($A127,'Data shares'!$C:$FB,125)</f>
        <v>0.9</v>
      </c>
      <c r="Q127" s="50">
        <f>VLOOKUP($A127,'Data shares'!$C:$FB,127)*100</f>
        <v>-12.22</v>
      </c>
    </row>
    <row r="128" spans="1:17" x14ac:dyDescent="0.25">
      <c r="A128" s="97" t="str">
        <f>'Data Vlaue (Cr)'!C123</f>
        <v>LTF</v>
      </c>
      <c r="B128" s="140">
        <f>VLOOKUP($A128,'Data shares'!$C:$FB,7)</f>
        <v>290.14999999999998</v>
      </c>
      <c r="C128" s="140">
        <f>VLOOKUP($A128,'Data shares'!$C:$FB,3)</f>
        <v>290.5</v>
      </c>
      <c r="D128" s="140">
        <f>VLOOKUP($A128,'Data shares'!$C:$FB,4)</f>
        <v>287.35000000000002</v>
      </c>
      <c r="E128" s="50">
        <f t="shared" si="3"/>
        <v>1.0962241169305644</v>
      </c>
      <c r="F128" s="49">
        <f>VLOOKUP($A128,'Data shares'!$C:$FB,98)</f>
        <v>86357250</v>
      </c>
      <c r="G128" s="49">
        <f>VLOOKUP($A128,'Data shares'!$C:$FB,99)</f>
        <v>88211250</v>
      </c>
      <c r="H128" s="50">
        <f t="shared" si="4"/>
        <v>-2.1017727330697613</v>
      </c>
      <c r="I128" s="49">
        <f>VLOOKUP($A128,'Data shares'!$C:$FB,66)</f>
        <v>42171750</v>
      </c>
      <c r="J128" s="49">
        <f>VLOOKUP($A128,'Data shares'!$C:$FB,67)</f>
        <v>45123750</v>
      </c>
      <c r="K128" s="50">
        <f t="shared" si="5"/>
        <v>-6.9999466467481186</v>
      </c>
      <c r="L128" s="50">
        <f>VLOOKUP($A128,'Data shares'!$C:$FB,118)</f>
        <v>0.96</v>
      </c>
      <c r="M128" s="50">
        <f>VLOOKUP($A128,'Data shares'!$C:$FB,119)</f>
        <v>0.87</v>
      </c>
      <c r="N128" s="50">
        <f>VLOOKUP($A128,'Data shares'!$C:$FB,121)*100</f>
        <v>10.34</v>
      </c>
      <c r="O128" s="50">
        <f>VLOOKUP($A128,'Data shares'!$C:$FB,124)</f>
        <v>0.53</v>
      </c>
      <c r="P128" s="50">
        <f>VLOOKUP($A128,'Data shares'!$C:$FB,125)</f>
        <v>0.61</v>
      </c>
      <c r="Q128" s="50">
        <f>VLOOKUP($A128,'Data shares'!$C:$FB,127)*100</f>
        <v>-13.11</v>
      </c>
    </row>
    <row r="129" spans="1:17" x14ac:dyDescent="0.25">
      <c r="A129" s="97" t="str">
        <f>'Data Vlaue (Cr)'!C124</f>
        <v>LTM</v>
      </c>
      <c r="B129" s="140">
        <f>VLOOKUP($A129,'Data shares'!$C:$FB,7)</f>
        <v>4715.8</v>
      </c>
      <c r="C129" s="140">
        <f>VLOOKUP($A129,'Data shares'!$C:$FB,3)</f>
        <v>4632</v>
      </c>
      <c r="D129" s="140">
        <f>VLOOKUP($A129,'Data shares'!$C:$FB,4)</f>
        <v>4691.8</v>
      </c>
      <c r="E129" s="50">
        <f t="shared" si="3"/>
        <v>-1.2745641331685105</v>
      </c>
      <c r="F129" s="49">
        <f>VLOOKUP($A129,'Data shares'!$C:$FB,98)</f>
        <v>6953850</v>
      </c>
      <c r="G129" s="49">
        <f>VLOOKUP($A129,'Data shares'!$C:$FB,99)</f>
        <v>6967500</v>
      </c>
      <c r="H129" s="50">
        <f t="shared" si="4"/>
        <v>-0.19590958019375673</v>
      </c>
      <c r="I129" s="49">
        <f>VLOOKUP($A129,'Data shares'!$C:$FB,66)</f>
        <v>1667850</v>
      </c>
      <c r="J129" s="49">
        <f>VLOOKUP($A129,'Data shares'!$C:$FB,67)</f>
        <v>2693550</v>
      </c>
      <c r="K129" s="50">
        <f t="shared" si="5"/>
        <v>-61.498336181311267</v>
      </c>
      <c r="L129" s="50">
        <f>VLOOKUP($A129,'Data shares'!$C:$FB,118)</f>
        <v>0.81</v>
      </c>
      <c r="M129" s="50">
        <f>VLOOKUP($A129,'Data shares'!$C:$FB,119)</f>
        <v>0.87</v>
      </c>
      <c r="N129" s="50">
        <f>VLOOKUP($A129,'Data shares'!$C:$FB,121)*100</f>
        <v>-6.9</v>
      </c>
      <c r="O129" s="50">
        <f>VLOOKUP($A129,'Data shares'!$C:$FB,124)</f>
        <v>0.62</v>
      </c>
      <c r="P129" s="50">
        <f>VLOOKUP($A129,'Data shares'!$C:$FB,125)</f>
        <v>0.5</v>
      </c>
      <c r="Q129" s="50">
        <f>VLOOKUP($A129,'Data shares'!$C:$FB,127)*100</f>
        <v>24</v>
      </c>
    </row>
    <row r="130" spans="1:17" x14ac:dyDescent="0.25">
      <c r="A130" s="97" t="str">
        <f>'Data Vlaue (Cr)'!C125</f>
        <v>LUPIN</v>
      </c>
      <c r="B130" s="140">
        <f>VLOOKUP($A130,'Data shares'!$C:$FB,7)</f>
        <v>2328.6999999999998</v>
      </c>
      <c r="C130" s="140">
        <f>VLOOKUP($A130,'Data shares'!$C:$FB,3)</f>
        <v>2325.1999999999998</v>
      </c>
      <c r="D130" s="140">
        <f>VLOOKUP($A130,'Data shares'!$C:$FB,4)</f>
        <v>2328.4</v>
      </c>
      <c r="E130" s="50">
        <f t="shared" si="3"/>
        <v>-0.13743343068202513</v>
      </c>
      <c r="F130" s="49">
        <f>VLOOKUP($A130,'Data shares'!$C:$FB,98)</f>
        <v>10831125</v>
      </c>
      <c r="G130" s="49">
        <f>VLOOKUP($A130,'Data shares'!$C:$FB,99)</f>
        <v>10874900</v>
      </c>
      <c r="H130" s="50">
        <f t="shared" si="4"/>
        <v>-0.40253243707988118</v>
      </c>
      <c r="I130" s="49">
        <f>VLOOKUP($A130,'Data shares'!$C:$FB,66)</f>
        <v>8610925</v>
      </c>
      <c r="J130" s="49">
        <f>VLOOKUP($A130,'Data shares'!$C:$FB,67)</f>
        <v>6756650</v>
      </c>
      <c r="K130" s="50">
        <f t="shared" si="5"/>
        <v>21.533981540891368</v>
      </c>
      <c r="L130" s="50">
        <f>VLOOKUP($A130,'Data shares'!$C:$FB,118)</f>
        <v>0.72</v>
      </c>
      <c r="M130" s="50">
        <f>VLOOKUP($A130,'Data shares'!$C:$FB,119)</f>
        <v>0.64</v>
      </c>
      <c r="N130" s="50">
        <f>VLOOKUP($A130,'Data shares'!$C:$FB,121)*100</f>
        <v>12.5</v>
      </c>
      <c r="O130" s="50">
        <f>VLOOKUP($A130,'Data shares'!$C:$FB,124)</f>
        <v>0.48</v>
      </c>
      <c r="P130" s="50">
        <f>VLOOKUP($A130,'Data shares'!$C:$FB,125)</f>
        <v>0.47</v>
      </c>
      <c r="Q130" s="50">
        <f>VLOOKUP($A130,'Data shares'!$C:$FB,127)*100</f>
        <v>2.13</v>
      </c>
    </row>
    <row r="131" spans="1:17" x14ac:dyDescent="0.25">
      <c r="A131" s="97" t="str">
        <f>'Data Vlaue (Cr)'!C126</f>
        <v>M&amp;M</v>
      </c>
      <c r="B131" s="140">
        <f>VLOOKUP($A131,'Data shares'!$C:$FB,7)</f>
        <v>3221.6</v>
      </c>
      <c r="C131" s="140">
        <f>VLOOKUP($A131,'Data shares'!$C:$FB,3)</f>
        <v>3218.3</v>
      </c>
      <c r="D131" s="140">
        <f>VLOOKUP($A131,'Data shares'!$C:$FB,4)</f>
        <v>3207.2</v>
      </c>
      <c r="E131" s="50">
        <f t="shared" si="3"/>
        <v>0.34609628336244586</v>
      </c>
      <c r="F131" s="49">
        <f>VLOOKUP($A131,'Data shares'!$C:$FB,98)</f>
        <v>28771800</v>
      </c>
      <c r="G131" s="49">
        <f>VLOOKUP($A131,'Data shares'!$C:$FB,99)</f>
        <v>28887000</v>
      </c>
      <c r="H131" s="50">
        <f t="shared" si="4"/>
        <v>-0.39879530584692074</v>
      </c>
      <c r="I131" s="49">
        <f>VLOOKUP($A131,'Data shares'!$C:$FB,66)</f>
        <v>12690000</v>
      </c>
      <c r="J131" s="49">
        <f>VLOOKUP($A131,'Data shares'!$C:$FB,67)</f>
        <v>11856400</v>
      </c>
      <c r="K131" s="50">
        <f t="shared" si="5"/>
        <v>6.5689519306540589</v>
      </c>
      <c r="L131" s="50">
        <f>VLOOKUP($A131,'Data shares'!$C:$FB,118)</f>
        <v>0.71</v>
      </c>
      <c r="M131" s="50">
        <f>VLOOKUP($A131,'Data shares'!$C:$FB,119)</f>
        <v>0.65</v>
      </c>
      <c r="N131" s="50">
        <f>VLOOKUP($A131,'Data shares'!$C:$FB,121)*100</f>
        <v>9.2299999999999986</v>
      </c>
      <c r="O131" s="50">
        <f>VLOOKUP($A131,'Data shares'!$C:$FB,124)</f>
        <v>0.48</v>
      </c>
      <c r="P131" s="50">
        <f>VLOOKUP($A131,'Data shares'!$C:$FB,125)</f>
        <v>0.55000000000000004</v>
      </c>
      <c r="Q131" s="50">
        <f>VLOOKUP($A131,'Data shares'!$C:$FB,127)*100</f>
        <v>-12.73</v>
      </c>
    </row>
    <row r="132" spans="1:17" x14ac:dyDescent="0.25">
      <c r="A132" s="97" t="str">
        <f>'Data Vlaue (Cr)'!C127</f>
        <v>MANAPPURAM</v>
      </c>
      <c r="B132" s="140">
        <f>VLOOKUP($A132,'Data shares'!$C:$FB,7)</f>
        <v>269.10000000000002</v>
      </c>
      <c r="C132" s="140">
        <f>VLOOKUP($A132,'Data shares'!$C:$FB,3)</f>
        <v>269.5</v>
      </c>
      <c r="D132" s="140">
        <f>VLOOKUP($A132,'Data shares'!$C:$FB,4)</f>
        <v>270.05</v>
      </c>
      <c r="E132" s="50">
        <f t="shared" si="3"/>
        <v>-0.20366598778004491</v>
      </c>
      <c r="F132" s="49">
        <f>VLOOKUP($A132,'Data shares'!$C:$FB,98)</f>
        <v>83631000</v>
      </c>
      <c r="G132" s="49">
        <f>VLOOKUP($A132,'Data shares'!$C:$FB,99)</f>
        <v>82248000</v>
      </c>
      <c r="H132" s="50">
        <f t="shared" si="4"/>
        <v>1.6814998540997956</v>
      </c>
      <c r="I132" s="49">
        <f>VLOOKUP($A132,'Data shares'!$C:$FB,66)</f>
        <v>25857000</v>
      </c>
      <c r="J132" s="49">
        <f>VLOOKUP($A132,'Data shares'!$C:$FB,67)</f>
        <v>27111000</v>
      </c>
      <c r="K132" s="50">
        <f t="shared" si="5"/>
        <v>-4.8497505511080172</v>
      </c>
      <c r="L132" s="50">
        <f>VLOOKUP($A132,'Data shares'!$C:$FB,118)</f>
        <v>0.63</v>
      </c>
      <c r="M132" s="50">
        <f>VLOOKUP($A132,'Data shares'!$C:$FB,119)</f>
        <v>0.65</v>
      </c>
      <c r="N132" s="50">
        <f>VLOOKUP($A132,'Data shares'!$C:$FB,121)*100</f>
        <v>-3.08</v>
      </c>
      <c r="O132" s="50">
        <f>VLOOKUP($A132,'Data shares'!$C:$FB,124)</f>
        <v>0.41</v>
      </c>
      <c r="P132" s="50">
        <f>VLOOKUP($A132,'Data shares'!$C:$FB,125)</f>
        <v>0.68</v>
      </c>
      <c r="Q132" s="50">
        <f>VLOOKUP($A132,'Data shares'!$C:$FB,127)*100</f>
        <v>-39.71</v>
      </c>
    </row>
    <row r="133" spans="1:17" x14ac:dyDescent="0.25">
      <c r="A133" s="97" t="str">
        <f>'Data Vlaue (Cr)'!C128</f>
        <v>MANKIND</v>
      </c>
      <c r="B133" s="140">
        <f>VLOOKUP($A133,'Data shares'!$C:$FB,7)</f>
        <v>2144</v>
      </c>
      <c r="C133" s="140">
        <f>VLOOKUP($A133,'Data shares'!$C:$FB,3)</f>
        <v>2138.8000000000002</v>
      </c>
      <c r="D133" s="140">
        <f>VLOOKUP($A133,'Data shares'!$C:$FB,4)</f>
        <v>2129.4</v>
      </c>
      <c r="E133" s="50">
        <f t="shared" si="3"/>
        <v>0.44143890297736871</v>
      </c>
      <c r="F133" s="49">
        <f>VLOOKUP($A133,'Data shares'!$C:$FB,98)</f>
        <v>4056075</v>
      </c>
      <c r="G133" s="49">
        <f>VLOOKUP($A133,'Data shares'!$C:$FB,99)</f>
        <v>3971925</v>
      </c>
      <c r="H133" s="50">
        <f t="shared" si="4"/>
        <v>2.1186200645782587</v>
      </c>
      <c r="I133" s="49">
        <f>VLOOKUP($A133,'Data shares'!$C:$FB,66)</f>
        <v>2667150</v>
      </c>
      <c r="J133" s="49">
        <f>VLOOKUP($A133,'Data shares'!$C:$FB,67)</f>
        <v>1062000</v>
      </c>
      <c r="K133" s="50">
        <f t="shared" si="5"/>
        <v>60.18221697317361</v>
      </c>
      <c r="L133" s="50">
        <f>VLOOKUP($A133,'Data shares'!$C:$FB,118)</f>
        <v>0.36</v>
      </c>
      <c r="M133" s="50">
        <f>VLOOKUP($A133,'Data shares'!$C:$FB,119)</f>
        <v>0.33</v>
      </c>
      <c r="N133" s="50">
        <f>VLOOKUP($A133,'Data shares'!$C:$FB,121)*100</f>
        <v>9.09</v>
      </c>
      <c r="O133" s="50">
        <f>VLOOKUP($A133,'Data shares'!$C:$FB,124)</f>
        <v>0.84</v>
      </c>
      <c r="P133" s="50">
        <f>VLOOKUP($A133,'Data shares'!$C:$FB,125)</f>
        <v>0.15</v>
      </c>
      <c r="Q133" s="50">
        <f>VLOOKUP($A133,'Data shares'!$C:$FB,127)*100</f>
        <v>459.99999999999994</v>
      </c>
    </row>
    <row r="134" spans="1:17" x14ac:dyDescent="0.25">
      <c r="A134" s="97" t="str">
        <f>'Data Vlaue (Cr)'!C129</f>
        <v>MARICO</v>
      </c>
      <c r="B134" s="140">
        <f>VLOOKUP($A134,'Data shares'!$C:$FB,7)</f>
        <v>760.7</v>
      </c>
      <c r="C134" s="140">
        <f>VLOOKUP($A134,'Data shares'!$C:$FB,3)</f>
        <v>760</v>
      </c>
      <c r="D134" s="140">
        <f>VLOOKUP($A134,'Data shares'!$C:$FB,4)</f>
        <v>758.45</v>
      </c>
      <c r="E134" s="50">
        <f t="shared" si="3"/>
        <v>0.20436416375502067</v>
      </c>
      <c r="F134" s="49">
        <f>VLOOKUP($A134,'Data shares'!$C:$FB,98)</f>
        <v>33421200</v>
      </c>
      <c r="G134" s="49">
        <f>VLOOKUP($A134,'Data shares'!$C:$FB,99)</f>
        <v>33502800</v>
      </c>
      <c r="H134" s="50">
        <f t="shared" si="4"/>
        <v>-0.24356173215373042</v>
      </c>
      <c r="I134" s="49">
        <f>VLOOKUP($A134,'Data shares'!$C:$FB,66)</f>
        <v>10964400</v>
      </c>
      <c r="J134" s="49">
        <f>VLOOKUP($A134,'Data shares'!$C:$FB,67)</f>
        <v>20836800</v>
      </c>
      <c r="K134" s="50">
        <f t="shared" si="5"/>
        <v>-90.040494691912016</v>
      </c>
      <c r="L134" s="50">
        <f>VLOOKUP($A134,'Data shares'!$C:$FB,118)</f>
        <v>0.82</v>
      </c>
      <c r="M134" s="50">
        <f>VLOOKUP($A134,'Data shares'!$C:$FB,119)</f>
        <v>0.86</v>
      </c>
      <c r="N134" s="50">
        <f>VLOOKUP($A134,'Data shares'!$C:$FB,121)*100</f>
        <v>-4.6500000000000004</v>
      </c>
      <c r="O134" s="50">
        <f>VLOOKUP($A134,'Data shares'!$C:$FB,124)</f>
        <v>0.28999999999999998</v>
      </c>
      <c r="P134" s="50">
        <f>VLOOKUP($A134,'Data shares'!$C:$FB,125)</f>
        <v>0.27</v>
      </c>
      <c r="Q134" s="50">
        <f>VLOOKUP($A134,'Data shares'!$C:$FB,127)*100</f>
        <v>7.41</v>
      </c>
    </row>
    <row r="135" spans="1:17" x14ac:dyDescent="0.25">
      <c r="A135" s="97" t="str">
        <f>'Data Vlaue (Cr)'!C130</f>
        <v>MARUTI</v>
      </c>
      <c r="B135" s="140">
        <f>VLOOKUP($A135,'Data shares'!$C:$FB,7)</f>
        <v>13450</v>
      </c>
      <c r="C135" s="140">
        <f>VLOOKUP($A135,'Data shares'!$C:$FB,3)</f>
        <v>13442</v>
      </c>
      <c r="D135" s="140">
        <f>VLOOKUP($A135,'Data shares'!$C:$FB,4)</f>
        <v>13490</v>
      </c>
      <c r="E135" s="50">
        <f t="shared" si="3"/>
        <v>-0.35581912527798371</v>
      </c>
      <c r="F135" s="49">
        <f>VLOOKUP($A135,'Data shares'!$C:$FB,98)</f>
        <v>6852750</v>
      </c>
      <c r="G135" s="49">
        <f>VLOOKUP($A135,'Data shares'!$C:$FB,99)</f>
        <v>6842600</v>
      </c>
      <c r="H135" s="50">
        <f t="shared" si="4"/>
        <v>0.14833542805366381</v>
      </c>
      <c r="I135" s="49">
        <f>VLOOKUP($A135,'Data shares'!$C:$FB,66)</f>
        <v>3496700</v>
      </c>
      <c r="J135" s="49">
        <f>VLOOKUP($A135,'Data shares'!$C:$FB,67)</f>
        <v>9439400</v>
      </c>
      <c r="K135" s="50">
        <f t="shared" si="5"/>
        <v>-169.95166871621814</v>
      </c>
      <c r="L135" s="50">
        <f>VLOOKUP($A135,'Data shares'!$C:$FB,118)</f>
        <v>0.61</v>
      </c>
      <c r="M135" s="50">
        <f>VLOOKUP($A135,'Data shares'!$C:$FB,119)</f>
        <v>0.59</v>
      </c>
      <c r="N135" s="50">
        <f>VLOOKUP($A135,'Data shares'!$C:$FB,121)*100</f>
        <v>3.39</v>
      </c>
      <c r="O135" s="50">
        <f>VLOOKUP($A135,'Data shares'!$C:$FB,124)</f>
        <v>0.55000000000000004</v>
      </c>
      <c r="P135" s="50">
        <f>VLOOKUP($A135,'Data shares'!$C:$FB,125)</f>
        <v>0.42</v>
      </c>
      <c r="Q135" s="50">
        <f>VLOOKUP($A135,'Data shares'!$C:$FB,127)*100</f>
        <v>30.95</v>
      </c>
    </row>
    <row r="136" spans="1:17" x14ac:dyDescent="0.25">
      <c r="A136" s="97" t="str">
        <f>'Data Vlaue (Cr)'!C131</f>
        <v>MAXHEALTH</v>
      </c>
      <c r="B136" s="140">
        <f>VLOOKUP($A136,'Data shares'!$C:$FB,7)</f>
        <v>1011.35</v>
      </c>
      <c r="C136" s="140">
        <f>VLOOKUP($A136,'Data shares'!$C:$FB,3)</f>
        <v>1009.95</v>
      </c>
      <c r="D136" s="140">
        <f>VLOOKUP($A136,'Data shares'!$C:$FB,4)</f>
        <v>1007.45</v>
      </c>
      <c r="E136" s="50">
        <f t="shared" ref="E136:E172" si="6">(C136-D136)/D136*100</f>
        <v>0.24815127301603054</v>
      </c>
      <c r="F136" s="49">
        <f>VLOOKUP($A136,'Data shares'!$C:$FB,98)</f>
        <v>20984775</v>
      </c>
      <c r="G136" s="49">
        <f>VLOOKUP($A136,'Data shares'!$C:$FB,99)</f>
        <v>21362250</v>
      </c>
      <c r="H136" s="50">
        <f t="shared" ref="H136:H172" si="7">(F136-G136)/G136*100</f>
        <v>-1.7670189235684444</v>
      </c>
      <c r="I136" s="49">
        <f>VLOOKUP($A136,'Data shares'!$C:$FB,66)</f>
        <v>11825625</v>
      </c>
      <c r="J136" s="49">
        <f>VLOOKUP($A136,'Data shares'!$C:$FB,67)</f>
        <v>11106375</v>
      </c>
      <c r="K136" s="50">
        <f t="shared" ref="K136:K172" si="8">(I136-J136)/I136*100</f>
        <v>6.0821309655937847</v>
      </c>
      <c r="L136" s="50">
        <f>VLOOKUP($A136,'Data shares'!$C:$FB,118)</f>
        <v>0.57999999999999996</v>
      </c>
      <c r="M136" s="50">
        <f>VLOOKUP($A136,'Data shares'!$C:$FB,119)</f>
        <v>0.56000000000000005</v>
      </c>
      <c r="N136" s="50">
        <f>VLOOKUP($A136,'Data shares'!$C:$FB,121)*100</f>
        <v>3.5700000000000003</v>
      </c>
      <c r="O136" s="50">
        <f>VLOOKUP($A136,'Data shares'!$C:$FB,124)</f>
        <v>0.39</v>
      </c>
      <c r="P136" s="50">
        <f>VLOOKUP($A136,'Data shares'!$C:$FB,125)</f>
        <v>0.35</v>
      </c>
      <c r="Q136" s="50">
        <f>VLOOKUP($A136,'Data shares'!$C:$FB,127)*100</f>
        <v>11.43</v>
      </c>
    </row>
    <row r="137" spans="1:17" x14ac:dyDescent="0.25">
      <c r="A137" s="97" t="str">
        <f>'Data Vlaue (Cr)'!C132</f>
        <v>MAZDOCK</v>
      </c>
      <c r="B137" s="140">
        <f>VLOOKUP($A137,'Data shares'!$C:$FB,7)</f>
        <v>2621.1999999999998</v>
      </c>
      <c r="C137" s="140">
        <f>VLOOKUP($A137,'Data shares'!$C:$FB,3)</f>
        <v>2625.6</v>
      </c>
      <c r="D137" s="140">
        <f>VLOOKUP($A137,'Data shares'!$C:$FB,4)</f>
        <v>2624.7</v>
      </c>
      <c r="E137" s="50">
        <f t="shared" si="6"/>
        <v>3.4289633100929286E-2</v>
      </c>
      <c r="F137" s="49">
        <f>VLOOKUP($A137,'Data shares'!$C:$FB,98)</f>
        <v>11763400</v>
      </c>
      <c r="G137" s="49">
        <f>VLOOKUP($A137,'Data shares'!$C:$FB,99)</f>
        <v>11011000</v>
      </c>
      <c r="H137" s="50">
        <f t="shared" si="7"/>
        <v>6.8331668331668327</v>
      </c>
      <c r="I137" s="49">
        <f>VLOOKUP($A137,'Data shares'!$C:$FB,66)</f>
        <v>13960200</v>
      </c>
      <c r="J137" s="49">
        <f>VLOOKUP($A137,'Data shares'!$C:$FB,67)</f>
        <v>17867400</v>
      </c>
      <c r="K137" s="50">
        <f t="shared" si="8"/>
        <v>-27.988137705763528</v>
      </c>
      <c r="L137" s="50">
        <f>VLOOKUP($A137,'Data shares'!$C:$FB,118)</f>
        <v>0.8</v>
      </c>
      <c r="M137" s="50">
        <f>VLOOKUP($A137,'Data shares'!$C:$FB,119)</f>
        <v>0.73</v>
      </c>
      <c r="N137" s="50">
        <f>VLOOKUP($A137,'Data shares'!$C:$FB,121)*100</f>
        <v>9.59</v>
      </c>
      <c r="O137" s="50">
        <f>VLOOKUP($A137,'Data shares'!$C:$FB,124)</f>
        <v>0.35</v>
      </c>
      <c r="P137" s="50">
        <f>VLOOKUP($A137,'Data shares'!$C:$FB,125)</f>
        <v>0.32</v>
      </c>
      <c r="Q137" s="50">
        <f>VLOOKUP($A137,'Data shares'!$C:$FB,127)*100</f>
        <v>9.370000000000001</v>
      </c>
    </row>
    <row r="138" spans="1:17" x14ac:dyDescent="0.25">
      <c r="A138" s="97" t="str">
        <f>'Data Vlaue (Cr)'!C133</f>
        <v>MCX</v>
      </c>
      <c r="B138" s="140">
        <f>VLOOKUP($A138,'Data shares'!$C:$FB,7)</f>
        <v>2859.1</v>
      </c>
      <c r="C138" s="140">
        <f>VLOOKUP($A138,'Data shares'!$C:$FB,3)</f>
        <v>2858.9</v>
      </c>
      <c r="D138" s="140">
        <f>VLOOKUP($A138,'Data shares'!$C:$FB,4)</f>
        <v>2861.9</v>
      </c>
      <c r="E138" s="50">
        <f t="shared" si="6"/>
        <v>-0.10482546559977637</v>
      </c>
      <c r="F138" s="49">
        <f>VLOOKUP($A138,'Data shares'!$C:$FB,98)</f>
        <v>30113750</v>
      </c>
      <c r="G138" s="49">
        <f>VLOOKUP($A138,'Data shares'!$C:$FB,99)</f>
        <v>29853750</v>
      </c>
      <c r="H138" s="50">
        <f t="shared" si="7"/>
        <v>0.87091236444332787</v>
      </c>
      <c r="I138" s="49">
        <f>VLOOKUP($A138,'Data shares'!$C:$FB,66)</f>
        <v>18715000</v>
      </c>
      <c r="J138" s="49">
        <f>VLOOKUP($A138,'Data shares'!$C:$FB,67)</f>
        <v>43651875</v>
      </c>
      <c r="K138" s="50">
        <f t="shared" si="8"/>
        <v>-133.24539139727491</v>
      </c>
      <c r="L138" s="50">
        <f>VLOOKUP($A138,'Data shares'!$C:$FB,118)</f>
        <v>0.91</v>
      </c>
      <c r="M138" s="50">
        <f>VLOOKUP($A138,'Data shares'!$C:$FB,119)</f>
        <v>0.91</v>
      </c>
      <c r="N138" s="50">
        <f>VLOOKUP($A138,'Data shares'!$C:$FB,121)*100</f>
        <v>0</v>
      </c>
      <c r="O138" s="50">
        <f>VLOOKUP($A138,'Data shares'!$C:$FB,124)</f>
        <v>0.6</v>
      </c>
      <c r="P138" s="50">
        <f>VLOOKUP($A138,'Data shares'!$C:$FB,125)</f>
        <v>0.73</v>
      </c>
      <c r="Q138" s="50">
        <f>VLOOKUP($A138,'Data shares'!$C:$FB,127)*100</f>
        <v>-17.810000000000002</v>
      </c>
    </row>
    <row r="139" spans="1:17" x14ac:dyDescent="0.25">
      <c r="A139" s="97" t="str">
        <f>'Data Vlaue (Cr)'!C134</f>
        <v>MFSL</v>
      </c>
      <c r="B139" s="140">
        <f>VLOOKUP($A139,'Data shares'!$C:$FB,7)</f>
        <v>1688.8</v>
      </c>
      <c r="C139" s="140">
        <f>VLOOKUP($A139,'Data shares'!$C:$FB,3)</f>
        <v>1686.9</v>
      </c>
      <c r="D139" s="140">
        <f>VLOOKUP($A139,'Data shares'!$C:$FB,4)</f>
        <v>1681.8</v>
      </c>
      <c r="E139" s="50">
        <f t="shared" si="6"/>
        <v>0.30324652158402526</v>
      </c>
      <c r="F139" s="49">
        <f>VLOOKUP($A139,'Data shares'!$C:$FB,98)</f>
        <v>10757200</v>
      </c>
      <c r="G139" s="49">
        <f>VLOOKUP($A139,'Data shares'!$C:$FB,99)</f>
        <v>11176800</v>
      </c>
      <c r="H139" s="50">
        <f t="shared" si="7"/>
        <v>-3.7542051392169493</v>
      </c>
      <c r="I139" s="49">
        <f>VLOOKUP($A139,'Data shares'!$C:$FB,66)</f>
        <v>2001600</v>
      </c>
      <c r="J139" s="49">
        <f>VLOOKUP($A139,'Data shares'!$C:$FB,67)</f>
        <v>1715600</v>
      </c>
      <c r="K139" s="50">
        <f t="shared" si="8"/>
        <v>14.288569144684251</v>
      </c>
      <c r="L139" s="50">
        <f>VLOOKUP($A139,'Data shares'!$C:$FB,118)</f>
        <v>0.61</v>
      </c>
      <c r="M139" s="50">
        <f>VLOOKUP($A139,'Data shares'!$C:$FB,119)</f>
        <v>0.61</v>
      </c>
      <c r="N139" s="50">
        <f>VLOOKUP($A139,'Data shares'!$C:$FB,121)*100</f>
        <v>0</v>
      </c>
      <c r="O139" s="50">
        <f>VLOOKUP($A139,'Data shares'!$C:$FB,124)</f>
        <v>0.69</v>
      </c>
      <c r="P139" s="50">
        <f>VLOOKUP($A139,'Data shares'!$C:$FB,125)</f>
        <v>0.81</v>
      </c>
      <c r="Q139" s="50">
        <f>VLOOKUP($A139,'Data shares'!$C:$FB,127)*100</f>
        <v>-14.81</v>
      </c>
    </row>
    <row r="140" spans="1:17" x14ac:dyDescent="0.25">
      <c r="A140" s="97" t="str">
        <f>'Data Vlaue (Cr)'!C135</f>
        <v>MIDCPNIFTY</v>
      </c>
      <c r="B140" s="140">
        <f>VLOOKUP($A140,'Data shares'!$C:$FB,7)</f>
        <v>13807.25</v>
      </c>
      <c r="C140" s="140">
        <f>VLOOKUP($A140,'Data shares'!$C:$FB,3)</f>
        <v>13785.25</v>
      </c>
      <c r="D140" s="140">
        <f>VLOOKUP($A140,'Data shares'!$C:$FB,4)</f>
        <v>13849.2</v>
      </c>
      <c r="E140" s="50">
        <f t="shared" si="6"/>
        <v>-0.46175952401583287</v>
      </c>
      <c r="F140" s="49">
        <f>VLOOKUP($A140,'Data shares'!$C:$FB,98)</f>
        <v>15644160</v>
      </c>
      <c r="G140" s="49">
        <f>VLOOKUP($A140,'Data shares'!$C:$FB,99)</f>
        <v>15694680</v>
      </c>
      <c r="H140" s="50">
        <f t="shared" si="7"/>
        <v>-0.32189251389642859</v>
      </c>
      <c r="I140" s="49">
        <f>VLOOKUP($A140,'Data shares'!$C:$FB,66)</f>
        <v>28732200</v>
      </c>
      <c r="J140" s="49">
        <f>VLOOKUP($A140,'Data shares'!$C:$FB,67)</f>
        <v>33626640</v>
      </c>
      <c r="K140" s="50">
        <f t="shared" si="8"/>
        <v>-17.034685822874685</v>
      </c>
      <c r="L140" s="50">
        <f>VLOOKUP($A140,'Data shares'!$C:$FB,118)</f>
        <v>1.23</v>
      </c>
      <c r="M140" s="50">
        <f>VLOOKUP($A140,'Data shares'!$C:$FB,119)</f>
        <v>1.21</v>
      </c>
      <c r="N140" s="50">
        <f>VLOOKUP($A140,'Data shares'!$C:$FB,121)*100</f>
        <v>1.6500000000000001</v>
      </c>
      <c r="O140" s="50">
        <f>VLOOKUP($A140,'Data shares'!$C:$FB,124)</f>
        <v>0.89</v>
      </c>
      <c r="P140" s="50">
        <f>VLOOKUP($A140,'Data shares'!$C:$FB,125)</f>
        <v>1.32</v>
      </c>
      <c r="Q140" s="50">
        <f>VLOOKUP($A140,'Data shares'!$C:$FB,127)*100</f>
        <v>-32.58</v>
      </c>
    </row>
    <row r="141" spans="1:17" x14ac:dyDescent="0.25">
      <c r="A141" s="97" t="str">
        <f>'Data Vlaue (Cr)'!C136</f>
        <v>MOTHERSON</v>
      </c>
      <c r="B141" s="140">
        <f>VLOOKUP($A141,'Data shares'!$C:$FB,7)</f>
        <v>123.19</v>
      </c>
      <c r="C141" s="140">
        <f>VLOOKUP($A141,'Data shares'!$C:$FB,3)</f>
        <v>123.34</v>
      </c>
      <c r="D141" s="140">
        <f>VLOOKUP($A141,'Data shares'!$C:$FB,4)</f>
        <v>125.05</v>
      </c>
      <c r="E141" s="50">
        <f t="shared" si="6"/>
        <v>-1.367453018792478</v>
      </c>
      <c r="F141" s="49">
        <f>VLOOKUP($A141,'Data shares'!$C:$FB,98)</f>
        <v>206467800</v>
      </c>
      <c r="G141" s="49">
        <f>VLOOKUP($A141,'Data shares'!$C:$FB,99)</f>
        <v>204364500</v>
      </c>
      <c r="H141" s="50">
        <f t="shared" si="7"/>
        <v>1.029190490520614</v>
      </c>
      <c r="I141" s="49">
        <f>VLOOKUP($A141,'Data shares'!$C:$FB,66)</f>
        <v>60602100</v>
      </c>
      <c r="J141" s="49">
        <f>VLOOKUP($A141,'Data shares'!$C:$FB,67)</f>
        <v>89642400</v>
      </c>
      <c r="K141" s="50">
        <f t="shared" si="8"/>
        <v>-47.919626547594888</v>
      </c>
      <c r="L141" s="50">
        <f>VLOOKUP($A141,'Data shares'!$C:$FB,118)</f>
        <v>0.92</v>
      </c>
      <c r="M141" s="50">
        <f>VLOOKUP($A141,'Data shares'!$C:$FB,119)</f>
        <v>0.89</v>
      </c>
      <c r="N141" s="50">
        <f>VLOOKUP($A141,'Data shares'!$C:$FB,121)*100</f>
        <v>3.37</v>
      </c>
      <c r="O141" s="50">
        <f>VLOOKUP($A141,'Data shares'!$C:$FB,124)</f>
        <v>0.9</v>
      </c>
      <c r="P141" s="50">
        <f>VLOOKUP($A141,'Data shares'!$C:$FB,125)</f>
        <v>1.01</v>
      </c>
      <c r="Q141" s="50">
        <f>VLOOKUP($A141,'Data shares'!$C:$FB,127)*100</f>
        <v>-10.89</v>
      </c>
    </row>
    <row r="142" spans="1:17" x14ac:dyDescent="0.25">
      <c r="A142" s="97" t="str">
        <f>'Data Vlaue (Cr)'!C137</f>
        <v>MOTILALOFS</v>
      </c>
      <c r="B142" s="140">
        <f>VLOOKUP($A142,'Data shares'!$C:$FB,7)</f>
        <v>807.95</v>
      </c>
      <c r="C142" s="140">
        <f>VLOOKUP($A142,'Data shares'!$C:$FB,3)</f>
        <v>807.4</v>
      </c>
      <c r="D142" s="140">
        <f>VLOOKUP($A142,'Data shares'!$C:$FB,4)</f>
        <v>817.75</v>
      </c>
      <c r="E142" s="50">
        <f t="shared" si="6"/>
        <v>-1.2656679914399294</v>
      </c>
      <c r="F142" s="49">
        <f>VLOOKUP($A142,'Data shares'!$C:$FB,98)</f>
        <v>6275175</v>
      </c>
      <c r="G142" s="49">
        <f>VLOOKUP($A142,'Data shares'!$C:$FB,99)</f>
        <v>5677650</v>
      </c>
      <c r="H142" s="50">
        <f t="shared" si="7"/>
        <v>10.524160524160523</v>
      </c>
      <c r="I142" s="49">
        <f>VLOOKUP($A142,'Data shares'!$C:$FB,66)</f>
        <v>21943350</v>
      </c>
      <c r="J142" s="49">
        <f>VLOOKUP($A142,'Data shares'!$C:$FB,67)</f>
        <v>11142175</v>
      </c>
      <c r="K142" s="50">
        <f t="shared" si="8"/>
        <v>49.222999222999228</v>
      </c>
      <c r="L142" s="50">
        <f>VLOOKUP($A142,'Data shares'!$C:$FB,118)</f>
        <v>0.72</v>
      </c>
      <c r="M142" s="50">
        <f>VLOOKUP($A142,'Data shares'!$C:$FB,119)</f>
        <v>0.78</v>
      </c>
      <c r="N142" s="50">
        <f>VLOOKUP($A142,'Data shares'!$C:$FB,121)*100</f>
        <v>-7.6899999999999995</v>
      </c>
      <c r="O142" s="50">
        <f>VLOOKUP($A142,'Data shares'!$C:$FB,124)</f>
        <v>0.49</v>
      </c>
      <c r="P142" s="50">
        <f>VLOOKUP($A142,'Data shares'!$C:$FB,125)</f>
        <v>0.23</v>
      </c>
      <c r="Q142" s="50">
        <f>VLOOKUP($A142,'Data shares'!$C:$FB,127)*100</f>
        <v>113.04</v>
      </c>
    </row>
    <row r="143" spans="1:17" x14ac:dyDescent="0.25">
      <c r="A143" s="97" t="str">
        <f>'Data Vlaue (Cr)'!C138</f>
        <v>MPHASIS</v>
      </c>
      <c r="B143" s="140">
        <f>VLOOKUP($A143,'Data shares'!$C:$FB,7)</f>
        <v>2417</v>
      </c>
      <c r="C143" s="140">
        <f>VLOOKUP($A143,'Data shares'!$C:$FB,3)</f>
        <v>2415.3000000000002</v>
      </c>
      <c r="D143" s="140">
        <f>VLOOKUP($A143,'Data shares'!$C:$FB,4)</f>
        <v>2470</v>
      </c>
      <c r="E143" s="50">
        <f t="shared" si="6"/>
        <v>-2.2145748987854175</v>
      </c>
      <c r="F143" s="49">
        <f>VLOOKUP($A143,'Data shares'!$C:$FB,98)</f>
        <v>6776000</v>
      </c>
      <c r="G143" s="49">
        <f>VLOOKUP($A143,'Data shares'!$C:$FB,99)</f>
        <v>6829625</v>
      </c>
      <c r="H143" s="50">
        <f t="shared" si="7"/>
        <v>-0.78518220253674254</v>
      </c>
      <c r="I143" s="49">
        <f>VLOOKUP($A143,'Data shares'!$C:$FB,66)</f>
        <v>1934900</v>
      </c>
      <c r="J143" s="49">
        <f>VLOOKUP($A143,'Data shares'!$C:$FB,67)</f>
        <v>2353175</v>
      </c>
      <c r="K143" s="50">
        <f t="shared" si="8"/>
        <v>-21.617396247868108</v>
      </c>
      <c r="L143" s="50">
        <f>VLOOKUP($A143,'Data shares'!$C:$FB,118)</f>
        <v>0.76</v>
      </c>
      <c r="M143" s="50">
        <f>VLOOKUP($A143,'Data shares'!$C:$FB,119)</f>
        <v>0.78</v>
      </c>
      <c r="N143" s="50">
        <f>VLOOKUP($A143,'Data shares'!$C:$FB,121)*100</f>
        <v>-2.56</v>
      </c>
      <c r="O143" s="50">
        <f>VLOOKUP($A143,'Data shares'!$C:$FB,124)</f>
        <v>0.66</v>
      </c>
      <c r="P143" s="50">
        <f>VLOOKUP($A143,'Data shares'!$C:$FB,125)</f>
        <v>0.76</v>
      </c>
      <c r="Q143" s="50">
        <f>VLOOKUP($A143,'Data shares'!$C:$FB,127)*100</f>
        <v>-13.16</v>
      </c>
    </row>
    <row r="144" spans="1:17" x14ac:dyDescent="0.25">
      <c r="A144" s="97" t="str">
        <f>'Data Vlaue (Cr)'!C139</f>
        <v>MUTHOOTFIN</v>
      </c>
      <c r="B144" s="140">
        <f>VLOOKUP($A144,'Data shares'!$C:$FB,7)</f>
        <v>3531.2</v>
      </c>
      <c r="C144" s="140">
        <f>VLOOKUP($A144,'Data shares'!$C:$FB,3)</f>
        <v>3541.5</v>
      </c>
      <c r="D144" s="140">
        <f>VLOOKUP($A144,'Data shares'!$C:$FB,4)</f>
        <v>3572</v>
      </c>
      <c r="E144" s="50">
        <f t="shared" si="6"/>
        <v>-0.85386338185890254</v>
      </c>
      <c r="F144" s="49">
        <f>VLOOKUP($A144,'Data shares'!$C:$FB,98)</f>
        <v>7654350</v>
      </c>
      <c r="G144" s="49">
        <f>VLOOKUP($A144,'Data shares'!$C:$FB,99)</f>
        <v>7704950</v>
      </c>
      <c r="H144" s="50">
        <f t="shared" si="7"/>
        <v>-0.65672067956313807</v>
      </c>
      <c r="I144" s="49">
        <f>VLOOKUP($A144,'Data shares'!$C:$FB,66)</f>
        <v>3218600</v>
      </c>
      <c r="J144" s="49">
        <f>VLOOKUP($A144,'Data shares'!$C:$FB,67)</f>
        <v>8393275</v>
      </c>
      <c r="K144" s="50">
        <f t="shared" si="8"/>
        <v>-160.7740943267259</v>
      </c>
      <c r="L144" s="50">
        <f>VLOOKUP($A144,'Data shares'!$C:$FB,118)</f>
        <v>0.57999999999999996</v>
      </c>
      <c r="M144" s="50">
        <f>VLOOKUP($A144,'Data shares'!$C:$FB,119)</f>
        <v>0.61</v>
      </c>
      <c r="N144" s="50">
        <f>VLOOKUP($A144,'Data shares'!$C:$FB,121)*100</f>
        <v>-4.92</v>
      </c>
      <c r="O144" s="50">
        <f>VLOOKUP($A144,'Data shares'!$C:$FB,124)</f>
        <v>0.45</v>
      </c>
      <c r="P144" s="50">
        <f>VLOOKUP($A144,'Data shares'!$C:$FB,125)</f>
        <v>0.51</v>
      </c>
      <c r="Q144" s="50">
        <f>VLOOKUP($A144,'Data shares'!$C:$FB,127)*100</f>
        <v>-11.76</v>
      </c>
    </row>
    <row r="145" spans="1:17" x14ac:dyDescent="0.25">
      <c r="A145" s="97" t="str">
        <f>'Data Vlaue (Cr)'!C140</f>
        <v>NAM-INDIA</v>
      </c>
      <c r="B145" s="140">
        <f>VLOOKUP($A145,'Data shares'!$C:$FB,7)</f>
        <v>1003</v>
      </c>
      <c r="C145" s="140">
        <f>VLOOKUP($A145,'Data shares'!$C:$FB,3)</f>
        <v>1003.5</v>
      </c>
      <c r="D145" s="140">
        <f>VLOOKUP($A145,'Data shares'!$C:$FB,4)</f>
        <v>1000.05</v>
      </c>
      <c r="E145" s="50">
        <f t="shared" si="6"/>
        <v>0.34498275086246144</v>
      </c>
      <c r="F145" s="49">
        <f>VLOOKUP($A145,'Data shares'!$C:$FB,98)</f>
        <v>4593125</v>
      </c>
      <c r="G145" s="49">
        <f>VLOOKUP($A145,'Data shares'!$C:$FB,99)</f>
        <v>4444375</v>
      </c>
      <c r="H145" s="50">
        <f t="shared" si="7"/>
        <v>3.3469272957389959</v>
      </c>
      <c r="I145" s="49">
        <f>VLOOKUP($A145,'Data shares'!$C:$FB,66)</f>
        <v>3094375</v>
      </c>
      <c r="J145" s="49">
        <f>VLOOKUP($A145,'Data shares'!$C:$FB,67)</f>
        <v>4853750</v>
      </c>
      <c r="K145" s="50">
        <f t="shared" si="8"/>
        <v>-56.857200565542307</v>
      </c>
      <c r="L145" s="50">
        <f>VLOOKUP($A145,'Data shares'!$C:$FB,118)</f>
        <v>0.65</v>
      </c>
      <c r="M145" s="50">
        <f>VLOOKUP($A145,'Data shares'!$C:$FB,119)</f>
        <v>0.73</v>
      </c>
      <c r="N145" s="50">
        <f>VLOOKUP($A145,'Data shares'!$C:$FB,121)*100</f>
        <v>-10.96</v>
      </c>
      <c r="O145" s="50">
        <f>VLOOKUP($A145,'Data shares'!$C:$FB,124)</f>
        <v>0.28000000000000003</v>
      </c>
      <c r="P145" s="50">
        <f>VLOOKUP($A145,'Data shares'!$C:$FB,125)</f>
        <v>0.26</v>
      </c>
      <c r="Q145" s="50">
        <f>VLOOKUP($A145,'Data shares'!$C:$FB,127)*100</f>
        <v>7.6899999999999995</v>
      </c>
    </row>
    <row r="146" spans="1:17" x14ac:dyDescent="0.25">
      <c r="A146" s="97" t="str">
        <f>'Data Vlaue (Cr)'!C141</f>
        <v>NATIONALUM</v>
      </c>
      <c r="B146" s="140">
        <f>VLOOKUP($A146,'Data shares'!$C:$FB,7)</f>
        <v>426.65</v>
      </c>
      <c r="C146" s="140">
        <f>VLOOKUP($A146,'Data shares'!$C:$FB,3)</f>
        <v>427.1</v>
      </c>
      <c r="D146" s="140">
        <f>VLOOKUP($A146,'Data shares'!$C:$FB,4)</f>
        <v>438.65</v>
      </c>
      <c r="E146" s="50">
        <f t="shared" si="6"/>
        <v>-2.6330787643907341</v>
      </c>
      <c r="F146" s="49">
        <f>VLOOKUP($A146,'Data shares'!$C:$FB,98)</f>
        <v>124342500</v>
      </c>
      <c r="G146" s="49">
        <f>VLOOKUP($A146,'Data shares'!$C:$FB,99)</f>
        <v>122265000</v>
      </c>
      <c r="H146" s="50">
        <f t="shared" si="7"/>
        <v>1.6991780149674884</v>
      </c>
      <c r="I146" s="49">
        <f>VLOOKUP($A146,'Data shares'!$C:$FB,66)</f>
        <v>77797500</v>
      </c>
      <c r="J146" s="49">
        <f>VLOOKUP($A146,'Data shares'!$C:$FB,67)</f>
        <v>111757500</v>
      </c>
      <c r="K146" s="50">
        <f t="shared" si="8"/>
        <v>-43.651788296539088</v>
      </c>
      <c r="L146" s="50">
        <f>VLOOKUP($A146,'Data shares'!$C:$FB,118)</f>
        <v>0.91</v>
      </c>
      <c r="M146" s="50">
        <f>VLOOKUP($A146,'Data shares'!$C:$FB,119)</f>
        <v>1</v>
      </c>
      <c r="N146" s="50">
        <f>VLOOKUP($A146,'Data shares'!$C:$FB,121)*100</f>
        <v>-9</v>
      </c>
      <c r="O146" s="50">
        <f>VLOOKUP($A146,'Data shares'!$C:$FB,124)</f>
        <v>0.59</v>
      </c>
      <c r="P146" s="50">
        <f>VLOOKUP($A146,'Data shares'!$C:$FB,125)</f>
        <v>0.55000000000000004</v>
      </c>
      <c r="Q146" s="50">
        <f>VLOOKUP($A146,'Data shares'!$C:$FB,127)*100</f>
        <v>7.2700000000000005</v>
      </c>
    </row>
    <row r="147" spans="1:17" x14ac:dyDescent="0.25">
      <c r="A147" s="97" t="str">
        <f>'Data Vlaue (Cr)'!C142</f>
        <v>NAUKRI</v>
      </c>
      <c r="B147" s="140">
        <f>VLOOKUP($A147,'Data shares'!$C:$FB,7)</f>
        <v>1067.9000000000001</v>
      </c>
      <c r="C147" s="140">
        <f>VLOOKUP($A147,'Data shares'!$C:$FB,3)</f>
        <v>1066.45</v>
      </c>
      <c r="D147" s="140">
        <f>VLOOKUP($A147,'Data shares'!$C:$FB,4)</f>
        <v>1055.5</v>
      </c>
      <c r="E147" s="50">
        <f t="shared" si="6"/>
        <v>1.0374230222643339</v>
      </c>
      <c r="F147" s="49">
        <f>VLOOKUP($A147,'Data shares'!$C:$FB,98)</f>
        <v>15151125</v>
      </c>
      <c r="G147" s="49">
        <f>VLOOKUP($A147,'Data shares'!$C:$FB,99)</f>
        <v>14418000</v>
      </c>
      <c r="H147" s="50">
        <f t="shared" si="7"/>
        <v>5.0847898460258012</v>
      </c>
      <c r="I147" s="49">
        <f>VLOOKUP($A147,'Data shares'!$C:$FB,66)</f>
        <v>10855125</v>
      </c>
      <c r="J147" s="49">
        <f>VLOOKUP($A147,'Data shares'!$C:$FB,67)</f>
        <v>4581750</v>
      </c>
      <c r="K147" s="50">
        <f t="shared" si="8"/>
        <v>57.791826441427439</v>
      </c>
      <c r="L147" s="50">
        <f>VLOOKUP($A147,'Data shares'!$C:$FB,118)</f>
        <v>0.44</v>
      </c>
      <c r="M147" s="50">
        <f>VLOOKUP($A147,'Data shares'!$C:$FB,119)</f>
        <v>0.43</v>
      </c>
      <c r="N147" s="50">
        <f>VLOOKUP($A147,'Data shares'!$C:$FB,121)*100</f>
        <v>2.33</v>
      </c>
      <c r="O147" s="50">
        <f>VLOOKUP($A147,'Data shares'!$C:$FB,124)</f>
        <v>0.24</v>
      </c>
      <c r="P147" s="50">
        <f>VLOOKUP($A147,'Data shares'!$C:$FB,125)</f>
        <v>0.43</v>
      </c>
      <c r="Q147" s="50">
        <f>VLOOKUP($A147,'Data shares'!$C:$FB,127)*100</f>
        <v>-44.190000000000005</v>
      </c>
    </row>
    <row r="148" spans="1:17" x14ac:dyDescent="0.25">
      <c r="A148" s="97" t="str">
        <f>'Data Vlaue (Cr)'!C143</f>
        <v>NBCC</v>
      </c>
      <c r="B148" s="140">
        <f>VLOOKUP($A148,'Data shares'!$C:$FB,7)</f>
        <v>93.32</v>
      </c>
      <c r="C148" s="140">
        <f>VLOOKUP($A148,'Data shares'!$C:$FB,3)</f>
        <v>93.47</v>
      </c>
      <c r="D148" s="140">
        <f>VLOOKUP($A148,'Data shares'!$C:$FB,4)</f>
        <v>94.45</v>
      </c>
      <c r="E148" s="50">
        <f t="shared" si="6"/>
        <v>-1.0375860243515129</v>
      </c>
      <c r="F148" s="49">
        <f>VLOOKUP($A148,'Data shares'!$C:$FB,98)</f>
        <v>113308000</v>
      </c>
      <c r="G148" s="49">
        <f>VLOOKUP($A148,'Data shares'!$C:$FB,99)</f>
        <v>112677500</v>
      </c>
      <c r="H148" s="50">
        <f t="shared" si="7"/>
        <v>0.55956158061724837</v>
      </c>
      <c r="I148" s="49">
        <f>VLOOKUP($A148,'Data shares'!$C:$FB,66)</f>
        <v>33020000</v>
      </c>
      <c r="J148" s="49">
        <f>VLOOKUP($A148,'Data shares'!$C:$FB,67)</f>
        <v>47320000</v>
      </c>
      <c r="K148" s="50">
        <f t="shared" si="8"/>
        <v>-43.30708661417323</v>
      </c>
      <c r="L148" s="50">
        <f>VLOOKUP($A148,'Data shares'!$C:$FB,118)</f>
        <v>0.67</v>
      </c>
      <c r="M148" s="50">
        <f>VLOOKUP($A148,'Data shares'!$C:$FB,119)</f>
        <v>0.67</v>
      </c>
      <c r="N148" s="50">
        <f>VLOOKUP($A148,'Data shares'!$C:$FB,121)*100</f>
        <v>0</v>
      </c>
      <c r="O148" s="50">
        <f>VLOOKUP($A148,'Data shares'!$C:$FB,124)</f>
        <v>0.56999999999999995</v>
      </c>
      <c r="P148" s="50">
        <f>VLOOKUP($A148,'Data shares'!$C:$FB,125)</f>
        <v>0.42</v>
      </c>
      <c r="Q148" s="50">
        <f>VLOOKUP($A148,'Data shares'!$C:$FB,127)*100</f>
        <v>35.709999999999994</v>
      </c>
    </row>
    <row r="149" spans="1:17" x14ac:dyDescent="0.25">
      <c r="A149" s="97" t="str">
        <f>'Data Vlaue (Cr)'!C144</f>
        <v>NESTLEIND</v>
      </c>
      <c r="B149" s="140">
        <f>VLOOKUP($A149,'Data shares'!$C:$FB,7)</f>
        <v>1286.4000000000001</v>
      </c>
      <c r="C149" s="140">
        <f>VLOOKUP($A149,'Data shares'!$C:$FB,3)</f>
        <v>1287.7</v>
      </c>
      <c r="D149" s="140">
        <f>VLOOKUP($A149,'Data shares'!$C:$FB,4)</f>
        <v>1286</v>
      </c>
      <c r="E149" s="50">
        <f t="shared" si="6"/>
        <v>0.13219284603421816</v>
      </c>
      <c r="F149" s="49">
        <f>VLOOKUP($A149,'Data shares'!$C:$FB,98)</f>
        <v>26499500</v>
      </c>
      <c r="G149" s="49">
        <f>VLOOKUP($A149,'Data shares'!$C:$FB,99)</f>
        <v>25472500</v>
      </c>
      <c r="H149" s="50">
        <f t="shared" si="7"/>
        <v>4.0317989989204044</v>
      </c>
      <c r="I149" s="49">
        <f>VLOOKUP($A149,'Data shares'!$C:$FB,66)</f>
        <v>13103000</v>
      </c>
      <c r="J149" s="49">
        <f>VLOOKUP($A149,'Data shares'!$C:$FB,67)</f>
        <v>14579000</v>
      </c>
      <c r="K149" s="50">
        <f t="shared" si="8"/>
        <v>-11.264595894070061</v>
      </c>
      <c r="L149" s="50">
        <f>VLOOKUP($A149,'Data shares'!$C:$FB,118)</f>
        <v>0.54</v>
      </c>
      <c r="M149" s="50">
        <f>VLOOKUP($A149,'Data shares'!$C:$FB,119)</f>
        <v>0.56000000000000005</v>
      </c>
      <c r="N149" s="50">
        <f>VLOOKUP($A149,'Data shares'!$C:$FB,121)*100</f>
        <v>-3.5700000000000003</v>
      </c>
      <c r="O149" s="50">
        <f>VLOOKUP($A149,'Data shares'!$C:$FB,124)</f>
        <v>0.33</v>
      </c>
      <c r="P149" s="50">
        <f>VLOOKUP($A149,'Data shares'!$C:$FB,125)</f>
        <v>0.26</v>
      </c>
      <c r="Q149" s="50">
        <f>VLOOKUP($A149,'Data shares'!$C:$FB,127)*100</f>
        <v>26.919999999999998</v>
      </c>
    </row>
    <row r="150" spans="1:17" x14ac:dyDescent="0.25">
      <c r="A150" s="97" t="str">
        <f>'Data Vlaue (Cr)'!C145</f>
        <v>NHPC</v>
      </c>
      <c r="B150" s="140">
        <f>VLOOKUP($A150,'Data shares'!$C:$FB,7)</f>
        <v>83.1</v>
      </c>
      <c r="C150" s="140">
        <f>VLOOKUP($A150,'Data shares'!$C:$FB,3)</f>
        <v>82.7</v>
      </c>
      <c r="D150" s="140">
        <f>VLOOKUP($A150,'Data shares'!$C:$FB,4)</f>
        <v>82.41</v>
      </c>
      <c r="E150" s="50">
        <f t="shared" si="6"/>
        <v>0.35189904137848105</v>
      </c>
      <c r="F150" s="49">
        <f>VLOOKUP($A150,'Data shares'!$C:$FB,98)</f>
        <v>153049600</v>
      </c>
      <c r="G150" s="49">
        <f>VLOOKUP($A150,'Data shares'!$C:$FB,99)</f>
        <v>153331200</v>
      </c>
      <c r="H150" s="50">
        <f t="shared" si="7"/>
        <v>-0.18365472910927455</v>
      </c>
      <c r="I150" s="49">
        <f>VLOOKUP($A150,'Data shares'!$C:$FB,66)</f>
        <v>76608000</v>
      </c>
      <c r="J150" s="49">
        <f>VLOOKUP($A150,'Data shares'!$C:$FB,67)</f>
        <v>129811200</v>
      </c>
      <c r="K150" s="50">
        <f t="shared" si="8"/>
        <v>-69.44862155388472</v>
      </c>
      <c r="L150" s="50">
        <f>VLOOKUP($A150,'Data shares'!$C:$FB,118)</f>
        <v>0.84</v>
      </c>
      <c r="M150" s="50">
        <f>VLOOKUP($A150,'Data shares'!$C:$FB,119)</f>
        <v>0.8</v>
      </c>
      <c r="N150" s="50">
        <f>VLOOKUP($A150,'Data shares'!$C:$FB,121)*100</f>
        <v>5</v>
      </c>
      <c r="O150" s="50">
        <f>VLOOKUP($A150,'Data shares'!$C:$FB,124)</f>
        <v>0.49</v>
      </c>
      <c r="P150" s="50">
        <f>VLOOKUP($A150,'Data shares'!$C:$FB,125)</f>
        <v>0.43</v>
      </c>
      <c r="Q150" s="50">
        <f>VLOOKUP($A150,'Data shares'!$C:$FB,127)*100</f>
        <v>13.950000000000001</v>
      </c>
    </row>
    <row r="151" spans="1:17" x14ac:dyDescent="0.25">
      <c r="A151" s="97" t="str">
        <f>'Data Vlaue (Cr)'!C146</f>
        <v>NIFTY</v>
      </c>
      <c r="B151" s="140">
        <f>VLOOKUP($A151,'Data shares'!$C:$FB,7)</f>
        <v>24364.85</v>
      </c>
      <c r="C151" s="140">
        <f>VLOOKUP($A151,'Data shares'!$C:$FB,3)</f>
        <v>24331.8</v>
      </c>
      <c r="D151" s="140">
        <f>VLOOKUP($A151,'Data shares'!$C:$FB,4)</f>
        <v>24368</v>
      </c>
      <c r="E151" s="50">
        <f t="shared" si="6"/>
        <v>-0.14855548260013432</v>
      </c>
      <c r="F151" s="49">
        <f>VLOOKUP($A151,'Data shares'!$C:$FB,98)</f>
        <v>520518060</v>
      </c>
      <c r="G151" s="49">
        <f>VLOOKUP($A151,'Data shares'!$C:$FB,99)</f>
        <v>518874120</v>
      </c>
      <c r="H151" s="50">
        <f t="shared" si="7"/>
        <v>0.3168282896822836</v>
      </c>
      <c r="I151" s="49">
        <f>VLOOKUP($A151,'Data shares'!$C:$FB,66)</f>
        <v>7708542010</v>
      </c>
      <c r="J151" s="49">
        <f>VLOOKUP($A151,'Data shares'!$C:$FB,67)</f>
        <v>4531114770</v>
      </c>
      <c r="K151" s="50">
        <f t="shared" si="8"/>
        <v>41.21956182995492</v>
      </c>
      <c r="L151" s="50">
        <f>VLOOKUP($A151,'Data shares'!$C:$FB,118)</f>
        <v>1.1299999999999999</v>
      </c>
      <c r="M151" s="50">
        <f>VLOOKUP($A151,'Data shares'!$C:$FB,119)</f>
        <v>1.0900000000000001</v>
      </c>
      <c r="N151" s="50">
        <f>VLOOKUP($A151,'Data shares'!$C:$FB,121)*100</f>
        <v>3.6700000000000004</v>
      </c>
      <c r="O151" s="50">
        <f>VLOOKUP($A151,'Data shares'!$C:$FB,124)</f>
        <v>0.91</v>
      </c>
      <c r="P151" s="50">
        <f>VLOOKUP($A151,'Data shares'!$C:$FB,125)</f>
        <v>0.84</v>
      </c>
      <c r="Q151" s="50">
        <f>VLOOKUP($A151,'Data shares'!$C:$FB,127)*100</f>
        <v>8.33</v>
      </c>
    </row>
    <row r="152" spans="1:17" x14ac:dyDescent="0.25">
      <c r="A152" s="97" t="str">
        <f>'Data Vlaue (Cr)'!C147</f>
        <v>NIFTYNXT50</v>
      </c>
      <c r="B152" s="140">
        <f>VLOOKUP($A152,'Data shares'!$C:$FB,7)</f>
        <v>70341</v>
      </c>
      <c r="C152" s="140">
        <f>VLOOKUP($A152,'Data shares'!$C:$FB,3)</f>
        <v>70229.600000000006</v>
      </c>
      <c r="D152" s="140">
        <f>VLOOKUP($A152,'Data shares'!$C:$FB,4)</f>
        <v>70321.2</v>
      </c>
      <c r="E152" s="50">
        <f t="shared" si="6"/>
        <v>-0.1302594381210663</v>
      </c>
      <c r="F152" s="49">
        <f>VLOOKUP($A152,'Data shares'!$C:$FB,98)</f>
        <v>41125</v>
      </c>
      <c r="G152" s="49">
        <f>VLOOKUP($A152,'Data shares'!$C:$FB,99)</f>
        <v>39325</v>
      </c>
      <c r="H152" s="50">
        <f t="shared" si="7"/>
        <v>4.5772409408773047</v>
      </c>
      <c r="I152" s="49">
        <f>VLOOKUP($A152,'Data shares'!$C:$FB,66)</f>
        <v>27700</v>
      </c>
      <c r="J152" s="49">
        <f>VLOOKUP($A152,'Data shares'!$C:$FB,67)</f>
        <v>32125</v>
      </c>
      <c r="K152" s="50">
        <f t="shared" si="8"/>
        <v>-15.974729241877256</v>
      </c>
      <c r="L152" s="50">
        <f>VLOOKUP($A152,'Data shares'!$C:$FB,118)</f>
        <v>0.39</v>
      </c>
      <c r="M152" s="50">
        <f>VLOOKUP($A152,'Data shares'!$C:$FB,119)</f>
        <v>0.36</v>
      </c>
      <c r="N152" s="50">
        <f>VLOOKUP($A152,'Data shares'!$C:$FB,121)*100</f>
        <v>8.33</v>
      </c>
      <c r="O152" s="50">
        <f>VLOOKUP($A152,'Data shares'!$C:$FB,124)</f>
        <v>0.25</v>
      </c>
      <c r="P152" s="50">
        <f>VLOOKUP($A152,'Data shares'!$C:$FB,125)</f>
        <v>0.21</v>
      </c>
      <c r="Q152" s="50">
        <f>VLOOKUP($A152,'Data shares'!$C:$FB,127)*100</f>
        <v>19.05</v>
      </c>
    </row>
    <row r="153" spans="1:17" x14ac:dyDescent="0.25">
      <c r="A153" s="97" t="str">
        <f>'Data Vlaue (Cr)'!C148</f>
        <v>NMDC</v>
      </c>
      <c r="B153" s="140">
        <f>VLOOKUP($A153,'Data shares'!$C:$FB,7)</f>
        <v>88.9</v>
      </c>
      <c r="C153" s="140">
        <f>VLOOKUP($A153,'Data shares'!$C:$FB,3)</f>
        <v>88.77</v>
      </c>
      <c r="D153" s="140">
        <f>VLOOKUP($A153,'Data shares'!$C:$FB,4)</f>
        <v>89.95</v>
      </c>
      <c r="E153" s="50">
        <f t="shared" si="6"/>
        <v>-1.3118399110617085</v>
      </c>
      <c r="F153" s="49">
        <f>VLOOKUP($A153,'Data shares'!$C:$FB,98)</f>
        <v>455314500</v>
      </c>
      <c r="G153" s="49">
        <f>VLOOKUP($A153,'Data shares'!$C:$FB,99)</f>
        <v>461571750</v>
      </c>
      <c r="H153" s="50">
        <f t="shared" si="7"/>
        <v>-1.3556397244848715</v>
      </c>
      <c r="I153" s="49">
        <f>VLOOKUP($A153,'Data shares'!$C:$FB,66)</f>
        <v>138550500</v>
      </c>
      <c r="J153" s="49">
        <f>VLOOKUP($A153,'Data shares'!$C:$FB,67)</f>
        <v>275109750</v>
      </c>
      <c r="K153" s="50">
        <f t="shared" si="8"/>
        <v>-98.562798402026701</v>
      </c>
      <c r="L153" s="50">
        <f>VLOOKUP($A153,'Data shares'!$C:$FB,118)</f>
        <v>0.65</v>
      </c>
      <c r="M153" s="50">
        <f>VLOOKUP($A153,'Data shares'!$C:$FB,119)</f>
        <v>0.69</v>
      </c>
      <c r="N153" s="50">
        <f>VLOOKUP($A153,'Data shares'!$C:$FB,121)*100</f>
        <v>-5.8000000000000007</v>
      </c>
      <c r="O153" s="50">
        <f>VLOOKUP($A153,'Data shares'!$C:$FB,124)</f>
        <v>0.46</v>
      </c>
      <c r="P153" s="50">
        <f>VLOOKUP($A153,'Data shares'!$C:$FB,125)</f>
        <v>0.34</v>
      </c>
      <c r="Q153" s="50">
        <f>VLOOKUP($A153,'Data shares'!$C:$FB,127)*100</f>
        <v>35.29</v>
      </c>
    </row>
    <row r="154" spans="1:17" x14ac:dyDescent="0.25">
      <c r="A154" s="97" t="str">
        <f>'Data Vlaue (Cr)'!C149</f>
        <v>NTPC</v>
      </c>
      <c r="B154" s="140">
        <f>VLOOKUP($A154,'Data shares'!$C:$FB,7)</f>
        <v>398</v>
      </c>
      <c r="C154" s="140">
        <f>VLOOKUP($A154,'Data shares'!$C:$FB,3)</f>
        <v>398.3</v>
      </c>
      <c r="D154" s="140">
        <f>VLOOKUP($A154,'Data shares'!$C:$FB,4)</f>
        <v>395.2</v>
      </c>
      <c r="E154" s="50">
        <f t="shared" si="6"/>
        <v>0.78441295546559286</v>
      </c>
      <c r="F154" s="49">
        <f>VLOOKUP($A154,'Data shares'!$C:$FB,98)</f>
        <v>209124000</v>
      </c>
      <c r="G154" s="49">
        <f>VLOOKUP($A154,'Data shares'!$C:$FB,99)</f>
        <v>188704500</v>
      </c>
      <c r="H154" s="50">
        <f t="shared" si="7"/>
        <v>10.820886624325334</v>
      </c>
      <c r="I154" s="49">
        <f>VLOOKUP($A154,'Data shares'!$C:$FB,66)</f>
        <v>180475500</v>
      </c>
      <c r="J154" s="49">
        <f>VLOOKUP($A154,'Data shares'!$C:$FB,67)</f>
        <v>145749000</v>
      </c>
      <c r="K154" s="50">
        <f t="shared" si="8"/>
        <v>19.241669921956166</v>
      </c>
      <c r="L154" s="50">
        <f>VLOOKUP($A154,'Data shares'!$C:$FB,118)</f>
        <v>0.53</v>
      </c>
      <c r="M154" s="50">
        <f>VLOOKUP($A154,'Data shares'!$C:$FB,119)</f>
        <v>0.53</v>
      </c>
      <c r="N154" s="50">
        <f>VLOOKUP($A154,'Data shares'!$C:$FB,121)*100</f>
        <v>0</v>
      </c>
      <c r="O154" s="50">
        <f>VLOOKUP($A154,'Data shares'!$C:$FB,124)</f>
        <v>0.45</v>
      </c>
      <c r="P154" s="50">
        <f>VLOOKUP($A154,'Data shares'!$C:$FB,125)</f>
        <v>0.47</v>
      </c>
      <c r="Q154" s="50">
        <f>VLOOKUP($A154,'Data shares'!$C:$FB,127)*100</f>
        <v>-4.26</v>
      </c>
    </row>
    <row r="155" spans="1:17" x14ac:dyDescent="0.25">
      <c r="A155" s="97" t="str">
        <f>'Data Vlaue (Cr)'!C150</f>
        <v>NUVAMA</v>
      </c>
      <c r="B155" s="140">
        <f>VLOOKUP($A155,'Data shares'!$C:$FB,7)</f>
        <v>1379.1</v>
      </c>
      <c r="C155" s="140">
        <f>VLOOKUP($A155,'Data shares'!$C:$FB,3)</f>
        <v>1379.9</v>
      </c>
      <c r="D155" s="140">
        <f>VLOOKUP($A155,'Data shares'!$C:$FB,4)</f>
        <v>1394.8</v>
      </c>
      <c r="E155" s="50">
        <f t="shared" si="6"/>
        <v>-1.0682535130484561</v>
      </c>
      <c r="F155" s="49">
        <f>VLOOKUP($A155,'Data shares'!$C:$FB,98)</f>
        <v>3842000</v>
      </c>
      <c r="G155" s="49">
        <f>VLOOKUP($A155,'Data shares'!$C:$FB,99)</f>
        <v>3817500</v>
      </c>
      <c r="H155" s="50">
        <f t="shared" si="7"/>
        <v>0.64178127046496403</v>
      </c>
      <c r="I155" s="49">
        <f>VLOOKUP($A155,'Data shares'!$C:$FB,66)</f>
        <v>3502500</v>
      </c>
      <c r="J155" s="49">
        <f>VLOOKUP($A155,'Data shares'!$C:$FB,67)</f>
        <v>2496500</v>
      </c>
      <c r="K155" s="50">
        <f t="shared" si="8"/>
        <v>28.72234118486795</v>
      </c>
      <c r="L155" s="50">
        <f>VLOOKUP($A155,'Data shares'!$C:$FB,118)</f>
        <v>0.8</v>
      </c>
      <c r="M155" s="50">
        <f>VLOOKUP($A155,'Data shares'!$C:$FB,119)</f>
        <v>0.85</v>
      </c>
      <c r="N155" s="50">
        <f>VLOOKUP($A155,'Data shares'!$C:$FB,121)*100</f>
        <v>-5.88</v>
      </c>
      <c r="O155" s="50">
        <f>VLOOKUP($A155,'Data shares'!$C:$FB,124)</f>
        <v>1.51</v>
      </c>
      <c r="P155" s="50">
        <f>VLOOKUP($A155,'Data shares'!$C:$FB,125)</f>
        <v>0.28999999999999998</v>
      </c>
      <c r="Q155" s="50">
        <f>VLOOKUP($A155,'Data shares'!$C:$FB,127)*100</f>
        <v>420.69</v>
      </c>
    </row>
    <row r="156" spans="1:17" x14ac:dyDescent="0.25">
      <c r="A156" s="97" t="str">
        <f>'Data Vlaue (Cr)'!C151</f>
        <v>NYKAA</v>
      </c>
      <c r="B156" s="140">
        <f>VLOOKUP($A156,'Data shares'!$C:$FB,7)</f>
        <v>264.55</v>
      </c>
      <c r="C156" s="140">
        <f>VLOOKUP($A156,'Data shares'!$C:$FB,3)</f>
        <v>265.18</v>
      </c>
      <c r="D156" s="140">
        <f>VLOOKUP($A156,'Data shares'!$C:$FB,4)</f>
        <v>270.02999999999997</v>
      </c>
      <c r="E156" s="50">
        <f t="shared" si="6"/>
        <v>-1.7960967299929513</v>
      </c>
      <c r="F156" s="49">
        <f>VLOOKUP($A156,'Data shares'!$C:$FB,98)</f>
        <v>61637500</v>
      </c>
      <c r="G156" s="49">
        <f>VLOOKUP($A156,'Data shares'!$C:$FB,99)</f>
        <v>58631250</v>
      </c>
      <c r="H156" s="50">
        <f t="shared" si="7"/>
        <v>5.1273851401769539</v>
      </c>
      <c r="I156" s="49">
        <f>VLOOKUP($A156,'Data shares'!$C:$FB,66)</f>
        <v>19615625</v>
      </c>
      <c r="J156" s="49">
        <f>VLOOKUP($A156,'Data shares'!$C:$FB,67)</f>
        <v>21940625</v>
      </c>
      <c r="K156" s="50">
        <f t="shared" si="8"/>
        <v>-11.852795921618608</v>
      </c>
      <c r="L156" s="50">
        <f>VLOOKUP($A156,'Data shares'!$C:$FB,118)</f>
        <v>0.46</v>
      </c>
      <c r="M156" s="50">
        <f>VLOOKUP($A156,'Data shares'!$C:$FB,119)</f>
        <v>0.71</v>
      </c>
      <c r="N156" s="50">
        <f>VLOOKUP($A156,'Data shares'!$C:$FB,121)*100</f>
        <v>-35.21</v>
      </c>
      <c r="O156" s="50">
        <f>VLOOKUP($A156,'Data shares'!$C:$FB,124)</f>
        <v>0.34</v>
      </c>
      <c r="P156" s="50">
        <f>VLOOKUP($A156,'Data shares'!$C:$FB,125)</f>
        <v>0.37</v>
      </c>
      <c r="Q156" s="50">
        <f>VLOOKUP($A156,'Data shares'!$C:$FB,127)*100</f>
        <v>-8.1100000000000012</v>
      </c>
    </row>
    <row r="157" spans="1:17" x14ac:dyDescent="0.25">
      <c r="A157" s="97" t="str">
        <f>'Data Vlaue (Cr)'!C152</f>
        <v>OBEROIRLTY</v>
      </c>
      <c r="B157" s="140">
        <f>VLOOKUP($A157,'Data shares'!$C:$FB,7)</f>
        <v>1694.9</v>
      </c>
      <c r="C157" s="140">
        <f>VLOOKUP($A157,'Data shares'!$C:$FB,3)</f>
        <v>1698.8</v>
      </c>
      <c r="D157" s="140">
        <f>VLOOKUP($A157,'Data shares'!$C:$FB,4)</f>
        <v>1713.1</v>
      </c>
      <c r="E157" s="50">
        <f t="shared" si="6"/>
        <v>-0.83474403128830521</v>
      </c>
      <c r="F157" s="49">
        <f>VLOOKUP($A157,'Data shares'!$C:$FB,98)</f>
        <v>12092500</v>
      </c>
      <c r="G157" s="49">
        <f>VLOOKUP($A157,'Data shares'!$C:$FB,99)</f>
        <v>12255600</v>
      </c>
      <c r="H157" s="50">
        <f t="shared" si="7"/>
        <v>-1.3308201964816084</v>
      </c>
      <c r="I157" s="49">
        <f>VLOOKUP($A157,'Data shares'!$C:$FB,66)</f>
        <v>1629950</v>
      </c>
      <c r="J157" s="49">
        <f>VLOOKUP($A157,'Data shares'!$C:$FB,67)</f>
        <v>1661450</v>
      </c>
      <c r="K157" s="50">
        <f t="shared" si="8"/>
        <v>-1.9325746188533393</v>
      </c>
      <c r="L157" s="50">
        <f>VLOOKUP($A157,'Data shares'!$C:$FB,118)</f>
        <v>0.94</v>
      </c>
      <c r="M157" s="50">
        <f>VLOOKUP($A157,'Data shares'!$C:$FB,119)</f>
        <v>0.93</v>
      </c>
      <c r="N157" s="50">
        <f>VLOOKUP($A157,'Data shares'!$C:$FB,121)*100</f>
        <v>1.08</v>
      </c>
      <c r="O157" s="50">
        <f>VLOOKUP($A157,'Data shares'!$C:$FB,124)</f>
        <v>1.25</v>
      </c>
      <c r="P157" s="50">
        <f>VLOOKUP($A157,'Data shares'!$C:$FB,125)</f>
        <v>0.83</v>
      </c>
      <c r="Q157" s="50">
        <f>VLOOKUP($A157,'Data shares'!$C:$FB,127)*100</f>
        <v>50.6</v>
      </c>
    </row>
    <row r="158" spans="1:17" x14ac:dyDescent="0.25">
      <c r="A158" s="97" t="str">
        <f>'Data Vlaue (Cr)'!C153</f>
        <v>OFSS</v>
      </c>
      <c r="B158" s="140">
        <f>VLOOKUP($A158,'Data shares'!$C:$FB,7)</f>
        <v>8082.5</v>
      </c>
      <c r="C158" s="140">
        <f>VLOOKUP($A158,'Data shares'!$C:$FB,3)</f>
        <v>8106</v>
      </c>
      <c r="D158" s="140">
        <f>VLOOKUP($A158,'Data shares'!$C:$FB,4)</f>
        <v>8011.5</v>
      </c>
      <c r="E158" s="50">
        <f t="shared" si="6"/>
        <v>1.1795543905635648</v>
      </c>
      <c r="F158" s="49">
        <f>VLOOKUP($A158,'Data shares'!$C:$FB,98)</f>
        <v>2753175</v>
      </c>
      <c r="G158" s="49">
        <f>VLOOKUP($A158,'Data shares'!$C:$FB,99)</f>
        <v>2566725</v>
      </c>
      <c r="H158" s="50">
        <f t="shared" si="7"/>
        <v>7.2641206206352447</v>
      </c>
      <c r="I158" s="49">
        <f>VLOOKUP($A158,'Data shares'!$C:$FB,66)</f>
        <v>2583900</v>
      </c>
      <c r="J158" s="49">
        <f>VLOOKUP($A158,'Data shares'!$C:$FB,67)</f>
        <v>2987400</v>
      </c>
      <c r="K158" s="50">
        <f t="shared" si="8"/>
        <v>-15.615929409032859</v>
      </c>
      <c r="L158" s="50">
        <f>VLOOKUP($A158,'Data shares'!$C:$FB,118)</f>
        <v>1.03</v>
      </c>
      <c r="M158" s="50">
        <f>VLOOKUP($A158,'Data shares'!$C:$FB,119)</f>
        <v>1.1299999999999999</v>
      </c>
      <c r="N158" s="50">
        <f>VLOOKUP($A158,'Data shares'!$C:$FB,121)*100</f>
        <v>-8.85</v>
      </c>
      <c r="O158" s="50">
        <f>VLOOKUP($A158,'Data shares'!$C:$FB,124)</f>
        <v>0.62</v>
      </c>
      <c r="P158" s="50">
        <f>VLOOKUP($A158,'Data shares'!$C:$FB,125)</f>
        <v>0.84</v>
      </c>
      <c r="Q158" s="50">
        <f>VLOOKUP($A158,'Data shares'!$C:$FB,127)*100</f>
        <v>-26.19</v>
      </c>
    </row>
    <row r="159" spans="1:17" x14ac:dyDescent="0.25">
      <c r="A159" s="97" t="str">
        <f>'Data Vlaue (Cr)'!C154</f>
        <v>OIL</v>
      </c>
      <c r="B159" s="140">
        <f>VLOOKUP($A159,'Data shares'!$C:$FB,7)</f>
        <v>471.7</v>
      </c>
      <c r="C159" s="140">
        <f>VLOOKUP($A159,'Data shares'!$C:$FB,3)</f>
        <v>471.35</v>
      </c>
      <c r="D159" s="140">
        <f>VLOOKUP($A159,'Data shares'!$C:$FB,4)</f>
        <v>470.6</v>
      </c>
      <c r="E159" s="50">
        <f t="shared" si="6"/>
        <v>0.15937101572460688</v>
      </c>
      <c r="F159" s="49">
        <f>VLOOKUP($A159,'Data shares'!$C:$FB,98)</f>
        <v>35393400</v>
      </c>
      <c r="G159" s="49">
        <f>VLOOKUP($A159,'Data shares'!$C:$FB,99)</f>
        <v>37529800</v>
      </c>
      <c r="H159" s="50">
        <f t="shared" si="7"/>
        <v>-5.6925429925019584</v>
      </c>
      <c r="I159" s="49">
        <f>VLOOKUP($A159,'Data shares'!$C:$FB,66)</f>
        <v>15878800</v>
      </c>
      <c r="J159" s="49">
        <f>VLOOKUP($A159,'Data shares'!$C:$FB,67)</f>
        <v>15575000</v>
      </c>
      <c r="K159" s="50">
        <f t="shared" si="8"/>
        <v>1.9132428143184623</v>
      </c>
      <c r="L159" s="50">
        <f>VLOOKUP($A159,'Data shares'!$C:$FB,118)</f>
        <v>0.45</v>
      </c>
      <c r="M159" s="50">
        <f>VLOOKUP($A159,'Data shares'!$C:$FB,119)</f>
        <v>0.44</v>
      </c>
      <c r="N159" s="50">
        <f>VLOOKUP($A159,'Data shares'!$C:$FB,121)*100</f>
        <v>2.27</v>
      </c>
      <c r="O159" s="50">
        <f>VLOOKUP($A159,'Data shares'!$C:$FB,124)</f>
        <v>0.3</v>
      </c>
      <c r="P159" s="50">
        <f>VLOOKUP($A159,'Data shares'!$C:$FB,125)</f>
        <v>0.32</v>
      </c>
      <c r="Q159" s="50">
        <f>VLOOKUP($A159,'Data shares'!$C:$FB,127)*100</f>
        <v>-6.25</v>
      </c>
    </row>
    <row r="160" spans="1:17" x14ac:dyDescent="0.25">
      <c r="A160" s="97" t="str">
        <f>'Data Vlaue (Cr)'!C155</f>
        <v>ONGC</v>
      </c>
      <c r="B160" s="140">
        <f>VLOOKUP($A160,'Data shares'!$C:$FB,7)</f>
        <v>283.35000000000002</v>
      </c>
      <c r="C160" s="140">
        <f>VLOOKUP($A160,'Data shares'!$C:$FB,3)</f>
        <v>284</v>
      </c>
      <c r="D160" s="140">
        <f>VLOOKUP($A160,'Data shares'!$C:$FB,4)</f>
        <v>284.89999999999998</v>
      </c>
      <c r="E160" s="50">
        <f t="shared" si="6"/>
        <v>-0.31590031590030793</v>
      </c>
      <c r="F160" s="49">
        <f>VLOOKUP($A160,'Data shares'!$C:$FB,98)</f>
        <v>229290750</v>
      </c>
      <c r="G160" s="49">
        <f>VLOOKUP($A160,'Data shares'!$C:$FB,99)</f>
        <v>229875750</v>
      </c>
      <c r="H160" s="50">
        <f t="shared" si="7"/>
        <v>-0.25448530347372439</v>
      </c>
      <c r="I160" s="49">
        <f>VLOOKUP($A160,'Data shares'!$C:$FB,66)</f>
        <v>93051000</v>
      </c>
      <c r="J160" s="49">
        <f>VLOOKUP($A160,'Data shares'!$C:$FB,67)</f>
        <v>94585500</v>
      </c>
      <c r="K160" s="50">
        <f t="shared" si="8"/>
        <v>-1.6490956572202342</v>
      </c>
      <c r="L160" s="50">
        <f>VLOOKUP($A160,'Data shares'!$C:$FB,118)</f>
        <v>0.38</v>
      </c>
      <c r="M160" s="50">
        <f>VLOOKUP($A160,'Data shares'!$C:$FB,119)</f>
        <v>0.37</v>
      </c>
      <c r="N160" s="50">
        <f>VLOOKUP($A160,'Data shares'!$C:$FB,121)*100</f>
        <v>2.7</v>
      </c>
      <c r="O160" s="50">
        <f>VLOOKUP($A160,'Data shares'!$C:$FB,124)</f>
        <v>0.33</v>
      </c>
      <c r="P160" s="50">
        <f>VLOOKUP($A160,'Data shares'!$C:$FB,125)</f>
        <v>0.44</v>
      </c>
      <c r="Q160" s="50">
        <f>VLOOKUP($A160,'Data shares'!$C:$FB,127)*100</f>
        <v>-25</v>
      </c>
    </row>
    <row r="161" spans="1:17" x14ac:dyDescent="0.25">
      <c r="A161" s="97" t="str">
        <f>'Data Vlaue (Cr)'!C156</f>
        <v>PAGEIND</v>
      </c>
      <c r="B161" s="140">
        <f>VLOOKUP($A161,'Data shares'!$C:$FB,7)</f>
        <v>38405</v>
      </c>
      <c r="C161" s="140">
        <f>VLOOKUP($A161,'Data shares'!$C:$FB,3)</f>
        <v>38365</v>
      </c>
      <c r="D161" s="140">
        <f>VLOOKUP($A161,'Data shares'!$C:$FB,4)</f>
        <v>37930</v>
      </c>
      <c r="E161" s="50">
        <f t="shared" si="6"/>
        <v>1.1468494595307144</v>
      </c>
      <c r="F161" s="49">
        <f>VLOOKUP($A161,'Data shares'!$C:$FB,98)</f>
        <v>507165</v>
      </c>
      <c r="G161" s="49">
        <f>VLOOKUP($A161,'Data shares'!$C:$FB,99)</f>
        <v>503325</v>
      </c>
      <c r="H161" s="50">
        <f t="shared" si="7"/>
        <v>0.76292653851884962</v>
      </c>
      <c r="I161" s="49">
        <f>VLOOKUP($A161,'Data shares'!$C:$FB,66)</f>
        <v>249915</v>
      </c>
      <c r="J161" s="49">
        <f>VLOOKUP($A161,'Data shares'!$C:$FB,67)</f>
        <v>353220</v>
      </c>
      <c r="K161" s="50">
        <f t="shared" si="8"/>
        <v>-41.336054258447874</v>
      </c>
      <c r="L161" s="50">
        <f>VLOOKUP($A161,'Data shares'!$C:$FB,118)</f>
        <v>1.26</v>
      </c>
      <c r="M161" s="50">
        <f>VLOOKUP($A161,'Data shares'!$C:$FB,119)</f>
        <v>1.0900000000000001</v>
      </c>
      <c r="N161" s="50">
        <f>VLOOKUP($A161,'Data shares'!$C:$FB,121)*100</f>
        <v>15.6</v>
      </c>
      <c r="O161" s="50">
        <f>VLOOKUP($A161,'Data shares'!$C:$FB,124)</f>
        <v>1.85</v>
      </c>
      <c r="P161" s="50">
        <f>VLOOKUP($A161,'Data shares'!$C:$FB,125)</f>
        <v>0.61</v>
      </c>
      <c r="Q161" s="50">
        <f>VLOOKUP($A161,'Data shares'!$C:$FB,127)*100</f>
        <v>203.28</v>
      </c>
    </row>
    <row r="162" spans="1:17" x14ac:dyDescent="0.25">
      <c r="A162" s="97" t="str">
        <f>'Data Vlaue (Cr)'!C157</f>
        <v>PATANJALI</v>
      </c>
      <c r="B162" s="140">
        <f>VLOOKUP($A162,'Data shares'!$C:$FB,7)</f>
        <v>459.65</v>
      </c>
      <c r="C162" s="140">
        <f>VLOOKUP($A162,'Data shares'!$C:$FB,3)</f>
        <v>459.5</v>
      </c>
      <c r="D162" s="140">
        <f>VLOOKUP($A162,'Data shares'!$C:$FB,4)</f>
        <v>469</v>
      </c>
      <c r="E162" s="50">
        <f t="shared" si="6"/>
        <v>-2.0255863539445631</v>
      </c>
      <c r="F162" s="49">
        <f>VLOOKUP($A162,'Data shares'!$C:$FB,98)</f>
        <v>43816500</v>
      </c>
      <c r="G162" s="49">
        <f>VLOOKUP($A162,'Data shares'!$C:$FB,99)</f>
        <v>42699600</v>
      </c>
      <c r="H162" s="50">
        <f t="shared" si="7"/>
        <v>2.6157153696990134</v>
      </c>
      <c r="I162" s="49">
        <f>VLOOKUP($A162,'Data shares'!$C:$FB,66)</f>
        <v>9754200</v>
      </c>
      <c r="J162" s="49">
        <f>VLOOKUP($A162,'Data shares'!$C:$FB,67)</f>
        <v>20628000</v>
      </c>
      <c r="K162" s="50">
        <f t="shared" si="8"/>
        <v>-111.47813249677063</v>
      </c>
      <c r="L162" s="50">
        <f>VLOOKUP($A162,'Data shares'!$C:$FB,118)</f>
        <v>0.54</v>
      </c>
      <c r="M162" s="50">
        <f>VLOOKUP($A162,'Data shares'!$C:$FB,119)</f>
        <v>0.59</v>
      </c>
      <c r="N162" s="50">
        <f>VLOOKUP($A162,'Data shares'!$C:$FB,121)*100</f>
        <v>-8.4699999999999989</v>
      </c>
      <c r="O162" s="50">
        <f>VLOOKUP($A162,'Data shares'!$C:$FB,124)</f>
        <v>0.33</v>
      </c>
      <c r="P162" s="50">
        <f>VLOOKUP($A162,'Data shares'!$C:$FB,125)</f>
        <v>0.21</v>
      </c>
      <c r="Q162" s="50">
        <f>VLOOKUP($A162,'Data shares'!$C:$FB,127)*100</f>
        <v>57.14</v>
      </c>
    </row>
    <row r="163" spans="1:17" x14ac:dyDescent="0.25">
      <c r="A163" s="97" t="str">
        <f>'Data Vlaue (Cr)'!C158</f>
        <v>PAYTM</v>
      </c>
      <c r="B163" s="140">
        <f>VLOOKUP($A163,'Data shares'!$C:$FB,7)</f>
        <v>1161.3499999999999</v>
      </c>
      <c r="C163" s="140">
        <f>VLOOKUP($A163,'Data shares'!$C:$FB,3)</f>
        <v>1162.7</v>
      </c>
      <c r="D163" s="140">
        <f>VLOOKUP($A163,'Data shares'!$C:$FB,4)</f>
        <v>1161.7</v>
      </c>
      <c r="E163" s="50">
        <f t="shared" si="6"/>
        <v>8.6080743737625892E-2</v>
      </c>
      <c r="F163" s="49">
        <f>VLOOKUP($A163,'Data shares'!$C:$FB,98)</f>
        <v>28277900</v>
      </c>
      <c r="G163" s="49">
        <f>VLOOKUP($A163,'Data shares'!$C:$FB,99)</f>
        <v>28085775</v>
      </c>
      <c r="H163" s="50">
        <f t="shared" si="7"/>
        <v>0.6840651539791941</v>
      </c>
      <c r="I163" s="49">
        <f>VLOOKUP($A163,'Data shares'!$C:$FB,66)</f>
        <v>11579700</v>
      </c>
      <c r="J163" s="49">
        <f>VLOOKUP($A163,'Data shares'!$C:$FB,67)</f>
        <v>13382775</v>
      </c>
      <c r="K163" s="50">
        <f t="shared" si="8"/>
        <v>-15.570999248685199</v>
      </c>
      <c r="L163" s="50">
        <f>VLOOKUP($A163,'Data shares'!$C:$FB,118)</f>
        <v>0.98</v>
      </c>
      <c r="M163" s="50">
        <f>VLOOKUP($A163,'Data shares'!$C:$FB,119)</f>
        <v>0.96</v>
      </c>
      <c r="N163" s="50">
        <f>VLOOKUP($A163,'Data shares'!$C:$FB,121)*100</f>
        <v>2.08</v>
      </c>
      <c r="O163" s="50">
        <f>VLOOKUP($A163,'Data shares'!$C:$FB,124)</f>
        <v>0.78</v>
      </c>
      <c r="P163" s="50">
        <f>VLOOKUP($A163,'Data shares'!$C:$FB,125)</f>
        <v>0.72</v>
      </c>
      <c r="Q163" s="50">
        <f>VLOOKUP($A163,'Data shares'!$C:$FB,127)*100</f>
        <v>8.33</v>
      </c>
    </row>
    <row r="164" spans="1:17" x14ac:dyDescent="0.25">
      <c r="A164" s="97" t="str">
        <f>'Data Vlaue (Cr)'!C159</f>
        <v>PERSISTENT</v>
      </c>
      <c r="B164" s="140">
        <f>VLOOKUP($A164,'Data shares'!$C:$FB,7)</f>
        <v>5325.2</v>
      </c>
      <c r="C164" s="140">
        <f>VLOOKUP($A164,'Data shares'!$C:$FB,3)</f>
        <v>5330.4</v>
      </c>
      <c r="D164" s="140">
        <f>VLOOKUP($A164,'Data shares'!$C:$FB,4)</f>
        <v>5452.2</v>
      </c>
      <c r="E164" s="50">
        <f t="shared" si="6"/>
        <v>-2.2339606030593191</v>
      </c>
      <c r="F164" s="49">
        <f>VLOOKUP($A164,'Data shares'!$C:$FB,98)</f>
        <v>8558100</v>
      </c>
      <c r="G164" s="49">
        <f>VLOOKUP($A164,'Data shares'!$C:$FB,99)</f>
        <v>8357700</v>
      </c>
      <c r="H164" s="50">
        <f t="shared" si="7"/>
        <v>2.3977888653576942</v>
      </c>
      <c r="I164" s="49">
        <f>VLOOKUP($A164,'Data shares'!$C:$FB,66)</f>
        <v>7488900</v>
      </c>
      <c r="J164" s="49">
        <f>VLOOKUP($A164,'Data shares'!$C:$FB,67)</f>
        <v>5506000</v>
      </c>
      <c r="K164" s="50">
        <f t="shared" si="8"/>
        <v>26.477853890424498</v>
      </c>
      <c r="L164" s="50">
        <f>VLOOKUP($A164,'Data shares'!$C:$FB,118)</f>
        <v>0.79</v>
      </c>
      <c r="M164" s="50">
        <f>VLOOKUP($A164,'Data shares'!$C:$FB,119)</f>
        <v>0.96</v>
      </c>
      <c r="N164" s="50">
        <f>VLOOKUP($A164,'Data shares'!$C:$FB,121)*100</f>
        <v>-17.71</v>
      </c>
      <c r="O164" s="50">
        <f>VLOOKUP($A164,'Data shares'!$C:$FB,124)</f>
        <v>0.63</v>
      </c>
      <c r="P164" s="50">
        <f>VLOOKUP($A164,'Data shares'!$C:$FB,125)</f>
        <v>0.81</v>
      </c>
      <c r="Q164" s="50">
        <f>VLOOKUP($A164,'Data shares'!$C:$FB,127)*100</f>
        <v>-22.220000000000002</v>
      </c>
    </row>
    <row r="165" spans="1:17" x14ac:dyDescent="0.25">
      <c r="A165" s="97" t="str">
        <f>'Data Vlaue (Cr)'!C160</f>
        <v>PETRONET</v>
      </c>
      <c r="B165" s="140">
        <f>VLOOKUP($A165,'Data shares'!$C:$FB,7)</f>
        <v>272.13</v>
      </c>
      <c r="C165" s="140">
        <f>VLOOKUP($A165,'Data shares'!$C:$FB,3)</f>
        <v>272.26</v>
      </c>
      <c r="D165" s="140">
        <f>VLOOKUP($A165,'Data shares'!$C:$FB,4)</f>
        <v>273.19</v>
      </c>
      <c r="E165" s="50">
        <f t="shared" si="6"/>
        <v>-0.34042241663311495</v>
      </c>
      <c r="F165" s="49">
        <f>VLOOKUP($A165,'Data shares'!$C:$FB,98)</f>
        <v>60657500</v>
      </c>
      <c r="G165" s="49">
        <f>VLOOKUP($A165,'Data shares'!$C:$FB,99)</f>
        <v>61784200</v>
      </c>
      <c r="H165" s="50">
        <f t="shared" si="7"/>
        <v>-1.8236053877852265</v>
      </c>
      <c r="I165" s="49">
        <f>VLOOKUP($A165,'Data shares'!$C:$FB,66)</f>
        <v>9144700</v>
      </c>
      <c r="J165" s="49">
        <f>VLOOKUP($A165,'Data shares'!$C:$FB,67)</f>
        <v>12329100</v>
      </c>
      <c r="K165" s="50">
        <f t="shared" si="8"/>
        <v>-34.822356118844795</v>
      </c>
      <c r="L165" s="50">
        <f>VLOOKUP($A165,'Data shares'!$C:$FB,118)</f>
        <v>0.65</v>
      </c>
      <c r="M165" s="50">
        <f>VLOOKUP($A165,'Data shares'!$C:$FB,119)</f>
        <v>0.64</v>
      </c>
      <c r="N165" s="50">
        <f>VLOOKUP($A165,'Data shares'!$C:$FB,121)*100</f>
        <v>1.5599999999999998</v>
      </c>
      <c r="O165" s="50">
        <f>VLOOKUP($A165,'Data shares'!$C:$FB,124)</f>
        <v>0.48</v>
      </c>
      <c r="P165" s="50">
        <f>VLOOKUP($A165,'Data shares'!$C:$FB,125)</f>
        <v>0.44</v>
      </c>
      <c r="Q165" s="50">
        <f>VLOOKUP($A165,'Data shares'!$C:$FB,127)*100</f>
        <v>9.09</v>
      </c>
    </row>
    <row r="166" spans="1:17" x14ac:dyDescent="0.25">
      <c r="A166" s="97" t="str">
        <f>'Data Vlaue (Cr)'!C161</f>
        <v>PFC</v>
      </c>
      <c r="B166" s="140">
        <f>VLOOKUP($A166,'Data shares'!$C:$FB,7)</f>
        <v>472.85</v>
      </c>
      <c r="C166" s="140">
        <f>VLOOKUP($A166,'Data shares'!$C:$FB,3)</f>
        <v>474.3</v>
      </c>
      <c r="D166" s="140">
        <f>VLOOKUP($A166,'Data shares'!$C:$FB,4)</f>
        <v>466</v>
      </c>
      <c r="E166" s="50">
        <f t="shared" si="6"/>
        <v>1.7811158798283286</v>
      </c>
      <c r="F166" s="49">
        <f>VLOOKUP($A166,'Data shares'!$C:$FB,98)</f>
        <v>109497700</v>
      </c>
      <c r="G166" s="49">
        <f>VLOOKUP($A166,'Data shares'!$C:$FB,99)</f>
        <v>105086800</v>
      </c>
      <c r="H166" s="50">
        <f t="shared" si="7"/>
        <v>4.1973873026869217</v>
      </c>
      <c r="I166" s="49">
        <f>VLOOKUP($A166,'Data shares'!$C:$FB,66)</f>
        <v>117370500</v>
      </c>
      <c r="J166" s="49">
        <f>VLOOKUP($A166,'Data shares'!$C:$FB,67)</f>
        <v>88002200</v>
      </c>
      <c r="K166" s="50">
        <f t="shared" si="8"/>
        <v>25.02187517306308</v>
      </c>
      <c r="L166" s="50">
        <f>VLOOKUP($A166,'Data shares'!$C:$FB,118)</f>
        <v>0.84</v>
      </c>
      <c r="M166" s="50">
        <f>VLOOKUP($A166,'Data shares'!$C:$FB,119)</f>
        <v>0.73</v>
      </c>
      <c r="N166" s="50">
        <f>VLOOKUP($A166,'Data shares'!$C:$FB,121)*100</f>
        <v>15.07</v>
      </c>
      <c r="O166" s="50">
        <f>VLOOKUP($A166,'Data shares'!$C:$FB,124)</f>
        <v>0.56999999999999995</v>
      </c>
      <c r="P166" s="50">
        <f>VLOOKUP($A166,'Data shares'!$C:$FB,125)</f>
        <v>0.52</v>
      </c>
      <c r="Q166" s="50">
        <f>VLOOKUP($A166,'Data shares'!$C:$FB,127)*100</f>
        <v>9.6199999999999992</v>
      </c>
    </row>
    <row r="167" spans="1:17" x14ac:dyDescent="0.25">
      <c r="A167" s="97" t="str">
        <f>'Data Vlaue (Cr)'!C162</f>
        <v>PGEL</v>
      </c>
      <c r="B167" s="140">
        <f>VLOOKUP($A167,'Data shares'!$C:$FB,7)</f>
        <v>559.04999999999995</v>
      </c>
      <c r="C167" s="140">
        <f>VLOOKUP($A167,'Data shares'!$C:$FB,3)</f>
        <v>560.35</v>
      </c>
      <c r="D167" s="140">
        <f>VLOOKUP($A167,'Data shares'!$C:$FB,4)</f>
        <v>562.65</v>
      </c>
      <c r="E167" s="50">
        <f t="shared" si="6"/>
        <v>-0.40877988092063533</v>
      </c>
      <c r="F167" s="49">
        <f>VLOOKUP($A167,'Data shares'!$C:$FB,98)</f>
        <v>34186700</v>
      </c>
      <c r="G167" s="49">
        <f>VLOOKUP($A167,'Data shares'!$C:$FB,99)</f>
        <v>34576200</v>
      </c>
      <c r="H167" s="50">
        <f t="shared" si="7"/>
        <v>-1.1264974172986042</v>
      </c>
      <c r="I167" s="49">
        <f>VLOOKUP($A167,'Data shares'!$C:$FB,66)</f>
        <v>17601600</v>
      </c>
      <c r="J167" s="49">
        <f>VLOOKUP($A167,'Data shares'!$C:$FB,67)</f>
        <v>24452050</v>
      </c>
      <c r="K167" s="50">
        <f t="shared" si="8"/>
        <v>-38.919473229706391</v>
      </c>
      <c r="L167" s="50">
        <f>VLOOKUP($A167,'Data shares'!$C:$FB,118)</f>
        <v>1.17</v>
      </c>
      <c r="M167" s="50">
        <f>VLOOKUP($A167,'Data shares'!$C:$FB,119)</f>
        <v>1.18</v>
      </c>
      <c r="N167" s="50">
        <f>VLOOKUP($A167,'Data shares'!$C:$FB,121)*100</f>
        <v>-0.85000000000000009</v>
      </c>
      <c r="O167" s="50">
        <f>VLOOKUP($A167,'Data shares'!$C:$FB,124)</f>
        <v>0.98</v>
      </c>
      <c r="P167" s="50">
        <f>VLOOKUP($A167,'Data shares'!$C:$FB,125)</f>
        <v>1.01</v>
      </c>
      <c r="Q167" s="50">
        <f>VLOOKUP($A167,'Data shares'!$C:$FB,127)*100</f>
        <v>-2.97</v>
      </c>
    </row>
    <row r="168" spans="1:17" x14ac:dyDescent="0.25">
      <c r="A168" s="97" t="str">
        <f>'Data Vlaue (Cr)'!C163</f>
        <v>PHOENIXLTD</v>
      </c>
      <c r="B168" s="140">
        <f>VLOOKUP($A168,'Data shares'!$C:$FB,7)</f>
        <v>1767.9</v>
      </c>
      <c r="C168" s="140">
        <f>VLOOKUP($A168,'Data shares'!$C:$FB,3)</f>
        <v>1772.5</v>
      </c>
      <c r="D168" s="140">
        <f>VLOOKUP($A168,'Data shares'!$C:$FB,4)</f>
        <v>1798.6</v>
      </c>
      <c r="E168" s="50">
        <f t="shared" si="6"/>
        <v>-1.4511286556210337</v>
      </c>
      <c r="F168" s="49">
        <f>VLOOKUP($A168,'Data shares'!$C:$FB,98)</f>
        <v>5234600</v>
      </c>
      <c r="G168" s="49">
        <f>VLOOKUP($A168,'Data shares'!$C:$FB,99)</f>
        <v>5154450</v>
      </c>
      <c r="H168" s="50">
        <f t="shared" si="7"/>
        <v>1.5549670672913696</v>
      </c>
      <c r="I168" s="49">
        <f>VLOOKUP($A168,'Data shares'!$C:$FB,66)</f>
        <v>1143450</v>
      </c>
      <c r="J168" s="49">
        <f>VLOOKUP($A168,'Data shares'!$C:$FB,67)</f>
        <v>969150</v>
      </c>
      <c r="K168" s="50">
        <f t="shared" si="8"/>
        <v>15.243342516069788</v>
      </c>
      <c r="L168" s="50">
        <f>VLOOKUP($A168,'Data shares'!$C:$FB,118)</f>
        <v>0.8</v>
      </c>
      <c r="M168" s="50">
        <f>VLOOKUP($A168,'Data shares'!$C:$FB,119)</f>
        <v>0.86</v>
      </c>
      <c r="N168" s="50">
        <f>VLOOKUP($A168,'Data shares'!$C:$FB,121)*100</f>
        <v>-6.98</v>
      </c>
      <c r="O168" s="50">
        <f>VLOOKUP($A168,'Data shares'!$C:$FB,124)</f>
        <v>0.95</v>
      </c>
      <c r="P168" s="50">
        <f>VLOOKUP($A168,'Data shares'!$C:$FB,125)</f>
        <v>0.72</v>
      </c>
      <c r="Q168" s="50">
        <f>VLOOKUP($A168,'Data shares'!$C:$FB,127)*100</f>
        <v>31.94</v>
      </c>
    </row>
    <row r="169" spans="1:17" x14ac:dyDescent="0.25">
      <c r="A169" s="97" t="str">
        <f>'Data Vlaue (Cr)'!C164</f>
        <v>PIDILITIND</v>
      </c>
      <c r="B169" s="140">
        <f>VLOOKUP($A169,'Data shares'!$C:$FB,7)</f>
        <v>1390.5</v>
      </c>
      <c r="C169" s="140">
        <f>VLOOKUP($A169,'Data shares'!$C:$FB,3)</f>
        <v>1393.3</v>
      </c>
      <c r="D169" s="140">
        <f>VLOOKUP($A169,'Data shares'!$C:$FB,4)</f>
        <v>1396.9</v>
      </c>
      <c r="E169" s="50">
        <f t="shared" si="6"/>
        <v>-0.25771350848307945</v>
      </c>
      <c r="F169" s="49">
        <f>VLOOKUP($A169,'Data shares'!$C:$FB,98)</f>
        <v>11378500</v>
      </c>
      <c r="G169" s="49">
        <f>VLOOKUP($A169,'Data shares'!$C:$FB,99)</f>
        <v>11606000</v>
      </c>
      <c r="H169" s="50">
        <f t="shared" si="7"/>
        <v>-1.9601930036188178</v>
      </c>
      <c r="I169" s="49">
        <f>VLOOKUP($A169,'Data shares'!$C:$FB,66)</f>
        <v>3497500</v>
      </c>
      <c r="J169" s="49">
        <f>VLOOKUP($A169,'Data shares'!$C:$FB,67)</f>
        <v>13960000</v>
      </c>
      <c r="K169" s="50">
        <f t="shared" si="8"/>
        <v>-299.14224446032881</v>
      </c>
      <c r="L169" s="50">
        <f>VLOOKUP($A169,'Data shares'!$C:$FB,118)</f>
        <v>0.66</v>
      </c>
      <c r="M169" s="50">
        <f>VLOOKUP($A169,'Data shares'!$C:$FB,119)</f>
        <v>0.66</v>
      </c>
      <c r="N169" s="50">
        <f>VLOOKUP($A169,'Data shares'!$C:$FB,121)*100</f>
        <v>0</v>
      </c>
      <c r="O169" s="50">
        <f>VLOOKUP($A169,'Data shares'!$C:$FB,124)</f>
        <v>0.61</v>
      </c>
      <c r="P169" s="50">
        <f>VLOOKUP($A169,'Data shares'!$C:$FB,125)</f>
        <v>0.33</v>
      </c>
      <c r="Q169" s="50">
        <f>VLOOKUP($A169,'Data shares'!$C:$FB,127)*100</f>
        <v>84.850000000000009</v>
      </c>
    </row>
    <row r="170" spans="1:17" x14ac:dyDescent="0.25">
      <c r="A170" s="97" t="str">
        <f>'Data Vlaue (Cr)'!C165</f>
        <v>PIIND</v>
      </c>
      <c r="B170" s="140">
        <f>VLOOKUP($A170,'Data shares'!$C:$FB,7)</f>
        <v>3037</v>
      </c>
      <c r="C170" s="140">
        <f>VLOOKUP($A170,'Data shares'!$C:$FB,3)</f>
        <v>3020.8</v>
      </c>
      <c r="D170" s="140">
        <f>VLOOKUP($A170,'Data shares'!$C:$FB,4)</f>
        <v>3116.8</v>
      </c>
      <c r="E170" s="50">
        <f t="shared" si="6"/>
        <v>-3.0800821355236137</v>
      </c>
      <c r="F170" s="49">
        <f>VLOOKUP($A170,'Data shares'!$C:$FB,98)</f>
        <v>4150125</v>
      </c>
      <c r="G170" s="49">
        <f>VLOOKUP($A170,'Data shares'!$C:$FB,99)</f>
        <v>4015200</v>
      </c>
      <c r="H170" s="50">
        <f t="shared" si="7"/>
        <v>3.360355648535565</v>
      </c>
      <c r="I170" s="49">
        <f>VLOOKUP($A170,'Data shares'!$C:$FB,66)</f>
        <v>1656550</v>
      </c>
      <c r="J170" s="49">
        <f>VLOOKUP($A170,'Data shares'!$C:$FB,67)</f>
        <v>2131500</v>
      </c>
      <c r="K170" s="50">
        <f t="shared" si="8"/>
        <v>-28.671033171350096</v>
      </c>
      <c r="L170" s="50">
        <f>VLOOKUP($A170,'Data shares'!$C:$FB,118)</f>
        <v>0.85</v>
      </c>
      <c r="M170" s="50">
        <f>VLOOKUP($A170,'Data shares'!$C:$FB,119)</f>
        <v>1.01</v>
      </c>
      <c r="N170" s="50">
        <f>VLOOKUP($A170,'Data shares'!$C:$FB,121)*100</f>
        <v>-15.840000000000002</v>
      </c>
      <c r="O170" s="50">
        <f>VLOOKUP($A170,'Data shares'!$C:$FB,124)</f>
        <v>0.82</v>
      </c>
      <c r="P170" s="50">
        <f>VLOOKUP($A170,'Data shares'!$C:$FB,125)</f>
        <v>0.56999999999999995</v>
      </c>
      <c r="Q170" s="50">
        <f>VLOOKUP($A170,'Data shares'!$C:$FB,127)*100</f>
        <v>43.86</v>
      </c>
    </row>
    <row r="171" spans="1:17" x14ac:dyDescent="0.25">
      <c r="A171" s="97" t="str">
        <f>'Data Vlaue (Cr)'!C166</f>
        <v>PNB</v>
      </c>
      <c r="B171" s="140">
        <f>VLOOKUP($A171,'Data shares'!$C:$FB,7)</f>
        <v>113.74</v>
      </c>
      <c r="C171" s="140">
        <f>VLOOKUP($A171,'Data shares'!$C:$FB,3)</f>
        <v>113.9</v>
      </c>
      <c r="D171" s="140">
        <f>VLOOKUP($A171,'Data shares'!$C:$FB,4)</f>
        <v>114.73</v>
      </c>
      <c r="E171" s="50">
        <f t="shared" si="6"/>
        <v>-0.72343763618931256</v>
      </c>
      <c r="F171" s="49">
        <f>VLOOKUP($A171,'Data shares'!$C:$FB,98)</f>
        <v>421976000</v>
      </c>
      <c r="G171" s="49">
        <f>VLOOKUP($A171,'Data shares'!$C:$FB,99)</f>
        <v>424744000</v>
      </c>
      <c r="H171" s="50">
        <f t="shared" si="7"/>
        <v>-0.65168666302525757</v>
      </c>
      <c r="I171" s="49">
        <f>VLOOKUP($A171,'Data shares'!$C:$FB,66)</f>
        <v>191208000</v>
      </c>
      <c r="J171" s="49">
        <f>VLOOKUP($A171,'Data shares'!$C:$FB,67)</f>
        <v>173592000</v>
      </c>
      <c r="K171" s="50">
        <f t="shared" si="8"/>
        <v>9.2130036400150619</v>
      </c>
      <c r="L171" s="50">
        <f>VLOOKUP($A171,'Data shares'!$C:$FB,118)</f>
        <v>0.87</v>
      </c>
      <c r="M171" s="50">
        <f>VLOOKUP($A171,'Data shares'!$C:$FB,119)</f>
        <v>0.88</v>
      </c>
      <c r="N171" s="50">
        <f>VLOOKUP($A171,'Data shares'!$C:$FB,121)*100</f>
        <v>-1.1400000000000001</v>
      </c>
      <c r="O171" s="50">
        <f>VLOOKUP($A171,'Data shares'!$C:$FB,124)</f>
        <v>0.54</v>
      </c>
      <c r="P171" s="50">
        <f>VLOOKUP($A171,'Data shares'!$C:$FB,125)</f>
        <v>0.59</v>
      </c>
      <c r="Q171" s="50">
        <f>VLOOKUP($A171,'Data shares'!$C:$FB,127)*100</f>
        <v>-8.4699999999999989</v>
      </c>
    </row>
    <row r="172" spans="1:17" x14ac:dyDescent="0.25">
      <c r="A172" s="97" t="str">
        <f>'Data Vlaue (Cr)'!C167</f>
        <v>PNBHOUSING</v>
      </c>
      <c r="B172" s="140">
        <f>VLOOKUP($A172,'Data shares'!$C:$FB,7)</f>
        <v>906.75</v>
      </c>
      <c r="C172" s="140">
        <f>VLOOKUP($A172,'Data shares'!$C:$FB,3)</f>
        <v>908.05</v>
      </c>
      <c r="D172" s="140">
        <f>VLOOKUP($A172,'Data shares'!$C:$FB,4)</f>
        <v>924.4</v>
      </c>
      <c r="E172" s="50">
        <f t="shared" si="6"/>
        <v>-1.7687148420597167</v>
      </c>
      <c r="F172" s="49">
        <f>VLOOKUP($A172,'Data shares'!$C:$FB,98)</f>
        <v>22999600</v>
      </c>
      <c r="G172" s="49">
        <f>VLOOKUP($A172,'Data shares'!$C:$FB,99)</f>
        <v>18905900</v>
      </c>
      <c r="H172" s="50">
        <f t="shared" si="7"/>
        <v>21.653028948635082</v>
      </c>
      <c r="I172" s="49">
        <f>VLOOKUP($A172,'Data shares'!$C:$FB,66)</f>
        <v>21069100</v>
      </c>
      <c r="J172" s="49">
        <f>VLOOKUP($A172,'Data shares'!$C:$FB,67)</f>
        <v>16272100</v>
      </c>
      <c r="K172" s="50">
        <f t="shared" si="8"/>
        <v>22.767939779107792</v>
      </c>
      <c r="L172" s="50">
        <f>VLOOKUP($A172,'Data shares'!$C:$FB,118)</f>
        <v>0.87</v>
      </c>
      <c r="M172" s="50">
        <f>VLOOKUP($A172,'Data shares'!$C:$FB,119)</f>
        <v>1</v>
      </c>
      <c r="N172" s="50">
        <f>VLOOKUP($A172,'Data shares'!$C:$FB,121)*100</f>
        <v>-13</v>
      </c>
      <c r="O172" s="50">
        <f>VLOOKUP($A172,'Data shares'!$C:$FB,124)</f>
        <v>0.6</v>
      </c>
      <c r="P172" s="50">
        <f>VLOOKUP($A172,'Data shares'!$C:$FB,125)</f>
        <v>0.34</v>
      </c>
      <c r="Q172" s="50">
        <f>VLOOKUP($A172,'Data shares'!$C:$FB,127)*100</f>
        <v>76.47</v>
      </c>
    </row>
    <row r="173" spans="1:17" x14ac:dyDescent="0.25">
      <c r="A173" s="97" t="str">
        <f>'Data Vlaue (Cr)'!C168</f>
        <v>POLICYBZR</v>
      </c>
      <c r="B173" s="140">
        <f>VLOOKUP($A173,'Data shares'!$C:$FB,7)</f>
        <v>1616.8</v>
      </c>
      <c r="C173" s="140">
        <f>VLOOKUP($A173,'Data shares'!$C:$FB,3)</f>
        <v>1613</v>
      </c>
      <c r="D173" s="140">
        <f>VLOOKUP($A173,'Data shares'!$C:$FB,4)</f>
        <v>1601.1</v>
      </c>
      <c r="E173" s="50">
        <f t="shared" ref="E173:E182" si="9">(C173-D173)/D173*100</f>
        <v>0.74323902317157531</v>
      </c>
      <c r="F173" s="49">
        <f>VLOOKUP($A173,'Data shares'!$C:$FB,98)</f>
        <v>11460400</v>
      </c>
      <c r="G173" s="49">
        <f>VLOOKUP($A173,'Data shares'!$C:$FB,99)</f>
        <v>12047700</v>
      </c>
      <c r="H173" s="50">
        <f t="shared" ref="H173:H182" si="10">(F173-G173)/G173*100</f>
        <v>-4.8747893788855965</v>
      </c>
      <c r="I173" s="49">
        <f>VLOOKUP($A173,'Data shares'!$C:$FB,66)</f>
        <v>6363350</v>
      </c>
      <c r="J173" s="49">
        <f>VLOOKUP($A173,'Data shares'!$C:$FB,67)</f>
        <v>26378450</v>
      </c>
      <c r="K173" s="50">
        <f t="shared" ref="K173:K182" si="11">(I173-J173)/I173*100</f>
        <v>-314.53715417193774</v>
      </c>
      <c r="L173" s="50">
        <f>VLOOKUP($A173,'Data shares'!$C:$FB,118)</f>
        <v>0.74</v>
      </c>
      <c r="M173" s="50">
        <f>VLOOKUP($A173,'Data shares'!$C:$FB,119)</f>
        <v>0.66</v>
      </c>
      <c r="N173" s="50">
        <f>VLOOKUP($A173,'Data shares'!$C:$FB,121)*100</f>
        <v>12.120000000000001</v>
      </c>
      <c r="O173" s="50">
        <f>VLOOKUP($A173,'Data shares'!$C:$FB,124)</f>
        <v>0.65</v>
      </c>
      <c r="P173" s="50">
        <f>VLOOKUP($A173,'Data shares'!$C:$FB,125)</f>
        <v>0.35</v>
      </c>
      <c r="Q173" s="50">
        <f>VLOOKUP($A173,'Data shares'!$C:$FB,127)*100</f>
        <v>85.71</v>
      </c>
    </row>
    <row r="174" spans="1:17" x14ac:dyDescent="0.25">
      <c r="A174" s="97" t="str">
        <f>'Data Vlaue (Cr)'!C169</f>
        <v>POLYCAB</v>
      </c>
      <c r="B174" s="140">
        <f>VLOOKUP($A174,'Data shares'!$C:$FB,7)</f>
        <v>8198.5</v>
      </c>
      <c r="C174" s="140">
        <f>VLOOKUP($A174,'Data shares'!$C:$FB,3)</f>
        <v>8188</v>
      </c>
      <c r="D174" s="140">
        <f>VLOOKUP($A174,'Data shares'!$C:$FB,4)</f>
        <v>8162</v>
      </c>
      <c r="E174" s="50">
        <f t="shared" si="9"/>
        <v>0.31854937515314874</v>
      </c>
      <c r="F174" s="49">
        <f>VLOOKUP($A174,'Data shares'!$C:$FB,98)</f>
        <v>4146375</v>
      </c>
      <c r="G174" s="49">
        <f>VLOOKUP($A174,'Data shares'!$C:$FB,99)</f>
        <v>4457125</v>
      </c>
      <c r="H174" s="50">
        <f t="shared" si="10"/>
        <v>-6.9719830608295705</v>
      </c>
      <c r="I174" s="49">
        <f>VLOOKUP($A174,'Data shares'!$C:$FB,66)</f>
        <v>5146500</v>
      </c>
      <c r="J174" s="49">
        <f>VLOOKUP($A174,'Data shares'!$C:$FB,67)</f>
        <v>11672750</v>
      </c>
      <c r="K174" s="50">
        <f t="shared" si="11"/>
        <v>-126.80948217235016</v>
      </c>
      <c r="L174" s="50">
        <f>VLOOKUP($A174,'Data shares'!$C:$FB,118)</f>
        <v>1.06</v>
      </c>
      <c r="M174" s="50">
        <f>VLOOKUP($A174,'Data shares'!$C:$FB,119)</f>
        <v>1.24</v>
      </c>
      <c r="N174" s="50">
        <f>VLOOKUP($A174,'Data shares'!$C:$FB,121)*100</f>
        <v>-14.52</v>
      </c>
      <c r="O174" s="50">
        <f>VLOOKUP($A174,'Data shares'!$C:$FB,124)</f>
        <v>1.38</v>
      </c>
      <c r="P174" s="50">
        <f>VLOOKUP($A174,'Data shares'!$C:$FB,125)</f>
        <v>0.68</v>
      </c>
      <c r="Q174" s="50">
        <f>VLOOKUP($A174,'Data shares'!$C:$FB,127)*100</f>
        <v>102.94000000000001</v>
      </c>
    </row>
    <row r="175" spans="1:17" x14ac:dyDescent="0.25">
      <c r="A175" s="97" t="str">
        <f>'Data Vlaue (Cr)'!C170</f>
        <v>POWERGRID</v>
      </c>
      <c r="B175" s="140">
        <f>VLOOKUP($A175,'Data shares'!$C:$FB,7)</f>
        <v>319.7</v>
      </c>
      <c r="C175" s="140">
        <f>VLOOKUP($A175,'Data shares'!$C:$FB,3)</f>
        <v>318.85000000000002</v>
      </c>
      <c r="D175" s="140">
        <f>VLOOKUP($A175,'Data shares'!$C:$FB,4)</f>
        <v>317.64999999999998</v>
      </c>
      <c r="E175" s="50">
        <f t="shared" si="9"/>
        <v>0.37777427986779333</v>
      </c>
      <c r="F175" s="49">
        <f>VLOOKUP($A175,'Data shares'!$C:$FB,98)</f>
        <v>143828100</v>
      </c>
      <c r="G175" s="49">
        <f>VLOOKUP($A175,'Data shares'!$C:$FB,99)</f>
        <v>140269400</v>
      </c>
      <c r="H175" s="50">
        <f t="shared" si="10"/>
        <v>2.5370465689594455</v>
      </c>
      <c r="I175" s="49">
        <f>VLOOKUP($A175,'Data shares'!$C:$FB,66)</f>
        <v>116983000</v>
      </c>
      <c r="J175" s="49">
        <f>VLOOKUP($A175,'Data shares'!$C:$FB,67)</f>
        <v>130283000</v>
      </c>
      <c r="K175" s="50">
        <f t="shared" si="11"/>
        <v>-11.369173298684425</v>
      </c>
      <c r="L175" s="50">
        <f>VLOOKUP($A175,'Data shares'!$C:$FB,118)</f>
        <v>0.62</v>
      </c>
      <c r="M175" s="50">
        <f>VLOOKUP($A175,'Data shares'!$C:$FB,119)</f>
        <v>0.63</v>
      </c>
      <c r="N175" s="50">
        <f>VLOOKUP($A175,'Data shares'!$C:$FB,121)*100</f>
        <v>-1.59</v>
      </c>
      <c r="O175" s="50">
        <f>VLOOKUP($A175,'Data shares'!$C:$FB,124)</f>
        <v>0.35</v>
      </c>
      <c r="P175" s="50">
        <f>VLOOKUP($A175,'Data shares'!$C:$FB,125)</f>
        <v>0.38</v>
      </c>
      <c r="Q175" s="50">
        <f>VLOOKUP($A175,'Data shares'!$C:$FB,127)*100</f>
        <v>-7.89</v>
      </c>
    </row>
    <row r="176" spans="1:17" x14ac:dyDescent="0.25">
      <c r="A176" s="97" t="str">
        <f>'Data Vlaue (Cr)'!C171</f>
        <v>POWERINDIA</v>
      </c>
      <c r="B176" s="140">
        <f>VLOOKUP($A176,'Data shares'!$C:$FB,7)</f>
        <v>29645</v>
      </c>
      <c r="C176" s="140">
        <f>VLOOKUP($A176,'Data shares'!$C:$FB,3)</f>
        <v>29700</v>
      </c>
      <c r="D176" s="140">
        <f>VLOOKUP($A176,'Data shares'!$C:$FB,4)</f>
        <v>28970</v>
      </c>
      <c r="E176" s="50">
        <f t="shared" si="9"/>
        <v>2.5198481187435275</v>
      </c>
      <c r="F176" s="49">
        <f>VLOOKUP($A176,'Data shares'!$C:$FB,98)</f>
        <v>990850</v>
      </c>
      <c r="G176" s="49">
        <f>VLOOKUP($A176,'Data shares'!$C:$FB,99)</f>
        <v>902600</v>
      </c>
      <c r="H176" s="50">
        <f t="shared" si="10"/>
        <v>9.7773099933525369</v>
      </c>
      <c r="I176" s="49">
        <f>VLOOKUP($A176,'Data shares'!$C:$FB,66)</f>
        <v>1917700</v>
      </c>
      <c r="J176" s="49">
        <f>VLOOKUP($A176,'Data shares'!$C:$FB,67)</f>
        <v>849550</v>
      </c>
      <c r="K176" s="50">
        <f t="shared" si="11"/>
        <v>55.699535902383069</v>
      </c>
      <c r="L176" s="50">
        <f>VLOOKUP($A176,'Data shares'!$C:$FB,118)</f>
        <v>1.18</v>
      </c>
      <c r="M176" s="50">
        <f>VLOOKUP($A176,'Data shares'!$C:$FB,119)</f>
        <v>1.05</v>
      </c>
      <c r="N176" s="50">
        <f>VLOOKUP($A176,'Data shares'!$C:$FB,121)*100</f>
        <v>12.379999999999999</v>
      </c>
      <c r="O176" s="50">
        <f>VLOOKUP($A176,'Data shares'!$C:$FB,124)</f>
        <v>0.56999999999999995</v>
      </c>
      <c r="P176" s="50">
        <f>VLOOKUP($A176,'Data shares'!$C:$FB,125)</f>
        <v>0.67</v>
      </c>
      <c r="Q176" s="50">
        <f>VLOOKUP($A176,'Data shares'!$C:$FB,127)*100</f>
        <v>-14.93</v>
      </c>
    </row>
    <row r="177" spans="1:17" x14ac:dyDescent="0.25">
      <c r="A177" s="97" t="str">
        <f>'Data Vlaue (Cr)'!C172</f>
        <v>PPLPHARMA</v>
      </c>
      <c r="B177" s="140">
        <f>VLOOKUP($A177,'Data shares'!$C:$FB,7)</f>
        <v>148.79</v>
      </c>
      <c r="C177" s="140">
        <f>VLOOKUP($A177,'Data shares'!$C:$FB,3)</f>
        <v>148.21</v>
      </c>
      <c r="D177" s="140">
        <f>VLOOKUP($A177,'Data shares'!$C:$FB,4)</f>
        <v>148.41</v>
      </c>
      <c r="E177" s="50">
        <f t="shared" si="9"/>
        <v>-0.13476180850346245</v>
      </c>
      <c r="F177" s="49">
        <f>VLOOKUP($A177,'Data shares'!$C:$FB,98)</f>
        <v>19758375</v>
      </c>
      <c r="G177" s="49">
        <f>VLOOKUP($A177,'Data shares'!$C:$FB,99)</f>
        <v>20690250</v>
      </c>
      <c r="H177" s="50">
        <f t="shared" si="10"/>
        <v>-4.5039330119259073</v>
      </c>
      <c r="I177" s="49">
        <f>VLOOKUP($A177,'Data shares'!$C:$FB,66)</f>
        <v>6394500</v>
      </c>
      <c r="J177" s="49">
        <f>VLOOKUP($A177,'Data shares'!$C:$FB,67)</f>
        <v>9366000</v>
      </c>
      <c r="K177" s="50">
        <f t="shared" si="11"/>
        <v>-46.469622331691298</v>
      </c>
      <c r="L177" s="50">
        <f>VLOOKUP($A177,'Data shares'!$C:$FB,118)</f>
        <v>0.61</v>
      </c>
      <c r="M177" s="50">
        <f>VLOOKUP($A177,'Data shares'!$C:$FB,119)</f>
        <v>0.6</v>
      </c>
      <c r="N177" s="50">
        <f>VLOOKUP($A177,'Data shares'!$C:$FB,121)*100</f>
        <v>1.67</v>
      </c>
      <c r="O177" s="50">
        <f>VLOOKUP($A177,'Data shares'!$C:$FB,124)</f>
        <v>0.34</v>
      </c>
      <c r="P177" s="50">
        <f>VLOOKUP($A177,'Data shares'!$C:$FB,125)</f>
        <v>0.25</v>
      </c>
      <c r="Q177" s="50">
        <f>VLOOKUP($A177,'Data shares'!$C:$FB,127)*100</f>
        <v>36</v>
      </c>
    </row>
    <row r="178" spans="1:17" x14ac:dyDescent="0.25">
      <c r="A178" s="97" t="str">
        <f>'Data Vlaue (Cr)'!C173</f>
        <v>PREMIERENE</v>
      </c>
      <c r="B178" s="140">
        <f>VLOOKUP($A178,'Data shares'!$C:$FB,7)</f>
        <v>1010.75</v>
      </c>
      <c r="C178" s="140">
        <f>VLOOKUP($A178,'Data shares'!$C:$FB,3)</f>
        <v>1004.1</v>
      </c>
      <c r="D178" s="140">
        <f>VLOOKUP($A178,'Data shares'!$C:$FB,4)</f>
        <v>1006.65</v>
      </c>
      <c r="E178" s="50">
        <f t="shared" si="9"/>
        <v>-0.25331545224258228</v>
      </c>
      <c r="F178" s="49">
        <f>VLOOKUP($A178,'Data shares'!$C:$FB,98)</f>
        <v>18155625</v>
      </c>
      <c r="G178" s="49">
        <f>VLOOKUP($A178,'Data shares'!$C:$FB,99)</f>
        <v>17182725</v>
      </c>
      <c r="H178" s="50">
        <f t="shared" si="10"/>
        <v>5.6620821202690488</v>
      </c>
      <c r="I178" s="49">
        <f>VLOOKUP($A178,'Data shares'!$C:$FB,66)</f>
        <v>10383925</v>
      </c>
      <c r="J178" s="49">
        <f>VLOOKUP($A178,'Data shares'!$C:$FB,67)</f>
        <v>14350850</v>
      </c>
      <c r="K178" s="50">
        <f t="shared" si="11"/>
        <v>-38.20255828118944</v>
      </c>
      <c r="L178" s="50">
        <f>VLOOKUP($A178,'Data shares'!$C:$FB,118)</f>
        <v>0.77</v>
      </c>
      <c r="M178" s="50">
        <f>VLOOKUP($A178,'Data shares'!$C:$FB,119)</f>
        <v>0.81</v>
      </c>
      <c r="N178" s="50">
        <f>VLOOKUP($A178,'Data shares'!$C:$FB,121)*100</f>
        <v>-4.9399999999999995</v>
      </c>
      <c r="O178" s="50">
        <f>VLOOKUP($A178,'Data shares'!$C:$FB,124)</f>
        <v>0.37</v>
      </c>
      <c r="P178" s="50">
        <f>VLOOKUP($A178,'Data shares'!$C:$FB,125)</f>
        <v>0.69</v>
      </c>
      <c r="Q178" s="50">
        <f>VLOOKUP($A178,'Data shares'!$C:$FB,127)*100</f>
        <v>-46.379999999999995</v>
      </c>
    </row>
    <row r="179" spans="1:17" x14ac:dyDescent="0.25">
      <c r="A179" s="97" t="str">
        <f>'Data Vlaue (Cr)'!C174</f>
        <v>PRESTIGE</v>
      </c>
      <c r="B179" s="140">
        <f>VLOOKUP($A179,'Data shares'!$C:$FB,7)</f>
        <v>1373.8</v>
      </c>
      <c r="C179" s="140">
        <f>VLOOKUP($A179,'Data shares'!$C:$FB,3)</f>
        <v>1372.2</v>
      </c>
      <c r="D179" s="140">
        <f>VLOOKUP($A179,'Data shares'!$C:$FB,4)</f>
        <v>1357.6</v>
      </c>
      <c r="E179" s="50">
        <f t="shared" si="9"/>
        <v>1.0754272245138581</v>
      </c>
      <c r="F179" s="49">
        <f>VLOOKUP($A179,'Data shares'!$C:$FB,98)</f>
        <v>10229850</v>
      </c>
      <c r="G179" s="49">
        <f>VLOOKUP($A179,'Data shares'!$C:$FB,99)</f>
        <v>10787850</v>
      </c>
      <c r="H179" s="50">
        <f t="shared" si="10"/>
        <v>-5.1724857130938977</v>
      </c>
      <c r="I179" s="49">
        <f>VLOOKUP($A179,'Data shares'!$C:$FB,66)</f>
        <v>5150250</v>
      </c>
      <c r="J179" s="49">
        <f>VLOOKUP($A179,'Data shares'!$C:$FB,67)</f>
        <v>4607550</v>
      </c>
      <c r="K179" s="50">
        <f t="shared" si="11"/>
        <v>10.53735255570118</v>
      </c>
      <c r="L179" s="50">
        <f>VLOOKUP($A179,'Data shares'!$C:$FB,118)</f>
        <v>0.64</v>
      </c>
      <c r="M179" s="50">
        <f>VLOOKUP($A179,'Data shares'!$C:$FB,119)</f>
        <v>0.74</v>
      </c>
      <c r="N179" s="50">
        <f>VLOOKUP($A179,'Data shares'!$C:$FB,121)*100</f>
        <v>-13.51</v>
      </c>
      <c r="O179" s="50">
        <f>VLOOKUP($A179,'Data shares'!$C:$FB,124)</f>
        <v>0.64</v>
      </c>
      <c r="P179" s="50">
        <f>VLOOKUP($A179,'Data shares'!$C:$FB,125)</f>
        <v>0.43</v>
      </c>
      <c r="Q179" s="50">
        <f>VLOOKUP($A179,'Data shares'!$C:$FB,127)*100</f>
        <v>48.84</v>
      </c>
    </row>
    <row r="180" spans="1:17" x14ac:dyDescent="0.25">
      <c r="A180" s="97" t="str">
        <f>'Data Vlaue (Cr)'!C175</f>
        <v>RBLBANK</v>
      </c>
      <c r="B180" s="140">
        <f>VLOOKUP($A180,'Data shares'!$C:$FB,7)</f>
        <v>317.5</v>
      </c>
      <c r="C180" s="140">
        <f>VLOOKUP($A180,'Data shares'!$C:$FB,3)</f>
        <v>317.35000000000002</v>
      </c>
      <c r="D180" s="140">
        <f>VLOOKUP($A180,'Data shares'!$C:$FB,4)</f>
        <v>316.64999999999998</v>
      </c>
      <c r="E180" s="50">
        <f t="shared" si="9"/>
        <v>0.2210642665403586</v>
      </c>
      <c r="F180" s="49">
        <f>VLOOKUP($A180,'Data shares'!$C:$FB,98)</f>
        <v>115608100</v>
      </c>
      <c r="G180" s="49">
        <f>VLOOKUP($A180,'Data shares'!$C:$FB,99)</f>
        <v>119948325</v>
      </c>
      <c r="H180" s="50">
        <f t="shared" si="10"/>
        <v>-3.6184123454829402</v>
      </c>
      <c r="I180" s="49">
        <f>VLOOKUP($A180,'Data shares'!$C:$FB,66)</f>
        <v>37277675</v>
      </c>
      <c r="J180" s="49">
        <f>VLOOKUP($A180,'Data shares'!$C:$FB,67)</f>
        <v>55679975</v>
      </c>
      <c r="K180" s="50">
        <f t="shared" si="11"/>
        <v>-49.365471424921218</v>
      </c>
      <c r="L180" s="50">
        <f>VLOOKUP($A180,'Data shares'!$C:$FB,118)</f>
        <v>0.91</v>
      </c>
      <c r="M180" s="50">
        <f>VLOOKUP($A180,'Data shares'!$C:$FB,119)</f>
        <v>0.9</v>
      </c>
      <c r="N180" s="50">
        <f>VLOOKUP($A180,'Data shares'!$C:$FB,121)*100</f>
        <v>1.1100000000000001</v>
      </c>
      <c r="O180" s="50">
        <f>VLOOKUP($A180,'Data shares'!$C:$FB,124)</f>
        <v>0.47</v>
      </c>
      <c r="P180" s="50">
        <f>VLOOKUP($A180,'Data shares'!$C:$FB,125)</f>
        <v>0.39</v>
      </c>
      <c r="Q180" s="50">
        <f>VLOOKUP($A180,'Data shares'!$C:$FB,127)*100</f>
        <v>20.51</v>
      </c>
    </row>
    <row r="181" spans="1:17" x14ac:dyDescent="0.25">
      <c r="A181" s="97" t="str">
        <f>'Data Vlaue (Cr)'!C176</f>
        <v>RECLTD</v>
      </c>
      <c r="B181" s="140">
        <f>VLOOKUP($A181,'Data shares'!$C:$FB,7)</f>
        <v>382.7</v>
      </c>
      <c r="C181" s="140">
        <f>VLOOKUP($A181,'Data shares'!$C:$FB,3)</f>
        <v>382.2</v>
      </c>
      <c r="D181" s="140">
        <f>VLOOKUP($A181,'Data shares'!$C:$FB,4)</f>
        <v>374.45</v>
      </c>
      <c r="E181" s="50">
        <f t="shared" si="9"/>
        <v>2.0697022299372416</v>
      </c>
      <c r="F181" s="49">
        <f>VLOOKUP($A181,'Data shares'!$C:$FB,98)</f>
        <v>120162000</v>
      </c>
      <c r="G181" s="49">
        <f>VLOOKUP($A181,'Data shares'!$C:$FB,99)</f>
        <v>119600600</v>
      </c>
      <c r="H181" s="50">
        <f t="shared" si="10"/>
        <v>0.46939563848341898</v>
      </c>
      <c r="I181" s="49">
        <f>VLOOKUP($A181,'Data shares'!$C:$FB,66)</f>
        <v>112973000</v>
      </c>
      <c r="J181" s="49">
        <f>VLOOKUP($A181,'Data shares'!$C:$FB,67)</f>
        <v>102711000</v>
      </c>
      <c r="K181" s="50">
        <f t="shared" si="11"/>
        <v>9.0835863436396309</v>
      </c>
      <c r="L181" s="50">
        <f>VLOOKUP($A181,'Data shares'!$C:$FB,118)</f>
        <v>0.91</v>
      </c>
      <c r="M181" s="50">
        <f>VLOOKUP($A181,'Data shares'!$C:$FB,119)</f>
        <v>0.92</v>
      </c>
      <c r="N181" s="50">
        <f>VLOOKUP($A181,'Data shares'!$C:$FB,121)*100</f>
        <v>-1.0900000000000001</v>
      </c>
      <c r="O181" s="50">
        <f>VLOOKUP($A181,'Data shares'!$C:$FB,124)</f>
        <v>0.57999999999999996</v>
      </c>
      <c r="P181" s="50">
        <f>VLOOKUP($A181,'Data shares'!$C:$FB,125)</f>
        <v>0.59</v>
      </c>
      <c r="Q181" s="50">
        <f>VLOOKUP($A181,'Data shares'!$C:$FB,127)*100</f>
        <v>-1.69</v>
      </c>
    </row>
    <row r="182" spans="1:17" x14ac:dyDescent="0.25">
      <c r="A182" s="97" t="str">
        <f>'Data Vlaue (Cr)'!C177</f>
        <v>RELIANCE</v>
      </c>
      <c r="B182" s="140">
        <f>VLOOKUP($A182,'Data shares'!$C:$FB,7)</f>
        <v>1363.3</v>
      </c>
      <c r="C182" s="140">
        <f>VLOOKUP($A182,'Data shares'!$C:$FB,3)</f>
        <v>1362.4</v>
      </c>
      <c r="D182" s="140">
        <f>VLOOKUP($A182,'Data shares'!$C:$FB,4)</f>
        <v>1366.3</v>
      </c>
      <c r="E182" s="50">
        <f t="shared" si="9"/>
        <v>-0.28544243577544198</v>
      </c>
      <c r="F182" s="49">
        <f>VLOOKUP($A182,'Data shares'!$C:$FB,98)</f>
        <v>212150500</v>
      </c>
      <c r="G182" s="49">
        <f>VLOOKUP($A182,'Data shares'!$C:$FB,99)</f>
        <v>214571500</v>
      </c>
      <c r="H182" s="50">
        <f t="shared" si="10"/>
        <v>-1.1282952302612417</v>
      </c>
      <c r="I182" s="49">
        <f>VLOOKUP($A182,'Data shares'!$C:$FB,66)</f>
        <v>122712000</v>
      </c>
      <c r="J182" s="49">
        <f>VLOOKUP($A182,'Data shares'!$C:$FB,67)</f>
        <v>166007000</v>
      </c>
      <c r="K182" s="50">
        <f t="shared" si="11"/>
        <v>-35.281798031162396</v>
      </c>
      <c r="L182" s="50">
        <f>VLOOKUP($A182,'Data shares'!$C:$FB,118)</f>
        <v>0.49</v>
      </c>
      <c r="M182" s="50">
        <f>VLOOKUP($A182,'Data shares'!$C:$FB,119)</f>
        <v>0.48</v>
      </c>
      <c r="N182" s="50">
        <f>VLOOKUP($A182,'Data shares'!$C:$FB,121)*100</f>
        <v>2.08</v>
      </c>
      <c r="O182" s="50">
        <f>VLOOKUP($A182,'Data shares'!$C:$FB,124)</f>
        <v>0.53</v>
      </c>
      <c r="P182" s="50">
        <f>VLOOKUP($A182,'Data shares'!$C:$FB,125)</f>
        <v>0.48</v>
      </c>
      <c r="Q182" s="50">
        <f>VLOOKUP($A182,'Data shares'!$C:$FB,127)*100</f>
        <v>10.42</v>
      </c>
    </row>
    <row r="183" spans="1:17" x14ac:dyDescent="0.25">
      <c r="A183" s="97" t="str">
        <f>'Data Vlaue (Cr)'!C178</f>
        <v>RVNL</v>
      </c>
      <c r="B183" s="140">
        <f>VLOOKUP($A183,'Data shares'!$C:$FB,7)</f>
        <v>296.33</v>
      </c>
      <c r="C183" s="140">
        <f>VLOOKUP($A183,'Data shares'!$C:$FB,3)</f>
        <v>294.82</v>
      </c>
      <c r="D183" s="140">
        <f>VLOOKUP($A183,'Data shares'!$C:$FB,4)</f>
        <v>299.66000000000003</v>
      </c>
      <c r="E183" s="50">
        <f>(C183-D183)/D183*100</f>
        <v>-1.6151638523660254</v>
      </c>
      <c r="F183" s="49">
        <f>VLOOKUP($A183,'Data shares'!$C:$FB,98)</f>
        <v>108791975</v>
      </c>
      <c r="G183" s="49">
        <f>VLOOKUP($A183,'Data shares'!$C:$FB,99)</f>
        <v>106646300</v>
      </c>
      <c r="H183" s="50">
        <f>(F183-G183)/G183*100</f>
        <v>2.0119544700566263</v>
      </c>
      <c r="I183" s="49">
        <f>VLOOKUP($A183,'Data shares'!$C:$FB,66)</f>
        <v>45483125</v>
      </c>
      <c r="J183" s="49">
        <f>VLOOKUP($A183,'Data shares'!$C:$FB,67)</f>
        <v>180646925</v>
      </c>
      <c r="K183" s="50">
        <f>(I183-J183)/I183*100</f>
        <v>-297.17351215423304</v>
      </c>
      <c r="L183" s="50">
        <f>VLOOKUP($A183,'Data shares'!$C:$FB,118)</f>
        <v>0.66</v>
      </c>
      <c r="M183" s="50">
        <f>VLOOKUP($A183,'Data shares'!$C:$FB,119)</f>
        <v>0.66</v>
      </c>
      <c r="N183" s="50">
        <f>VLOOKUP($A183,'Data shares'!$C:$FB,121)*100</f>
        <v>0</v>
      </c>
      <c r="O183" s="50">
        <f>VLOOKUP($A183,'Data shares'!$C:$FB,124)</f>
        <v>0.45</v>
      </c>
      <c r="P183" s="50">
        <f>VLOOKUP($A183,'Data shares'!$C:$FB,125)</f>
        <v>0.3</v>
      </c>
      <c r="Q183" s="50">
        <f>VLOOKUP($A183,'Data shares'!$C:$FB,127)*100</f>
        <v>50</v>
      </c>
    </row>
    <row r="184" spans="1:17" x14ac:dyDescent="0.25">
      <c r="A184" s="97" t="str">
        <f>'Data Vlaue (Cr)'!C179</f>
        <v>SAIL</v>
      </c>
      <c r="B184" s="140">
        <f>VLOOKUP($A184,'Data shares'!$C:$FB,7)</f>
        <v>172.71</v>
      </c>
      <c r="C184" s="140">
        <f>VLOOKUP($A184,'Data shares'!$C:$FB,3)</f>
        <v>172.69</v>
      </c>
      <c r="D184" s="140">
        <f>VLOOKUP($A184,'Data shares'!$C:$FB,4)</f>
        <v>173.23</v>
      </c>
      <c r="E184" s="50">
        <f t="shared" ref="E184:E188" si="12">(C184-D184)/D184*100</f>
        <v>-0.31172429717715872</v>
      </c>
      <c r="F184" s="49">
        <f>VLOOKUP($A184,'Data shares'!$C:$FB,98)</f>
        <v>218089400</v>
      </c>
      <c r="G184" s="49">
        <f>VLOOKUP($A184,'Data shares'!$C:$FB,99)</f>
        <v>219584000</v>
      </c>
      <c r="H184" s="50">
        <f t="shared" ref="H184:H188" si="13">(F184-G184)/G184*100</f>
        <v>-0.68065068493150682</v>
      </c>
      <c r="I184" s="49">
        <f>VLOOKUP($A184,'Data shares'!$C:$FB,66)</f>
        <v>2881100</v>
      </c>
      <c r="J184" s="49">
        <f>VLOOKUP($A184,'Data shares'!$C:$FB,67)</f>
        <v>3149000</v>
      </c>
      <c r="K184" s="50">
        <f t="shared" ref="K184:K188" si="14">(I184-J184)/I184*100</f>
        <v>-9.2985318107667201</v>
      </c>
      <c r="L184" s="50">
        <f>VLOOKUP($A184,'Data shares'!$C:$FB,118)</f>
        <v>0.74</v>
      </c>
      <c r="M184" s="50">
        <f>VLOOKUP($A184,'Data shares'!$C:$FB,119)</f>
        <v>0.74</v>
      </c>
      <c r="N184" s="50">
        <f>VLOOKUP($A184,'Data shares'!$C:$FB,121)*100</f>
        <v>0</v>
      </c>
      <c r="O184" s="50">
        <f>VLOOKUP($A184,'Data shares'!$C:$FB,124)</f>
        <v>3.71</v>
      </c>
      <c r="P184" s="50">
        <f>VLOOKUP($A184,'Data shares'!$C:$FB,125)</f>
        <v>0.53</v>
      </c>
      <c r="Q184" s="50">
        <f>VLOOKUP($A184,'Data shares'!$C:$FB,127)*100</f>
        <v>600</v>
      </c>
    </row>
    <row r="185" spans="1:17" x14ac:dyDescent="0.25">
      <c r="A185" s="97" t="str">
        <f>'Data Vlaue (Cr)'!C180</f>
        <v>SAMMAANCAP</v>
      </c>
      <c r="B185" s="140">
        <f>VLOOKUP($A185,'Data shares'!$C:$FB,7)</f>
        <v>152.07</v>
      </c>
      <c r="C185" s="140">
        <f>VLOOKUP($A185,'Data shares'!$C:$FB,3)</f>
        <v>153.02000000000001</v>
      </c>
      <c r="D185" s="140">
        <f>VLOOKUP($A185,'Data shares'!$C:$FB,4)</f>
        <v>154.51</v>
      </c>
      <c r="E185" s="50">
        <f t="shared" si="12"/>
        <v>-0.96433887774252847</v>
      </c>
      <c r="F185" s="49">
        <f>VLOOKUP($A185,'Data shares'!$C:$FB,98)</f>
        <v>133553700</v>
      </c>
      <c r="G185" s="49">
        <f>VLOOKUP($A185,'Data shares'!$C:$FB,99)</f>
        <v>134783500</v>
      </c>
      <c r="H185" s="50">
        <f t="shared" si="13"/>
        <v>-0.91242622427819431</v>
      </c>
      <c r="I185" s="49">
        <f>VLOOKUP($A185,'Data shares'!$C:$FB,66)</f>
        <v>2347800</v>
      </c>
      <c r="J185" s="49">
        <f>VLOOKUP($A185,'Data shares'!$C:$FB,67)</f>
        <v>2171500</v>
      </c>
      <c r="K185" s="50">
        <f t="shared" si="14"/>
        <v>7.5091575091575091</v>
      </c>
      <c r="L185" s="50">
        <f>VLOOKUP($A185,'Data shares'!$C:$FB,118)</f>
        <v>1.08</v>
      </c>
      <c r="M185" s="50">
        <f>VLOOKUP($A185,'Data shares'!$C:$FB,119)</f>
        <v>1.08</v>
      </c>
      <c r="N185" s="50">
        <f>VLOOKUP($A185,'Data shares'!$C:$FB,121)*100</f>
        <v>0</v>
      </c>
      <c r="O185" s="50">
        <f>VLOOKUP($A185,'Data shares'!$C:$FB,124)</f>
        <v>0.36</v>
      </c>
      <c r="P185" s="50">
        <f>VLOOKUP($A185,'Data shares'!$C:$FB,125)</f>
        <v>0.97</v>
      </c>
      <c r="Q185" s="50">
        <f>VLOOKUP($A185,'Data shares'!$C:$FB,127)*100</f>
        <v>-62.89</v>
      </c>
    </row>
    <row r="186" spans="1:17" x14ac:dyDescent="0.25">
      <c r="A186" s="97" t="str">
        <f>'Data Vlaue (Cr)'!C181</f>
        <v>SBICARD</v>
      </c>
      <c r="B186" s="140">
        <f>VLOOKUP($A186,'Data shares'!$C:$FB,7)</f>
        <v>675.3</v>
      </c>
      <c r="C186" s="140">
        <f>VLOOKUP($A186,'Data shares'!$C:$FB,3)</f>
        <v>671.3</v>
      </c>
      <c r="D186" s="140">
        <f>VLOOKUP($A186,'Data shares'!$C:$FB,4)</f>
        <v>696.1</v>
      </c>
      <c r="E186" s="50">
        <f t="shared" si="12"/>
        <v>-3.5627065076856868</v>
      </c>
      <c r="F186" s="49">
        <f>VLOOKUP($A186,'Data shares'!$C:$FB,98)</f>
        <v>44878400</v>
      </c>
      <c r="G186" s="49">
        <f>VLOOKUP($A186,'Data shares'!$C:$FB,99)</f>
        <v>41009600</v>
      </c>
      <c r="H186" s="50">
        <f t="shared" si="13"/>
        <v>9.4338886504623307</v>
      </c>
      <c r="I186" s="49">
        <f>VLOOKUP($A186,'Data shares'!$C:$FB,66)</f>
        <v>22430400</v>
      </c>
      <c r="J186" s="49">
        <f>VLOOKUP($A186,'Data shares'!$C:$FB,67)</f>
        <v>12296000</v>
      </c>
      <c r="K186" s="50">
        <f t="shared" si="14"/>
        <v>45.181539339467861</v>
      </c>
      <c r="L186" s="50">
        <f>VLOOKUP($A186,'Data shares'!$C:$FB,118)</f>
        <v>0.79</v>
      </c>
      <c r="M186" s="50">
        <f>VLOOKUP($A186,'Data shares'!$C:$FB,119)</f>
        <v>0.74</v>
      </c>
      <c r="N186" s="50">
        <f>VLOOKUP($A186,'Data shares'!$C:$FB,121)*100</f>
        <v>6.76</v>
      </c>
      <c r="O186" s="50">
        <f>VLOOKUP($A186,'Data shares'!$C:$FB,124)</f>
        <v>0.6</v>
      </c>
      <c r="P186" s="50">
        <f>VLOOKUP($A186,'Data shares'!$C:$FB,125)</f>
        <v>0.56999999999999995</v>
      </c>
      <c r="Q186" s="50">
        <f>VLOOKUP($A186,'Data shares'!$C:$FB,127)*100</f>
        <v>5.26</v>
      </c>
    </row>
    <row r="187" spans="1:17" x14ac:dyDescent="0.25">
      <c r="A187" s="97" t="str">
        <f>'Data Vlaue (Cr)'!C182</f>
        <v>SBILIFE</v>
      </c>
      <c r="B187" s="140">
        <f>VLOOKUP($A187,'Data shares'!$C:$FB,7)</f>
        <v>1982.5</v>
      </c>
      <c r="C187" s="140">
        <f>VLOOKUP($A187,'Data shares'!$C:$FB,3)</f>
        <v>1984.3</v>
      </c>
      <c r="D187" s="140">
        <f>VLOOKUP($A187,'Data shares'!$C:$FB,4)</f>
        <v>1970.4</v>
      </c>
      <c r="E187" s="50">
        <f t="shared" si="12"/>
        <v>0.70544051969142618</v>
      </c>
      <c r="F187" s="49">
        <f>VLOOKUP($A187,'Data shares'!$C:$FB,98)</f>
        <v>16702125</v>
      </c>
      <c r="G187" s="49">
        <f>VLOOKUP($A187,'Data shares'!$C:$FB,99)</f>
        <v>16536375</v>
      </c>
      <c r="H187" s="50">
        <f t="shared" si="13"/>
        <v>1.0023357598022542</v>
      </c>
      <c r="I187" s="49">
        <f>VLOOKUP($A187,'Data shares'!$C:$FB,66)</f>
        <v>5401500</v>
      </c>
      <c r="J187" s="49">
        <f>VLOOKUP($A187,'Data shares'!$C:$FB,67)</f>
        <v>4383000</v>
      </c>
      <c r="K187" s="50">
        <f t="shared" si="14"/>
        <v>18.855873368508746</v>
      </c>
      <c r="L187" s="50">
        <f>VLOOKUP($A187,'Data shares'!$C:$FB,118)</f>
        <v>0.62</v>
      </c>
      <c r="M187" s="50">
        <f>VLOOKUP($A187,'Data shares'!$C:$FB,119)</f>
        <v>0.61</v>
      </c>
      <c r="N187" s="50">
        <f>VLOOKUP($A187,'Data shares'!$C:$FB,121)*100</f>
        <v>1.6400000000000001</v>
      </c>
      <c r="O187" s="50">
        <f>VLOOKUP($A187,'Data shares'!$C:$FB,124)</f>
        <v>0.35</v>
      </c>
      <c r="P187" s="50">
        <f>VLOOKUP($A187,'Data shares'!$C:$FB,125)</f>
        <v>0.44</v>
      </c>
      <c r="Q187" s="50">
        <f>VLOOKUP($A187,'Data shares'!$C:$FB,127)*100</f>
        <v>-20.45</v>
      </c>
    </row>
    <row r="188" spans="1:17" x14ac:dyDescent="0.25">
      <c r="A188" s="97" t="str">
        <f>'Data Vlaue (Cr)'!C183</f>
        <v>SBIN</v>
      </c>
      <c r="B188" s="140">
        <f>VLOOKUP($A188,'Data shares'!$C:$FB,7)</f>
        <v>1107.8499999999999</v>
      </c>
      <c r="C188" s="140">
        <f>VLOOKUP($A188,'Data shares'!$C:$FB,3)</f>
        <v>1106.3</v>
      </c>
      <c r="D188" s="140">
        <f>VLOOKUP($A188,'Data shares'!$C:$FB,4)</f>
        <v>1082.8</v>
      </c>
      <c r="E188" s="50">
        <f t="shared" si="12"/>
        <v>2.1702992242334687</v>
      </c>
      <c r="F188" s="49">
        <f>VLOOKUP($A188,'Data shares'!$C:$FB,98)</f>
        <v>163468500</v>
      </c>
      <c r="G188" s="49">
        <f>VLOOKUP($A188,'Data shares'!$C:$FB,99)</f>
        <v>161564250</v>
      </c>
      <c r="H188" s="50">
        <f t="shared" si="13"/>
        <v>1.1786332681889713</v>
      </c>
      <c r="I188" s="49">
        <f>VLOOKUP($A188,'Data shares'!$C:$FB,66)</f>
        <v>315898500</v>
      </c>
      <c r="J188" s="49">
        <f>VLOOKUP($A188,'Data shares'!$C:$FB,67)</f>
        <v>104343750</v>
      </c>
      <c r="K188" s="50">
        <f t="shared" si="14"/>
        <v>66.969216378045488</v>
      </c>
      <c r="L188" s="50">
        <f>VLOOKUP($A188,'Data shares'!$C:$FB,118)</f>
        <v>0.89</v>
      </c>
      <c r="M188" s="50">
        <f>VLOOKUP($A188,'Data shares'!$C:$FB,119)</f>
        <v>0.81</v>
      </c>
      <c r="N188" s="50">
        <f>VLOOKUP($A188,'Data shares'!$C:$FB,121)*100</f>
        <v>9.879999999999999</v>
      </c>
      <c r="O188" s="50">
        <f>VLOOKUP($A188,'Data shares'!$C:$FB,124)</f>
        <v>0.55000000000000004</v>
      </c>
      <c r="P188" s="50">
        <f>VLOOKUP($A188,'Data shares'!$C:$FB,125)</f>
        <v>0.62</v>
      </c>
      <c r="Q188" s="50">
        <f>VLOOKUP($A188,'Data shares'!$C:$FB,127)*100</f>
        <v>-11.29</v>
      </c>
    </row>
    <row r="189" spans="1:17" x14ac:dyDescent="0.25">
      <c r="A189" s="97" t="str">
        <f>'Data Vlaue (Cr)'!C184</f>
        <v>SHREECEM</v>
      </c>
      <c r="B189" s="140">
        <f>VLOOKUP($A189,'Data shares'!$C:$FB,7)</f>
        <v>25490</v>
      </c>
      <c r="C189" s="140">
        <f>VLOOKUP($A189,'Data shares'!$C:$FB,3)</f>
        <v>25365</v>
      </c>
      <c r="D189" s="140">
        <f>VLOOKUP($A189,'Data shares'!$C:$FB,4)</f>
        <v>25280</v>
      </c>
      <c r="E189" s="50">
        <f t="shared" ref="E189:E209" si="15">(C189-D189)/D189*100</f>
        <v>0.33623417721518989</v>
      </c>
      <c r="F189" s="49">
        <f>VLOOKUP($A189,'Data shares'!$C:$FB,98)</f>
        <v>509150</v>
      </c>
      <c r="G189" s="49">
        <f>VLOOKUP($A189,'Data shares'!$C:$FB,99)</f>
        <v>482900</v>
      </c>
      <c r="H189" s="50">
        <f t="shared" ref="H189:H209" si="16">(F189-G189)/G189*100</f>
        <v>5.4359080554980332</v>
      </c>
      <c r="I189" s="49">
        <f>VLOOKUP($A189,'Data shares'!$C:$FB,66)</f>
        <v>104350</v>
      </c>
      <c r="J189" s="49">
        <f>VLOOKUP($A189,'Data shares'!$C:$FB,67)</f>
        <v>64625</v>
      </c>
      <c r="K189" s="50">
        <f t="shared" ref="K189:K209" si="17">(I189-J189)/I189*100</f>
        <v>38.068998562529949</v>
      </c>
      <c r="L189" s="50">
        <f>VLOOKUP($A189,'Data shares'!$C:$FB,118)</f>
        <v>0.89</v>
      </c>
      <c r="M189" s="50">
        <f>VLOOKUP($A189,'Data shares'!$C:$FB,119)</f>
        <v>0.85</v>
      </c>
      <c r="N189" s="50">
        <f>VLOOKUP($A189,'Data shares'!$C:$FB,121)*100</f>
        <v>4.71</v>
      </c>
      <c r="O189" s="50">
        <f>VLOOKUP($A189,'Data shares'!$C:$FB,124)</f>
        <v>0.38</v>
      </c>
      <c r="P189" s="50">
        <f>VLOOKUP($A189,'Data shares'!$C:$FB,125)</f>
        <v>0.2</v>
      </c>
      <c r="Q189" s="50">
        <f>VLOOKUP($A189,'Data shares'!$C:$FB,127)*100</f>
        <v>90</v>
      </c>
    </row>
    <row r="190" spans="1:17" x14ac:dyDescent="0.25">
      <c r="A190" s="97" t="str">
        <f>'Data Vlaue (Cr)'!C185</f>
        <v>SHRIRAMFIN</v>
      </c>
      <c r="B190" s="140">
        <f>VLOOKUP($A190,'Data shares'!$C:$FB,7)</f>
        <v>1045.1500000000001</v>
      </c>
      <c r="C190" s="140">
        <f>VLOOKUP($A190,'Data shares'!$C:$FB,3)</f>
        <v>1043.9000000000001</v>
      </c>
      <c r="D190" s="140">
        <f>VLOOKUP($A190,'Data shares'!$C:$FB,4)</f>
        <v>1036.7</v>
      </c>
      <c r="E190" s="50">
        <f t="shared" si="15"/>
        <v>0.69451143050063135</v>
      </c>
      <c r="F190" s="49">
        <f>VLOOKUP($A190,'Data shares'!$C:$FB,98)</f>
        <v>64325250</v>
      </c>
      <c r="G190" s="49">
        <f>VLOOKUP($A190,'Data shares'!$C:$FB,99)</f>
        <v>64866450</v>
      </c>
      <c r="H190" s="50">
        <f t="shared" si="16"/>
        <v>-0.83432961107012948</v>
      </c>
      <c r="I190" s="49">
        <f>VLOOKUP($A190,'Data shares'!$C:$FB,66)</f>
        <v>30798075</v>
      </c>
      <c r="J190" s="49">
        <f>VLOOKUP($A190,'Data shares'!$C:$FB,67)</f>
        <v>25090725</v>
      </c>
      <c r="K190" s="50">
        <f t="shared" si="17"/>
        <v>18.531515362567301</v>
      </c>
      <c r="L190" s="50">
        <f>VLOOKUP($A190,'Data shares'!$C:$FB,118)</f>
        <v>0.73</v>
      </c>
      <c r="M190" s="50">
        <f>VLOOKUP($A190,'Data shares'!$C:$FB,119)</f>
        <v>0.73</v>
      </c>
      <c r="N190" s="50">
        <f>VLOOKUP($A190,'Data shares'!$C:$FB,121)*100</f>
        <v>0</v>
      </c>
      <c r="O190" s="50">
        <f>VLOOKUP($A190,'Data shares'!$C:$FB,124)</f>
        <v>0.47</v>
      </c>
      <c r="P190" s="50">
        <f>VLOOKUP($A190,'Data shares'!$C:$FB,125)</f>
        <v>0.45</v>
      </c>
      <c r="Q190" s="50">
        <f>VLOOKUP($A190,'Data shares'!$C:$FB,127)*100</f>
        <v>4.4400000000000004</v>
      </c>
    </row>
    <row r="191" spans="1:17" x14ac:dyDescent="0.25">
      <c r="A191" s="97" t="str">
        <f>'Data Vlaue (Cr)'!C186</f>
        <v>SIEMENS</v>
      </c>
      <c r="B191" s="140">
        <f>VLOOKUP($A191,'Data shares'!$C:$FB,7)</f>
        <v>3709</v>
      </c>
      <c r="C191" s="140">
        <f>VLOOKUP($A191,'Data shares'!$C:$FB,3)</f>
        <v>3708.5</v>
      </c>
      <c r="D191" s="140">
        <f>VLOOKUP($A191,'Data shares'!$C:$FB,4)</f>
        <v>3708.6</v>
      </c>
      <c r="E191" s="50">
        <f t="shared" si="15"/>
        <v>-2.6964353125144007E-3</v>
      </c>
      <c r="F191" s="49">
        <f>VLOOKUP($A191,'Data shares'!$C:$FB,98)</f>
        <v>6333950</v>
      </c>
      <c r="G191" s="49">
        <f>VLOOKUP($A191,'Data shares'!$C:$FB,99)</f>
        <v>6184500</v>
      </c>
      <c r="H191" s="50">
        <f t="shared" si="16"/>
        <v>2.4165251839275608</v>
      </c>
      <c r="I191" s="49">
        <f>VLOOKUP($A191,'Data shares'!$C:$FB,66)</f>
        <v>7551075</v>
      </c>
      <c r="J191" s="49">
        <f>VLOOKUP($A191,'Data shares'!$C:$FB,67)</f>
        <v>14361900</v>
      </c>
      <c r="K191" s="50">
        <f t="shared" si="17"/>
        <v>-90.196760063964405</v>
      </c>
      <c r="L191" s="50">
        <f>VLOOKUP($A191,'Data shares'!$C:$FB,118)</f>
        <v>0.89</v>
      </c>
      <c r="M191" s="50">
        <f>VLOOKUP($A191,'Data shares'!$C:$FB,119)</f>
        <v>0.95</v>
      </c>
      <c r="N191" s="50">
        <f>VLOOKUP($A191,'Data shares'!$C:$FB,121)*100</f>
        <v>-6.32</v>
      </c>
      <c r="O191" s="50">
        <f>VLOOKUP($A191,'Data shares'!$C:$FB,124)</f>
        <v>0.53</v>
      </c>
      <c r="P191" s="50">
        <f>VLOOKUP($A191,'Data shares'!$C:$FB,125)</f>
        <v>0.46</v>
      </c>
      <c r="Q191" s="50">
        <f>VLOOKUP($A191,'Data shares'!$C:$FB,127)*100</f>
        <v>15.22</v>
      </c>
    </row>
    <row r="192" spans="1:17" x14ac:dyDescent="0.25">
      <c r="A192" s="97" t="str">
        <f>'Data Vlaue (Cr)'!C187</f>
        <v>SOLARINDS</v>
      </c>
      <c r="B192" s="140">
        <f>VLOOKUP($A192,'Data shares'!$C:$FB,7)</f>
        <v>14907</v>
      </c>
      <c r="C192" s="140">
        <f>VLOOKUP($A192,'Data shares'!$C:$FB,3)</f>
        <v>14937</v>
      </c>
      <c r="D192" s="140">
        <f>VLOOKUP($A192,'Data shares'!$C:$FB,4)</f>
        <v>15140</v>
      </c>
      <c r="E192" s="50">
        <f t="shared" si="15"/>
        <v>-1.3408190224570673</v>
      </c>
      <c r="F192" s="49">
        <f>VLOOKUP($A192,'Data shares'!$C:$FB,98)</f>
        <v>1311950</v>
      </c>
      <c r="G192" s="49">
        <f>VLOOKUP($A192,'Data shares'!$C:$FB,99)</f>
        <v>1317150</v>
      </c>
      <c r="H192" s="50">
        <f t="shared" si="16"/>
        <v>-0.39479178529400599</v>
      </c>
      <c r="I192" s="49">
        <f>VLOOKUP($A192,'Data shares'!$C:$FB,66)</f>
        <v>412550</v>
      </c>
      <c r="J192" s="49">
        <f>VLOOKUP($A192,'Data shares'!$C:$FB,67)</f>
        <v>1286750</v>
      </c>
      <c r="K192" s="50">
        <f t="shared" si="17"/>
        <v>-211.90158768634103</v>
      </c>
      <c r="L192" s="50">
        <f>VLOOKUP($A192,'Data shares'!$C:$FB,118)</f>
        <v>0.69</v>
      </c>
      <c r="M192" s="50">
        <f>VLOOKUP($A192,'Data shares'!$C:$FB,119)</f>
        <v>0.76</v>
      </c>
      <c r="N192" s="50">
        <f>VLOOKUP($A192,'Data shares'!$C:$FB,121)*100</f>
        <v>-9.2100000000000009</v>
      </c>
      <c r="O192" s="50">
        <f>VLOOKUP($A192,'Data shares'!$C:$FB,124)</f>
        <v>1.07</v>
      </c>
      <c r="P192" s="50">
        <f>VLOOKUP($A192,'Data shares'!$C:$FB,125)</f>
        <v>2.71</v>
      </c>
      <c r="Q192" s="50">
        <f>VLOOKUP($A192,'Data shares'!$C:$FB,127)*100</f>
        <v>-60.519999999999996</v>
      </c>
    </row>
    <row r="193" spans="1:17" x14ac:dyDescent="0.25">
      <c r="A193" s="97" t="str">
        <f>'Data Vlaue (Cr)'!C188</f>
        <v>SONACOMS</v>
      </c>
      <c r="B193" s="140">
        <f>VLOOKUP($A193,'Data shares'!$C:$FB,7)</f>
        <v>576.54999999999995</v>
      </c>
      <c r="C193" s="140">
        <f>VLOOKUP($A193,'Data shares'!$C:$FB,3)</f>
        <v>576.54999999999995</v>
      </c>
      <c r="D193" s="140">
        <f>VLOOKUP($A193,'Data shares'!$C:$FB,4)</f>
        <v>594.95000000000005</v>
      </c>
      <c r="E193" s="50">
        <f t="shared" si="15"/>
        <v>-3.0926968652828122</v>
      </c>
      <c r="F193" s="49">
        <f>VLOOKUP($A193,'Data shares'!$C:$FB,98)</f>
        <v>22061025</v>
      </c>
      <c r="G193" s="49">
        <f>VLOOKUP($A193,'Data shares'!$C:$FB,99)</f>
        <v>22351350</v>
      </c>
      <c r="H193" s="50">
        <f t="shared" si="16"/>
        <v>-1.2989148306478131</v>
      </c>
      <c r="I193" s="49">
        <f>VLOOKUP($A193,'Data shares'!$C:$FB,66)</f>
        <v>8823675</v>
      </c>
      <c r="J193" s="49">
        <f>VLOOKUP($A193,'Data shares'!$C:$FB,67)</f>
        <v>17935225</v>
      </c>
      <c r="K193" s="50">
        <f t="shared" si="17"/>
        <v>-103.26252950159656</v>
      </c>
      <c r="L193" s="50">
        <f>VLOOKUP($A193,'Data shares'!$C:$FB,118)</f>
        <v>0.78</v>
      </c>
      <c r="M193" s="50">
        <f>VLOOKUP($A193,'Data shares'!$C:$FB,119)</f>
        <v>0.79</v>
      </c>
      <c r="N193" s="50">
        <f>VLOOKUP($A193,'Data shares'!$C:$FB,121)*100</f>
        <v>-1.27</v>
      </c>
      <c r="O193" s="50">
        <f>VLOOKUP($A193,'Data shares'!$C:$FB,124)</f>
        <v>0.64</v>
      </c>
      <c r="P193" s="50">
        <f>VLOOKUP($A193,'Data shares'!$C:$FB,125)</f>
        <v>0.35</v>
      </c>
      <c r="Q193" s="50">
        <f>VLOOKUP($A193,'Data shares'!$C:$FB,127)*100</f>
        <v>82.86</v>
      </c>
    </row>
    <row r="194" spans="1:17" x14ac:dyDescent="0.25">
      <c r="A194" s="97" t="str">
        <f>'Data Vlaue (Cr)'!C189</f>
        <v>SRF</v>
      </c>
      <c r="B194" s="140">
        <f>VLOOKUP($A194,'Data shares'!$C:$FB,7)</f>
        <v>2465.1</v>
      </c>
      <c r="C194" s="140">
        <f>VLOOKUP($A194,'Data shares'!$C:$FB,3)</f>
        <v>2466.6</v>
      </c>
      <c r="D194" s="140">
        <f>VLOOKUP($A194,'Data shares'!$C:$FB,4)</f>
        <v>2495.3000000000002</v>
      </c>
      <c r="E194" s="50">
        <f t="shared" si="15"/>
        <v>-1.1501623051336622</v>
      </c>
      <c r="F194" s="49">
        <f>VLOOKUP($A194,'Data shares'!$C:$FB,98)</f>
        <v>7515400</v>
      </c>
      <c r="G194" s="49">
        <f>VLOOKUP($A194,'Data shares'!$C:$FB,99)</f>
        <v>7488800</v>
      </c>
      <c r="H194" s="50">
        <f t="shared" si="16"/>
        <v>0.35519709432752911</v>
      </c>
      <c r="I194" s="49">
        <f>VLOOKUP($A194,'Data shares'!$C:$FB,66)</f>
        <v>3030600</v>
      </c>
      <c r="J194" s="49">
        <f>VLOOKUP($A194,'Data shares'!$C:$FB,67)</f>
        <v>4218200</v>
      </c>
      <c r="K194" s="50">
        <f t="shared" si="17"/>
        <v>-39.186959677951563</v>
      </c>
      <c r="L194" s="50">
        <f>VLOOKUP($A194,'Data shares'!$C:$FB,118)</f>
        <v>0.55000000000000004</v>
      </c>
      <c r="M194" s="50">
        <f>VLOOKUP($A194,'Data shares'!$C:$FB,119)</f>
        <v>0.59</v>
      </c>
      <c r="N194" s="50">
        <f>VLOOKUP($A194,'Data shares'!$C:$FB,121)*100</f>
        <v>-6.78</v>
      </c>
      <c r="O194" s="50">
        <f>VLOOKUP($A194,'Data shares'!$C:$FB,124)</f>
        <v>0.33</v>
      </c>
      <c r="P194" s="50">
        <f>VLOOKUP($A194,'Data shares'!$C:$FB,125)</f>
        <v>0.35</v>
      </c>
      <c r="Q194" s="50">
        <f>VLOOKUP($A194,'Data shares'!$C:$FB,127)*100</f>
        <v>-5.71</v>
      </c>
    </row>
    <row r="195" spans="1:17" x14ac:dyDescent="0.25">
      <c r="A195" s="97" t="str">
        <f>'Data Vlaue (Cr)'!C190</f>
        <v>SUNPHARMA</v>
      </c>
      <c r="B195" s="140">
        <f>VLOOKUP($A195,'Data shares'!$C:$FB,7)</f>
        <v>1668.6</v>
      </c>
      <c r="C195" s="140">
        <f>VLOOKUP($A195,'Data shares'!$C:$FB,3)</f>
        <v>1667.3</v>
      </c>
      <c r="D195" s="140">
        <f>VLOOKUP($A195,'Data shares'!$C:$FB,4)</f>
        <v>1674.9</v>
      </c>
      <c r="E195" s="50">
        <f t="shared" si="15"/>
        <v>-0.45375843333931193</v>
      </c>
      <c r="F195" s="49">
        <f>VLOOKUP($A195,'Data shares'!$C:$FB,98)</f>
        <v>32531800</v>
      </c>
      <c r="G195" s="49">
        <f>VLOOKUP($A195,'Data shares'!$C:$FB,99)</f>
        <v>32741800</v>
      </c>
      <c r="H195" s="50">
        <f t="shared" si="16"/>
        <v>-0.64138196433916272</v>
      </c>
      <c r="I195" s="49">
        <f>VLOOKUP($A195,'Data shares'!$C:$FB,66)</f>
        <v>12007800</v>
      </c>
      <c r="J195" s="49">
        <f>VLOOKUP($A195,'Data shares'!$C:$FB,67)</f>
        <v>19776050</v>
      </c>
      <c r="K195" s="50">
        <f t="shared" si="17"/>
        <v>-64.693365978780463</v>
      </c>
      <c r="L195" s="50">
        <f>VLOOKUP($A195,'Data shares'!$C:$FB,118)</f>
        <v>0.66</v>
      </c>
      <c r="M195" s="50">
        <f>VLOOKUP($A195,'Data shares'!$C:$FB,119)</f>
        <v>0.71</v>
      </c>
      <c r="N195" s="50">
        <f>VLOOKUP($A195,'Data shares'!$C:$FB,121)*100</f>
        <v>-7.04</v>
      </c>
      <c r="O195" s="50">
        <f>VLOOKUP($A195,'Data shares'!$C:$FB,124)</f>
        <v>0.49</v>
      </c>
      <c r="P195" s="50">
        <f>VLOOKUP($A195,'Data shares'!$C:$FB,125)</f>
        <v>0.74</v>
      </c>
      <c r="Q195" s="50">
        <f>VLOOKUP($A195,'Data shares'!$C:$FB,127)*100</f>
        <v>-33.78</v>
      </c>
    </row>
    <row r="196" spans="1:17" x14ac:dyDescent="0.25">
      <c r="A196" s="97" t="str">
        <f>'Data Vlaue (Cr)'!C191</f>
        <v>SUPREMEIND</v>
      </c>
      <c r="B196" s="140">
        <f>VLOOKUP($A196,'Data shares'!$C:$FB,7)</f>
        <v>3711.8</v>
      </c>
      <c r="C196" s="140">
        <f>VLOOKUP($A196,'Data shares'!$C:$FB,3)</f>
        <v>3715.2</v>
      </c>
      <c r="D196" s="140">
        <f>VLOOKUP($A196,'Data shares'!$C:$FB,4)</f>
        <v>3720.7</v>
      </c>
      <c r="E196" s="50">
        <f t="shared" si="15"/>
        <v>-0.14782164646437501</v>
      </c>
      <c r="F196" s="49">
        <f>VLOOKUP($A196,'Data shares'!$C:$FB,98)</f>
        <v>3478650</v>
      </c>
      <c r="G196" s="49">
        <f>VLOOKUP($A196,'Data shares'!$C:$FB,99)</f>
        <v>3358075</v>
      </c>
      <c r="H196" s="50">
        <f t="shared" si="16"/>
        <v>3.5905987805513573</v>
      </c>
      <c r="I196" s="49">
        <f>VLOOKUP($A196,'Data shares'!$C:$FB,66)</f>
        <v>1409275</v>
      </c>
      <c r="J196" s="49">
        <f>VLOOKUP($A196,'Data shares'!$C:$FB,67)</f>
        <v>2318050</v>
      </c>
      <c r="K196" s="50">
        <f t="shared" si="17"/>
        <v>-64.485284986961375</v>
      </c>
      <c r="L196" s="50">
        <f>VLOOKUP($A196,'Data shares'!$C:$FB,118)</f>
        <v>0.5</v>
      </c>
      <c r="M196" s="50">
        <f>VLOOKUP($A196,'Data shares'!$C:$FB,119)</f>
        <v>0.52</v>
      </c>
      <c r="N196" s="50">
        <f>VLOOKUP($A196,'Data shares'!$C:$FB,121)*100</f>
        <v>-3.85</v>
      </c>
      <c r="O196" s="50">
        <f>VLOOKUP($A196,'Data shares'!$C:$FB,124)</f>
        <v>0.36</v>
      </c>
      <c r="P196" s="50">
        <f>VLOOKUP($A196,'Data shares'!$C:$FB,125)</f>
        <v>0.42</v>
      </c>
      <c r="Q196" s="50">
        <f>VLOOKUP($A196,'Data shares'!$C:$FB,127)*100</f>
        <v>-14.29</v>
      </c>
    </row>
    <row r="197" spans="1:17" x14ac:dyDescent="0.25">
      <c r="A197" s="97" t="str">
        <f>'Data Vlaue (Cr)'!C192</f>
        <v>SUZLON</v>
      </c>
      <c r="B197" s="140">
        <f>VLOOKUP($A197,'Data shares'!$C:$FB,7)</f>
        <v>52.5</v>
      </c>
      <c r="C197" s="140">
        <f>VLOOKUP($A197,'Data shares'!$C:$FB,3)</f>
        <v>52.44</v>
      </c>
      <c r="D197" s="140">
        <f>VLOOKUP($A197,'Data shares'!$C:$FB,4)</f>
        <v>52.96</v>
      </c>
      <c r="E197" s="50">
        <f t="shared" si="15"/>
        <v>-0.98187311178248327</v>
      </c>
      <c r="F197" s="49">
        <f>VLOOKUP($A197,'Data shares'!$C:$FB,98)</f>
        <v>746367500</v>
      </c>
      <c r="G197" s="49">
        <f>VLOOKUP($A197,'Data shares'!$C:$FB,99)</f>
        <v>709608675</v>
      </c>
      <c r="H197" s="50">
        <f t="shared" si="16"/>
        <v>5.180154399888079</v>
      </c>
      <c r="I197" s="49">
        <f>VLOOKUP($A197,'Data shares'!$C:$FB,66)</f>
        <v>591877550</v>
      </c>
      <c r="J197" s="49">
        <f>VLOOKUP($A197,'Data shares'!$C:$FB,67)</f>
        <v>1120544000</v>
      </c>
      <c r="K197" s="50">
        <f t="shared" si="17"/>
        <v>-89.320240309841111</v>
      </c>
      <c r="L197" s="50">
        <f>VLOOKUP($A197,'Data shares'!$C:$FB,118)</f>
        <v>0.82</v>
      </c>
      <c r="M197" s="50">
        <f>VLOOKUP($A197,'Data shares'!$C:$FB,119)</f>
        <v>0.97</v>
      </c>
      <c r="N197" s="50">
        <f>VLOOKUP($A197,'Data shares'!$C:$FB,121)*100</f>
        <v>-15.459999999999999</v>
      </c>
      <c r="O197" s="50">
        <f>VLOOKUP($A197,'Data shares'!$C:$FB,124)</f>
        <v>0.56000000000000005</v>
      </c>
      <c r="P197" s="50">
        <f>VLOOKUP($A197,'Data shares'!$C:$FB,125)</f>
        <v>0.47</v>
      </c>
      <c r="Q197" s="50">
        <f>VLOOKUP($A197,'Data shares'!$C:$FB,127)*100</f>
        <v>19.149999999999999</v>
      </c>
    </row>
    <row r="198" spans="1:17" x14ac:dyDescent="0.25">
      <c r="A198" s="97" t="str">
        <f>'Data Vlaue (Cr)'!C193</f>
        <v>SWIGGY</v>
      </c>
      <c r="B198" s="140">
        <f>VLOOKUP($A198,'Data shares'!$C:$FB,7)</f>
        <v>279.14999999999998</v>
      </c>
      <c r="C198" s="140">
        <f>VLOOKUP($A198,'Data shares'!$C:$FB,3)</f>
        <v>279.14999999999998</v>
      </c>
      <c r="D198" s="140">
        <f>VLOOKUP($A198,'Data shares'!$C:$FB,4)</f>
        <v>277.45</v>
      </c>
      <c r="E198" s="50">
        <f t="shared" si="15"/>
        <v>0.61272301315551947</v>
      </c>
      <c r="F198" s="49">
        <f>VLOOKUP($A198,'Data shares'!$C:$FB,98)</f>
        <v>69763200</v>
      </c>
      <c r="G198" s="49">
        <f>VLOOKUP($A198,'Data shares'!$C:$FB,99)</f>
        <v>69911400</v>
      </c>
      <c r="H198" s="50">
        <f t="shared" si="16"/>
        <v>-0.21198259511324333</v>
      </c>
      <c r="I198" s="49">
        <f>VLOOKUP($A198,'Data shares'!$C:$FB,66)</f>
        <v>29624400</v>
      </c>
      <c r="J198" s="49">
        <f>VLOOKUP($A198,'Data shares'!$C:$FB,67)</f>
        <v>32104800</v>
      </c>
      <c r="K198" s="50">
        <f t="shared" si="17"/>
        <v>-8.3728278041074251</v>
      </c>
      <c r="L198" s="50">
        <f>VLOOKUP($A198,'Data shares'!$C:$FB,118)</f>
        <v>0.56000000000000005</v>
      </c>
      <c r="M198" s="50">
        <f>VLOOKUP($A198,'Data shares'!$C:$FB,119)</f>
        <v>0.56000000000000005</v>
      </c>
      <c r="N198" s="50">
        <f>VLOOKUP($A198,'Data shares'!$C:$FB,121)*100</f>
        <v>0</v>
      </c>
      <c r="O198" s="50">
        <f>VLOOKUP($A198,'Data shares'!$C:$FB,124)</f>
        <v>0.28000000000000003</v>
      </c>
      <c r="P198" s="50">
        <f>VLOOKUP($A198,'Data shares'!$C:$FB,125)</f>
        <v>0.31</v>
      </c>
      <c r="Q198" s="50">
        <f>VLOOKUP($A198,'Data shares'!$C:$FB,127)*100</f>
        <v>-9.68</v>
      </c>
    </row>
    <row r="199" spans="1:17" x14ac:dyDescent="0.25">
      <c r="A199" s="97" t="str">
        <f>'Data Vlaue (Cr)'!C194</f>
        <v>TATACONSUM</v>
      </c>
      <c r="B199" s="140">
        <f>VLOOKUP($A199,'Data shares'!$C:$FB,7)</f>
        <v>1120.4000000000001</v>
      </c>
      <c r="C199" s="140">
        <f>VLOOKUP($A199,'Data shares'!$C:$FB,3)</f>
        <v>1119.4000000000001</v>
      </c>
      <c r="D199" s="140">
        <f>VLOOKUP($A199,'Data shares'!$C:$FB,4)</f>
        <v>1113.9000000000001</v>
      </c>
      <c r="E199" s="50">
        <f t="shared" si="15"/>
        <v>0.49376066074153868</v>
      </c>
      <c r="F199" s="49">
        <f>VLOOKUP($A199,'Data shares'!$C:$FB,98)</f>
        <v>18013050</v>
      </c>
      <c r="G199" s="49">
        <f>VLOOKUP($A199,'Data shares'!$C:$FB,99)</f>
        <v>18161000</v>
      </c>
      <c r="H199" s="50">
        <f t="shared" si="16"/>
        <v>-0.81465778316172022</v>
      </c>
      <c r="I199" s="49">
        <f>VLOOKUP($A199,'Data shares'!$C:$FB,66)</f>
        <v>4937900</v>
      </c>
      <c r="J199" s="49">
        <f>VLOOKUP($A199,'Data shares'!$C:$FB,67)</f>
        <v>9319750</v>
      </c>
      <c r="K199" s="50">
        <f t="shared" si="17"/>
        <v>-88.739140120294053</v>
      </c>
      <c r="L199" s="50">
        <f>VLOOKUP($A199,'Data shares'!$C:$FB,118)</f>
        <v>1.1299999999999999</v>
      </c>
      <c r="M199" s="50">
        <f>VLOOKUP($A199,'Data shares'!$C:$FB,119)</f>
        <v>1</v>
      </c>
      <c r="N199" s="50">
        <f>VLOOKUP($A199,'Data shares'!$C:$FB,121)*100</f>
        <v>13</v>
      </c>
      <c r="O199" s="50">
        <f>VLOOKUP($A199,'Data shares'!$C:$FB,124)</f>
        <v>0.4</v>
      </c>
      <c r="P199" s="50">
        <f>VLOOKUP($A199,'Data shares'!$C:$FB,125)</f>
        <v>0.24</v>
      </c>
      <c r="Q199" s="50">
        <f>VLOOKUP($A199,'Data shares'!$C:$FB,127)*100</f>
        <v>66.67</v>
      </c>
    </row>
    <row r="200" spans="1:17" x14ac:dyDescent="0.25">
      <c r="A200" s="97" t="str">
        <f>'Data Vlaue (Cr)'!C195</f>
        <v>TATAELXSI</v>
      </c>
      <c r="B200" s="140">
        <f>VLOOKUP($A200,'Data shares'!$C:$FB,7)</f>
        <v>4516.6000000000004</v>
      </c>
      <c r="C200" s="140">
        <f>VLOOKUP($A200,'Data shares'!$C:$FB,3)</f>
        <v>4526.6000000000004</v>
      </c>
      <c r="D200" s="140">
        <f>VLOOKUP($A200,'Data shares'!$C:$FB,4)</f>
        <v>4602</v>
      </c>
      <c r="E200" s="50">
        <f t="shared" si="15"/>
        <v>-1.6384180790960372</v>
      </c>
      <c r="F200" s="49">
        <f>VLOOKUP($A200,'Data shares'!$C:$FB,98)</f>
        <v>3411800</v>
      </c>
      <c r="G200" s="49">
        <f>VLOOKUP($A200,'Data shares'!$C:$FB,99)</f>
        <v>3221500</v>
      </c>
      <c r="H200" s="50">
        <f t="shared" si="16"/>
        <v>5.9071860934347349</v>
      </c>
      <c r="I200" s="49">
        <f>VLOOKUP($A200,'Data shares'!$C:$FB,66)</f>
        <v>3036900</v>
      </c>
      <c r="J200" s="49">
        <f>VLOOKUP($A200,'Data shares'!$C:$FB,67)</f>
        <v>3808100</v>
      </c>
      <c r="K200" s="50">
        <f t="shared" si="17"/>
        <v>-25.394316572820969</v>
      </c>
      <c r="L200" s="50">
        <f>VLOOKUP($A200,'Data shares'!$C:$FB,118)</f>
        <v>0.51</v>
      </c>
      <c r="M200" s="50">
        <f>VLOOKUP($A200,'Data shares'!$C:$FB,119)</f>
        <v>0.55000000000000004</v>
      </c>
      <c r="N200" s="50">
        <f>VLOOKUP($A200,'Data shares'!$C:$FB,121)*100</f>
        <v>-7.2700000000000005</v>
      </c>
      <c r="O200" s="50">
        <f>VLOOKUP($A200,'Data shares'!$C:$FB,124)</f>
        <v>0.56999999999999995</v>
      </c>
      <c r="P200" s="50">
        <f>VLOOKUP($A200,'Data shares'!$C:$FB,125)</f>
        <v>0.42</v>
      </c>
      <c r="Q200" s="50">
        <f>VLOOKUP($A200,'Data shares'!$C:$FB,127)*100</f>
        <v>35.709999999999994</v>
      </c>
    </row>
    <row r="201" spans="1:17" x14ac:dyDescent="0.25">
      <c r="A201" s="97" t="str">
        <f>'Data Vlaue (Cr)'!C196</f>
        <v>TATAPOWER</v>
      </c>
      <c r="B201" s="140">
        <f>VLOOKUP($A201,'Data shares'!$C:$FB,7)</f>
        <v>433.6</v>
      </c>
      <c r="C201" s="140">
        <f>VLOOKUP($A201,'Data shares'!$C:$FB,3)</f>
        <v>433.8</v>
      </c>
      <c r="D201" s="140">
        <f>VLOOKUP($A201,'Data shares'!$C:$FB,4)</f>
        <v>427.95</v>
      </c>
      <c r="E201" s="50">
        <f t="shared" si="15"/>
        <v>1.3669821240799211</v>
      </c>
      <c r="F201" s="49">
        <f>VLOOKUP($A201,'Data shares'!$C:$FB,98)</f>
        <v>124672450</v>
      </c>
      <c r="G201" s="49">
        <f>VLOOKUP($A201,'Data shares'!$C:$FB,99)</f>
        <v>125146600</v>
      </c>
      <c r="H201" s="50">
        <f t="shared" si="16"/>
        <v>-0.37887565463224726</v>
      </c>
      <c r="I201" s="49">
        <f>VLOOKUP($A201,'Data shares'!$C:$FB,66)</f>
        <v>195634000</v>
      </c>
      <c r="J201" s="49">
        <f>VLOOKUP($A201,'Data shares'!$C:$FB,67)</f>
        <v>97145650</v>
      </c>
      <c r="K201" s="50">
        <f t="shared" si="17"/>
        <v>50.343166320782686</v>
      </c>
      <c r="L201" s="50">
        <f>VLOOKUP($A201,'Data shares'!$C:$FB,118)</f>
        <v>0.84</v>
      </c>
      <c r="M201" s="50">
        <f>VLOOKUP($A201,'Data shares'!$C:$FB,119)</f>
        <v>0.86</v>
      </c>
      <c r="N201" s="50">
        <f>VLOOKUP($A201,'Data shares'!$C:$FB,121)*100</f>
        <v>-2.33</v>
      </c>
      <c r="O201" s="50">
        <f>VLOOKUP($A201,'Data shares'!$C:$FB,124)</f>
        <v>0.57999999999999996</v>
      </c>
      <c r="P201" s="50">
        <f>VLOOKUP($A201,'Data shares'!$C:$FB,125)</f>
        <v>0.75</v>
      </c>
      <c r="Q201" s="50">
        <f>VLOOKUP($A201,'Data shares'!$C:$FB,127)*100</f>
        <v>-22.67</v>
      </c>
    </row>
    <row r="202" spans="1:17" x14ac:dyDescent="0.25">
      <c r="A202" s="97" t="str">
        <f>'Data Vlaue (Cr)'!C197</f>
        <v>TATASTEEL</v>
      </c>
      <c r="B202" s="140">
        <f>VLOOKUP($A202,'Data shares'!$C:$FB,7)</f>
        <v>211.72</v>
      </c>
      <c r="C202" s="140">
        <f>VLOOKUP($A202,'Data shares'!$C:$FB,3)</f>
        <v>211.52</v>
      </c>
      <c r="D202" s="140">
        <f>VLOOKUP($A202,'Data shares'!$C:$FB,4)</f>
        <v>212.3</v>
      </c>
      <c r="E202" s="50">
        <f t="shared" si="15"/>
        <v>-0.36740461610927982</v>
      </c>
      <c r="F202" s="49">
        <f>VLOOKUP($A202,'Data shares'!$C:$FB,98)</f>
        <v>399443000</v>
      </c>
      <c r="G202" s="49">
        <f>VLOOKUP($A202,'Data shares'!$C:$FB,99)</f>
        <v>394652500</v>
      </c>
      <c r="H202" s="50">
        <f t="shared" si="16"/>
        <v>1.2138526931921121</v>
      </c>
      <c r="I202" s="49">
        <f>VLOOKUP($A202,'Data shares'!$C:$FB,66)</f>
        <v>210639000</v>
      </c>
      <c r="J202" s="49">
        <f>VLOOKUP($A202,'Data shares'!$C:$FB,67)</f>
        <v>224889500</v>
      </c>
      <c r="K202" s="50">
        <f t="shared" si="17"/>
        <v>-6.7653663376677633</v>
      </c>
      <c r="L202" s="50">
        <f>VLOOKUP($A202,'Data shares'!$C:$FB,118)</f>
        <v>0.85</v>
      </c>
      <c r="M202" s="50">
        <f>VLOOKUP($A202,'Data shares'!$C:$FB,119)</f>
        <v>0.86</v>
      </c>
      <c r="N202" s="50">
        <f>VLOOKUP($A202,'Data shares'!$C:$FB,121)*100</f>
        <v>-1.1599999999999999</v>
      </c>
      <c r="O202" s="50">
        <f>VLOOKUP($A202,'Data shares'!$C:$FB,124)</f>
        <v>0.56000000000000005</v>
      </c>
      <c r="P202" s="50">
        <f>VLOOKUP($A202,'Data shares'!$C:$FB,125)</f>
        <v>0.65</v>
      </c>
      <c r="Q202" s="50">
        <f>VLOOKUP($A202,'Data shares'!$C:$FB,127)*100</f>
        <v>-13.850000000000001</v>
      </c>
    </row>
    <row r="203" spans="1:17" x14ac:dyDescent="0.25">
      <c r="A203" s="97" t="str">
        <f>'Data Vlaue (Cr)'!C198</f>
        <v>TATATECH</v>
      </c>
      <c r="B203" s="140">
        <f>VLOOKUP($A203,'Data shares'!$C:$FB,7)</f>
        <v>576.45000000000005</v>
      </c>
      <c r="C203" s="140">
        <f>VLOOKUP($A203,'Data shares'!$C:$FB,3)</f>
        <v>576.6</v>
      </c>
      <c r="D203" s="140">
        <f>VLOOKUP($A203,'Data shares'!$C:$FB,4)</f>
        <v>590.9</v>
      </c>
      <c r="E203" s="50">
        <f t="shared" si="15"/>
        <v>-2.4200372313420133</v>
      </c>
      <c r="F203" s="49">
        <f>VLOOKUP($A203,'Data shares'!$C:$FB,98)</f>
        <v>10565600</v>
      </c>
      <c r="G203" s="49">
        <f>VLOOKUP($A203,'Data shares'!$C:$FB,99)</f>
        <v>10664000</v>
      </c>
      <c r="H203" s="50">
        <f t="shared" si="16"/>
        <v>-0.9227306826706676</v>
      </c>
      <c r="I203" s="49">
        <f>VLOOKUP($A203,'Data shares'!$C:$FB,66)</f>
        <v>2330400</v>
      </c>
      <c r="J203" s="49">
        <f>VLOOKUP($A203,'Data shares'!$C:$FB,67)</f>
        <v>2275200</v>
      </c>
      <c r="K203" s="50">
        <f t="shared" si="17"/>
        <v>2.368692070030896</v>
      </c>
      <c r="L203" s="50">
        <f>VLOOKUP($A203,'Data shares'!$C:$FB,118)</f>
        <v>0.64</v>
      </c>
      <c r="M203" s="50">
        <f>VLOOKUP($A203,'Data shares'!$C:$FB,119)</f>
        <v>0.66</v>
      </c>
      <c r="N203" s="50">
        <f>VLOOKUP($A203,'Data shares'!$C:$FB,121)*100</f>
        <v>-3.0300000000000002</v>
      </c>
      <c r="O203" s="50">
        <f>VLOOKUP($A203,'Data shares'!$C:$FB,124)</f>
        <v>0.42</v>
      </c>
      <c r="P203" s="50">
        <f>VLOOKUP($A203,'Data shares'!$C:$FB,125)</f>
        <v>0.32</v>
      </c>
      <c r="Q203" s="50">
        <f>VLOOKUP($A203,'Data shares'!$C:$FB,127)*100</f>
        <v>31.25</v>
      </c>
    </row>
    <row r="204" spans="1:17" x14ac:dyDescent="0.25">
      <c r="A204" s="97" t="str">
        <f>'Data Vlaue (Cr)'!C199</f>
        <v>TCS</v>
      </c>
      <c r="B204" s="140">
        <f>VLOOKUP($A204,'Data shares'!$C:$FB,7)</f>
        <v>2579.6</v>
      </c>
      <c r="C204" s="140">
        <f>VLOOKUP($A204,'Data shares'!$C:$FB,3)</f>
        <v>2565</v>
      </c>
      <c r="D204" s="140">
        <f>VLOOKUP($A204,'Data shares'!$C:$FB,4)</f>
        <v>2561.1999999999998</v>
      </c>
      <c r="E204" s="50">
        <f t="shared" si="15"/>
        <v>0.14836795252226231</v>
      </c>
      <c r="F204" s="49">
        <f>VLOOKUP($A204,'Data shares'!$C:$FB,98)</f>
        <v>64308825</v>
      </c>
      <c r="G204" s="49">
        <f>VLOOKUP($A204,'Data shares'!$C:$FB,99)</f>
        <v>65483075</v>
      </c>
      <c r="H204" s="50">
        <f t="shared" si="16"/>
        <v>-1.7932114519667868</v>
      </c>
      <c r="I204" s="49">
        <f>VLOOKUP($A204,'Data shares'!$C:$FB,66)</f>
        <v>28151025</v>
      </c>
      <c r="J204" s="49">
        <f>VLOOKUP($A204,'Data shares'!$C:$FB,67)</f>
        <v>29588825</v>
      </c>
      <c r="K204" s="50">
        <f t="shared" si="17"/>
        <v>-5.1074516824875831</v>
      </c>
      <c r="L204" s="50">
        <f>VLOOKUP($A204,'Data shares'!$C:$FB,118)</f>
        <v>0.68</v>
      </c>
      <c r="M204" s="50">
        <f>VLOOKUP($A204,'Data shares'!$C:$FB,119)</f>
        <v>0.65</v>
      </c>
      <c r="N204" s="50">
        <f>VLOOKUP($A204,'Data shares'!$C:$FB,121)*100</f>
        <v>4.62</v>
      </c>
      <c r="O204" s="50">
        <f>VLOOKUP($A204,'Data shares'!$C:$FB,124)</f>
        <v>0.53</v>
      </c>
      <c r="P204" s="50">
        <f>VLOOKUP($A204,'Data shares'!$C:$FB,125)</f>
        <v>0.57999999999999996</v>
      </c>
      <c r="Q204" s="50">
        <f>VLOOKUP($A204,'Data shares'!$C:$FB,127)*100</f>
        <v>-8.6199999999999992</v>
      </c>
    </row>
    <row r="205" spans="1:17" x14ac:dyDescent="0.25">
      <c r="A205" s="97" t="str">
        <f>'Data Vlaue (Cr)'!C200</f>
        <v>TECHM</v>
      </c>
      <c r="B205" s="140">
        <f>VLOOKUP($A205,'Data shares'!$C:$FB,7)</f>
        <v>1504.4</v>
      </c>
      <c r="C205" s="140">
        <f>VLOOKUP($A205,'Data shares'!$C:$FB,3)</f>
        <v>1497.7</v>
      </c>
      <c r="D205" s="140">
        <f>VLOOKUP($A205,'Data shares'!$C:$FB,4)</f>
        <v>1503.1</v>
      </c>
      <c r="E205" s="50">
        <f t="shared" si="15"/>
        <v>-0.35925753442883801</v>
      </c>
      <c r="F205" s="49">
        <f>VLOOKUP($A205,'Data shares'!$C:$FB,98)</f>
        <v>27295200</v>
      </c>
      <c r="G205" s="49">
        <f>VLOOKUP($A205,'Data shares'!$C:$FB,99)</f>
        <v>27787800</v>
      </c>
      <c r="H205" s="50">
        <f t="shared" si="16"/>
        <v>-1.7727204024787855</v>
      </c>
      <c r="I205" s="49">
        <f>VLOOKUP($A205,'Data shares'!$C:$FB,66)</f>
        <v>18570000</v>
      </c>
      <c r="J205" s="49">
        <f>VLOOKUP($A205,'Data shares'!$C:$FB,67)</f>
        <v>19380600</v>
      </c>
      <c r="K205" s="50">
        <f t="shared" si="17"/>
        <v>-4.3651050080775446</v>
      </c>
      <c r="L205" s="50">
        <f>VLOOKUP($A205,'Data shares'!$C:$FB,118)</f>
        <v>0.81</v>
      </c>
      <c r="M205" s="50">
        <f>VLOOKUP($A205,'Data shares'!$C:$FB,119)</f>
        <v>0.84</v>
      </c>
      <c r="N205" s="50">
        <f>VLOOKUP($A205,'Data shares'!$C:$FB,121)*100</f>
        <v>-3.5700000000000003</v>
      </c>
      <c r="O205" s="50">
        <f>VLOOKUP($A205,'Data shares'!$C:$FB,124)</f>
        <v>0.76</v>
      </c>
      <c r="P205" s="50">
        <f>VLOOKUP($A205,'Data shares'!$C:$FB,125)</f>
        <v>0.46</v>
      </c>
      <c r="Q205" s="50">
        <f>VLOOKUP($A205,'Data shares'!$C:$FB,127)*100</f>
        <v>65.22</v>
      </c>
    </row>
    <row r="206" spans="1:17" x14ac:dyDescent="0.25">
      <c r="A206" s="97" t="str">
        <f>'Data Vlaue (Cr)'!C201</f>
        <v>TIINDIA</v>
      </c>
      <c r="B206" s="140">
        <f>VLOOKUP($A206,'Data shares'!$C:$FB,7)</f>
        <v>2873.1</v>
      </c>
      <c r="C206" s="140">
        <f>VLOOKUP($A206,'Data shares'!$C:$FB,3)</f>
        <v>2873.4</v>
      </c>
      <c r="D206" s="140">
        <f>VLOOKUP($A206,'Data shares'!$C:$FB,4)</f>
        <v>2798.1</v>
      </c>
      <c r="E206" s="50">
        <f t="shared" si="15"/>
        <v>2.6911118258818552</v>
      </c>
      <c r="F206" s="49">
        <f>VLOOKUP($A206,'Data shares'!$C:$FB,98)</f>
        <v>3722600</v>
      </c>
      <c r="G206" s="49">
        <f>VLOOKUP($A206,'Data shares'!$C:$FB,99)</f>
        <v>3446800</v>
      </c>
      <c r="H206" s="50">
        <f t="shared" si="16"/>
        <v>8.0016246953696175</v>
      </c>
      <c r="I206" s="49">
        <f>VLOOKUP($A206,'Data shares'!$C:$FB,66)</f>
        <v>4252400</v>
      </c>
      <c r="J206" s="49">
        <f>VLOOKUP($A206,'Data shares'!$C:$FB,67)</f>
        <v>1415000</v>
      </c>
      <c r="K206" s="50">
        <f t="shared" si="17"/>
        <v>66.724673125764284</v>
      </c>
      <c r="L206" s="50">
        <f>VLOOKUP($A206,'Data shares'!$C:$FB,118)</f>
        <v>0.48</v>
      </c>
      <c r="M206" s="50">
        <f>VLOOKUP($A206,'Data shares'!$C:$FB,119)</f>
        <v>0.44</v>
      </c>
      <c r="N206" s="50">
        <f>VLOOKUP($A206,'Data shares'!$C:$FB,121)*100</f>
        <v>9.09</v>
      </c>
      <c r="O206" s="50">
        <f>VLOOKUP($A206,'Data shares'!$C:$FB,124)</f>
        <v>0.2</v>
      </c>
      <c r="P206" s="50">
        <f>VLOOKUP($A206,'Data shares'!$C:$FB,125)</f>
        <v>0.14000000000000001</v>
      </c>
      <c r="Q206" s="50">
        <f>VLOOKUP($A206,'Data shares'!$C:$FB,127)*100</f>
        <v>42.86</v>
      </c>
    </row>
    <row r="207" spans="1:17" x14ac:dyDescent="0.25">
      <c r="A207" s="97" t="str">
        <f>'Data Vlaue (Cr)'!C202</f>
        <v>TITAN</v>
      </c>
      <c r="B207" s="140">
        <f>VLOOKUP($A207,'Data shares'!$C:$FB,7)</f>
        <v>4513</v>
      </c>
      <c r="C207" s="140">
        <f>VLOOKUP($A207,'Data shares'!$C:$FB,3)</f>
        <v>4510.2</v>
      </c>
      <c r="D207" s="140">
        <f>VLOOKUP($A207,'Data shares'!$C:$FB,4)</f>
        <v>4525</v>
      </c>
      <c r="E207" s="50">
        <f t="shared" si="15"/>
        <v>-0.32707182320442391</v>
      </c>
      <c r="F207" s="49">
        <f>VLOOKUP($A207,'Data shares'!$C:$FB,98)</f>
        <v>15980475</v>
      </c>
      <c r="G207" s="49">
        <f>VLOOKUP($A207,'Data shares'!$C:$FB,99)</f>
        <v>16115225</v>
      </c>
      <c r="H207" s="50">
        <f t="shared" si="16"/>
        <v>-0.83616579973286131</v>
      </c>
      <c r="I207" s="49">
        <f>VLOOKUP($A207,'Data shares'!$C:$FB,66)</f>
        <v>7942375</v>
      </c>
      <c r="J207" s="49">
        <f>VLOOKUP($A207,'Data shares'!$C:$FB,67)</f>
        <v>29014475</v>
      </c>
      <c r="K207" s="50">
        <f t="shared" si="17"/>
        <v>-265.31232786162826</v>
      </c>
      <c r="L207" s="50">
        <f>VLOOKUP($A207,'Data shares'!$C:$FB,118)</f>
        <v>0.79</v>
      </c>
      <c r="M207" s="50">
        <f>VLOOKUP($A207,'Data shares'!$C:$FB,119)</f>
        <v>0.81</v>
      </c>
      <c r="N207" s="50">
        <f>VLOOKUP($A207,'Data shares'!$C:$FB,121)*100</f>
        <v>-2.4699999999999998</v>
      </c>
      <c r="O207" s="50">
        <f>VLOOKUP($A207,'Data shares'!$C:$FB,124)</f>
        <v>0.77</v>
      </c>
      <c r="P207" s="50">
        <f>VLOOKUP($A207,'Data shares'!$C:$FB,125)</f>
        <v>0.93</v>
      </c>
      <c r="Q207" s="50">
        <f>VLOOKUP($A207,'Data shares'!$C:$FB,127)*100</f>
        <v>-17.2</v>
      </c>
    </row>
    <row r="208" spans="1:17" x14ac:dyDescent="0.25">
      <c r="A208" s="97" t="str">
        <f>'Data Vlaue (Cr)'!C203</f>
        <v>TMPV</v>
      </c>
      <c r="B208" s="140">
        <f>VLOOKUP($A208,'Data shares'!$C:$FB,7)</f>
        <v>355.7</v>
      </c>
      <c r="C208" s="140">
        <f>VLOOKUP($A208,'Data shares'!$C:$FB,3)</f>
        <v>354.55</v>
      </c>
      <c r="D208" s="140">
        <f>VLOOKUP($A208,'Data shares'!$C:$FB,4)</f>
        <v>360.25</v>
      </c>
      <c r="E208" s="50">
        <f t="shared" si="15"/>
        <v>-1.582234559333793</v>
      </c>
      <c r="F208" s="49">
        <f>VLOOKUP($A208,'Data shares'!$C:$FB,98)</f>
        <v>125559200</v>
      </c>
      <c r="G208" s="49">
        <f>VLOOKUP($A208,'Data shares'!$C:$FB,99)</f>
        <v>123376000</v>
      </c>
      <c r="H208" s="50">
        <f t="shared" si="16"/>
        <v>1.7695499935157566</v>
      </c>
      <c r="I208" s="49">
        <f>VLOOKUP($A208,'Data shares'!$C:$FB,66)</f>
        <v>77915200</v>
      </c>
      <c r="J208" s="49">
        <f>VLOOKUP($A208,'Data shares'!$C:$FB,67)</f>
        <v>68090400</v>
      </c>
      <c r="K208" s="50">
        <f t="shared" si="17"/>
        <v>12.609606341253055</v>
      </c>
      <c r="L208" s="50">
        <f>VLOOKUP($A208,'Data shares'!$C:$FB,118)</f>
        <v>0.79</v>
      </c>
      <c r="M208" s="50">
        <f>VLOOKUP($A208,'Data shares'!$C:$FB,119)</f>
        <v>0.8</v>
      </c>
      <c r="N208" s="50">
        <f>VLOOKUP($A208,'Data shares'!$C:$FB,121)*100</f>
        <v>-1.25</v>
      </c>
      <c r="O208" s="50">
        <f>VLOOKUP($A208,'Data shares'!$C:$FB,124)</f>
        <v>0.73</v>
      </c>
      <c r="P208" s="50">
        <f>VLOOKUP($A208,'Data shares'!$C:$FB,125)</f>
        <v>0.69</v>
      </c>
      <c r="Q208" s="50">
        <f>VLOOKUP($A208,'Data shares'!$C:$FB,127)*100</f>
        <v>5.8000000000000007</v>
      </c>
    </row>
    <row r="209" spans="1:17" x14ac:dyDescent="0.25">
      <c r="A209" s="97" t="str">
        <f>'Data Vlaue (Cr)'!C204</f>
        <v>TORNTPHARM</v>
      </c>
      <c r="B209" s="140">
        <f>VLOOKUP($A209,'Data shares'!$C:$FB,7)</f>
        <v>4191.2</v>
      </c>
      <c r="C209" s="140">
        <f>VLOOKUP($A209,'Data shares'!$C:$FB,3)</f>
        <v>4175.2</v>
      </c>
      <c r="D209" s="140">
        <f>VLOOKUP($A209,'Data shares'!$C:$FB,4)</f>
        <v>4174.8</v>
      </c>
      <c r="E209" s="50">
        <f t="shared" si="15"/>
        <v>9.5812973076467422E-3</v>
      </c>
      <c r="F209" s="49">
        <f>VLOOKUP($A209,'Data shares'!$C:$FB,98)</f>
        <v>4360250</v>
      </c>
      <c r="G209" s="49">
        <f>VLOOKUP($A209,'Data shares'!$C:$FB,99)</f>
        <v>4320000</v>
      </c>
      <c r="H209" s="50">
        <f t="shared" si="16"/>
        <v>0.93171296296296302</v>
      </c>
      <c r="I209" s="49">
        <f>VLOOKUP($A209,'Data shares'!$C:$FB,66)</f>
        <v>1538500</v>
      </c>
      <c r="J209" s="49">
        <f>VLOOKUP($A209,'Data shares'!$C:$FB,67)</f>
        <v>1280250</v>
      </c>
      <c r="K209" s="50">
        <f t="shared" si="17"/>
        <v>16.785830354241142</v>
      </c>
      <c r="L209" s="50">
        <f>VLOOKUP($A209,'Data shares'!$C:$FB,118)</f>
        <v>0.71</v>
      </c>
      <c r="M209" s="50">
        <f>VLOOKUP($A209,'Data shares'!$C:$FB,119)</f>
        <v>0.7</v>
      </c>
      <c r="N209" s="50">
        <f>VLOOKUP($A209,'Data shares'!$C:$FB,121)*100</f>
        <v>1.43</v>
      </c>
      <c r="O209" s="50">
        <f>VLOOKUP($A209,'Data shares'!$C:$FB,124)</f>
        <v>0.7</v>
      </c>
      <c r="P209" s="50">
        <f>VLOOKUP($A209,'Data shares'!$C:$FB,125)</f>
        <v>0.47</v>
      </c>
      <c r="Q209" s="50">
        <f>VLOOKUP($A209,'Data shares'!$C:$FB,127)*100</f>
        <v>48.94</v>
      </c>
    </row>
    <row r="210" spans="1:17" x14ac:dyDescent="0.25">
      <c r="A210" s="97" t="str">
        <f>'Data Vlaue (Cr)'!C205</f>
        <v>TORNTPOWER</v>
      </c>
      <c r="B210" s="140">
        <f>VLOOKUP($A210,'Data shares'!$C:$FB,7)</f>
        <v>1606.3</v>
      </c>
      <c r="C210" s="140">
        <f>VLOOKUP($A210,'Data shares'!$C:$FB,3)</f>
        <v>1609</v>
      </c>
      <c r="D210" s="140">
        <f>VLOOKUP($A210,'Data shares'!$C:$FB,4)</f>
        <v>1564.8</v>
      </c>
      <c r="E210" s="50">
        <f t="shared" ref="E210:E217" si="18">(C210-D210)/D210*100</f>
        <v>2.8246421267893691</v>
      </c>
      <c r="F210" s="49">
        <f>VLOOKUP($A210,'Data shares'!$C:$FB,98)</f>
        <v>6272150</v>
      </c>
      <c r="G210" s="49">
        <f>VLOOKUP($A210,'Data shares'!$C:$FB,99)</f>
        <v>5094050</v>
      </c>
      <c r="H210" s="50">
        <f t="shared" ref="H210:H217" si="19">(F210-G210)/G210*100</f>
        <v>23.126981478391457</v>
      </c>
      <c r="I210" s="49">
        <f>VLOOKUP($A210,'Data shares'!$C:$FB,66)</f>
        <v>18227825</v>
      </c>
      <c r="J210" s="49">
        <f>VLOOKUP($A210,'Data shares'!$C:$FB,67)</f>
        <v>2924425</v>
      </c>
      <c r="K210" s="50">
        <f t="shared" ref="K210:K217" si="20">(I210-J210)/I210*100</f>
        <v>83.956259180675701</v>
      </c>
      <c r="L210" s="50">
        <f>VLOOKUP($A210,'Data shares'!$C:$FB,118)</f>
        <v>0.77</v>
      </c>
      <c r="M210" s="50">
        <f>VLOOKUP($A210,'Data shares'!$C:$FB,119)</f>
        <v>0.73</v>
      </c>
      <c r="N210" s="50">
        <f>VLOOKUP($A210,'Data shares'!$C:$FB,121)*100</f>
        <v>5.48</v>
      </c>
      <c r="O210" s="50">
        <f>VLOOKUP($A210,'Data shares'!$C:$FB,124)</f>
        <v>0.36</v>
      </c>
      <c r="P210" s="50">
        <f>VLOOKUP($A210,'Data shares'!$C:$FB,125)</f>
        <v>0.28000000000000003</v>
      </c>
      <c r="Q210" s="50">
        <f>VLOOKUP($A210,'Data shares'!$C:$FB,127)*100</f>
        <v>28.57</v>
      </c>
    </row>
    <row r="211" spans="1:17" x14ac:dyDescent="0.25">
      <c r="A211" s="97" t="str">
        <f>'Data Vlaue (Cr)'!C206</f>
        <v>TRENT</v>
      </c>
      <c r="B211" s="140">
        <f>VLOOKUP($A211,'Data shares'!$C:$FB,7)</f>
        <v>4242.8</v>
      </c>
      <c r="C211" s="140">
        <f>VLOOKUP($A211,'Data shares'!$C:$FB,3)</f>
        <v>4238</v>
      </c>
      <c r="D211" s="140">
        <f>VLOOKUP($A211,'Data shares'!$C:$FB,4)</f>
        <v>4108.3999999999996</v>
      </c>
      <c r="E211" s="50">
        <f t="shared" si="18"/>
        <v>3.1545127056761846</v>
      </c>
      <c r="F211" s="49">
        <f>VLOOKUP($A211,'Data shares'!$C:$FB,98)</f>
        <v>14247400</v>
      </c>
      <c r="G211" s="49">
        <f>VLOOKUP($A211,'Data shares'!$C:$FB,99)</f>
        <v>13600800</v>
      </c>
      <c r="H211" s="50">
        <f t="shared" si="19"/>
        <v>4.7541321098758891</v>
      </c>
      <c r="I211" s="49">
        <f>VLOOKUP($A211,'Data shares'!$C:$FB,66)</f>
        <v>25355800</v>
      </c>
      <c r="J211" s="49">
        <f>VLOOKUP($A211,'Data shares'!$C:$FB,67)</f>
        <v>10686300</v>
      </c>
      <c r="K211" s="50">
        <f t="shared" si="20"/>
        <v>57.854613145710253</v>
      </c>
      <c r="L211" s="50">
        <f>VLOOKUP($A211,'Data shares'!$C:$FB,118)</f>
        <v>0.84</v>
      </c>
      <c r="M211" s="50">
        <f>VLOOKUP($A211,'Data shares'!$C:$FB,119)</f>
        <v>0.86</v>
      </c>
      <c r="N211" s="50">
        <f>VLOOKUP($A211,'Data shares'!$C:$FB,121)*100</f>
        <v>-2.33</v>
      </c>
      <c r="O211" s="50">
        <f>VLOOKUP($A211,'Data shares'!$C:$FB,124)</f>
        <v>0.38</v>
      </c>
      <c r="P211" s="50">
        <f>VLOOKUP($A211,'Data shares'!$C:$FB,125)</f>
        <v>0.48</v>
      </c>
      <c r="Q211" s="50">
        <f>VLOOKUP($A211,'Data shares'!$C:$FB,127)*100</f>
        <v>-20.830000000000002</v>
      </c>
    </row>
    <row r="212" spans="1:17" x14ac:dyDescent="0.25">
      <c r="A212" s="97" t="str">
        <f>'Data Vlaue (Cr)'!C207</f>
        <v>TVSMOTOR</v>
      </c>
      <c r="B212" s="140">
        <f>VLOOKUP($A212,'Data shares'!$C:$FB,7)</f>
        <v>3761.9</v>
      </c>
      <c r="C212" s="140">
        <f>VLOOKUP($A212,'Data shares'!$C:$FB,3)</f>
        <v>3769.8</v>
      </c>
      <c r="D212" s="140">
        <f>VLOOKUP($A212,'Data shares'!$C:$FB,4)</f>
        <v>3747.3</v>
      </c>
      <c r="E212" s="50">
        <f t="shared" si="18"/>
        <v>0.60043231126411012</v>
      </c>
      <c r="F212" s="49">
        <f>VLOOKUP($A212,'Data shares'!$C:$FB,98)</f>
        <v>10911775</v>
      </c>
      <c r="G212" s="49">
        <f>VLOOKUP($A212,'Data shares'!$C:$FB,99)</f>
        <v>11033575</v>
      </c>
      <c r="H212" s="50">
        <f t="shared" si="19"/>
        <v>-1.1039033132960079</v>
      </c>
      <c r="I212" s="49">
        <f>VLOOKUP($A212,'Data shares'!$C:$FB,66)</f>
        <v>3204425</v>
      </c>
      <c r="J212" s="49">
        <f>VLOOKUP($A212,'Data shares'!$C:$FB,67)</f>
        <v>3058825</v>
      </c>
      <c r="K212" s="50">
        <f t="shared" si="20"/>
        <v>4.5437168914859916</v>
      </c>
      <c r="L212" s="50">
        <f>VLOOKUP($A212,'Data shares'!$C:$FB,118)</f>
        <v>0.76</v>
      </c>
      <c r="M212" s="50">
        <f>VLOOKUP($A212,'Data shares'!$C:$FB,119)</f>
        <v>0.7</v>
      </c>
      <c r="N212" s="50">
        <f>VLOOKUP($A212,'Data shares'!$C:$FB,121)*100</f>
        <v>8.57</v>
      </c>
      <c r="O212" s="50">
        <f>VLOOKUP($A212,'Data shares'!$C:$FB,124)</f>
        <v>0.77</v>
      </c>
      <c r="P212" s="50">
        <f>VLOOKUP($A212,'Data shares'!$C:$FB,125)</f>
        <v>0.62</v>
      </c>
      <c r="Q212" s="50">
        <f>VLOOKUP($A212,'Data shares'!$C:$FB,127)*100</f>
        <v>24.19</v>
      </c>
    </row>
    <row r="213" spans="1:17" x14ac:dyDescent="0.25">
      <c r="A213" s="97" t="str">
        <f>'Data Vlaue (Cr)'!C208</f>
        <v>ULTRACEMCO</v>
      </c>
      <c r="B213" s="140">
        <f>VLOOKUP($A213,'Data shares'!$C:$FB,7)</f>
        <v>11917</v>
      </c>
      <c r="C213" s="140">
        <f>VLOOKUP($A213,'Data shares'!$C:$FB,3)</f>
        <v>11897</v>
      </c>
      <c r="D213" s="140">
        <f>VLOOKUP($A213,'Data shares'!$C:$FB,4)</f>
        <v>11884</v>
      </c>
      <c r="E213" s="50">
        <f t="shared" si="18"/>
        <v>0.10939077751598789</v>
      </c>
      <c r="F213" s="49">
        <f>VLOOKUP($A213,'Data shares'!$C:$FB,98)</f>
        <v>3597300</v>
      </c>
      <c r="G213" s="49">
        <f>VLOOKUP($A213,'Data shares'!$C:$FB,99)</f>
        <v>3534650</v>
      </c>
      <c r="H213" s="50">
        <f t="shared" si="19"/>
        <v>1.7724527180909</v>
      </c>
      <c r="I213" s="49">
        <f>VLOOKUP($A213,'Data shares'!$C:$FB,66)</f>
        <v>1810200</v>
      </c>
      <c r="J213" s="49">
        <f>VLOOKUP($A213,'Data shares'!$C:$FB,67)</f>
        <v>1642100</v>
      </c>
      <c r="K213" s="50">
        <f t="shared" si="20"/>
        <v>9.2862667108606782</v>
      </c>
      <c r="L213" s="50">
        <f>VLOOKUP($A213,'Data shares'!$C:$FB,118)</f>
        <v>0.63</v>
      </c>
      <c r="M213" s="50">
        <f>VLOOKUP($A213,'Data shares'!$C:$FB,119)</f>
        <v>0.62</v>
      </c>
      <c r="N213" s="50">
        <f>VLOOKUP($A213,'Data shares'!$C:$FB,121)*100</f>
        <v>1.6099999999999999</v>
      </c>
      <c r="O213" s="50">
        <f>VLOOKUP($A213,'Data shares'!$C:$FB,124)</f>
        <v>0.32</v>
      </c>
      <c r="P213" s="50">
        <f>VLOOKUP($A213,'Data shares'!$C:$FB,125)</f>
        <v>0.47</v>
      </c>
      <c r="Q213" s="50">
        <f>VLOOKUP($A213,'Data shares'!$C:$FB,127)*100</f>
        <v>-31.91</v>
      </c>
    </row>
    <row r="214" spans="1:17" x14ac:dyDescent="0.25">
      <c r="A214" s="97" t="str">
        <f>'Data Vlaue (Cr)'!C209</f>
        <v>UNIONBANK</v>
      </c>
      <c r="B214" s="140">
        <f>VLOOKUP($A214,'Data shares'!$C:$FB,7)</f>
        <v>189.29</v>
      </c>
      <c r="C214" s="140">
        <f>VLOOKUP($A214,'Data shares'!$C:$FB,3)</f>
        <v>189.55</v>
      </c>
      <c r="D214" s="140">
        <f>VLOOKUP($A214,'Data shares'!$C:$FB,4)</f>
        <v>188.51</v>
      </c>
      <c r="E214" s="50">
        <f t="shared" si="18"/>
        <v>0.55169487029866882</v>
      </c>
      <c r="F214" s="49">
        <f>VLOOKUP($A214,'Data shares'!$C:$FB,98)</f>
        <v>178486800</v>
      </c>
      <c r="G214" s="49">
        <f>VLOOKUP($A214,'Data shares'!$C:$FB,99)</f>
        <v>179115150</v>
      </c>
      <c r="H214" s="50">
        <f t="shared" si="19"/>
        <v>-0.35080784623746236</v>
      </c>
      <c r="I214" s="49">
        <f>VLOOKUP($A214,'Data shares'!$C:$FB,66)</f>
        <v>114939375</v>
      </c>
      <c r="J214" s="49">
        <f>VLOOKUP($A214,'Data shares'!$C:$FB,67)</f>
        <v>56396625</v>
      </c>
      <c r="K214" s="50">
        <f t="shared" si="20"/>
        <v>50.93358999037536</v>
      </c>
      <c r="L214" s="50">
        <f>VLOOKUP($A214,'Data shares'!$C:$FB,118)</f>
        <v>0.76</v>
      </c>
      <c r="M214" s="50">
        <f>VLOOKUP($A214,'Data shares'!$C:$FB,119)</f>
        <v>0.79</v>
      </c>
      <c r="N214" s="50">
        <f>VLOOKUP($A214,'Data shares'!$C:$FB,121)*100</f>
        <v>-3.8</v>
      </c>
      <c r="O214" s="50">
        <f>VLOOKUP($A214,'Data shares'!$C:$FB,124)</f>
        <v>0.42</v>
      </c>
      <c r="P214" s="50">
        <f>VLOOKUP($A214,'Data shares'!$C:$FB,125)</f>
        <v>0.56000000000000005</v>
      </c>
      <c r="Q214" s="50">
        <f>VLOOKUP($A214,'Data shares'!$C:$FB,127)*100</f>
        <v>-25</v>
      </c>
    </row>
    <row r="215" spans="1:17" x14ac:dyDescent="0.25">
      <c r="A215" s="97" t="str">
        <f>'Data Vlaue (Cr)'!C210</f>
        <v>UNITDSPR</v>
      </c>
      <c r="B215" s="140">
        <f>VLOOKUP($A215,'Data shares'!$C:$FB,7)</f>
        <v>1307.7</v>
      </c>
      <c r="C215" s="140">
        <f>VLOOKUP($A215,'Data shares'!$C:$FB,3)</f>
        <v>1309.7</v>
      </c>
      <c r="D215" s="140">
        <f>VLOOKUP($A215,'Data shares'!$C:$FB,4)</f>
        <v>1305.7</v>
      </c>
      <c r="E215" s="50">
        <f t="shared" si="18"/>
        <v>0.3063490847821092</v>
      </c>
      <c r="F215" s="49">
        <f>VLOOKUP($A215,'Data shares'!$C:$FB,98)</f>
        <v>20832800</v>
      </c>
      <c r="G215" s="49">
        <f>VLOOKUP($A215,'Data shares'!$C:$FB,99)</f>
        <v>20594400</v>
      </c>
      <c r="H215" s="50">
        <f t="shared" si="19"/>
        <v>1.1575962397544965</v>
      </c>
      <c r="I215" s="49">
        <f>VLOOKUP($A215,'Data shares'!$C:$FB,66)</f>
        <v>13223600</v>
      </c>
      <c r="J215" s="49">
        <f>VLOOKUP($A215,'Data shares'!$C:$FB,67)</f>
        <v>22348400</v>
      </c>
      <c r="K215" s="50">
        <f t="shared" si="20"/>
        <v>-69.003902114401527</v>
      </c>
      <c r="L215" s="50">
        <f>VLOOKUP($A215,'Data shares'!$C:$FB,118)</f>
        <v>0.69</v>
      </c>
      <c r="M215" s="50">
        <f>VLOOKUP($A215,'Data shares'!$C:$FB,119)</f>
        <v>0.65</v>
      </c>
      <c r="N215" s="50">
        <f>VLOOKUP($A215,'Data shares'!$C:$FB,121)*100</f>
        <v>6.15</v>
      </c>
      <c r="O215" s="50">
        <f>VLOOKUP($A215,'Data shares'!$C:$FB,124)</f>
        <v>0.4</v>
      </c>
      <c r="P215" s="50">
        <f>VLOOKUP($A215,'Data shares'!$C:$FB,125)</f>
        <v>0.27</v>
      </c>
      <c r="Q215" s="50">
        <f>VLOOKUP($A215,'Data shares'!$C:$FB,127)*100</f>
        <v>48.15</v>
      </c>
    </row>
    <row r="216" spans="1:17" x14ac:dyDescent="0.25">
      <c r="A216" s="97" t="str">
        <f>'Data Vlaue (Cr)'!C211</f>
        <v>UNOMINDA</v>
      </c>
      <c r="B216" s="140">
        <f>VLOOKUP($A216,'Data shares'!$C:$FB,7)</f>
        <v>1129.4000000000001</v>
      </c>
      <c r="C216" s="140">
        <f>VLOOKUP($A216,'Data shares'!$C:$FB,3)</f>
        <v>1127.5</v>
      </c>
      <c r="D216" s="140">
        <f>VLOOKUP($A216,'Data shares'!$C:$FB,4)</f>
        <v>1098.0999999999999</v>
      </c>
      <c r="E216" s="50">
        <f t="shared" si="18"/>
        <v>2.6773517894545207</v>
      </c>
      <c r="F216" s="49">
        <f>VLOOKUP($A216,'Data shares'!$C:$FB,98)</f>
        <v>7234700</v>
      </c>
      <c r="G216" s="49">
        <f>VLOOKUP($A216,'Data shares'!$C:$FB,99)</f>
        <v>7115350</v>
      </c>
      <c r="H216" s="50">
        <f t="shared" si="19"/>
        <v>1.6773595114787043</v>
      </c>
      <c r="I216" s="49">
        <f>VLOOKUP($A216,'Data shares'!$C:$FB,66)</f>
        <v>8275850</v>
      </c>
      <c r="J216" s="49">
        <f>VLOOKUP($A216,'Data shares'!$C:$FB,67)</f>
        <v>2035000</v>
      </c>
      <c r="K216" s="50">
        <f t="shared" si="20"/>
        <v>75.41038080680535</v>
      </c>
      <c r="L216" s="50">
        <f>VLOOKUP($A216,'Data shares'!$C:$FB,118)</f>
        <v>0.41</v>
      </c>
      <c r="M216" s="50">
        <f>VLOOKUP($A216,'Data shares'!$C:$FB,119)</f>
        <v>0.41</v>
      </c>
      <c r="N216" s="50">
        <f>VLOOKUP($A216,'Data shares'!$C:$FB,121)*100</f>
        <v>0</v>
      </c>
      <c r="O216" s="50">
        <f>VLOOKUP($A216,'Data shares'!$C:$FB,124)</f>
        <v>0.15</v>
      </c>
      <c r="P216" s="50">
        <f>VLOOKUP($A216,'Data shares'!$C:$FB,125)</f>
        <v>0.22</v>
      </c>
      <c r="Q216" s="50">
        <f>VLOOKUP($A216,'Data shares'!$C:$FB,127)*100</f>
        <v>-31.819999999999997</v>
      </c>
    </row>
    <row r="217" spans="1:17" x14ac:dyDescent="0.25">
      <c r="A217" s="97" t="str">
        <f>'Data Vlaue (Cr)'!C212</f>
        <v>UPL</v>
      </c>
      <c r="B217" s="140">
        <f>VLOOKUP($A217,'Data shares'!$C:$FB,7)</f>
        <v>656.65</v>
      </c>
      <c r="C217" s="140">
        <f>VLOOKUP($A217,'Data shares'!$C:$FB,3)</f>
        <v>657.75</v>
      </c>
      <c r="D217" s="140">
        <f>VLOOKUP($A217,'Data shares'!$C:$FB,4)</f>
        <v>666.35</v>
      </c>
      <c r="E217" s="50">
        <f t="shared" si="18"/>
        <v>-1.2906130411945709</v>
      </c>
      <c r="F217" s="49">
        <f>VLOOKUP($A217,'Data shares'!$C:$FB,98)</f>
        <v>47629605</v>
      </c>
      <c r="G217" s="49">
        <f>VLOOKUP($A217,'Data shares'!$C:$FB,99)</f>
        <v>47319310</v>
      </c>
      <c r="H217" s="50">
        <f t="shared" si="19"/>
        <v>0.65574709352270777</v>
      </c>
      <c r="I217" s="49">
        <f>VLOOKUP($A217,'Data shares'!$C:$FB,66)</f>
        <v>11006665</v>
      </c>
      <c r="J217" s="49">
        <f>VLOOKUP($A217,'Data shares'!$C:$FB,67)</f>
        <v>14844025</v>
      </c>
      <c r="K217" s="50">
        <f t="shared" si="20"/>
        <v>-34.863966514834424</v>
      </c>
      <c r="L217" s="50">
        <f>VLOOKUP($A217,'Data shares'!$C:$FB,118)</f>
        <v>0.75</v>
      </c>
      <c r="M217" s="50">
        <f>VLOOKUP($A217,'Data shares'!$C:$FB,119)</f>
        <v>0.75</v>
      </c>
      <c r="N217" s="50">
        <f>VLOOKUP($A217,'Data shares'!$C:$FB,121)*100</f>
        <v>0</v>
      </c>
      <c r="O217" s="50">
        <f>VLOOKUP($A217,'Data shares'!$C:$FB,124)</f>
        <v>0.65</v>
      </c>
      <c r="P217" s="50">
        <f>VLOOKUP($A217,'Data shares'!$C:$FB,125)</f>
        <v>0.72</v>
      </c>
      <c r="Q217" s="50">
        <f>VLOOKUP($A217,'Data shares'!$C:$FB,127)*100</f>
        <v>-9.7199999999999989</v>
      </c>
    </row>
    <row r="218" spans="1:17" x14ac:dyDescent="0.25">
      <c r="A218" s="97" t="str">
        <f>'Data Vlaue (Cr)'!C213</f>
        <v>VBL</v>
      </c>
      <c r="B218" s="140">
        <f>VLOOKUP($A218,'Data shares'!$C:$FB,7)</f>
        <v>466.55</v>
      </c>
      <c r="C218" s="140">
        <f>VLOOKUP($A218,'Data shares'!$C:$FB,3)</f>
        <v>467.75</v>
      </c>
      <c r="D218" s="140">
        <f>VLOOKUP($A218,'Data shares'!$C:$FB,4)</f>
        <v>473.65</v>
      </c>
      <c r="E218" s="50">
        <f t="shared" ref="E218:E225" si="21">(C218-D218)/D218*100</f>
        <v>-1.2456455188430229</v>
      </c>
      <c r="F218" s="49">
        <f>VLOOKUP($A218,'Data shares'!$C:$FB,98)</f>
        <v>78026625</v>
      </c>
      <c r="G218" s="49">
        <f>VLOOKUP($A218,'Data shares'!$C:$FB,99)</f>
        <v>74008125</v>
      </c>
      <c r="H218" s="50">
        <f t="shared" ref="H218:H225" si="22">(F218-G218)/G218*100</f>
        <v>5.4298092270274374</v>
      </c>
      <c r="I218" s="49">
        <f>VLOOKUP($A218,'Data shares'!$C:$FB,66)</f>
        <v>29219625</v>
      </c>
      <c r="J218" s="49">
        <f>VLOOKUP($A218,'Data shares'!$C:$FB,67)</f>
        <v>65037375</v>
      </c>
      <c r="K218" s="50">
        <f t="shared" ref="K218:K225" si="23">(I218-J218)/I218*100</f>
        <v>-122.58114195510723</v>
      </c>
      <c r="L218" s="50">
        <f>VLOOKUP($A218,'Data shares'!$C:$FB,118)</f>
        <v>0.57999999999999996</v>
      </c>
      <c r="M218" s="50">
        <f>VLOOKUP($A218,'Data shares'!$C:$FB,119)</f>
        <v>0.62</v>
      </c>
      <c r="N218" s="50">
        <f>VLOOKUP($A218,'Data shares'!$C:$FB,121)*100</f>
        <v>-6.45</v>
      </c>
      <c r="O218" s="50">
        <f>VLOOKUP($A218,'Data shares'!$C:$FB,124)</f>
        <v>0.5</v>
      </c>
      <c r="P218" s="50">
        <f>VLOOKUP($A218,'Data shares'!$C:$FB,125)</f>
        <v>0.45</v>
      </c>
      <c r="Q218" s="50">
        <f>VLOOKUP($A218,'Data shares'!$C:$FB,127)*100</f>
        <v>11.110000000000001</v>
      </c>
    </row>
    <row r="219" spans="1:17" x14ac:dyDescent="0.25">
      <c r="A219" s="97" t="str">
        <f>'Data Vlaue (Cr)'!C214</f>
        <v>VEDL</v>
      </c>
      <c r="B219" s="140">
        <f>VLOOKUP($A219,'Data shares'!$C:$FB,7)</f>
        <v>771</v>
      </c>
      <c r="C219" s="140">
        <f>VLOOKUP($A219,'Data shares'!$C:$FB,3)</f>
        <v>772.45</v>
      </c>
      <c r="D219" s="140">
        <f>VLOOKUP($A219,'Data shares'!$C:$FB,4)</f>
        <v>788.75</v>
      </c>
      <c r="E219" s="50">
        <f t="shared" si="21"/>
        <v>-2.0665610142630686</v>
      </c>
      <c r="F219" s="49">
        <f>VLOOKUP($A219,'Data shares'!$C:$FB,98)</f>
        <v>116942350</v>
      </c>
      <c r="G219" s="49">
        <f>VLOOKUP($A219,'Data shares'!$C:$FB,99)</f>
        <v>113772950</v>
      </c>
      <c r="H219" s="50">
        <f t="shared" si="22"/>
        <v>2.7857236715757128</v>
      </c>
      <c r="I219" s="49">
        <f>VLOOKUP($A219,'Data shares'!$C:$FB,66)</f>
        <v>60932750</v>
      </c>
      <c r="J219" s="49">
        <f>VLOOKUP($A219,'Data shares'!$C:$FB,67)</f>
        <v>90294550</v>
      </c>
      <c r="K219" s="50">
        <f t="shared" si="23"/>
        <v>-48.187222798905353</v>
      </c>
      <c r="L219" s="50">
        <f>VLOOKUP($A219,'Data shares'!$C:$FB,118)</f>
        <v>0.9</v>
      </c>
      <c r="M219" s="50">
        <f>VLOOKUP($A219,'Data shares'!$C:$FB,119)</f>
        <v>0.98</v>
      </c>
      <c r="N219" s="50">
        <f>VLOOKUP($A219,'Data shares'!$C:$FB,121)*100</f>
        <v>-8.16</v>
      </c>
      <c r="O219" s="50">
        <f>VLOOKUP($A219,'Data shares'!$C:$FB,124)</f>
        <v>0.72</v>
      </c>
      <c r="P219" s="50">
        <f>VLOOKUP($A219,'Data shares'!$C:$FB,125)</f>
        <v>0.7</v>
      </c>
      <c r="Q219" s="50">
        <f>VLOOKUP($A219,'Data shares'!$C:$FB,127)*100</f>
        <v>2.86</v>
      </c>
    </row>
    <row r="220" spans="1:17" x14ac:dyDescent="0.25">
      <c r="A220" s="97" t="str">
        <f>'Data Vlaue (Cr)'!C215</f>
        <v>VMM</v>
      </c>
      <c r="B220" s="140">
        <f>VLOOKUP($A220,'Data shares'!$C:$FB,7)</f>
        <v>118.61</v>
      </c>
      <c r="C220" s="140">
        <f>VLOOKUP($A220,'Data shares'!$C:$FB,3)</f>
        <v>118.48</v>
      </c>
      <c r="D220" s="140">
        <f>VLOOKUP($A220,'Data shares'!$C:$FB,4)</f>
        <v>118.85</v>
      </c>
      <c r="E220" s="50">
        <f t="shared" si="21"/>
        <v>-0.31131678586452699</v>
      </c>
      <c r="F220" s="49">
        <f>VLOOKUP($A220,'Data shares'!$C:$FB,98)</f>
        <v>39833050</v>
      </c>
      <c r="G220" s="49">
        <f>VLOOKUP($A220,'Data shares'!$C:$FB,99)</f>
        <v>38121000</v>
      </c>
      <c r="H220" s="50">
        <f t="shared" si="22"/>
        <v>4.4910941475826966</v>
      </c>
      <c r="I220" s="49">
        <f>VLOOKUP($A220,'Data shares'!$C:$FB,66)</f>
        <v>13633350</v>
      </c>
      <c r="J220" s="49">
        <f>VLOOKUP($A220,'Data shares'!$C:$FB,67)</f>
        <v>27853550</v>
      </c>
      <c r="K220" s="50">
        <f t="shared" si="23"/>
        <v>-104.30451796513695</v>
      </c>
      <c r="L220" s="50">
        <f>VLOOKUP($A220,'Data shares'!$C:$FB,118)</f>
        <v>0.53</v>
      </c>
      <c r="M220" s="50">
        <f>VLOOKUP($A220,'Data shares'!$C:$FB,119)</f>
        <v>0.61</v>
      </c>
      <c r="N220" s="50">
        <f>VLOOKUP($A220,'Data shares'!$C:$FB,121)*100</f>
        <v>-13.11</v>
      </c>
      <c r="O220" s="50">
        <f>VLOOKUP($A220,'Data shares'!$C:$FB,124)</f>
        <v>0.24</v>
      </c>
      <c r="P220" s="50">
        <f>VLOOKUP($A220,'Data shares'!$C:$FB,125)</f>
        <v>0.17</v>
      </c>
      <c r="Q220" s="50">
        <f>VLOOKUP($A220,'Data shares'!$C:$FB,127)*100</f>
        <v>41.18</v>
      </c>
    </row>
    <row r="221" spans="1:17" x14ac:dyDescent="0.25">
      <c r="A221" s="97" t="str">
        <f>'Data Vlaue (Cr)'!C216</f>
        <v>VOLTAS</v>
      </c>
      <c r="B221" s="140">
        <f>VLOOKUP($A221,'Data shares'!$C:$FB,7)</f>
        <v>1438</v>
      </c>
      <c r="C221" s="140">
        <f>VLOOKUP($A221,'Data shares'!$C:$FB,3)</f>
        <v>1440.9</v>
      </c>
      <c r="D221" s="140">
        <f>VLOOKUP($A221,'Data shares'!$C:$FB,4)</f>
        <v>1441.5</v>
      </c>
      <c r="E221" s="50">
        <f t="shared" si="21"/>
        <v>-4.1623309053063412E-2</v>
      </c>
      <c r="F221" s="49">
        <f>VLOOKUP($A221,'Data shares'!$C:$FB,98)</f>
        <v>21005625</v>
      </c>
      <c r="G221" s="49">
        <f>VLOOKUP($A221,'Data shares'!$C:$FB,99)</f>
        <v>20668125</v>
      </c>
      <c r="H221" s="50">
        <f t="shared" si="22"/>
        <v>1.6329492878526717</v>
      </c>
      <c r="I221" s="49">
        <f>VLOOKUP($A221,'Data shares'!$C:$FB,66)</f>
        <v>18184500</v>
      </c>
      <c r="J221" s="49">
        <f>VLOOKUP($A221,'Data shares'!$C:$FB,67)</f>
        <v>15021375</v>
      </c>
      <c r="K221" s="50">
        <f t="shared" si="23"/>
        <v>17.394621793285488</v>
      </c>
      <c r="L221" s="50">
        <f>VLOOKUP($A221,'Data shares'!$C:$FB,118)</f>
        <v>0.86</v>
      </c>
      <c r="M221" s="50">
        <f>VLOOKUP($A221,'Data shares'!$C:$FB,119)</f>
        <v>0.95</v>
      </c>
      <c r="N221" s="50">
        <f>VLOOKUP($A221,'Data shares'!$C:$FB,121)*100</f>
        <v>-9.4700000000000006</v>
      </c>
      <c r="O221" s="50">
        <f>VLOOKUP($A221,'Data shares'!$C:$FB,124)</f>
        <v>0.46</v>
      </c>
      <c r="P221" s="50">
        <f>VLOOKUP($A221,'Data shares'!$C:$FB,125)</f>
        <v>0.52</v>
      </c>
      <c r="Q221" s="50">
        <f>VLOOKUP($A221,'Data shares'!$C:$FB,127)*100</f>
        <v>-11.540000000000001</v>
      </c>
    </row>
    <row r="222" spans="1:17" x14ac:dyDescent="0.25">
      <c r="A222" s="97" t="str">
        <f>'Data Vlaue (Cr)'!C217</f>
        <v>WAAREEENER</v>
      </c>
      <c r="B222" s="140">
        <f>VLOOKUP($A222,'Data shares'!$C:$FB,7)</f>
        <v>3489.1</v>
      </c>
      <c r="C222" s="140">
        <f>VLOOKUP($A222,'Data shares'!$C:$FB,3)</f>
        <v>3496.8</v>
      </c>
      <c r="D222" s="140">
        <f>VLOOKUP($A222,'Data shares'!$C:$FB,4)</f>
        <v>3470.3</v>
      </c>
      <c r="E222" s="50">
        <f t="shared" si="21"/>
        <v>0.76362274154972187</v>
      </c>
      <c r="F222" s="49">
        <f>VLOOKUP($A222,'Data shares'!$C:$FB,98)</f>
        <v>8667575</v>
      </c>
      <c r="G222" s="49">
        <f>VLOOKUP($A222,'Data shares'!$C:$FB,99)</f>
        <v>8510425</v>
      </c>
      <c r="H222" s="50">
        <f t="shared" si="22"/>
        <v>1.846558779379408</v>
      </c>
      <c r="I222" s="49">
        <f>VLOOKUP($A222,'Data shares'!$C:$FB,66)</f>
        <v>8819475</v>
      </c>
      <c r="J222" s="49">
        <f>VLOOKUP($A222,'Data shares'!$C:$FB,67)</f>
        <v>12404350</v>
      </c>
      <c r="K222" s="50">
        <f t="shared" si="23"/>
        <v>-40.647260749647799</v>
      </c>
      <c r="L222" s="50">
        <f>VLOOKUP($A222,'Data shares'!$C:$FB,118)</f>
        <v>0.76</v>
      </c>
      <c r="M222" s="50">
        <f>VLOOKUP($A222,'Data shares'!$C:$FB,119)</f>
        <v>0.74</v>
      </c>
      <c r="N222" s="50">
        <f>VLOOKUP($A222,'Data shares'!$C:$FB,121)*100</f>
        <v>2.7</v>
      </c>
      <c r="O222" s="50">
        <f>VLOOKUP($A222,'Data shares'!$C:$FB,124)</f>
        <v>0.45</v>
      </c>
      <c r="P222" s="50">
        <f>VLOOKUP($A222,'Data shares'!$C:$FB,125)</f>
        <v>0.49</v>
      </c>
      <c r="Q222" s="50">
        <f>VLOOKUP($A222,'Data shares'!$C:$FB,127)*100</f>
        <v>-8.16</v>
      </c>
    </row>
    <row r="223" spans="1:17" x14ac:dyDescent="0.25">
      <c r="A223" s="97" t="str">
        <f>'Data Vlaue (Cr)'!C218</f>
        <v>WIPRO</v>
      </c>
      <c r="B223" s="140">
        <f>VLOOKUP($A223,'Data shares'!$C:$FB,7)</f>
        <v>202.48</v>
      </c>
      <c r="C223" s="140">
        <f>VLOOKUP($A223,'Data shares'!$C:$FB,3)</f>
        <v>201.8</v>
      </c>
      <c r="D223" s="140">
        <f>VLOOKUP($A223,'Data shares'!$C:$FB,4)</f>
        <v>202.37</v>
      </c>
      <c r="E223" s="50">
        <f t="shared" si="21"/>
        <v>-0.28166230172456053</v>
      </c>
      <c r="F223" s="49">
        <f>VLOOKUP($A223,'Data shares'!$C:$FB,98)</f>
        <v>579645000</v>
      </c>
      <c r="G223" s="49">
        <f>VLOOKUP($A223,'Data shares'!$C:$FB,99)</f>
        <v>575652000</v>
      </c>
      <c r="H223" s="50">
        <f t="shared" si="22"/>
        <v>0.69364824581518003</v>
      </c>
      <c r="I223" s="49">
        <f>VLOOKUP($A223,'Data shares'!$C:$FB,66)</f>
        <v>259206000</v>
      </c>
      <c r="J223" s="49">
        <f>VLOOKUP($A223,'Data shares'!$C:$FB,67)</f>
        <v>799029000</v>
      </c>
      <c r="K223" s="50">
        <f t="shared" si="23"/>
        <v>-208.26022545774404</v>
      </c>
      <c r="L223" s="50">
        <f>VLOOKUP($A223,'Data shares'!$C:$FB,118)</f>
        <v>0.48</v>
      </c>
      <c r="M223" s="50">
        <f>VLOOKUP($A223,'Data shares'!$C:$FB,119)</f>
        <v>0.49</v>
      </c>
      <c r="N223" s="50">
        <f>VLOOKUP($A223,'Data shares'!$C:$FB,121)*100</f>
        <v>-2.04</v>
      </c>
      <c r="O223" s="50">
        <f>VLOOKUP($A223,'Data shares'!$C:$FB,124)</f>
        <v>0.44</v>
      </c>
      <c r="P223" s="50">
        <f>VLOOKUP($A223,'Data shares'!$C:$FB,125)</f>
        <v>0.52</v>
      </c>
      <c r="Q223" s="50">
        <f>VLOOKUP($A223,'Data shares'!$C:$FB,127)*100</f>
        <v>-15.379999999999999</v>
      </c>
    </row>
    <row r="224" spans="1:17" x14ac:dyDescent="0.25">
      <c r="A224" s="97" t="str">
        <f>'Data Vlaue (Cr)'!C219</f>
        <v>YESBANK</v>
      </c>
      <c r="B224" s="140">
        <f>VLOOKUP($A224,'Data shares'!$C:$FB,7)</f>
        <v>19.84</v>
      </c>
      <c r="C224" s="140">
        <f>VLOOKUP($A224,'Data shares'!$C:$FB,3)</f>
        <v>19.82</v>
      </c>
      <c r="D224" s="140">
        <f>VLOOKUP($A224,'Data shares'!$C:$FB,4)</f>
        <v>20.260000000000002</v>
      </c>
      <c r="E224" s="50">
        <f t="shared" si="21"/>
        <v>-2.1717670286278445</v>
      </c>
      <c r="F224" s="49">
        <f>VLOOKUP($A224,'Data shares'!$C:$FB,98)</f>
        <v>2329794300</v>
      </c>
      <c r="G224" s="49">
        <f>VLOOKUP($A224,'Data shares'!$C:$FB,99)</f>
        <v>2058198000</v>
      </c>
      <c r="H224" s="50">
        <f t="shared" si="22"/>
        <v>13.195829555757028</v>
      </c>
      <c r="I224" s="49">
        <f>VLOOKUP($A224,'Data shares'!$C:$FB,66)</f>
        <v>2967188800</v>
      </c>
      <c r="J224" s="49">
        <f>VLOOKUP($A224,'Data shares'!$C:$FB,67)</f>
        <v>1804422000</v>
      </c>
      <c r="K224" s="50">
        <f t="shared" si="23"/>
        <v>39.187489518698641</v>
      </c>
      <c r="L224" s="50">
        <f>VLOOKUP($A224,'Data shares'!$C:$FB,118)</f>
        <v>0.53</v>
      </c>
      <c r="M224" s="50">
        <f>VLOOKUP($A224,'Data shares'!$C:$FB,119)</f>
        <v>0.63</v>
      </c>
      <c r="N224" s="50">
        <f>VLOOKUP($A224,'Data shares'!$C:$FB,121)*100</f>
        <v>-15.870000000000001</v>
      </c>
      <c r="O224" s="50">
        <f>VLOOKUP($A224,'Data shares'!$C:$FB,124)</f>
        <v>0.21</v>
      </c>
      <c r="P224" s="50">
        <f>VLOOKUP($A224,'Data shares'!$C:$FB,125)</f>
        <v>0.21</v>
      </c>
      <c r="Q224" s="50">
        <f>VLOOKUP($A224,'Data shares'!$C:$FB,127)*100</f>
        <v>0</v>
      </c>
    </row>
    <row r="225" spans="1:17" x14ac:dyDescent="0.25">
      <c r="A225" s="97" t="str">
        <f>'Data Vlaue (Cr)'!C220</f>
        <v>ZYDUSLIFE</v>
      </c>
      <c r="B225" s="140">
        <f>VLOOKUP($A225,'Data shares'!$C:$FB,7)</f>
        <v>936.5</v>
      </c>
      <c r="C225" s="140">
        <f>VLOOKUP($A225,'Data shares'!$C:$FB,3)</f>
        <v>935.5</v>
      </c>
      <c r="D225" s="140">
        <f>VLOOKUP($A225,'Data shares'!$C:$FB,4)</f>
        <v>946.25</v>
      </c>
      <c r="E225" s="50">
        <f t="shared" si="21"/>
        <v>-1.1360634081902246</v>
      </c>
      <c r="F225" s="49">
        <f>VLOOKUP($A225,'Data shares'!$C:$FB,98)</f>
        <v>14733000</v>
      </c>
      <c r="G225" s="49">
        <f>VLOOKUP($A225,'Data shares'!$C:$FB,99)</f>
        <v>14497200</v>
      </c>
      <c r="H225" s="50">
        <f t="shared" si="22"/>
        <v>1.6265209833623044</v>
      </c>
      <c r="I225" s="49">
        <f>VLOOKUP($A225,'Data shares'!$C:$FB,66)</f>
        <v>4797900</v>
      </c>
      <c r="J225" s="49">
        <f>VLOOKUP($A225,'Data shares'!$C:$FB,67)</f>
        <v>5775300</v>
      </c>
      <c r="K225" s="50">
        <f t="shared" si="23"/>
        <v>-20.371412492965675</v>
      </c>
      <c r="L225" s="50">
        <f>VLOOKUP($A225,'Data shares'!$C:$FB,118)</f>
        <v>0.7</v>
      </c>
      <c r="M225" s="50">
        <f>VLOOKUP($A225,'Data shares'!$C:$FB,119)</f>
        <v>0.77</v>
      </c>
      <c r="N225" s="50">
        <f>VLOOKUP($A225,'Data shares'!$C:$FB,121)*100</f>
        <v>-9.09</v>
      </c>
      <c r="O225" s="50">
        <f>VLOOKUP($A225,'Data shares'!$C:$FB,124)</f>
        <v>0.37</v>
      </c>
      <c r="P225" s="50">
        <f>VLOOKUP($A225,'Data shares'!$C:$FB,125)</f>
        <v>0.36</v>
      </c>
      <c r="Q225" s="50">
        <f>VLOOKUP($A225,'Data shares'!$C:$FB,127)*100</f>
        <v>2.78</v>
      </c>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7"/>
      <c r="B230" s="140"/>
      <c r="C230" s="140"/>
      <c r="D230" s="140"/>
      <c r="E230" s="50"/>
      <c r="F230" s="49"/>
      <c r="G230" s="49"/>
      <c r="H230" s="50"/>
      <c r="I230" s="49"/>
      <c r="J230" s="49"/>
      <c r="K230" s="50"/>
      <c r="L230" s="50"/>
      <c r="M230" s="50"/>
      <c r="N230" s="50"/>
      <c r="O230" s="50"/>
      <c r="P230" s="50"/>
      <c r="Q230" s="50"/>
    </row>
    <row r="231" spans="1:17" x14ac:dyDescent="0.25">
      <c r="A231" s="97"/>
      <c r="B231" s="140"/>
      <c r="C231" s="140"/>
      <c r="D231" s="140"/>
      <c r="E231" s="50"/>
      <c r="F231" s="49"/>
      <c r="G231" s="49"/>
      <c r="H231" s="50"/>
      <c r="I231" s="49"/>
      <c r="J231" s="49"/>
      <c r="K231" s="50"/>
      <c r="L231" s="50"/>
      <c r="M231" s="50"/>
      <c r="N231" s="50"/>
      <c r="O231" s="50"/>
      <c r="P231" s="50"/>
      <c r="Q231" s="50"/>
    </row>
    <row r="232" spans="1:17" x14ac:dyDescent="0.25">
      <c r="A232" s="97"/>
      <c r="B232" s="140"/>
      <c r="C232" s="140"/>
      <c r="D232" s="140"/>
      <c r="E232" s="50"/>
      <c r="F232" s="49"/>
      <c r="G232" s="49"/>
      <c r="H232" s="50"/>
      <c r="I232" s="49"/>
      <c r="J232" s="49"/>
      <c r="K232" s="50"/>
      <c r="L232" s="50"/>
      <c r="M232" s="50"/>
      <c r="N232" s="50"/>
      <c r="O232" s="50"/>
      <c r="P232" s="50"/>
      <c r="Q232" s="50"/>
    </row>
    <row r="233" spans="1:17" x14ac:dyDescent="0.25">
      <c r="A233" s="97"/>
      <c r="B233" s="140"/>
      <c r="C233" s="140"/>
      <c r="D233" s="140"/>
      <c r="E233" s="50"/>
      <c r="F233" s="49"/>
      <c r="G233" s="49"/>
      <c r="H233" s="50"/>
      <c r="I233" s="49"/>
      <c r="J233" s="49"/>
      <c r="K233" s="50"/>
      <c r="L233" s="50"/>
      <c r="M233" s="50"/>
      <c r="N233" s="50"/>
      <c r="O233" s="50"/>
      <c r="P233" s="50"/>
      <c r="Q233" s="50"/>
    </row>
    <row r="234" spans="1:17" x14ac:dyDescent="0.25">
      <c r="A234" s="97"/>
      <c r="B234" s="140"/>
      <c r="C234" s="140"/>
      <c r="D234" s="140"/>
      <c r="E234" s="50"/>
      <c r="F234" s="49"/>
      <c r="G234" s="49"/>
      <c r="H234" s="50"/>
      <c r="I234" s="49"/>
      <c r="J234" s="49"/>
      <c r="K234" s="50"/>
      <c r="L234" s="50"/>
      <c r="M234" s="50"/>
      <c r="N234" s="50"/>
      <c r="O234" s="50"/>
      <c r="P234" s="50"/>
      <c r="Q234" s="50"/>
    </row>
    <row r="235" spans="1:17" x14ac:dyDescent="0.25">
      <c r="A235" s="98"/>
      <c r="B235" s="17"/>
      <c r="C235" s="17"/>
      <c r="D235" s="17"/>
      <c r="E235" s="17"/>
      <c r="F235" s="17"/>
      <c r="G235" s="17"/>
      <c r="H235" s="17"/>
      <c r="I235" s="17"/>
      <c r="J235" s="17"/>
      <c r="K235" s="17"/>
      <c r="L235" s="17"/>
      <c r="M235" s="17"/>
      <c r="N235" s="17"/>
      <c r="O235" s="17"/>
      <c r="P235" s="17"/>
      <c r="Q235" s="17"/>
    </row>
    <row r="236" spans="1:17" s="64" customFormat="1" x14ac:dyDescent="0.25">
      <c r="A236" s="258" t="s">
        <v>391</v>
      </c>
      <c r="B236" s="258"/>
      <c r="C236" s="258"/>
      <c r="D236" s="258"/>
      <c r="E236" s="258"/>
      <c r="F236" s="113">
        <f>SUM(F7:F221)</f>
        <v>24455504411</v>
      </c>
      <c r="G236" s="113">
        <f>SUM(G7:G223)</f>
        <v>24714104492</v>
      </c>
      <c r="H236" s="114">
        <f>(F236-G236)/G236*100</f>
        <v>-1.0463663819326705</v>
      </c>
      <c r="I236" s="113">
        <f>SUM(I7:I222)</f>
        <v>19164340283</v>
      </c>
      <c r="J236" s="113">
        <f>SUM(J7:J223)</f>
        <v>17857569718</v>
      </c>
      <c r="K236" s="114">
        <f>(I236-J236)/J236*100</f>
        <v>7.3177402392152313</v>
      </c>
      <c r="L236" s="113"/>
      <c r="M236" s="113"/>
      <c r="N236" s="113"/>
      <c r="O236" s="113"/>
      <c r="P236" s="258"/>
      <c r="Q236" s="258"/>
    </row>
    <row r="237" spans="1:17" s="64" customFormat="1" x14ac:dyDescent="0.25">
      <c r="A237" s="258" t="s">
        <v>398</v>
      </c>
      <c r="B237" s="258"/>
      <c r="C237" s="258"/>
      <c r="D237" s="258"/>
      <c r="E237" s="258"/>
      <c r="F237" s="113">
        <f>F236/10000000</f>
        <v>2445.5504411000002</v>
      </c>
      <c r="G237" s="113">
        <f>G236/10000000</f>
        <v>2471.4104492000001</v>
      </c>
      <c r="H237" s="114">
        <f>(F237-G237)/G237*100</f>
        <v>-1.0463663819326687</v>
      </c>
      <c r="I237" s="113">
        <f>I236/10000000</f>
        <v>1916.4340282999999</v>
      </c>
      <c r="J237" s="113">
        <f>J236/10000000</f>
        <v>1785.7569718</v>
      </c>
      <c r="K237" s="114">
        <f>(I237-J237)/J237*100</f>
        <v>7.3177402392152286</v>
      </c>
      <c r="L237" s="113"/>
      <c r="M237" s="113"/>
      <c r="N237" s="113"/>
      <c r="O237" s="113"/>
      <c r="P237" s="258"/>
      <c r="Q237" s="258"/>
    </row>
  </sheetData>
  <mergeCells count="15">
    <mergeCell ref="A3:Q3"/>
    <mergeCell ref="A4:A5"/>
    <mergeCell ref="B4:E4"/>
    <mergeCell ref="F4:H4"/>
    <mergeCell ref="I4:K4"/>
    <mergeCell ref="L4:Q4"/>
    <mergeCell ref="A237:E237"/>
    <mergeCell ref="P236:Q236"/>
    <mergeCell ref="P237:Q237"/>
    <mergeCell ref="A236:E236"/>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O19" sqref="O19"/>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(Value)'!H155</f>
        <v>1266514</v>
      </c>
      <c r="C3" s="159">
        <f>'OI(Volume)'!G151</f>
        <v>-1.6899999999999998E-2</v>
      </c>
      <c r="D3" s="153">
        <f>'Snapshot (Value)'!P151</f>
        <v>0.44</v>
      </c>
      <c r="E3" s="153">
        <f>'Snapshot (Value)'!R151</f>
        <v>0.24</v>
      </c>
      <c r="F3" s="153">
        <f>IV!E151</f>
        <v>17.66</v>
      </c>
      <c r="G3" s="153">
        <f>IV!B151</f>
        <v>20.350000000000001</v>
      </c>
      <c r="H3" s="153">
        <f>'Snapshot (Value)'!C155</f>
        <v>24364.85</v>
      </c>
      <c r="I3" s="153">
        <f>'Snapshot (Value)'!D155</f>
        <v>24331.8</v>
      </c>
      <c r="J3" s="153">
        <f>'Snapshot (Value)'!E155</f>
        <v>24368</v>
      </c>
      <c r="K3" s="153">
        <f>(I3-H3)</f>
        <v>-33.049999999999272</v>
      </c>
      <c r="L3" s="232">
        <f>'Data Vlaue (Cr)'!V146</f>
        <v>24606.7</v>
      </c>
    </row>
    <row r="4" spans="1:12" x14ac:dyDescent="0.25">
      <c r="A4" t="s">
        <v>464</v>
      </c>
      <c r="B4" s="154">
        <f>'Snapshot (Value)'!H38</f>
        <v>236900</v>
      </c>
      <c r="C4" s="159">
        <f>'OI(Volume)'!G34</f>
        <v>-6.4399999999999999E-2</v>
      </c>
      <c r="D4" s="153">
        <f>'Snapshot (Value)'!P38</f>
        <v>0.99</v>
      </c>
      <c r="E4" s="153">
        <f>'Snapshot (Value)'!R38</f>
        <v>0.94</v>
      </c>
      <c r="F4" s="153">
        <f>IV!E34</f>
        <v>21.32</v>
      </c>
      <c r="G4" s="153">
        <f>IV!B34</f>
        <v>24.88</v>
      </c>
      <c r="H4" s="153">
        <f>'Snapshot (Value)'!C38</f>
        <v>56582.35</v>
      </c>
      <c r="I4" s="153">
        <f>'Snapshot (Value)'!D38</f>
        <v>56568.800000000003</v>
      </c>
      <c r="J4" s="153">
        <f>'Snapshot (Value)'!E38</f>
        <v>56666.8</v>
      </c>
      <c r="K4" s="153">
        <f>(I4-H4)</f>
        <v>-13.549999999995634</v>
      </c>
      <c r="L4" s="232">
        <f>'Data Vlaue (Cr)'!V29</f>
        <v>57144.2</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559</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N13" sqref="N13"/>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40" t="s">
        <v>393</v>
      </c>
      <c r="B1" s="337" t="s">
        <v>631</v>
      </c>
      <c r="C1" s="338"/>
      <c r="D1" s="339"/>
      <c r="E1" s="334" t="s">
        <v>632</v>
      </c>
      <c r="F1" s="335"/>
      <c r="G1" s="336"/>
      <c r="H1" s="331" t="s">
        <v>633</v>
      </c>
      <c r="I1" s="332"/>
      <c r="J1" s="333"/>
      <c r="K1" s="328" t="s">
        <v>634</v>
      </c>
      <c r="L1" s="329"/>
      <c r="M1" s="330"/>
    </row>
    <row r="2" spans="1:13" ht="26.25" thickBot="1" x14ac:dyDescent="0.25">
      <c r="A2" s="341"/>
      <c r="B2" s="201" t="s">
        <v>635</v>
      </c>
      <c r="C2" s="201" t="s">
        <v>636</v>
      </c>
      <c r="D2" s="201" t="s">
        <v>369</v>
      </c>
      <c r="E2" s="202" t="s">
        <v>635</v>
      </c>
      <c r="F2" s="202" t="s">
        <v>636</v>
      </c>
      <c r="G2" s="202" t="s">
        <v>369</v>
      </c>
      <c r="H2" s="203" t="s">
        <v>635</v>
      </c>
      <c r="I2" s="203" t="s">
        <v>636</v>
      </c>
      <c r="J2" s="203" t="s">
        <v>369</v>
      </c>
      <c r="K2" s="204" t="s">
        <v>635</v>
      </c>
      <c r="L2" s="204" t="s">
        <v>636</v>
      </c>
      <c r="M2" s="204" t="s">
        <v>369</v>
      </c>
    </row>
    <row r="3" spans="1:13" x14ac:dyDescent="0.2">
      <c r="A3" s="205" t="s">
        <v>637</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638</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639</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40" t="s">
        <v>640</v>
      </c>
      <c r="B6" s="337" t="s">
        <v>631</v>
      </c>
      <c r="C6" s="338"/>
      <c r="D6" s="339"/>
      <c r="E6" s="334" t="s">
        <v>632</v>
      </c>
      <c r="F6" s="335"/>
      <c r="G6" s="336"/>
      <c r="H6" s="331" t="s">
        <v>633</v>
      </c>
      <c r="I6" s="332"/>
      <c r="J6" s="333"/>
      <c r="K6" s="328" t="s">
        <v>634</v>
      </c>
      <c r="L6" s="329"/>
      <c r="M6" s="330"/>
    </row>
    <row r="7" spans="1:13" ht="26.25" thickBot="1" x14ac:dyDescent="0.25">
      <c r="A7" s="341"/>
      <c r="B7" s="201" t="s">
        <v>635</v>
      </c>
      <c r="C7" s="201" t="s">
        <v>636</v>
      </c>
      <c r="D7" s="201" t="s">
        <v>369</v>
      </c>
      <c r="E7" s="202" t="s">
        <v>635</v>
      </c>
      <c r="F7" s="202" t="s">
        <v>636</v>
      </c>
      <c r="G7" s="202" t="s">
        <v>369</v>
      </c>
      <c r="H7" s="203" t="s">
        <v>635</v>
      </c>
      <c r="I7" s="203" t="s">
        <v>636</v>
      </c>
      <c r="J7" s="203" t="s">
        <v>369</v>
      </c>
      <c r="K7" s="204" t="s">
        <v>635</v>
      </c>
      <c r="L7" s="204" t="s">
        <v>636</v>
      </c>
      <c r="M7" s="204" t="s">
        <v>369</v>
      </c>
    </row>
    <row r="8" spans="1:13" x14ac:dyDescent="0.2">
      <c r="A8" s="205" t="s">
        <v>637</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638</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639</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40" t="s">
        <v>641</v>
      </c>
      <c r="B11" s="337" t="s">
        <v>631</v>
      </c>
      <c r="C11" s="338"/>
      <c r="D11" s="339"/>
      <c r="E11" s="334" t="s">
        <v>632</v>
      </c>
      <c r="F11" s="335"/>
      <c r="G11" s="336"/>
      <c r="H11" s="331" t="s">
        <v>633</v>
      </c>
      <c r="I11" s="332"/>
      <c r="J11" s="333"/>
      <c r="K11" s="328" t="s">
        <v>634</v>
      </c>
      <c r="L11" s="329"/>
      <c r="M11" s="330"/>
    </row>
    <row r="12" spans="1:13" ht="26.25" thickBot="1" x14ac:dyDescent="0.25">
      <c r="A12" s="341"/>
      <c r="B12" s="201" t="s">
        <v>635</v>
      </c>
      <c r="C12" s="201" t="s">
        <v>636</v>
      </c>
      <c r="D12" s="201" t="s">
        <v>369</v>
      </c>
      <c r="E12" s="202" t="s">
        <v>635</v>
      </c>
      <c r="F12" s="202" t="s">
        <v>636</v>
      </c>
      <c r="G12" s="202" t="s">
        <v>369</v>
      </c>
      <c r="H12" s="203" t="s">
        <v>635</v>
      </c>
      <c r="I12" s="203" t="s">
        <v>636</v>
      </c>
      <c r="J12" s="203" t="s">
        <v>369</v>
      </c>
      <c r="K12" s="204" t="s">
        <v>635</v>
      </c>
      <c r="L12" s="204" t="s">
        <v>636</v>
      </c>
      <c r="M12" s="204" t="s">
        <v>369</v>
      </c>
    </row>
    <row r="13" spans="1:13" x14ac:dyDescent="0.2">
      <c r="A13" s="205" t="s">
        <v>637</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638</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639</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40" t="s">
        <v>395</v>
      </c>
      <c r="B16" s="337" t="s">
        <v>631</v>
      </c>
      <c r="C16" s="338"/>
      <c r="D16" s="339"/>
      <c r="E16" s="334" t="s">
        <v>632</v>
      </c>
      <c r="F16" s="335"/>
      <c r="G16" s="336"/>
      <c r="H16" s="331" t="s">
        <v>633</v>
      </c>
      <c r="I16" s="332"/>
      <c r="J16" s="333"/>
      <c r="K16" s="328" t="s">
        <v>634</v>
      </c>
      <c r="L16" s="329"/>
      <c r="M16" s="330"/>
    </row>
    <row r="17" spans="1:13" ht="26.25" thickBot="1" x14ac:dyDescent="0.25">
      <c r="A17" s="341"/>
      <c r="B17" s="201" t="s">
        <v>635</v>
      </c>
      <c r="C17" s="201" t="s">
        <v>636</v>
      </c>
      <c r="D17" s="201" t="s">
        <v>369</v>
      </c>
      <c r="E17" s="202" t="s">
        <v>635</v>
      </c>
      <c r="F17" s="202" t="s">
        <v>636</v>
      </c>
      <c r="G17" s="202" t="s">
        <v>369</v>
      </c>
      <c r="H17" s="203" t="s">
        <v>635</v>
      </c>
      <c r="I17" s="203" t="s">
        <v>636</v>
      </c>
      <c r="J17" s="203" t="s">
        <v>369</v>
      </c>
      <c r="K17" s="204" t="s">
        <v>635</v>
      </c>
      <c r="L17" s="204" t="s">
        <v>636</v>
      </c>
      <c r="M17" s="204" t="s">
        <v>369</v>
      </c>
    </row>
    <row r="18" spans="1:13" x14ac:dyDescent="0.2">
      <c r="A18" s="205" t="s">
        <v>637</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638</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639</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40" t="s">
        <v>642</v>
      </c>
      <c r="B21" s="337" t="s">
        <v>631</v>
      </c>
      <c r="C21" s="338"/>
      <c r="D21" s="339"/>
      <c r="E21" s="334" t="s">
        <v>632</v>
      </c>
      <c r="F21" s="335"/>
      <c r="G21" s="336"/>
      <c r="H21" s="331" t="s">
        <v>633</v>
      </c>
      <c r="I21" s="332"/>
      <c r="J21" s="333"/>
      <c r="K21" s="328" t="s">
        <v>634</v>
      </c>
      <c r="L21" s="329"/>
      <c r="M21" s="330"/>
    </row>
    <row r="22" spans="1:13" ht="26.25" thickBot="1" x14ac:dyDescent="0.25">
      <c r="A22" s="341"/>
      <c r="B22" s="201" t="s">
        <v>635</v>
      </c>
      <c r="C22" s="201" t="s">
        <v>636</v>
      </c>
      <c r="D22" s="201" t="s">
        <v>369</v>
      </c>
      <c r="E22" s="202" t="s">
        <v>635</v>
      </c>
      <c r="F22" s="202" t="s">
        <v>636</v>
      </c>
      <c r="G22" s="202" t="s">
        <v>369</v>
      </c>
      <c r="H22" s="203" t="s">
        <v>635</v>
      </c>
      <c r="I22" s="203" t="s">
        <v>636</v>
      </c>
      <c r="J22" s="203" t="s">
        <v>369</v>
      </c>
      <c r="K22" s="204" t="s">
        <v>635</v>
      </c>
      <c r="L22" s="204" t="s">
        <v>636</v>
      </c>
      <c r="M22" s="204" t="s">
        <v>369</v>
      </c>
    </row>
    <row r="23" spans="1:13" x14ac:dyDescent="0.2">
      <c r="A23" s="205" t="s">
        <v>637</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638</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639</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40" t="s">
        <v>643</v>
      </c>
      <c r="B26" s="337" t="s">
        <v>631</v>
      </c>
      <c r="C26" s="338"/>
      <c r="D26" s="339"/>
      <c r="E26" s="334" t="s">
        <v>632</v>
      </c>
      <c r="F26" s="335"/>
      <c r="G26" s="336"/>
      <c r="H26" s="331" t="s">
        <v>633</v>
      </c>
      <c r="I26" s="332"/>
      <c r="J26" s="333"/>
      <c r="K26" s="328" t="s">
        <v>634</v>
      </c>
      <c r="L26" s="329"/>
      <c r="M26" s="330"/>
    </row>
    <row r="27" spans="1:13" ht="26.25" thickBot="1" x14ac:dyDescent="0.25">
      <c r="A27" s="341"/>
      <c r="B27" s="201" t="s">
        <v>635</v>
      </c>
      <c r="C27" s="201" t="s">
        <v>636</v>
      </c>
      <c r="D27" s="201" t="s">
        <v>369</v>
      </c>
      <c r="E27" s="202" t="s">
        <v>635</v>
      </c>
      <c r="F27" s="202" t="s">
        <v>636</v>
      </c>
      <c r="G27" s="202" t="s">
        <v>369</v>
      </c>
      <c r="H27" s="203" t="s">
        <v>635</v>
      </c>
      <c r="I27" s="203" t="s">
        <v>636</v>
      </c>
      <c r="J27" s="203" t="s">
        <v>369</v>
      </c>
      <c r="K27" s="204" t="s">
        <v>635</v>
      </c>
      <c r="L27" s="204" t="s">
        <v>636</v>
      </c>
      <c r="M27" s="204" t="s">
        <v>369</v>
      </c>
    </row>
    <row r="28" spans="1:13" x14ac:dyDescent="0.2">
      <c r="A28" s="205" t="s">
        <v>637</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638</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639</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646</v>
      </c>
      <c r="B1" s="216" t="s">
        <v>249</v>
      </c>
      <c r="C1" s="200"/>
      <c r="D1" s="200"/>
    </row>
    <row r="2" spans="1:4" x14ac:dyDescent="0.25">
      <c r="A2" s="217" t="s">
        <v>647</v>
      </c>
      <c r="B2" s="218">
        <f>VLOOKUP($B$1,'Snapshot (Value)'!$A:$S,2,0)</f>
        <v>175</v>
      </c>
      <c r="C2" s="200"/>
      <c r="D2" s="200"/>
    </row>
    <row r="3" spans="1:4" x14ac:dyDescent="0.25">
      <c r="A3" s="217" t="s">
        <v>312</v>
      </c>
      <c r="B3" s="219">
        <f>VLOOKUP($B$1,'Snapshot (Value)'!$A:$S,3,0)</f>
        <v>4051</v>
      </c>
      <c r="C3" s="200"/>
      <c r="D3" s="200"/>
    </row>
    <row r="4" spans="1:4" x14ac:dyDescent="0.25">
      <c r="A4" s="217" t="s">
        <v>320</v>
      </c>
      <c r="B4" s="220">
        <f>VLOOKUP($B$1,'Snapshot (Value)'!$A:$S,6,0)</f>
        <v>5.4000000000000909</v>
      </c>
      <c r="C4" s="200"/>
      <c r="D4" s="200"/>
    </row>
    <row r="5" spans="1:4" x14ac:dyDescent="0.25">
      <c r="A5" s="221"/>
      <c r="B5" s="222" t="s">
        <v>648</v>
      </c>
      <c r="C5" s="222" t="s">
        <v>649</v>
      </c>
      <c r="D5" s="222" t="s">
        <v>650</v>
      </c>
    </row>
    <row r="6" spans="1:4" x14ac:dyDescent="0.25">
      <c r="A6" s="217" t="s">
        <v>651</v>
      </c>
      <c r="B6" s="219">
        <f>VLOOKUP($B$1,'Snapshot (Value)'!$A:$S,4,0)</f>
        <v>4056.4</v>
      </c>
      <c r="C6" s="219">
        <f>VLOOKUP($B$1,'Snapshot (Value)'!$A:$S,5,0)</f>
        <v>4106.8999999999996</v>
      </c>
      <c r="D6" s="219">
        <f>+(B6/C6-1)*100</f>
        <v>-1.2296379264165047</v>
      </c>
    </row>
    <row r="7" spans="1:4" x14ac:dyDescent="0.25">
      <c r="A7" s="217" t="s">
        <v>316</v>
      </c>
      <c r="B7" s="219">
        <f>VLOOKUP($B$1,'Snapshot (Volume)'!$A:$S,12,0)</f>
        <v>0.87</v>
      </c>
      <c r="C7" s="219">
        <f>VLOOKUP($B$1,'Snapshot (Volume)'!$A:$S,13,0)</f>
        <v>0.89</v>
      </c>
      <c r="D7" s="219">
        <f>+(B7/C7-1)*100</f>
        <v>-2.2471910112359605</v>
      </c>
    </row>
    <row r="8" spans="1:4" x14ac:dyDescent="0.25">
      <c r="A8" s="217" t="s">
        <v>652</v>
      </c>
      <c r="B8" s="219">
        <f>VLOOKUP($B$1,'Snapshot (Volume)'!$A:$S,15,0)</f>
        <v>0.79</v>
      </c>
      <c r="C8" s="219">
        <f>VLOOKUP($B$1,'Snapshot (Volume)'!$A:$S,16,0)</f>
        <v>0.9</v>
      </c>
      <c r="D8" s="219">
        <f>+(B8/C8-1)*100</f>
        <v>-12.222222222222223</v>
      </c>
    </row>
    <row r="9" spans="1:4" x14ac:dyDescent="0.25">
      <c r="A9" s="215" t="s">
        <v>653</v>
      </c>
      <c r="B9" s="222" t="s">
        <v>654</v>
      </c>
      <c r="C9" s="222" t="s">
        <v>369</v>
      </c>
      <c r="D9" s="222" t="s">
        <v>650</v>
      </c>
    </row>
    <row r="10" spans="1:4" x14ac:dyDescent="0.25">
      <c r="A10" s="217" t="s">
        <v>655</v>
      </c>
      <c r="B10" s="219">
        <f>VLOOKUP($B$1,'OI(Value)'!$A:$O,5,0)</f>
        <v>6046</v>
      </c>
      <c r="C10" s="219">
        <f>VLOOKUP($B$1,'OI(Value)'!$A:$O,6,0)</f>
        <v>25</v>
      </c>
      <c r="D10" s="219">
        <f>VLOOKUP($B$1,'OI(Value)'!$A:$O,7,0)*100</f>
        <v>0.41000000000000003</v>
      </c>
    </row>
    <row r="11" spans="1:4" x14ac:dyDescent="0.25">
      <c r="A11" s="217" t="s">
        <v>656</v>
      </c>
      <c r="B11" s="219">
        <f>VLOOKUP($B$1,'OI(Value)'!$A:$O,8,0)</f>
        <v>3898</v>
      </c>
      <c r="C11" s="219">
        <f>VLOOKUP($B$1,'OI(Value)'!$A:$O,9,0)</f>
        <v>147</v>
      </c>
      <c r="D11" s="219">
        <f>VLOOKUP($B$1,'OI(Value)'!$A:$O,10,0)*100</f>
        <v>3.91</v>
      </c>
    </row>
    <row r="12" spans="1:4" x14ac:dyDescent="0.25">
      <c r="A12" s="217" t="s">
        <v>657</v>
      </c>
      <c r="B12" s="219">
        <f>VLOOKUP($B$1,'OI(Value)'!$A:$O,11,0)</f>
        <v>3395</v>
      </c>
      <c r="C12" s="219">
        <f>VLOOKUP($B$1,'OI(Value)'!$A:$O,12,0)</f>
        <v>60</v>
      </c>
      <c r="D12" s="219">
        <f>VLOOKUP($B$1,'OI(Value)'!$A:$O,13,0)*100</f>
        <v>1.79</v>
      </c>
    </row>
    <row r="13" spans="1:4" x14ac:dyDescent="0.25">
      <c r="A13" s="215" t="s">
        <v>658</v>
      </c>
      <c r="B13" s="223">
        <f>VLOOKUP($B$1,'OI(Value)'!$A:$O,2,0)</f>
        <v>13339</v>
      </c>
      <c r="C13" s="223">
        <f>VLOOKUP($B$1,'OI(Value)'!$A:$O,3,0)</f>
        <v>231</v>
      </c>
      <c r="D13" s="223">
        <f>VLOOKUP($B$1,'OI(Value)'!$A:$O,4,0)*100</f>
        <v>1.76</v>
      </c>
    </row>
    <row r="14" spans="1:4" x14ac:dyDescent="0.25">
      <c r="A14" s="215" t="s">
        <v>659</v>
      </c>
      <c r="B14" s="222" t="s">
        <v>660</v>
      </c>
      <c r="C14" s="222" t="s">
        <v>369</v>
      </c>
      <c r="D14" s="222" t="s">
        <v>650</v>
      </c>
    </row>
    <row r="15" spans="1:4" x14ac:dyDescent="0.25">
      <c r="A15" s="217" t="s">
        <v>655</v>
      </c>
      <c r="B15" s="219">
        <f>VLOOKUP($B$1,'OI(Volume)'!$A:$O,5,0)/10^5</f>
        <v>149.04400000000001</v>
      </c>
      <c r="C15" s="219">
        <f>VLOOKUP($B$1,'OI(Volume)'!$A:$O,6,0)/10^5</f>
        <v>0.60550000000000004</v>
      </c>
      <c r="D15" s="219">
        <f>(VLOOKUP($B$1,'OI(Volume)'!$A:$O,7,0))*100</f>
        <v>0.41000000000000003</v>
      </c>
    </row>
    <row r="16" spans="1:4" x14ac:dyDescent="0.25">
      <c r="A16" s="217" t="s">
        <v>656</v>
      </c>
      <c r="B16" s="219">
        <f>VLOOKUP($B$1,'OI(Volume)'!$A:$O,8,0)/10^5</f>
        <v>96.096000000000004</v>
      </c>
      <c r="C16" s="219">
        <f>VLOOKUP($B$1,'OI(Volume)'!$A:$O,9,0)/10^5</f>
        <v>3.61375</v>
      </c>
      <c r="D16" s="219">
        <f>(VLOOKUP($B$1,'OI(Volume)'!$A:$O,10,0))*100</f>
        <v>3.91</v>
      </c>
    </row>
    <row r="17" spans="1:4" x14ac:dyDescent="0.25">
      <c r="A17" s="217" t="s">
        <v>657</v>
      </c>
      <c r="B17" s="219">
        <f>VLOOKUP($B$1,'OI(Volume)'!$A:$O,11,0)/10^5</f>
        <v>83.686750000000004</v>
      </c>
      <c r="C17" s="219">
        <f>VLOOKUP($B$1,'OI(Volume)'!$A:$O,12,0)/10^5</f>
        <v>1.47525</v>
      </c>
      <c r="D17" s="219">
        <f>(VLOOKUP($B$1,'OI(Volume)'!$A:$O,13,0))*100</f>
        <v>1.79</v>
      </c>
    </row>
    <row r="18" spans="1:4" x14ac:dyDescent="0.25">
      <c r="A18" s="215" t="s">
        <v>661</v>
      </c>
      <c r="B18" s="223">
        <f>VLOOKUP($B$1,'OI(Volume)'!$A:$O,2,0)/10^5</f>
        <v>328.82675</v>
      </c>
      <c r="C18" s="223">
        <f>VLOOKUP($B$1,'OI(Volume)'!$A:$O,3,0)/10^5</f>
        <v>5.6944999999999997</v>
      </c>
      <c r="D18" s="223">
        <f>(VLOOKUP($B$1,'OI(Volume)'!$A:$O,4,0))*100</f>
        <v>1.76</v>
      </c>
    </row>
    <row r="20" spans="1:4" x14ac:dyDescent="0.25">
      <c r="A20" s="17" t="s">
        <v>417</v>
      </c>
      <c r="B20" s="224">
        <f>VLOOKUP($B$1,'Open Interest Position'!$A:$F,2,0)/10^5</f>
        <v>1360.99497</v>
      </c>
    </row>
    <row r="21" spans="1:4" x14ac:dyDescent="0.25">
      <c r="A21" s="17" t="s">
        <v>412</v>
      </c>
      <c r="B21" s="224">
        <f>VLOOKUP($B$1,'Open Interest Position'!$A:$F,3,0)/10^5</f>
        <v>321.50125000000003</v>
      </c>
    </row>
    <row r="22" spans="1:4" x14ac:dyDescent="0.25">
      <c r="A22" s="17" t="s">
        <v>418</v>
      </c>
      <c r="B22" s="224">
        <f>VLOOKUP($B$1,'Open Interest Position'!$A:$F,4,0)/10^5</f>
        <v>153.19036904961999</v>
      </c>
    </row>
    <row r="23" spans="1:4" x14ac:dyDescent="0.25">
      <c r="A23" s="17" t="s">
        <v>419</v>
      </c>
      <c r="B23" s="225">
        <f>VLOOKUP($B$1,'Open Interest Position'!$A:$F,6,0)</f>
        <v>0.23622515665873475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6" t="s">
        <v>329</v>
      </c>
      <c r="B3" s="267"/>
      <c r="C3" s="267"/>
      <c r="D3" s="267"/>
      <c r="E3" s="267"/>
      <c r="F3" s="267"/>
      <c r="G3" s="267"/>
      <c r="H3" s="267"/>
      <c r="I3" s="268"/>
      <c r="J3" s="268"/>
      <c r="K3" s="268"/>
      <c r="L3" s="268"/>
      <c r="M3" s="268"/>
      <c r="N3" s="268"/>
      <c r="O3" s="268"/>
      <c r="P3" s="269"/>
    </row>
    <row r="4" spans="1:36" x14ac:dyDescent="0.25">
      <c r="A4" s="270" t="s">
        <v>330</v>
      </c>
      <c r="B4" s="270"/>
      <c r="C4" s="77" t="s">
        <v>308</v>
      </c>
      <c r="D4" s="272" t="s">
        <v>326</v>
      </c>
      <c r="E4" s="272"/>
      <c r="F4" s="272"/>
      <c r="G4" s="272"/>
      <c r="H4" s="272" t="s">
        <v>457</v>
      </c>
      <c r="I4" s="272"/>
      <c r="J4" s="272"/>
      <c r="K4" s="270" t="s">
        <v>309</v>
      </c>
      <c r="L4" s="270"/>
      <c r="M4" s="270"/>
      <c r="N4" s="270" t="s">
        <v>331</v>
      </c>
      <c r="O4" s="270"/>
      <c r="P4" s="270"/>
    </row>
    <row r="5" spans="1:36" x14ac:dyDescent="0.25">
      <c r="A5" s="271"/>
      <c r="B5" s="271"/>
      <c r="C5" s="65" t="s">
        <v>312</v>
      </c>
      <c r="D5" s="273" t="s">
        <v>314</v>
      </c>
      <c r="E5" s="273"/>
      <c r="F5" s="273"/>
      <c r="G5" s="273"/>
      <c r="H5" s="273" t="s">
        <v>315</v>
      </c>
      <c r="I5" s="273"/>
      <c r="J5" s="273"/>
      <c r="K5" s="271" t="s">
        <v>314</v>
      </c>
      <c r="L5" s="271"/>
      <c r="M5" s="271"/>
      <c r="N5" s="271" t="s">
        <v>315</v>
      </c>
      <c r="O5" s="271"/>
      <c r="P5" s="271"/>
    </row>
    <row r="6" spans="1:36" x14ac:dyDescent="0.25">
      <c r="A6" s="78" t="s">
        <v>332</v>
      </c>
      <c r="B6" s="78" t="s">
        <v>318</v>
      </c>
      <c r="C6" s="65" t="s">
        <v>328</v>
      </c>
      <c r="D6" s="66">
        <f>'Snapshot (Volume)'!B6</f>
        <v>46132</v>
      </c>
      <c r="E6" s="66" t="s">
        <v>368</v>
      </c>
      <c r="F6" s="71" t="s">
        <v>333</v>
      </c>
      <c r="G6" s="71" t="s">
        <v>328</v>
      </c>
      <c r="H6" s="66">
        <f>D6</f>
        <v>46132</v>
      </c>
      <c r="I6" s="71" t="s">
        <v>322</v>
      </c>
      <c r="J6" s="71" t="s">
        <v>328</v>
      </c>
      <c r="K6" s="66">
        <f>D6</f>
        <v>46132</v>
      </c>
      <c r="L6" s="78" t="s">
        <v>333</v>
      </c>
      <c r="M6" s="78" t="s">
        <v>328</v>
      </c>
      <c r="N6" s="66">
        <f>D6</f>
        <v>46132</v>
      </c>
      <c r="O6" s="78" t="s">
        <v>322</v>
      </c>
      <c r="P6" s="78" t="s">
        <v>328</v>
      </c>
    </row>
    <row r="7" spans="1:36" x14ac:dyDescent="0.25">
      <c r="A7" s="79" t="str">
        <f>'Data shares'!B2</f>
        <v>Finance</v>
      </c>
      <c r="B7" s="79" t="str">
        <f>'Data shares'!C2</f>
        <v>360ONE</v>
      </c>
      <c r="C7" s="79">
        <f>VLOOKUP($B7,'Data shares'!$C:$FB,7)</f>
        <v>1109.25</v>
      </c>
      <c r="D7" s="165">
        <f>VLOOKUP($B7,'Data shares'!$C:$FB,98)</f>
        <v>9895000</v>
      </c>
      <c r="E7" s="165">
        <f>VLOOKUP(B7,'Snapshot (Volume)'!$A$7:$G$168,7,0)</f>
        <v>9868000</v>
      </c>
      <c r="F7" s="165">
        <f>D7-E7</f>
        <v>27000</v>
      </c>
      <c r="G7" s="166">
        <f>F7/E7</f>
        <v>2.7361167409809487E-3</v>
      </c>
      <c r="H7" s="165">
        <f>VLOOKUP($B7,'Data shares'!$C:$FB,66)</f>
        <v>5341000</v>
      </c>
      <c r="I7" s="165">
        <f>VLOOKUP($B7,'Data shares'!$C:$FB,67)</f>
        <v>10467500</v>
      </c>
      <c r="J7" s="81">
        <f>(H7-I7)/I7*100</f>
        <v>-48.975400047766897</v>
      </c>
      <c r="K7" s="81">
        <f>VLOOKUP($B7,'Data Vlaue (Cr)'!$C:$FB,99)</f>
        <v>1090</v>
      </c>
      <c r="L7" s="81">
        <f>VLOOKUP(B7,'OI(Value)'!$A$7:$C$232,3,0)</f>
        <v>3</v>
      </c>
      <c r="M7" s="81">
        <f t="shared" ref="M7:M36" si="0">L7/K7*100</f>
        <v>0.27522935779816515</v>
      </c>
      <c r="N7" s="81">
        <f>VLOOKUP($B7,'Data Vlaue (Cr)'!$C:$FB,67)</f>
        <v>588</v>
      </c>
      <c r="O7" s="81">
        <f>VLOOKUP($B7,'Data Vlaue (Cr)'!$C:$FB,68)</f>
        <v>1153</v>
      </c>
      <c r="P7" s="81">
        <f t="shared" ref="P7:P23" si="1">(N7-O7)/N7*100</f>
        <v>-96.088435374149668</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7158</v>
      </c>
      <c r="D8" s="165">
        <f>VLOOKUP($B8,'Data shares'!$C:$FB,98)</f>
        <v>5143375</v>
      </c>
      <c r="E8" s="165">
        <f>VLOOKUP(B8,'Snapshot (Volume)'!$A$7:$G$168,7,0)</f>
        <v>4534125</v>
      </c>
      <c r="F8" s="165">
        <f t="shared" ref="F8:F23" si="2">D8-E8</f>
        <v>609250</v>
      </c>
      <c r="G8" s="166">
        <f t="shared" ref="G8:G23" si="3">F8/E8</f>
        <v>0.13436991701816778</v>
      </c>
      <c r="H8" s="165">
        <f>VLOOKUP($B8,'Data shares'!$C:$FB,66)</f>
        <v>12710500</v>
      </c>
      <c r="I8" s="165">
        <f>VLOOKUP($B8,'Data shares'!$C:$FB,67)</f>
        <v>6812125</v>
      </c>
      <c r="J8" s="81">
        <f t="shared" ref="J8:J22" si="4">(H8-I8)/I8*100</f>
        <v>86.586417600968858</v>
      </c>
      <c r="K8" s="81">
        <f>VLOOKUP($B8,'Data Vlaue (Cr)'!$C:$FB,99)</f>
        <v>3678</v>
      </c>
      <c r="L8" s="81">
        <f>VLOOKUP(B8,'OI(Value)'!$A$7:$C$232,3,0)</f>
        <v>436</v>
      </c>
      <c r="M8" s="81">
        <f t="shared" si="0"/>
        <v>11.854268624252311</v>
      </c>
      <c r="N8" s="81">
        <f>VLOOKUP($B8,'Data Vlaue (Cr)'!$C:$FB,67)</f>
        <v>9089</v>
      </c>
      <c r="O8" s="81">
        <f>VLOOKUP($B8,'Data Vlaue (Cr)'!$C:$FB,68)</f>
        <v>4871</v>
      </c>
      <c r="P8" s="81">
        <f t="shared" si="1"/>
        <v>46.40774562658158</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341.6</v>
      </c>
      <c r="D9" s="165">
        <f>VLOOKUP($B9,'Data shares'!$C:$FB,98)</f>
        <v>66011400</v>
      </c>
      <c r="E9" s="165">
        <f>VLOOKUP(B9,'Snapshot (Volume)'!$A$7:$G$168,7,0)</f>
        <v>70075500</v>
      </c>
      <c r="F9" s="165">
        <f t="shared" si="2"/>
        <v>-4064100</v>
      </c>
      <c r="G9" s="166">
        <f t="shared" si="3"/>
        <v>-5.7996018579960187E-2</v>
      </c>
      <c r="H9" s="165">
        <f>VLOOKUP($B9,'Data shares'!$C:$FB,66)</f>
        <v>38852300</v>
      </c>
      <c r="I9" s="165">
        <f>VLOOKUP($B9,'Data shares'!$C:$FB,67)</f>
        <v>72828300</v>
      </c>
      <c r="J9" s="81">
        <f t="shared" si="4"/>
        <v>-46.652194270633807</v>
      </c>
      <c r="K9" s="81">
        <f>VLOOKUP($B9,'Data Vlaue (Cr)'!$C:$FB,99)</f>
        <v>2251</v>
      </c>
      <c r="L9" s="81">
        <f>VLOOKUP(B9,'OI(Value)'!$A$7:$C$232,3,0)</f>
        <v>-139</v>
      </c>
      <c r="M9" s="81">
        <f t="shared" si="0"/>
        <v>-6.1750333185250996</v>
      </c>
      <c r="N9" s="81">
        <f>VLOOKUP($B9,'Data Vlaue (Cr)'!$C:$FB,67)</f>
        <v>1325</v>
      </c>
      <c r="O9" s="81">
        <f>VLOOKUP($B9,'Data Vlaue (Cr)'!$C:$FB,68)</f>
        <v>2483</v>
      </c>
      <c r="P9" s="81">
        <f t="shared" si="1"/>
        <v>-87.396226415094333</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1259.4000000000001</v>
      </c>
      <c r="D10" s="82">
        <f>VLOOKUP($B10,'Data shares'!$C:$FB,98)</f>
        <v>29461050</v>
      </c>
      <c r="E10" s="165">
        <f>VLOOKUP(B10,'Snapshot (Volume)'!$A$7:$G$168,7,0)</f>
        <v>29965275</v>
      </c>
      <c r="F10" s="165">
        <f t="shared" si="2"/>
        <v>-504225</v>
      </c>
      <c r="G10" s="166">
        <f t="shared" si="3"/>
        <v>-1.6826977226139257E-2</v>
      </c>
      <c r="H10" s="165">
        <f>VLOOKUP($B10,'Data shares'!$C:$FB,66)</f>
        <v>15848325</v>
      </c>
      <c r="I10" s="165">
        <f>VLOOKUP($B10,'Data shares'!$C:$FB,67)</f>
        <v>26327700</v>
      </c>
      <c r="J10" s="81">
        <f t="shared" si="4"/>
        <v>-39.803609886165518</v>
      </c>
      <c r="K10" s="5">
        <f>VLOOKUP($B10,'Data Vlaue (Cr)'!$C:$FB,99)</f>
        <v>3707</v>
      </c>
      <c r="L10" s="81">
        <f>VLOOKUP(B10,'OI(Value)'!$A$7:$C$232,3,0)</f>
        <v>-63</v>
      </c>
      <c r="M10" s="33">
        <f t="shared" si="0"/>
        <v>-1.6994874561640141</v>
      </c>
      <c r="N10" s="5">
        <f>VLOOKUP($B10,'Data Vlaue (Cr)'!$C:$FB,67)</f>
        <v>1994</v>
      </c>
      <c r="O10" s="5">
        <f>VLOOKUP($B10,'Data Vlaue (Cr)'!$C:$FB,68)</f>
        <v>3313</v>
      </c>
      <c r="P10" s="5">
        <f t="shared" si="1"/>
        <v>-66.148445336008024</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2229.6</v>
      </c>
      <c r="D11" s="82">
        <f>VLOOKUP($B11,'Data shares'!$C:$FB,98)</f>
        <v>31771071</v>
      </c>
      <c r="E11" s="165">
        <f>VLOOKUP(B11,'Snapshot (Volume)'!$A$7:$G$168,7,0)</f>
        <v>31390692</v>
      </c>
      <c r="F11" s="165">
        <f t="shared" si="2"/>
        <v>380379</v>
      </c>
      <c r="G11" s="166">
        <f t="shared" si="3"/>
        <v>1.2117572941686026E-2</v>
      </c>
      <c r="H11" s="165">
        <f>VLOOKUP($B11,'Data shares'!$C:$FB,66)</f>
        <v>25199568</v>
      </c>
      <c r="I11" s="165">
        <f>VLOOKUP($B11,'Data shares'!$C:$FB,67)</f>
        <v>24423978</v>
      </c>
      <c r="J11" s="81">
        <f t="shared" si="4"/>
        <v>3.1755269350471904</v>
      </c>
      <c r="K11" s="5">
        <f>VLOOKUP($B11,'Data Vlaue (Cr)'!$C:$FB,99)</f>
        <v>7087</v>
      </c>
      <c r="L11" s="81">
        <f>VLOOKUP(B11,'OI(Value)'!$A$7:$C$232,3,0)</f>
        <v>85</v>
      </c>
      <c r="M11" s="33">
        <f t="shared" si="0"/>
        <v>1.1993791449132214</v>
      </c>
      <c r="N11" s="5">
        <f>VLOOKUP($B11,'Data Vlaue (Cr)'!$C:$FB,67)</f>
        <v>5621</v>
      </c>
      <c r="O11" s="5">
        <f>VLOOKUP($B11,'Data Vlaue (Cr)'!$C:$FB,68)</f>
        <v>5448</v>
      </c>
      <c r="P11" s="5">
        <f t="shared" si="1"/>
        <v>3.0777441736345845</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1152.7</v>
      </c>
      <c r="D12" s="82">
        <f>VLOOKUP($B12,'Data shares'!$C:$FB,98)</f>
        <v>37735800</v>
      </c>
      <c r="E12" s="165">
        <f>VLOOKUP(B12,'Snapshot (Volume)'!$A$7:$G$168,7,0)</f>
        <v>36141600</v>
      </c>
      <c r="F12" s="165">
        <f t="shared" si="2"/>
        <v>1594200</v>
      </c>
      <c r="G12" s="166">
        <f t="shared" si="3"/>
        <v>4.4109834650375192E-2</v>
      </c>
      <c r="H12" s="165">
        <f>VLOOKUP($B12,'Data shares'!$C:$FB,66)</f>
        <v>50078400</v>
      </c>
      <c r="I12" s="165">
        <f>VLOOKUP($B12,'Data shares'!$C:$FB,67)</f>
        <v>24160800</v>
      </c>
      <c r="J12" s="81">
        <f t="shared" si="4"/>
        <v>107.27128240786729</v>
      </c>
      <c r="K12" s="5">
        <f>VLOOKUP($B12,'Data Vlaue (Cr)'!$C:$FB,99)</f>
        <v>4357</v>
      </c>
      <c r="L12" s="81">
        <f>VLOOKUP(B12,'OI(Value)'!$A$7:$C$232,3,0)</f>
        <v>184</v>
      </c>
      <c r="M12" s="33">
        <f t="shared" si="0"/>
        <v>4.2230892816157901</v>
      </c>
      <c r="N12" s="5">
        <f>VLOOKUP($B12,'Data Vlaue (Cr)'!$C:$FB,67)</f>
        <v>5782</v>
      </c>
      <c r="O12" s="5">
        <f>VLOOKUP($B12,'Data Vlaue (Cr)'!$C:$FB,68)</f>
        <v>2789</v>
      </c>
      <c r="P12" s="5">
        <f t="shared" si="1"/>
        <v>51.764095468695949</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1578.4</v>
      </c>
      <c r="D13" s="82">
        <f>VLOOKUP($B13,'Data shares'!$C:$FB,98)</f>
        <v>37489850</v>
      </c>
      <c r="E13" s="165">
        <f>VLOOKUP(B13,'Snapshot (Volume)'!$A$7:$G$168,7,0)</f>
        <v>37163525</v>
      </c>
      <c r="F13" s="165">
        <f t="shared" si="2"/>
        <v>326325</v>
      </c>
      <c r="G13" s="166">
        <f t="shared" si="3"/>
        <v>8.7807870754994313E-3</v>
      </c>
      <c r="H13" s="165">
        <f>VLOOKUP($B13,'Data shares'!$C:$FB,66)</f>
        <v>30987100</v>
      </c>
      <c r="I13" s="165">
        <f>VLOOKUP($B13,'Data shares'!$C:$FB,67)</f>
        <v>41377250</v>
      </c>
      <c r="J13" s="81">
        <f t="shared" si="4"/>
        <v>-25.110779474227989</v>
      </c>
      <c r="K13" s="5">
        <f>VLOOKUP($B13,'Data Vlaue (Cr)'!$C:$FB,99)</f>
        <v>5928</v>
      </c>
      <c r="L13" s="81">
        <f>VLOOKUP(B13,'OI(Value)'!$A$7:$C$232,3,0)</f>
        <v>52</v>
      </c>
      <c r="M13" s="33">
        <f t="shared" si="0"/>
        <v>0.8771929824561403</v>
      </c>
      <c r="N13" s="5">
        <f>VLOOKUP($B13,'Data Vlaue (Cr)'!$C:$FB,67)</f>
        <v>4899</v>
      </c>
      <c r="O13" s="5">
        <f>VLOOKUP($B13,'Data Vlaue (Cr)'!$C:$FB,68)</f>
        <v>6542</v>
      </c>
      <c r="P13" s="5">
        <f t="shared" si="1"/>
        <v>-33.537456623800779</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Power</v>
      </c>
      <c r="B14" s="79" t="str">
        <f>'Data shares'!C9</f>
        <v>ADANIPOWER</v>
      </c>
      <c r="C14" s="4">
        <f>VLOOKUP($B14,'Data shares'!$C:$FB,7)</f>
        <v>200.83</v>
      </c>
      <c r="D14" s="82">
        <f>VLOOKUP($B14,'Data shares'!$C:$FB,98)</f>
        <v>148066950</v>
      </c>
      <c r="E14" s="165">
        <f>VLOOKUP(B14,'Snapshot (Volume)'!$A$7:$G$168,7,0)</f>
        <v>134811250</v>
      </c>
      <c r="F14" s="165">
        <f t="shared" si="2"/>
        <v>13255700</v>
      </c>
      <c r="G14" s="166">
        <f t="shared" si="3"/>
        <v>9.8327847267939431E-2</v>
      </c>
      <c r="H14" s="165">
        <f>VLOOKUP($B14,'Data shares'!$C:$FB,66)</f>
        <v>241059200</v>
      </c>
      <c r="I14" s="165">
        <f>VLOOKUP($B14,'Data shares'!$C:$FB,67)</f>
        <v>240729050</v>
      </c>
      <c r="J14" s="81">
        <f t="shared" si="4"/>
        <v>0.13714589078468095</v>
      </c>
      <c r="K14" s="5">
        <f>VLOOKUP($B14,'Data Vlaue (Cr)'!$C:$FB,99)</f>
        <v>2971</v>
      </c>
      <c r="L14" s="81">
        <f>VLOOKUP(B14,'OI(Value)'!$A$7:$C$232,3,0)</f>
        <v>266</v>
      </c>
      <c r="M14" s="33">
        <f t="shared" si="0"/>
        <v>8.9532144059239318</v>
      </c>
      <c r="N14" s="5">
        <f>VLOOKUP($B14,'Data Vlaue (Cr)'!$C:$FB,67)</f>
        <v>4837</v>
      </c>
      <c r="O14" s="5">
        <f>VLOOKUP($B14,'Data Vlaue (Cr)'!$C:$FB,68)</f>
        <v>4830</v>
      </c>
      <c r="P14" s="5">
        <f t="shared" si="1"/>
        <v>0.14471780028943559</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Pharma</v>
      </c>
      <c r="B15" s="79" t="str">
        <f>'Data shares'!C10</f>
        <v>ALKEM</v>
      </c>
      <c r="C15" s="4">
        <f>VLOOKUP($B15,'Data shares'!$C:$FB,7)</f>
        <v>5642</v>
      </c>
      <c r="D15" s="82">
        <f>VLOOKUP($B15,'Data shares'!$C:$FB,98)</f>
        <v>1782250</v>
      </c>
      <c r="E15" s="165">
        <f>VLOOKUP(B15,'Snapshot (Volume)'!$A$7:$G$168,7,0)</f>
        <v>1606750</v>
      </c>
      <c r="F15" s="165">
        <f t="shared" si="2"/>
        <v>175500</v>
      </c>
      <c r="G15" s="166">
        <f t="shared" si="3"/>
        <v>0.10922669985996578</v>
      </c>
      <c r="H15" s="165">
        <f>VLOOKUP($B15,'Data shares'!$C:$FB,66)</f>
        <v>1528500</v>
      </c>
      <c r="I15" s="165">
        <f>VLOOKUP($B15,'Data shares'!$C:$FB,67)</f>
        <v>479000</v>
      </c>
      <c r="J15" s="81">
        <f t="shared" si="4"/>
        <v>219.10229645093943</v>
      </c>
      <c r="K15" s="5">
        <f>VLOOKUP($B15,'Data Vlaue (Cr)'!$C:$FB,99)</f>
        <v>1005</v>
      </c>
      <c r="L15" s="81">
        <f>VLOOKUP(B15,'OI(Value)'!$A$7:$C$232,3,0)</f>
        <v>99</v>
      </c>
      <c r="M15" s="33">
        <f t="shared" si="0"/>
        <v>9.8507462686567173</v>
      </c>
      <c r="N15" s="5">
        <f>VLOOKUP($B15,'Data Vlaue (Cr)'!$C:$FB,67)</f>
        <v>862</v>
      </c>
      <c r="O15" s="5">
        <f>VLOOKUP($B15,'Data Vlaue (Cr)'!$C:$FB,68)</f>
        <v>270</v>
      </c>
      <c r="P15" s="5">
        <f t="shared" si="1"/>
        <v>68.677494199535957</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Capital_Goods</v>
      </c>
      <c r="B16" s="79" t="str">
        <f>'Data shares'!C11</f>
        <v>AMBER</v>
      </c>
      <c r="C16" s="4">
        <f>VLOOKUP($B16,'Data shares'!$C:$FB,7)</f>
        <v>7980.5</v>
      </c>
      <c r="D16" s="82">
        <f>VLOOKUP($B16,'Data shares'!$C:$FB,98)</f>
        <v>3079800</v>
      </c>
      <c r="E16" s="165">
        <f>VLOOKUP(B16,'Snapshot (Volume)'!$A$7:$G$168,7,0)</f>
        <v>3063900</v>
      </c>
      <c r="F16" s="165">
        <f t="shared" si="2"/>
        <v>15900</v>
      </c>
      <c r="G16" s="166">
        <f t="shared" si="3"/>
        <v>5.189464408107314E-3</v>
      </c>
      <c r="H16" s="165">
        <f>VLOOKUP($B16,'Data shares'!$C:$FB,66)</f>
        <v>3334500</v>
      </c>
      <c r="I16" s="165">
        <f>VLOOKUP($B16,'Data shares'!$C:$FB,67)</f>
        <v>4127900</v>
      </c>
      <c r="J16" s="81">
        <f t="shared" si="4"/>
        <v>-19.220426851425664</v>
      </c>
      <c r="K16" s="5">
        <f>VLOOKUP($B16,'Data Vlaue (Cr)'!$C:$FB,99)</f>
        <v>2447</v>
      </c>
      <c r="L16" s="81">
        <f>VLOOKUP(B16,'OI(Value)'!$A$7:$C$232,3,0)</f>
        <v>13</v>
      </c>
      <c r="M16" s="33">
        <f t="shared" si="0"/>
        <v>0.5312627707396812</v>
      </c>
      <c r="N16" s="5">
        <f>VLOOKUP($B16,'Data Vlaue (Cr)'!$C:$FB,67)</f>
        <v>2649</v>
      </c>
      <c r="O16" s="5">
        <f>VLOOKUP($B16,'Data Vlaue (Cr)'!$C:$FB,68)</f>
        <v>3279</v>
      </c>
      <c r="P16" s="5">
        <f t="shared" si="1"/>
        <v>-23.782559456398641</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Cement</v>
      </c>
      <c r="B17" s="79" t="str">
        <f>'Data shares'!C12</f>
        <v>AMBUJACEM</v>
      </c>
      <c r="C17" s="4">
        <f>VLOOKUP($B17,'Data shares'!$C:$FB,7)</f>
        <v>454.9</v>
      </c>
      <c r="D17" s="82">
        <f>VLOOKUP($B17,'Data shares'!$C:$FB,98)</f>
        <v>79979550</v>
      </c>
      <c r="E17" s="165">
        <f>VLOOKUP(B17,'Snapshot (Volume)'!$A$7:$G$168,7,0)</f>
        <v>80276700</v>
      </c>
      <c r="F17" s="165">
        <f t="shared" si="2"/>
        <v>-297150</v>
      </c>
      <c r="G17" s="166">
        <f t="shared" si="3"/>
        <v>-3.7015721871975307E-3</v>
      </c>
      <c r="H17" s="165">
        <f>VLOOKUP($B17,'Data shares'!$C:$FB,66)</f>
        <v>20955900</v>
      </c>
      <c r="I17" s="165">
        <f>VLOOKUP($B17,'Data shares'!$C:$FB,67)</f>
        <v>14400750</v>
      </c>
      <c r="J17" s="81">
        <f t="shared" si="4"/>
        <v>45.519504192489975</v>
      </c>
      <c r="K17" s="5">
        <f>VLOOKUP($B17,'Data Vlaue (Cr)'!$C:$FB,99)</f>
        <v>3639</v>
      </c>
      <c r="L17" s="81">
        <f>VLOOKUP(B17,'OI(Value)'!$A$7:$C$232,3,0)</f>
        <v>-14</v>
      </c>
      <c r="M17" s="33">
        <f t="shared" si="0"/>
        <v>-0.38472107721901622</v>
      </c>
      <c r="N17" s="5">
        <f>VLOOKUP($B17,'Data Vlaue (Cr)'!$C:$FB,67)</f>
        <v>953</v>
      </c>
      <c r="O17" s="5">
        <f>VLOOKUP($B17,'Data Vlaue (Cr)'!$C:$FB,68)</f>
        <v>655</v>
      </c>
      <c r="P17" s="5">
        <f t="shared" si="1"/>
        <v>31.269674711437567</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Finance</v>
      </c>
      <c r="B18" s="79" t="str">
        <f>'Data shares'!C13</f>
        <v>ANGELONE</v>
      </c>
      <c r="C18" s="4">
        <f>VLOOKUP($B18,'Data shares'!$C:$FB,7)</f>
        <v>319.16000000000003</v>
      </c>
      <c r="D18" s="82">
        <f>VLOOKUP($B18,'Data shares'!$C:$FB,98)</f>
        <v>101200000</v>
      </c>
      <c r="E18" s="165">
        <f>VLOOKUP(B18,'Snapshot (Volume)'!$A$7:$G$168,7,0)</f>
        <v>104005000</v>
      </c>
      <c r="F18" s="165">
        <f t="shared" si="2"/>
        <v>-2805000</v>
      </c>
      <c r="G18" s="166">
        <f t="shared" si="3"/>
        <v>-2.6969857218402962E-2</v>
      </c>
      <c r="H18" s="165">
        <f>VLOOKUP($B18,'Data shares'!$C:$FB,66)</f>
        <v>204637500</v>
      </c>
      <c r="I18" s="165">
        <f>VLOOKUP($B18,'Data shares'!$C:$FB,67)</f>
        <v>688607500</v>
      </c>
      <c r="J18" s="81">
        <f t="shared" si="4"/>
        <v>-70.282417777906858</v>
      </c>
      <c r="K18" s="5">
        <f>VLOOKUP($B18,'Data Vlaue (Cr)'!$C:$FB,99)</f>
        <v>3235</v>
      </c>
      <c r="L18" s="81">
        <f>VLOOKUP(B18,'OI(Value)'!$A$7:$C$232,3,0)</f>
        <v>-90</v>
      </c>
      <c r="M18" s="33">
        <f t="shared" si="0"/>
        <v>-2.7820710973724885</v>
      </c>
      <c r="N18" s="5">
        <f>VLOOKUP($B18,'Data Vlaue (Cr)'!$C:$FB,67)</f>
        <v>6542</v>
      </c>
      <c r="O18" s="5">
        <f>VLOOKUP($B18,'Data Vlaue (Cr)'!$C:$FB,68)</f>
        <v>22015</v>
      </c>
      <c r="P18" s="5">
        <f t="shared" si="1"/>
        <v>-236.51788443900949</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Metals</v>
      </c>
      <c r="B19" s="79" t="str">
        <f>'Data shares'!C14</f>
        <v>APLAPOLLO</v>
      </c>
      <c r="C19" s="4">
        <f>VLOOKUP($B19,'Data shares'!$C:$FB,7)</f>
        <v>2143.9</v>
      </c>
      <c r="D19" s="82">
        <f>VLOOKUP($B19,'Data shares'!$C:$FB,98)</f>
        <v>6952400</v>
      </c>
      <c r="E19" s="165">
        <f>VLOOKUP(B19,'Snapshot (Volume)'!$A$7:$G$168,7,0)</f>
        <v>7244300</v>
      </c>
      <c r="F19" s="165">
        <f t="shared" si="2"/>
        <v>-291900</v>
      </c>
      <c r="G19" s="166">
        <f t="shared" si="3"/>
        <v>-4.0293748188230748E-2</v>
      </c>
      <c r="H19" s="165">
        <f>VLOOKUP($B19,'Data shares'!$C:$FB,66)</f>
        <v>4569250</v>
      </c>
      <c r="I19" s="165">
        <f>VLOOKUP($B19,'Data shares'!$C:$FB,67)</f>
        <v>5713400</v>
      </c>
      <c r="J19" s="81">
        <f t="shared" si="4"/>
        <v>-20.025728987993137</v>
      </c>
      <c r="K19" s="5">
        <f>VLOOKUP($B19,'Data Vlaue (Cr)'!$C:$FB,99)</f>
        <v>1488</v>
      </c>
      <c r="L19" s="81">
        <f>VLOOKUP(B19,'OI(Value)'!$A$7:$C$232,3,0)</f>
        <v>-62</v>
      </c>
      <c r="M19" s="33">
        <f t="shared" si="0"/>
        <v>-4.1666666666666661</v>
      </c>
      <c r="N19" s="5">
        <f>VLOOKUP($B19,'Data Vlaue (Cr)'!$C:$FB,67)</f>
        <v>978</v>
      </c>
      <c r="O19" s="5">
        <f>VLOOKUP($B19,'Data Vlaue (Cr)'!$C:$FB,68)</f>
        <v>1223</v>
      </c>
      <c r="P19" s="5">
        <f t="shared" si="1"/>
        <v>-25.051124744376281</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Pharma</v>
      </c>
      <c r="B20" s="79" t="str">
        <f>'Data shares'!C15</f>
        <v>APOLLOHOSP</v>
      </c>
      <c r="C20" s="4">
        <f>VLOOKUP($B20,'Data shares'!$C:$FB,7)</f>
        <v>7657</v>
      </c>
      <c r="D20" s="82">
        <f>VLOOKUP($B20,'Data shares'!$C:$FB,98)</f>
        <v>4046375</v>
      </c>
      <c r="E20" s="165">
        <f>VLOOKUP(B20,'Snapshot (Volume)'!$A$7:$G$168,7,0)</f>
        <v>4065750</v>
      </c>
      <c r="F20" s="165">
        <f t="shared" si="2"/>
        <v>-19375</v>
      </c>
      <c r="G20" s="166">
        <f t="shared" si="3"/>
        <v>-4.7654184344831825E-3</v>
      </c>
      <c r="H20" s="165">
        <f>VLOOKUP($B20,'Data shares'!$C:$FB,66)</f>
        <v>2665250</v>
      </c>
      <c r="I20" s="165">
        <f>VLOOKUP($B20,'Data shares'!$C:$FB,67)</f>
        <v>4238875</v>
      </c>
      <c r="J20" s="81">
        <f t="shared" si="4"/>
        <v>-37.123647194125795</v>
      </c>
      <c r="K20" s="5">
        <f>VLOOKUP($B20,'Data Vlaue (Cr)'!$C:$FB,99)</f>
        <v>3095</v>
      </c>
      <c r="L20" s="81">
        <f>VLOOKUP(B20,'OI(Value)'!$A$7:$C$232,3,0)</f>
        <v>-15</v>
      </c>
      <c r="M20" s="33">
        <f t="shared" si="0"/>
        <v>-0.48465266558966075</v>
      </c>
      <c r="N20" s="5">
        <f>VLOOKUP($B20,'Data Vlaue (Cr)'!$C:$FB,67)</f>
        <v>2039</v>
      </c>
      <c r="O20" s="5">
        <f>VLOOKUP($B20,'Data Vlaue (Cr)'!$C:$FB,68)</f>
        <v>3243</v>
      </c>
      <c r="P20" s="5">
        <f t="shared" si="1"/>
        <v>-59.048553212359003</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Automobile</v>
      </c>
      <c r="B21" s="79" t="str">
        <f>'Data shares'!C16</f>
        <v>ASHOKLEY</v>
      </c>
      <c r="C21" s="4">
        <f>VLOOKUP($B21,'Data shares'!$C:$FB,7)</f>
        <v>175.96</v>
      </c>
      <c r="D21" s="82">
        <f>VLOOKUP($B21,'Data shares'!$C:$FB,98)</f>
        <v>300470000</v>
      </c>
      <c r="E21" s="165">
        <f>VLOOKUP(B21,'Snapshot (Volume)'!$A$7:$G$168,7,0)</f>
        <v>298470000</v>
      </c>
      <c r="F21" s="165">
        <f t="shared" si="2"/>
        <v>2000000</v>
      </c>
      <c r="G21" s="166">
        <f t="shared" si="3"/>
        <v>6.7008409555399202E-3</v>
      </c>
      <c r="H21" s="165">
        <f>VLOOKUP($B21,'Data shares'!$C:$FB,66)</f>
        <v>162665000</v>
      </c>
      <c r="I21" s="165">
        <f>VLOOKUP($B21,'Data shares'!$C:$FB,67)</f>
        <v>152315000</v>
      </c>
      <c r="J21" s="81">
        <f t="shared" si="4"/>
        <v>6.7951285165610749</v>
      </c>
      <c r="K21" s="5">
        <f>VLOOKUP($B21,'Data Vlaue (Cr)'!$C:$FB,99)</f>
        <v>5294</v>
      </c>
      <c r="L21" s="81">
        <f>VLOOKUP(B21,'OI(Value)'!$A$7:$C$232,3,0)</f>
        <v>35</v>
      </c>
      <c r="M21" s="33">
        <f t="shared" si="0"/>
        <v>0.66112580279561761</v>
      </c>
      <c r="N21" s="5">
        <f>VLOOKUP($B21,'Data Vlaue (Cr)'!$C:$FB,67)</f>
        <v>2866</v>
      </c>
      <c r="O21" s="5">
        <f>VLOOKUP($B21,'Data Vlaue (Cr)'!$C:$FB,68)</f>
        <v>2683</v>
      </c>
      <c r="P21" s="5">
        <f t="shared" si="1"/>
        <v>6.3852058618283314</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FMCG</v>
      </c>
      <c r="B22" s="79" t="str">
        <f>'Data shares'!C17</f>
        <v>ASIANPAINT</v>
      </c>
      <c r="C22" s="4">
        <f>VLOOKUP($B22,'Data shares'!$C:$FB,7)</f>
        <v>2516.8000000000002</v>
      </c>
      <c r="D22" s="82">
        <f>VLOOKUP($B22,'Data shares'!$C:$FB,98)</f>
        <v>25262500</v>
      </c>
      <c r="E22" s="165">
        <f>VLOOKUP(B22,'Snapshot (Volume)'!$A$7:$G$168,7,0)</f>
        <v>24184500</v>
      </c>
      <c r="F22" s="165">
        <f t="shared" si="2"/>
        <v>1078000</v>
      </c>
      <c r="G22" s="166">
        <f t="shared" si="3"/>
        <v>4.4574004010833383E-2</v>
      </c>
      <c r="H22" s="165">
        <f>VLOOKUP($B22,'Data shares'!$C:$FB,66)</f>
        <v>18588500</v>
      </c>
      <c r="I22" s="165">
        <f>VLOOKUP($B22,'Data shares'!$C:$FB,67)</f>
        <v>18909250</v>
      </c>
      <c r="J22" s="81">
        <f t="shared" si="4"/>
        <v>-1.6962597670452291</v>
      </c>
      <c r="K22" s="5">
        <f>VLOOKUP($B22,'Data Vlaue (Cr)'!$C:$FB,99)</f>
        <v>6353</v>
      </c>
      <c r="L22" s="81">
        <f>VLOOKUP(B22,'OI(Value)'!$A$7:$C$232,3,0)</f>
        <v>271</v>
      </c>
      <c r="M22" s="33">
        <f t="shared" si="0"/>
        <v>4.2657012435070047</v>
      </c>
      <c r="N22" s="5">
        <f>VLOOKUP($B22,'Data Vlaue (Cr)'!$C:$FB,67)</f>
        <v>4674</v>
      </c>
      <c r="O22" s="5">
        <f>VLOOKUP($B22,'Data Vlaue (Cr)'!$C:$FB,68)</f>
        <v>4755</v>
      </c>
      <c r="P22" s="5">
        <f t="shared" si="1"/>
        <v>-1.7329910141206675</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Capital_Goods</v>
      </c>
      <c r="B23" s="79" t="str">
        <f>'Data shares'!C18</f>
        <v>ASTRAL</v>
      </c>
      <c r="C23" s="4">
        <f>VLOOKUP($B23,'Data shares'!$C:$FB,7)</f>
        <v>1591.4</v>
      </c>
      <c r="D23" s="82">
        <f>VLOOKUP($B23,'Data shares'!$C:$FB,98)</f>
        <v>21006475</v>
      </c>
      <c r="E23" s="165">
        <f>VLOOKUP(B23,'Snapshot (Volume)'!$A$7:$G$168,7,0)</f>
        <v>20852625</v>
      </c>
      <c r="F23" s="165">
        <f t="shared" si="2"/>
        <v>153850</v>
      </c>
      <c r="G23" s="166">
        <f t="shared" si="3"/>
        <v>7.3779680016304904E-3</v>
      </c>
      <c r="H23" s="165">
        <f>VLOOKUP($B23,'Data shares'!$C:$FB,66)</f>
        <v>9291775</v>
      </c>
      <c r="I23" s="165">
        <f>VLOOKUP($B23,'Data shares'!$C:$FB,67)</f>
        <v>17834275</v>
      </c>
      <c r="J23" s="81">
        <f>(H23-I23)/I23*100</f>
        <v>-47.899339894669112</v>
      </c>
      <c r="K23" s="5">
        <f>VLOOKUP($B23,'Data Vlaue (Cr)'!$C:$FB,99)</f>
        <v>3240</v>
      </c>
      <c r="L23" s="81">
        <f>VLOOKUP(B23,'OI(Value)'!$A$7:$C$232,3,0)</f>
        <v>24</v>
      </c>
      <c r="M23" s="33">
        <f t="shared" si="0"/>
        <v>0.74074074074074081</v>
      </c>
      <c r="N23" s="5">
        <f>VLOOKUP($B23,'Data Vlaue (Cr)'!$C:$FB,67)</f>
        <v>1433</v>
      </c>
      <c r="O23" s="5">
        <f>VLOOKUP($B23,'Data Vlaue (Cr)'!$C:$FB,68)</f>
        <v>2751</v>
      </c>
      <c r="P23" s="5">
        <f t="shared" si="1"/>
        <v>-91.974877878576407</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Banking</v>
      </c>
      <c r="B24" s="79" t="str">
        <f>'Data shares'!C19</f>
        <v>AUBANK</v>
      </c>
      <c r="C24" s="79">
        <f>VLOOKUP($B24,'Data shares'!$C:$FB,7)</f>
        <v>997.65</v>
      </c>
      <c r="D24" s="80">
        <f>VLOOKUP($B24,'Data shares'!$C:$FB,98)</f>
        <v>37668000</v>
      </c>
      <c r="E24" s="165">
        <f>VLOOKUP(B24,'Snapshot (Volume)'!$A$7:$G$168,7,0)</f>
        <v>36954000</v>
      </c>
      <c r="F24" s="165">
        <f t="shared" ref="F24:F36" si="5">D24-E24</f>
        <v>714000</v>
      </c>
      <c r="G24" s="166">
        <f t="shared" ref="G24:G36" si="6">F24/E24</f>
        <v>1.932131839584348E-2</v>
      </c>
      <c r="H24" s="165">
        <f>VLOOKUP($B24,'Data shares'!$C:$FB,66)</f>
        <v>20703000</v>
      </c>
      <c r="I24" s="165">
        <f>VLOOKUP($B24,'Data shares'!$C:$FB,67)</f>
        <v>11682000</v>
      </c>
      <c r="J24" s="81">
        <f t="shared" ref="J24:J36" si="7">(H24-I24)/I24*100</f>
        <v>77.221366204417052</v>
      </c>
      <c r="K24" s="81">
        <f>VLOOKUP($B24,'Data Vlaue (Cr)'!$C:$FB,99)</f>
        <v>3762</v>
      </c>
      <c r="L24" s="81">
        <f>VLOOKUP(B24,'OI(Value)'!$A$7:$C$232,3,0)</f>
        <v>71</v>
      </c>
      <c r="M24" s="81">
        <f t="shared" si="0"/>
        <v>1.8872939925571504</v>
      </c>
      <c r="N24" s="81">
        <f>VLOOKUP($B24,'Data Vlaue (Cr)'!$C:$FB,67)</f>
        <v>2068</v>
      </c>
      <c r="O24" s="81">
        <f>VLOOKUP($B24,'Data Vlaue (Cr)'!$C:$FB,68)</f>
        <v>1167</v>
      </c>
      <c r="P24" s="81">
        <f t="shared" ref="P24:P36" si="8">(N24-O24)/N24*100</f>
        <v>43.568665377176011</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Pharma</v>
      </c>
      <c r="B25" s="79" t="str">
        <f>'Data shares'!C20</f>
        <v>AUROPHARMA</v>
      </c>
      <c r="C25" s="4">
        <f>VLOOKUP($B25,'Data shares'!$C:$FB,7)</f>
        <v>1367.8</v>
      </c>
      <c r="D25" s="82">
        <f>VLOOKUP($B25,'Data shares'!$C:$FB,98)</f>
        <v>28223800</v>
      </c>
      <c r="E25" s="165">
        <f>VLOOKUP(B25,'Snapshot (Volume)'!$A$7:$G$168,7,0)</f>
        <v>27563800</v>
      </c>
      <c r="F25" s="165">
        <f t="shared" si="5"/>
        <v>660000</v>
      </c>
      <c r="G25" s="166">
        <f t="shared" si="6"/>
        <v>2.3944448878601643E-2</v>
      </c>
      <c r="H25" s="165">
        <f>VLOOKUP($B25,'Data shares'!$C:$FB,66)</f>
        <v>15115650</v>
      </c>
      <c r="I25" s="165">
        <f>VLOOKUP($B25,'Data shares'!$C:$FB,67)</f>
        <v>7662600</v>
      </c>
      <c r="J25" s="81">
        <f t="shared" si="7"/>
        <v>97.265288544358313</v>
      </c>
      <c r="K25" s="5">
        <f>VLOOKUP($B25,'Data Vlaue (Cr)'!$C:$FB,99)</f>
        <v>3866</v>
      </c>
      <c r="L25" s="81">
        <f>VLOOKUP(B25,'OI(Value)'!$A$7:$C$232,3,0)</f>
        <v>90</v>
      </c>
      <c r="M25" s="33">
        <f t="shared" si="0"/>
        <v>2.3279875840662183</v>
      </c>
      <c r="N25" s="5">
        <f>VLOOKUP($B25,'Data Vlaue (Cr)'!$C:$FB,67)</f>
        <v>2070</v>
      </c>
      <c r="O25" s="5">
        <f>VLOOKUP($B25,'Data Vlaue (Cr)'!$C:$FB,68)</f>
        <v>1049</v>
      </c>
      <c r="P25" s="5">
        <f t="shared" si="8"/>
        <v>49.323671497584542</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Banking</v>
      </c>
      <c r="B26" s="79" t="str">
        <f>'Data shares'!C21</f>
        <v>AXISBANK</v>
      </c>
      <c r="C26" s="4">
        <f>VLOOKUP($B26,'Data shares'!$C:$FB,7)</f>
        <v>1354.7</v>
      </c>
      <c r="D26" s="82">
        <f>VLOOKUP($B26,'Data shares'!$C:$FB,98)</f>
        <v>95133125</v>
      </c>
      <c r="E26" s="165">
        <f>VLOOKUP(B26,'Snapshot (Volume)'!$A$7:$G$168,7,0)</f>
        <v>95240000</v>
      </c>
      <c r="F26" s="165">
        <f t="shared" si="5"/>
        <v>-106875</v>
      </c>
      <c r="G26" s="166">
        <f t="shared" si="6"/>
        <v>-1.1221650566988659E-3</v>
      </c>
      <c r="H26" s="165">
        <f>VLOOKUP($B26,'Data shares'!$C:$FB,66)</f>
        <v>39440000</v>
      </c>
      <c r="I26" s="165">
        <f>VLOOKUP($B26,'Data shares'!$C:$FB,67)</f>
        <v>34241250</v>
      </c>
      <c r="J26" s="81">
        <f t="shared" si="7"/>
        <v>15.182710911546746</v>
      </c>
      <c r="K26" s="5">
        <f>VLOOKUP($B26,'Data Vlaue (Cr)'!$C:$FB,99)</f>
        <v>12902</v>
      </c>
      <c r="L26" s="81">
        <f>VLOOKUP(B26,'OI(Value)'!$A$7:$C$232,3,0)</f>
        <v>-14</v>
      </c>
      <c r="M26" s="33">
        <f t="shared" si="0"/>
        <v>-0.10851030847930554</v>
      </c>
      <c r="N26" s="5">
        <f>VLOOKUP($B26,'Data Vlaue (Cr)'!$C:$FB,67)</f>
        <v>5349</v>
      </c>
      <c r="O26" s="5">
        <f>VLOOKUP($B26,'Data Vlaue (Cr)'!$C:$FB,68)</f>
        <v>4644</v>
      </c>
      <c r="P26" s="5">
        <f t="shared" si="8"/>
        <v>13.180033651149747</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Automobile</v>
      </c>
      <c r="B27" s="79" t="str">
        <f>'Data shares'!C22</f>
        <v>BAJAJ-AUTO</v>
      </c>
      <c r="C27" s="4">
        <f>VLOOKUP($B27,'Data shares'!$C:$FB,7)</f>
        <v>9803</v>
      </c>
      <c r="D27" s="82">
        <f>VLOOKUP($B27,'Data shares'!$C:$FB,98)</f>
        <v>5395800</v>
      </c>
      <c r="E27" s="165">
        <f>VLOOKUP(B27,'Snapshot (Volume)'!$A$7:$G$168,7,0)</f>
        <v>5486775</v>
      </c>
      <c r="F27" s="165">
        <f t="shared" si="5"/>
        <v>-90975</v>
      </c>
      <c r="G27" s="166">
        <f t="shared" si="6"/>
        <v>-1.6580778326065859E-2</v>
      </c>
      <c r="H27" s="165">
        <f>VLOOKUP($B27,'Data shares'!$C:$FB,66)</f>
        <v>2968200</v>
      </c>
      <c r="I27" s="165">
        <f>VLOOKUP($B27,'Data shares'!$C:$FB,67)</f>
        <v>2426100</v>
      </c>
      <c r="J27" s="81">
        <f t="shared" si="7"/>
        <v>22.344503524174598</v>
      </c>
      <c r="K27" s="5">
        <f>VLOOKUP($B27,'Data Vlaue (Cr)'!$C:$FB,99)</f>
        <v>5294</v>
      </c>
      <c r="L27" s="81">
        <f>VLOOKUP(B27,'OI(Value)'!$A$7:$C$232,3,0)</f>
        <v>-89</v>
      </c>
      <c r="M27" s="33">
        <f t="shared" si="0"/>
        <v>-1.6811484699659991</v>
      </c>
      <c r="N27" s="5">
        <f>VLOOKUP($B27,'Data Vlaue (Cr)'!$C:$FB,67)</f>
        <v>2912</v>
      </c>
      <c r="O27" s="5">
        <f>VLOOKUP($B27,'Data Vlaue (Cr)'!$C:$FB,68)</f>
        <v>2380</v>
      </c>
      <c r="P27" s="5">
        <f t="shared" si="8"/>
        <v>18.269230769230766</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BAJAJFINSV</v>
      </c>
      <c r="C28" s="4">
        <f>VLOOKUP($B28,'Data shares'!$C:$FB,7)</f>
        <v>1830.6</v>
      </c>
      <c r="D28" s="82">
        <f>VLOOKUP($B28,'Data shares'!$C:$FB,98)</f>
        <v>18117250</v>
      </c>
      <c r="E28" s="165">
        <f>VLOOKUP(B28,'Snapshot (Volume)'!$A$7:$G$168,7,0)</f>
        <v>18279500</v>
      </c>
      <c r="F28" s="165">
        <f t="shared" si="5"/>
        <v>-162250</v>
      </c>
      <c r="G28" s="166">
        <f t="shared" si="6"/>
        <v>-8.8760633496539846E-3</v>
      </c>
      <c r="H28" s="165">
        <f>VLOOKUP($B28,'Data shares'!$C:$FB,66)</f>
        <v>5063750</v>
      </c>
      <c r="I28" s="165">
        <f>VLOOKUP($B28,'Data shares'!$C:$FB,67)</f>
        <v>3670250</v>
      </c>
      <c r="J28" s="81">
        <f t="shared" si="7"/>
        <v>37.967440910019754</v>
      </c>
      <c r="K28" s="5">
        <f>VLOOKUP($B28,'Data Vlaue (Cr)'!$C:$FB,99)</f>
        <v>3312</v>
      </c>
      <c r="L28" s="81">
        <f>VLOOKUP(B28,'OI(Value)'!$A$7:$C$232,3,0)</f>
        <v>-30</v>
      </c>
      <c r="M28" s="33">
        <f t="shared" si="0"/>
        <v>-0.90579710144927539</v>
      </c>
      <c r="N28" s="5">
        <f>VLOOKUP($B28,'Data Vlaue (Cr)'!$C:$FB,67)</f>
        <v>926</v>
      </c>
      <c r="O28" s="5">
        <f>VLOOKUP($B28,'Data Vlaue (Cr)'!$C:$FB,68)</f>
        <v>671</v>
      </c>
      <c r="P28" s="5">
        <f t="shared" si="8"/>
        <v>27.5377969762419</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Finance</v>
      </c>
      <c r="B29" s="79" t="str">
        <f>'Data shares'!C24</f>
        <v>BAJAJHLDNG</v>
      </c>
      <c r="C29" s="4">
        <f>VLOOKUP($B29,'Data shares'!$C:$FB,7)</f>
        <v>10388</v>
      </c>
      <c r="D29" s="82">
        <f>VLOOKUP($B29,'Data shares'!$C:$FB,98)</f>
        <v>426050</v>
      </c>
      <c r="E29" s="165">
        <f>VLOOKUP(B29,'Snapshot (Volume)'!$A$7:$G$168,7,0)</f>
        <v>426000</v>
      </c>
      <c r="F29" s="165">
        <f t="shared" si="5"/>
        <v>50</v>
      </c>
      <c r="G29" s="166">
        <f t="shared" si="6"/>
        <v>1.1737089201877934E-4</v>
      </c>
      <c r="H29" s="165">
        <f>VLOOKUP($B29,'Data shares'!$C:$FB,66)</f>
        <v>536400</v>
      </c>
      <c r="I29" s="165">
        <f>VLOOKUP($B29,'Data shares'!$C:$FB,67)</f>
        <v>252400</v>
      </c>
      <c r="J29" s="81">
        <f t="shared" si="7"/>
        <v>112.51980982567353</v>
      </c>
      <c r="K29" s="5">
        <f>VLOOKUP($B29,'Data Vlaue (Cr)'!$C:$FB,99)</f>
        <v>442</v>
      </c>
      <c r="L29" s="81">
        <f>VLOOKUP(B29,'OI(Value)'!$A$7:$C$232,3,0)</f>
        <v>0</v>
      </c>
      <c r="M29" s="33">
        <f t="shared" si="0"/>
        <v>0</v>
      </c>
      <c r="N29" s="5">
        <f>VLOOKUP($B29,'Data Vlaue (Cr)'!$C:$FB,67)</f>
        <v>556</v>
      </c>
      <c r="O29" s="5">
        <f>VLOOKUP($B29,'Data Vlaue (Cr)'!$C:$FB,68)</f>
        <v>262</v>
      </c>
      <c r="P29" s="5">
        <f t="shared" si="8"/>
        <v>52.877697841726622</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Finance</v>
      </c>
      <c r="B30" s="79" t="str">
        <f>'Data shares'!C25</f>
        <v>BAJFINANCE</v>
      </c>
      <c r="C30" s="4">
        <f>VLOOKUP($B30,'Data shares'!$C:$FB,7)</f>
        <v>917.75</v>
      </c>
      <c r="D30" s="82">
        <f>VLOOKUP($B30,'Data shares'!$C:$FB,98)</f>
        <v>108551250</v>
      </c>
      <c r="E30" s="165">
        <f>VLOOKUP(B30,'Snapshot (Volume)'!$A$7:$G$168,7,0)</f>
        <v>109996500</v>
      </c>
      <c r="F30" s="165">
        <f t="shared" si="5"/>
        <v>-1445250</v>
      </c>
      <c r="G30" s="166">
        <f t="shared" si="6"/>
        <v>-1.313905442445896E-2</v>
      </c>
      <c r="H30" s="165">
        <f>VLOOKUP($B30,'Data shares'!$C:$FB,66)</f>
        <v>38284500</v>
      </c>
      <c r="I30" s="165">
        <f>VLOOKUP($B30,'Data shares'!$C:$FB,67)</f>
        <v>27449250</v>
      </c>
      <c r="J30" s="81">
        <f t="shared" si="7"/>
        <v>39.473756113555012</v>
      </c>
      <c r="K30" s="5">
        <f>VLOOKUP($B30,'Data Vlaue (Cr)'!$C:$FB,99)</f>
        <v>9954</v>
      </c>
      <c r="L30" s="81">
        <f>VLOOKUP(B30,'OI(Value)'!$A$7:$C$232,3,0)</f>
        <v>-133</v>
      </c>
      <c r="M30" s="33">
        <f t="shared" si="0"/>
        <v>-1.3361462728551337</v>
      </c>
      <c r="N30" s="5">
        <f>VLOOKUP($B30,'Data Vlaue (Cr)'!$C:$FB,67)</f>
        <v>3510</v>
      </c>
      <c r="O30" s="5">
        <f>VLOOKUP($B30,'Data Vlaue (Cr)'!$C:$FB,68)</f>
        <v>2517</v>
      </c>
      <c r="P30" s="5">
        <f t="shared" si="8"/>
        <v>28.29059829059829</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BANDHANBNK</v>
      </c>
      <c r="C31" s="4">
        <f>VLOOKUP($B31,'Data shares'!$C:$FB,7)</f>
        <v>175.43</v>
      </c>
      <c r="D31" s="82">
        <f>VLOOKUP($B31,'Data shares'!$C:$FB,98)</f>
        <v>134139600</v>
      </c>
      <c r="E31" s="165">
        <f>VLOOKUP(B31,'Snapshot (Volume)'!$A$7:$G$168,7,0)</f>
        <v>135511200</v>
      </c>
      <c r="F31" s="165">
        <f t="shared" si="5"/>
        <v>-1371600</v>
      </c>
      <c r="G31" s="166">
        <f t="shared" si="6"/>
        <v>-1.0121672599755592E-2</v>
      </c>
      <c r="H31" s="165">
        <f>VLOOKUP($B31,'Data shares'!$C:$FB,66)</f>
        <v>47278800</v>
      </c>
      <c r="I31" s="165">
        <f>VLOOKUP($B31,'Data shares'!$C:$FB,67)</f>
        <v>42001200</v>
      </c>
      <c r="J31" s="81">
        <f t="shared" si="7"/>
        <v>12.565355275563556</v>
      </c>
      <c r="K31" s="5">
        <f>VLOOKUP($B31,'Data Vlaue (Cr)'!$C:$FB,99)</f>
        <v>2350</v>
      </c>
      <c r="L31" s="81">
        <f>VLOOKUP(B31,'OI(Value)'!$A$7:$C$232,3,0)</f>
        <v>-24</v>
      </c>
      <c r="M31" s="33">
        <f t="shared" si="0"/>
        <v>-1.0212765957446808</v>
      </c>
      <c r="N31" s="5">
        <f>VLOOKUP($B31,'Data Vlaue (Cr)'!$C:$FB,67)</f>
        <v>828</v>
      </c>
      <c r="O31" s="5">
        <f>VLOOKUP($B31,'Data Vlaue (Cr)'!$C:$FB,68)</f>
        <v>736</v>
      </c>
      <c r="P31" s="5">
        <f t="shared" si="8"/>
        <v>11.111111111111111</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Banking</v>
      </c>
      <c r="B32" s="79" t="str">
        <f>'Data shares'!C27</f>
        <v>BANKBARODA</v>
      </c>
      <c r="C32" s="4">
        <f>VLOOKUP($B32,'Data shares'!$C:$FB,7)</f>
        <v>281.01</v>
      </c>
      <c r="D32" s="82">
        <f>VLOOKUP($B32,'Data shares'!$C:$FB,98)</f>
        <v>188144775</v>
      </c>
      <c r="E32" s="165">
        <f>VLOOKUP(B32,'Snapshot (Volume)'!$A$7:$G$168,7,0)</f>
        <v>183991275</v>
      </c>
      <c r="F32" s="165">
        <f t="shared" si="5"/>
        <v>4153500</v>
      </c>
      <c r="G32" s="166">
        <f t="shared" si="6"/>
        <v>2.2574440010810295E-2</v>
      </c>
      <c r="H32" s="165">
        <f>VLOOKUP($B32,'Data shares'!$C:$FB,66)</f>
        <v>116739675</v>
      </c>
      <c r="I32" s="165">
        <f>VLOOKUP($B32,'Data shares'!$C:$FB,67)</f>
        <v>84333600</v>
      </c>
      <c r="J32" s="81">
        <f t="shared" si="7"/>
        <v>38.42605438401776</v>
      </c>
      <c r="K32" s="5">
        <f>VLOOKUP($B32,'Data Vlaue (Cr)'!$C:$FB,99)</f>
        <v>5287</v>
      </c>
      <c r="L32" s="81">
        <f>VLOOKUP(B32,'OI(Value)'!$A$7:$C$232,3,0)</f>
        <v>117</v>
      </c>
      <c r="M32" s="33">
        <f t="shared" si="0"/>
        <v>2.2129752222432382</v>
      </c>
      <c r="N32" s="5">
        <f>VLOOKUP($B32,'Data Vlaue (Cr)'!$C:$FB,67)</f>
        <v>3280</v>
      </c>
      <c r="O32" s="5">
        <f>VLOOKUP($B32,'Data Vlaue (Cr)'!$C:$FB,68)</f>
        <v>2370</v>
      </c>
      <c r="P32" s="5">
        <f t="shared" si="8"/>
        <v>27.743902439024392</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Banking</v>
      </c>
      <c r="B33" s="79" t="str">
        <f>'Data shares'!C28</f>
        <v>BANKINDIA</v>
      </c>
      <c r="C33" s="4">
        <f>VLOOKUP($B33,'Data shares'!$C:$FB,7)</f>
        <v>148.31</v>
      </c>
      <c r="D33" s="82">
        <f>VLOOKUP($B33,'Data shares'!$C:$FB,98)</f>
        <v>109818800</v>
      </c>
      <c r="E33" s="165">
        <f>VLOOKUP(B33,'Snapshot (Volume)'!$A$7:$G$168,7,0)</f>
        <v>104499200</v>
      </c>
      <c r="F33" s="165">
        <f t="shared" si="5"/>
        <v>5319600</v>
      </c>
      <c r="G33" s="166">
        <f t="shared" si="6"/>
        <v>5.0905652866242039E-2</v>
      </c>
      <c r="H33" s="165">
        <f>VLOOKUP($B33,'Data shares'!$C:$FB,66)</f>
        <v>71682000</v>
      </c>
      <c r="I33" s="165">
        <f>VLOOKUP($B33,'Data shares'!$C:$FB,67)</f>
        <v>49228400</v>
      </c>
      <c r="J33" s="81">
        <f t="shared" si="7"/>
        <v>45.611070032745324</v>
      </c>
      <c r="K33" s="5">
        <f>VLOOKUP($B33,'Data Vlaue (Cr)'!$C:$FB,99)</f>
        <v>1631</v>
      </c>
      <c r="L33" s="81">
        <f>VLOOKUP(B33,'OI(Value)'!$A$7:$C$232,3,0)</f>
        <v>79</v>
      </c>
      <c r="M33" s="33">
        <f t="shared" si="0"/>
        <v>4.8436541998773759</v>
      </c>
      <c r="N33" s="5">
        <f>VLOOKUP($B33,'Data Vlaue (Cr)'!$C:$FB,67)</f>
        <v>1065</v>
      </c>
      <c r="O33" s="5">
        <f>VLOOKUP($B33,'Data Vlaue (Cr)'!$C:$FB,68)</f>
        <v>731</v>
      </c>
      <c r="P33" s="5">
        <f t="shared" si="8"/>
        <v>31.36150234741784</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Index</v>
      </c>
      <c r="B34" s="79" t="str">
        <f>'Data shares'!C29</f>
        <v>BANKNIFTY</v>
      </c>
      <c r="C34" s="4">
        <f>VLOOKUP($B34,'Data shares'!$C:$FB,7)</f>
        <v>56582.35</v>
      </c>
      <c r="D34" s="82">
        <f>VLOOKUP($B34,'Data shares'!$C:$FB,98)</f>
        <v>41878200</v>
      </c>
      <c r="E34" s="165">
        <f>VLOOKUP(B34,'Snapshot (Volume)'!$A$7:$G$168,7,0)</f>
        <v>41114100</v>
      </c>
      <c r="F34" s="165">
        <f t="shared" si="5"/>
        <v>764100</v>
      </c>
      <c r="G34" s="166">
        <f t="shared" si="6"/>
        <v>1.8584865046297985E-2</v>
      </c>
      <c r="H34" s="165">
        <f>VLOOKUP($B34,'Data shares'!$C:$FB,66)</f>
        <v>109443510</v>
      </c>
      <c r="I34" s="165">
        <f>VLOOKUP($B34,'Data shares'!$C:$FB,67)</f>
        <v>77146710</v>
      </c>
      <c r="J34" s="81">
        <f t="shared" si="7"/>
        <v>41.864131341440228</v>
      </c>
      <c r="K34" s="5">
        <f>VLOOKUP($B34,'Data Vlaue (Cr)'!$C:$FB,99)</f>
        <v>236900</v>
      </c>
      <c r="L34" s="81">
        <f>VLOOKUP(B34,'OI(Value)'!$A$7:$C$232,3,0)</f>
        <v>4322</v>
      </c>
      <c r="M34" s="33">
        <f t="shared" si="0"/>
        <v>1.8243984803714648</v>
      </c>
      <c r="N34" s="5">
        <f>VLOOKUP($B34,'Data Vlaue (Cr)'!$C:$FB,67)</f>
        <v>619109</v>
      </c>
      <c r="O34" s="5">
        <f>VLOOKUP($B34,'Data Vlaue (Cr)'!$C:$FB,68)</f>
        <v>436410</v>
      </c>
      <c r="P34" s="5">
        <f t="shared" si="8"/>
        <v>29.509989355670811</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Capital_Goods</v>
      </c>
      <c r="B35" s="79" t="str">
        <f>'Data shares'!C30</f>
        <v>BDL</v>
      </c>
      <c r="C35" s="4">
        <f>VLOOKUP($B35,'Data shares'!$C:$FB,7)</f>
        <v>1369.8</v>
      </c>
      <c r="D35" s="82">
        <f>VLOOKUP($B35,'Data shares'!$C:$FB,98)</f>
        <v>9951550</v>
      </c>
      <c r="E35" s="165">
        <f>VLOOKUP(B35,'Snapshot (Volume)'!$A$7:$G$168,7,0)</f>
        <v>9924600</v>
      </c>
      <c r="F35" s="165">
        <f t="shared" si="5"/>
        <v>26950</v>
      </c>
      <c r="G35" s="166">
        <f t="shared" si="6"/>
        <v>2.7154746790802654E-3</v>
      </c>
      <c r="H35" s="165">
        <f>VLOOKUP($B35,'Data shares'!$C:$FB,66)</f>
        <v>4786600</v>
      </c>
      <c r="I35" s="165">
        <f>VLOOKUP($B35,'Data shares'!$C:$FB,67)</f>
        <v>10328150</v>
      </c>
      <c r="J35" s="81">
        <f t="shared" si="7"/>
        <v>-53.654817174421368</v>
      </c>
      <c r="K35" s="5">
        <f>VLOOKUP($B35,'Data Vlaue (Cr)'!$C:$FB,99)</f>
        <v>1364</v>
      </c>
      <c r="L35" s="81">
        <f>VLOOKUP(B35,'OI(Value)'!$A$7:$C$232,3,0)</f>
        <v>4</v>
      </c>
      <c r="M35" s="33">
        <f t="shared" si="0"/>
        <v>0.2932551319648094</v>
      </c>
      <c r="N35" s="5">
        <f>VLOOKUP($B35,'Data Vlaue (Cr)'!$C:$FB,67)</f>
        <v>656</v>
      </c>
      <c r="O35" s="5">
        <f>VLOOKUP($B35,'Data Vlaue (Cr)'!$C:$FB,68)</f>
        <v>1415</v>
      </c>
      <c r="P35" s="5">
        <f t="shared" si="8"/>
        <v>-115.70121951219512</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Capital_Goods</v>
      </c>
      <c r="B36" s="79" t="str">
        <f>'Data shares'!C31</f>
        <v>BEL</v>
      </c>
      <c r="C36" s="4">
        <f>VLOOKUP($B36,'Data shares'!$C:$FB,7)</f>
        <v>457.55</v>
      </c>
      <c r="D36" s="82">
        <f>VLOOKUP($B36,'Data shares'!$C:$FB,98)</f>
        <v>179621250</v>
      </c>
      <c r="E36" s="165">
        <f>VLOOKUP(B36,'Snapshot (Volume)'!$A$7:$G$168,7,0)</f>
        <v>179190900</v>
      </c>
      <c r="F36" s="165">
        <f t="shared" si="5"/>
        <v>430350</v>
      </c>
      <c r="G36" s="166">
        <f t="shared" si="6"/>
        <v>2.4016286541336642E-3</v>
      </c>
      <c r="H36" s="165">
        <f>VLOOKUP($B36,'Data shares'!$C:$FB,66)</f>
        <v>86208225</v>
      </c>
      <c r="I36" s="165">
        <f>VLOOKUP($B36,'Data shares'!$C:$FB,67)</f>
        <v>128812875</v>
      </c>
      <c r="J36" s="81">
        <f t="shared" si="7"/>
        <v>-33.074838210077992</v>
      </c>
      <c r="K36" s="5">
        <f>VLOOKUP($B36,'Data Vlaue (Cr)'!$C:$FB,99)</f>
        <v>8223</v>
      </c>
      <c r="L36" s="81">
        <f>VLOOKUP(B36,'OI(Value)'!$A$7:$C$232,3,0)</f>
        <v>20</v>
      </c>
      <c r="M36" s="33">
        <f t="shared" si="0"/>
        <v>0.24322023592362885</v>
      </c>
      <c r="N36" s="5">
        <f>VLOOKUP($B36,'Data Vlaue (Cr)'!$C:$FB,67)</f>
        <v>3947</v>
      </c>
      <c r="O36" s="5">
        <f>VLOOKUP($B36,'Data Vlaue (Cr)'!$C:$FB,68)</f>
        <v>5897</v>
      </c>
      <c r="P36" s="5">
        <f t="shared" si="8"/>
        <v>-49.404611097035719</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Automobile</v>
      </c>
      <c r="B37" s="79" t="str">
        <f>'Data shares'!C32</f>
        <v>BHARATFORG</v>
      </c>
      <c r="C37" s="4">
        <f>VLOOKUP($B37,'Data shares'!$C:$FB,7)</f>
        <v>1866.2</v>
      </c>
      <c r="D37" s="82">
        <f>VLOOKUP($B37,'Data shares'!$C:$FB,98)</f>
        <v>13395500</v>
      </c>
      <c r="E37" s="165">
        <f>VLOOKUP(B37,'Snapshot (Volume)'!$A$7:$G$168,7,0)</f>
        <v>13310500</v>
      </c>
      <c r="F37" s="165">
        <f t="shared" ref="F37:F43" si="9">D37-E37</f>
        <v>85000</v>
      </c>
      <c r="G37" s="166">
        <f t="shared" ref="G37:G43" si="10">F37/E37</f>
        <v>6.3859359152548742E-3</v>
      </c>
      <c r="H37" s="165">
        <f>VLOOKUP($B37,'Data shares'!$C:$FB,66)</f>
        <v>6204000</v>
      </c>
      <c r="I37" s="165">
        <f>VLOOKUP($B37,'Data shares'!$C:$FB,67)</f>
        <v>7707000</v>
      </c>
      <c r="J37" s="81">
        <f t="shared" ref="J37:J43" si="11">(H37-I37)/I37*100</f>
        <v>-19.501751654340211</v>
      </c>
      <c r="K37" s="5">
        <f>VLOOKUP($B37,'Data Vlaue (Cr)'!$C:$FB,99)</f>
        <v>2504</v>
      </c>
      <c r="L37" s="81">
        <f>VLOOKUP(B37,'OI(Value)'!$A$7:$C$232,3,0)</f>
        <v>16</v>
      </c>
      <c r="M37" s="33">
        <f t="shared" ref="M37:M65" si="12">L37/K37*100</f>
        <v>0.63897763578274758</v>
      </c>
      <c r="N37" s="5">
        <f>VLOOKUP($B37,'Data Vlaue (Cr)'!$C:$FB,67)</f>
        <v>1160</v>
      </c>
      <c r="O37" s="5">
        <f>VLOOKUP($B37,'Data Vlaue (Cr)'!$C:$FB,68)</f>
        <v>1441</v>
      </c>
      <c r="P37" s="5">
        <f t="shared" ref="P37:P43" si="13">(N37-O37)/N37*100</f>
        <v>-24.224137931034484</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Telecom</v>
      </c>
      <c r="B38" s="79" t="str">
        <f>'Data shares'!C33</f>
        <v>BHARTIARTL</v>
      </c>
      <c r="C38" s="4">
        <f>VLOOKUP($B38,'Data shares'!$C:$FB,7)</f>
        <v>1846.1</v>
      </c>
      <c r="D38" s="82">
        <f>VLOOKUP($B38,'Data shares'!$C:$FB,98)</f>
        <v>83023350</v>
      </c>
      <c r="E38" s="165">
        <f>VLOOKUP(B38,'Snapshot (Volume)'!$A$7:$G$168,7,0)</f>
        <v>82734550</v>
      </c>
      <c r="F38" s="165">
        <f t="shared" si="9"/>
        <v>288800</v>
      </c>
      <c r="G38" s="166">
        <f t="shared" si="10"/>
        <v>3.490681946055185E-3</v>
      </c>
      <c r="H38" s="165">
        <f>VLOOKUP($B38,'Data shares'!$C:$FB,66)</f>
        <v>36109975</v>
      </c>
      <c r="I38" s="165">
        <f>VLOOKUP($B38,'Data shares'!$C:$FB,67)</f>
        <v>26877400</v>
      </c>
      <c r="J38" s="81">
        <f t="shared" si="11"/>
        <v>34.350699844479003</v>
      </c>
      <c r="K38" s="5">
        <f>VLOOKUP($B38,'Data Vlaue (Cr)'!$C:$FB,99)</f>
        <v>15323</v>
      </c>
      <c r="L38" s="81">
        <f>VLOOKUP(B38,'OI(Value)'!$A$7:$C$232,3,0)</f>
        <v>53</v>
      </c>
      <c r="M38" s="33">
        <f t="shared" si="12"/>
        <v>0.34588527050838608</v>
      </c>
      <c r="N38" s="5">
        <f>VLOOKUP($B38,'Data Vlaue (Cr)'!$C:$FB,67)</f>
        <v>6664</v>
      </c>
      <c r="O38" s="5">
        <f>VLOOKUP($B38,'Data Vlaue (Cr)'!$C:$FB,68)</f>
        <v>4960</v>
      </c>
      <c r="P38" s="5">
        <f t="shared" si="13"/>
        <v>25.570228091236498</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BHEL</v>
      </c>
      <c r="C39" s="4">
        <f>VLOOKUP($B39,'Data shares'!$C:$FB,7)</f>
        <v>325.63</v>
      </c>
      <c r="D39" s="82">
        <f>VLOOKUP($B39,'Data shares'!$C:$FB,98)</f>
        <v>204807750</v>
      </c>
      <c r="E39" s="165">
        <f>VLOOKUP(B39,'Snapshot (Volume)'!$A$7:$G$168,7,0)</f>
        <v>182316750</v>
      </c>
      <c r="F39" s="165">
        <f t="shared" si="9"/>
        <v>22491000</v>
      </c>
      <c r="G39" s="166">
        <f t="shared" si="10"/>
        <v>0.12336222535779076</v>
      </c>
      <c r="H39" s="165">
        <f>VLOOKUP($B39,'Data shares'!$C:$FB,66)</f>
        <v>424908750</v>
      </c>
      <c r="I39" s="165">
        <f>VLOOKUP($B39,'Data shares'!$C:$FB,67)</f>
        <v>274824375</v>
      </c>
      <c r="J39" s="81">
        <f t="shared" si="11"/>
        <v>54.611012942356375</v>
      </c>
      <c r="K39" s="5">
        <f>VLOOKUP($B39,'Data Vlaue (Cr)'!$C:$FB,99)</f>
        <v>6662</v>
      </c>
      <c r="L39" s="81">
        <f>VLOOKUP(B39,'OI(Value)'!$A$7:$C$232,3,0)</f>
        <v>732</v>
      </c>
      <c r="M39" s="33">
        <f t="shared" si="12"/>
        <v>10.987691383968778</v>
      </c>
      <c r="N39" s="5">
        <f>VLOOKUP($B39,'Data Vlaue (Cr)'!$C:$FB,67)</f>
        <v>13821</v>
      </c>
      <c r="O39" s="5">
        <f>VLOOKUP($B39,'Data Vlaue (Cr)'!$C:$FB,68)</f>
        <v>8939</v>
      </c>
      <c r="P39" s="5">
        <f t="shared" si="13"/>
        <v>35.323059112944073</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Pharma</v>
      </c>
      <c r="B40" s="79" t="str">
        <f>'Data shares'!C35</f>
        <v>BIOCON</v>
      </c>
      <c r="C40" s="4">
        <f>VLOOKUP($B40,'Data shares'!$C:$FB,7)</f>
        <v>359.05</v>
      </c>
      <c r="D40" s="82">
        <f>VLOOKUP($B40,'Data shares'!$C:$FB,98)</f>
        <v>75410000</v>
      </c>
      <c r="E40" s="165">
        <f>VLOOKUP(B40,'Snapshot (Volume)'!$A$7:$G$168,7,0)</f>
        <v>76672500</v>
      </c>
      <c r="F40" s="165">
        <f t="shared" si="9"/>
        <v>-1262500</v>
      </c>
      <c r="G40" s="166">
        <f t="shared" si="10"/>
        <v>-1.6466138445987804E-2</v>
      </c>
      <c r="H40" s="165">
        <f>VLOOKUP($B40,'Data shares'!$C:$FB,66)</f>
        <v>38260000</v>
      </c>
      <c r="I40" s="165">
        <f>VLOOKUP($B40,'Data shares'!$C:$FB,67)</f>
        <v>83432500</v>
      </c>
      <c r="J40" s="81">
        <f t="shared" si="11"/>
        <v>-54.142570341293862</v>
      </c>
      <c r="K40" s="5">
        <f>VLOOKUP($B40,'Data Vlaue (Cr)'!$C:$FB,99)</f>
        <v>2705</v>
      </c>
      <c r="L40" s="81">
        <f>VLOOKUP(B40,'OI(Value)'!$A$7:$C$232,3,0)</f>
        <v>-45</v>
      </c>
      <c r="M40" s="33">
        <f t="shared" si="12"/>
        <v>-1.6635859519408502</v>
      </c>
      <c r="N40" s="5">
        <f>VLOOKUP($B40,'Data Vlaue (Cr)'!$C:$FB,67)</f>
        <v>1372</v>
      </c>
      <c r="O40" s="5">
        <f>VLOOKUP($B40,'Data Vlaue (Cr)'!$C:$FB,68)</f>
        <v>2993</v>
      </c>
      <c r="P40" s="5">
        <f t="shared" si="13"/>
        <v>-118.14868804664722</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Capital_Goods</v>
      </c>
      <c r="B41" s="79" t="str">
        <f>'Data shares'!C36</f>
        <v>BLUESTARCO</v>
      </c>
      <c r="C41" s="4">
        <f>VLOOKUP($B41,'Data shares'!$C:$FB,7)</f>
        <v>1889</v>
      </c>
      <c r="D41" s="82">
        <f>VLOOKUP($B41,'Data shares'!$C:$FB,98)</f>
        <v>6728475</v>
      </c>
      <c r="E41" s="165">
        <f>VLOOKUP(B41,'Snapshot (Volume)'!$A$7:$G$168,7,0)</f>
        <v>6087250</v>
      </c>
      <c r="F41" s="165">
        <f t="shared" si="9"/>
        <v>641225</v>
      </c>
      <c r="G41" s="166">
        <f t="shared" si="10"/>
        <v>0.10533902829684998</v>
      </c>
      <c r="H41" s="165">
        <f>VLOOKUP($B41,'Data shares'!$C:$FB,66)</f>
        <v>6786000</v>
      </c>
      <c r="I41" s="165">
        <f>VLOOKUP($B41,'Data shares'!$C:$FB,67)</f>
        <v>4043325</v>
      </c>
      <c r="J41" s="81">
        <f t="shared" si="11"/>
        <v>67.832167832167841</v>
      </c>
      <c r="K41" s="5">
        <f>VLOOKUP($B41,'Data Vlaue (Cr)'!$C:$FB,99)</f>
        <v>1255</v>
      </c>
      <c r="L41" s="81">
        <f>VLOOKUP(B41,'OI(Value)'!$A$7:$C$232,3,0)</f>
        <v>120</v>
      </c>
      <c r="M41" s="33">
        <f t="shared" si="12"/>
        <v>9.5617529880478092</v>
      </c>
      <c r="N41" s="5">
        <f>VLOOKUP($B41,'Data Vlaue (Cr)'!$C:$FB,67)</f>
        <v>1265</v>
      </c>
      <c r="O41" s="5">
        <f>VLOOKUP($B41,'Data Vlaue (Cr)'!$C:$FB,68)</f>
        <v>754</v>
      </c>
      <c r="P41" s="5">
        <f t="shared" si="13"/>
        <v>40.395256916996047</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Automobile</v>
      </c>
      <c r="B42" s="79" t="str">
        <f>'Data shares'!C37</f>
        <v>BOSCHLTD</v>
      </c>
      <c r="C42" s="4">
        <f>VLOOKUP($B42,'Data shares'!$C:$FB,7)</f>
        <v>37790</v>
      </c>
      <c r="D42" s="82">
        <f>VLOOKUP($B42,'Data shares'!$C:$FB,98)</f>
        <v>751600</v>
      </c>
      <c r="E42" s="165">
        <f>VLOOKUP(B42,'Snapshot (Volume)'!$A$7:$G$168,7,0)</f>
        <v>752925</v>
      </c>
      <c r="F42" s="165">
        <f t="shared" si="9"/>
        <v>-1325</v>
      </c>
      <c r="G42" s="166">
        <f t="shared" si="10"/>
        <v>-1.7598034332768869E-3</v>
      </c>
      <c r="H42" s="165">
        <f>VLOOKUP($B42,'Data shares'!$C:$FB,66)</f>
        <v>587375</v>
      </c>
      <c r="I42" s="165">
        <f>VLOOKUP($B42,'Data shares'!$C:$FB,67)</f>
        <v>871700</v>
      </c>
      <c r="J42" s="81">
        <f t="shared" si="11"/>
        <v>-32.617299529654694</v>
      </c>
      <c r="K42" s="5">
        <f>VLOOKUP($B42,'Data Vlaue (Cr)'!$C:$FB,99)</f>
        <v>2839</v>
      </c>
      <c r="L42" s="81">
        <f>VLOOKUP(B42,'OI(Value)'!$A$7:$C$232,3,0)</f>
        <v>-5</v>
      </c>
      <c r="M42" s="33">
        <f t="shared" si="12"/>
        <v>-0.17611835153222966</v>
      </c>
      <c r="N42" s="5">
        <f>VLOOKUP($B42,'Data Vlaue (Cr)'!$C:$FB,67)</f>
        <v>2219</v>
      </c>
      <c r="O42" s="5">
        <f>VLOOKUP($B42,'Data Vlaue (Cr)'!$C:$FB,68)</f>
        <v>3292</v>
      </c>
      <c r="P42" s="5">
        <f t="shared" si="13"/>
        <v>-48.355114916629113</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Oil_Gas</v>
      </c>
      <c r="B43" s="79" t="str">
        <f>'Data shares'!C38</f>
        <v>BPCL</v>
      </c>
      <c r="C43" s="4">
        <f>VLOOKUP($B43,'Data shares'!$C:$FB,7)</f>
        <v>316.05</v>
      </c>
      <c r="D43" s="82">
        <f>VLOOKUP($B43,'Data shares'!$C:$FB,98)</f>
        <v>105528200</v>
      </c>
      <c r="E43" s="165">
        <f>VLOOKUP(B43,'Snapshot (Volume)'!$A$7:$G$168,7,0)</f>
        <v>97555125</v>
      </c>
      <c r="F43" s="165">
        <f t="shared" si="9"/>
        <v>7973075</v>
      </c>
      <c r="G43" s="166">
        <f t="shared" si="10"/>
        <v>8.1728919931167127E-2</v>
      </c>
      <c r="H43" s="165">
        <f>VLOOKUP($B43,'Data shares'!$C:$FB,66)</f>
        <v>104094350</v>
      </c>
      <c r="I43" s="165">
        <f>VLOOKUP($B43,'Data shares'!$C:$FB,67)</f>
        <v>59779300</v>
      </c>
      <c r="J43" s="81">
        <f t="shared" si="11"/>
        <v>74.131095546451704</v>
      </c>
      <c r="K43" s="5">
        <f>VLOOKUP($B43,'Data Vlaue (Cr)'!$C:$FB,99)</f>
        <v>3332</v>
      </c>
      <c r="L43" s="81">
        <f>VLOOKUP(B43,'OI(Value)'!$A$7:$C$232,3,0)</f>
        <v>252</v>
      </c>
      <c r="M43" s="33">
        <f t="shared" si="12"/>
        <v>7.5630252100840334</v>
      </c>
      <c r="N43" s="5">
        <f>VLOOKUP($B43,'Data Vlaue (Cr)'!$C:$FB,67)</f>
        <v>3287</v>
      </c>
      <c r="O43" s="5">
        <f>VLOOKUP($B43,'Data Vlaue (Cr)'!$C:$FB,68)</f>
        <v>1888</v>
      </c>
      <c r="P43" s="5">
        <f t="shared" si="13"/>
        <v>42.561606327958621</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FMCG</v>
      </c>
      <c r="B44" s="79" t="str">
        <f>'Data shares'!C39</f>
        <v>BRITANNIA</v>
      </c>
      <c r="C44" s="79">
        <f>VLOOKUP($B44,'Data shares'!$C:$FB,7)</f>
        <v>5700</v>
      </c>
      <c r="D44" s="165">
        <f>VLOOKUP($B44,'Data shares'!$C:$FB,98)</f>
        <v>3896250</v>
      </c>
      <c r="E44" s="165">
        <f>VLOOKUP(B44,'Snapshot (Volume)'!$A$7:$G$168,7,0)</f>
        <v>3963250</v>
      </c>
      <c r="F44" s="165">
        <f t="shared" ref="F44:F49" si="14">D44-E44</f>
        <v>-67000</v>
      </c>
      <c r="G44" s="166">
        <f t="shared" ref="G44:G49" si="15">F44/E44</f>
        <v>-1.6905317605500535E-2</v>
      </c>
      <c r="H44" s="165">
        <f>VLOOKUP($B44,'Data shares'!$C:$FB,66)</f>
        <v>1408500</v>
      </c>
      <c r="I44" s="165">
        <f>VLOOKUP($B44,'Data shares'!$C:$FB,67)</f>
        <v>3647000</v>
      </c>
      <c r="J44" s="81">
        <f t="shared" ref="J44:J49" si="16">(H44-I44)/I44*100</f>
        <v>-61.37921579380312</v>
      </c>
      <c r="K44" s="81">
        <f>VLOOKUP($B44,'Data Vlaue (Cr)'!$C:$FB,99)</f>
        <v>2220</v>
      </c>
      <c r="L44" s="81">
        <f>VLOOKUP(B44,'OI(Value)'!$A$7:$C$232,3,0)</f>
        <v>-38</v>
      </c>
      <c r="M44" s="81">
        <f t="shared" si="12"/>
        <v>-1.7117117117117115</v>
      </c>
      <c r="N44" s="81">
        <f>VLOOKUP($B44,'Data Vlaue (Cr)'!$C:$FB,67)</f>
        <v>802</v>
      </c>
      <c r="O44" s="81">
        <f>VLOOKUP($B44,'Data Vlaue (Cr)'!$C:$FB,68)</f>
        <v>2078</v>
      </c>
      <c r="P44" s="81">
        <f t="shared" ref="P44:P49" si="17">(N44-O44)/N44*100</f>
        <v>-159.10224438902742</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Finance</v>
      </c>
      <c r="B45" s="79" t="str">
        <f>'Data shares'!C40</f>
        <v>BSE</v>
      </c>
      <c r="C45" s="4">
        <f>VLOOKUP($B45,'Data shares'!$C:$FB,7)</f>
        <v>3470.7</v>
      </c>
      <c r="D45" s="82">
        <f>VLOOKUP($B45,'Data shares'!$C:$FB,98)</f>
        <v>26715375</v>
      </c>
      <c r="E45" s="165">
        <f>VLOOKUP(B45,'Snapshot (Volume)'!$A$7:$G$168,7,0)</f>
        <v>27006375</v>
      </c>
      <c r="F45" s="165">
        <f t="shared" si="14"/>
        <v>-291000</v>
      </c>
      <c r="G45" s="166">
        <f t="shared" si="15"/>
        <v>-1.0775233625394004E-2</v>
      </c>
      <c r="H45" s="165">
        <f>VLOOKUP($B45,'Data shares'!$C:$FB,66)</f>
        <v>29673000</v>
      </c>
      <c r="I45" s="165">
        <f>VLOOKUP($B45,'Data shares'!$C:$FB,67)</f>
        <v>64996500</v>
      </c>
      <c r="J45" s="81">
        <f t="shared" si="16"/>
        <v>-54.346772518520226</v>
      </c>
      <c r="K45" s="5">
        <f>VLOOKUP($B45,'Data Vlaue (Cr)'!$C:$FB,99)</f>
        <v>9291</v>
      </c>
      <c r="L45" s="81">
        <f>VLOOKUP(B45,'OI(Value)'!$A$7:$C$232,3,0)</f>
        <v>-101</v>
      </c>
      <c r="M45" s="33">
        <f t="shared" si="12"/>
        <v>-1.087073512000861</v>
      </c>
      <c r="N45" s="5">
        <f>VLOOKUP($B45,'Data Vlaue (Cr)'!$C:$FB,67)</f>
        <v>10320</v>
      </c>
      <c r="O45" s="5">
        <f>VLOOKUP($B45,'Data Vlaue (Cr)'!$C:$FB,68)</f>
        <v>22604</v>
      </c>
      <c r="P45" s="5">
        <f t="shared" si="17"/>
        <v>-119.03100775193798</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CAMS</v>
      </c>
      <c r="C46" s="4">
        <f>VLOOKUP($B46,'Data shares'!$C:$FB,7)</f>
        <v>749.25</v>
      </c>
      <c r="D46" s="82">
        <f>VLOOKUP($B46,'Data shares'!$C:$FB,98)</f>
        <v>13161000</v>
      </c>
      <c r="E46" s="165">
        <f>VLOOKUP(B46,'Snapshot (Volume)'!$A$7:$G$168,7,0)</f>
        <v>13125750</v>
      </c>
      <c r="F46" s="165">
        <f t="shared" si="14"/>
        <v>35250</v>
      </c>
      <c r="G46" s="166">
        <f t="shared" si="15"/>
        <v>2.6855608250957088E-3</v>
      </c>
      <c r="H46" s="165">
        <f>VLOOKUP($B46,'Data shares'!$C:$FB,66)</f>
        <v>5912250</v>
      </c>
      <c r="I46" s="165">
        <f>VLOOKUP($B46,'Data shares'!$C:$FB,67)</f>
        <v>12684750</v>
      </c>
      <c r="J46" s="81">
        <f t="shared" si="16"/>
        <v>-53.390882752911963</v>
      </c>
      <c r="K46" s="5">
        <f>VLOOKUP($B46,'Data Vlaue (Cr)'!$C:$FB,99)</f>
        <v>984</v>
      </c>
      <c r="L46" s="81">
        <f>VLOOKUP(B46,'OI(Value)'!$A$7:$C$232,3,0)</f>
        <v>3</v>
      </c>
      <c r="M46" s="33">
        <f t="shared" si="12"/>
        <v>0.3048780487804878</v>
      </c>
      <c r="N46" s="5">
        <f>VLOOKUP($B46,'Data Vlaue (Cr)'!$C:$FB,67)</f>
        <v>442</v>
      </c>
      <c r="O46" s="5">
        <f>VLOOKUP($B46,'Data Vlaue (Cr)'!$C:$FB,68)</f>
        <v>948</v>
      </c>
      <c r="P46" s="5">
        <f t="shared" si="17"/>
        <v>-114.47963800904976</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Banking</v>
      </c>
      <c r="B47" s="79" t="str">
        <f>'Data shares'!C42</f>
        <v>CANBK</v>
      </c>
      <c r="C47" s="4">
        <f>VLOOKUP($B47,'Data shares'!$C:$FB,7)</f>
        <v>142.74</v>
      </c>
      <c r="D47" s="82">
        <f>VLOOKUP($B47,'Data shares'!$C:$FB,98)</f>
        <v>354658500</v>
      </c>
      <c r="E47" s="165">
        <f>VLOOKUP(B47,'Snapshot (Volume)'!$A$7:$G$168,7,0)</f>
        <v>343608750</v>
      </c>
      <c r="F47" s="165">
        <f t="shared" si="14"/>
        <v>11049750</v>
      </c>
      <c r="G47" s="166">
        <f t="shared" si="15"/>
        <v>3.2157941263137216E-2</v>
      </c>
      <c r="H47" s="165">
        <f>VLOOKUP($B47,'Data shares'!$C:$FB,66)</f>
        <v>224518500</v>
      </c>
      <c r="I47" s="165">
        <f>VLOOKUP($B47,'Data shares'!$C:$FB,67)</f>
        <v>153555750</v>
      </c>
      <c r="J47" s="81">
        <f t="shared" si="16"/>
        <v>46.213020352542969</v>
      </c>
      <c r="K47" s="5">
        <f>VLOOKUP($B47,'Data Vlaue (Cr)'!$C:$FB,99)</f>
        <v>5074</v>
      </c>
      <c r="L47" s="81">
        <f>VLOOKUP(B47,'OI(Value)'!$A$7:$C$232,3,0)</f>
        <v>158</v>
      </c>
      <c r="M47" s="33">
        <f t="shared" si="12"/>
        <v>3.1139140717382734</v>
      </c>
      <c r="N47" s="5">
        <f>VLOOKUP($B47,'Data Vlaue (Cr)'!$C:$FB,67)</f>
        <v>3212</v>
      </c>
      <c r="O47" s="5">
        <f>VLOOKUP($B47,'Data Vlaue (Cr)'!$C:$FB,68)</f>
        <v>2197</v>
      </c>
      <c r="P47" s="5">
        <f t="shared" si="17"/>
        <v>31.60024906600249</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CDSL</v>
      </c>
      <c r="C48" s="4">
        <f>VLOOKUP($B48,'Data shares'!$C:$FB,7)</f>
        <v>1370.3</v>
      </c>
      <c r="D48" s="82">
        <f>VLOOKUP($B48,'Data shares'!$C:$FB,98)</f>
        <v>21401125</v>
      </c>
      <c r="E48" s="165">
        <f>VLOOKUP(B48,'Snapshot (Volume)'!$A$7:$G$168,7,0)</f>
        <v>20244500</v>
      </c>
      <c r="F48" s="165">
        <f t="shared" si="14"/>
        <v>1156625</v>
      </c>
      <c r="G48" s="166">
        <f t="shared" si="15"/>
        <v>5.7132801501642419E-2</v>
      </c>
      <c r="H48" s="165">
        <f>VLOOKUP($B48,'Data shares'!$C:$FB,66)</f>
        <v>15124950</v>
      </c>
      <c r="I48" s="165">
        <f>VLOOKUP($B48,'Data shares'!$C:$FB,67)</f>
        <v>19797525</v>
      </c>
      <c r="J48" s="81">
        <f t="shared" si="16"/>
        <v>-23.601813863096524</v>
      </c>
      <c r="K48" s="5">
        <f>VLOOKUP($B48,'Data Vlaue (Cr)'!$C:$FB,99)</f>
        <v>2923</v>
      </c>
      <c r="L48" s="81">
        <f>VLOOKUP(B48,'OI(Value)'!$A$7:$C$232,3,0)</f>
        <v>158</v>
      </c>
      <c r="M48" s="33">
        <f t="shared" si="12"/>
        <v>5.4054054054054053</v>
      </c>
      <c r="N48" s="5">
        <f>VLOOKUP($B48,'Data Vlaue (Cr)'!$C:$FB,67)</f>
        <v>2066</v>
      </c>
      <c r="O48" s="5">
        <f>VLOOKUP($B48,'Data Vlaue (Cr)'!$C:$FB,68)</f>
        <v>2704</v>
      </c>
      <c r="P48" s="5">
        <f t="shared" si="17"/>
        <v>-30.880929332042594</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Power</v>
      </c>
      <c r="B49" s="79" t="str">
        <f>'Data shares'!C44</f>
        <v>CGPOWER</v>
      </c>
      <c r="C49" s="4">
        <f>VLOOKUP($B49,'Data shares'!$C:$FB,7)</f>
        <v>795.7</v>
      </c>
      <c r="D49" s="82">
        <f>VLOOKUP($B49,'Data shares'!$C:$FB,98)</f>
        <v>29115050</v>
      </c>
      <c r="E49" s="165">
        <f>VLOOKUP(B49,'Snapshot (Volume)'!$A$7:$G$168,7,0)</f>
        <v>26677250</v>
      </c>
      <c r="F49" s="165">
        <f t="shared" si="14"/>
        <v>2437800</v>
      </c>
      <c r="G49" s="166">
        <f t="shared" si="15"/>
        <v>9.138123307312411E-2</v>
      </c>
      <c r="H49" s="165">
        <f>VLOOKUP($B49,'Data shares'!$C:$FB,66)</f>
        <v>41445150</v>
      </c>
      <c r="I49" s="165">
        <f>VLOOKUP($B49,'Data shares'!$C:$FB,67)</f>
        <v>21726000</v>
      </c>
      <c r="J49" s="81">
        <f t="shared" si="16"/>
        <v>90.762910798122064</v>
      </c>
      <c r="K49" s="5">
        <f>VLOOKUP($B49,'Data Vlaue (Cr)'!$C:$FB,99)</f>
        <v>2316</v>
      </c>
      <c r="L49" s="81">
        <f>VLOOKUP(B49,'OI(Value)'!$A$7:$C$232,3,0)</f>
        <v>194</v>
      </c>
      <c r="M49" s="33">
        <f t="shared" si="12"/>
        <v>8.376511226252159</v>
      </c>
      <c r="N49" s="5">
        <f>VLOOKUP($B49,'Data Vlaue (Cr)'!$C:$FB,67)</f>
        <v>3297</v>
      </c>
      <c r="O49" s="5">
        <f>VLOOKUP($B49,'Data Vlaue (Cr)'!$C:$FB,68)</f>
        <v>1728</v>
      </c>
      <c r="P49" s="5">
        <f t="shared" si="17"/>
        <v>47.588717015468603</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Finance</v>
      </c>
      <c r="B50" s="79" t="str">
        <f>'Data shares'!C45</f>
        <v>CHOLAFIN</v>
      </c>
      <c r="C50" s="4">
        <f>VLOOKUP($B50,'Data shares'!$C:$FB,7)</f>
        <v>1569.3</v>
      </c>
      <c r="D50" s="82">
        <f>VLOOKUP($B50,'Data shares'!$C:$FB,98)</f>
        <v>29011250</v>
      </c>
      <c r="E50" s="165">
        <f>VLOOKUP(B50,'Snapshot (Volume)'!$A$7:$G$168,7,0)</f>
        <v>28711250</v>
      </c>
      <c r="F50" s="165">
        <f>D50-E50</f>
        <v>300000</v>
      </c>
      <c r="G50" s="166">
        <f>F50/E50</f>
        <v>1.0448865862684488E-2</v>
      </c>
      <c r="H50" s="165">
        <f>VLOOKUP($B50,'Data shares'!$C:$FB,66)</f>
        <v>6628750</v>
      </c>
      <c r="I50" s="165">
        <f>VLOOKUP($B50,'Data shares'!$C:$FB,67)</f>
        <v>11315625</v>
      </c>
      <c r="J50" s="81">
        <f>(H50-I50)/I50*100</f>
        <v>-41.419497376415357</v>
      </c>
      <c r="K50" s="5">
        <f>VLOOKUP($B50,'Data Vlaue (Cr)'!$C:$FB,99)</f>
        <v>4551</v>
      </c>
      <c r="L50" s="81">
        <f>VLOOKUP(B50,'OI(Value)'!$A$7:$C$232,3,0)</f>
        <v>47</v>
      </c>
      <c r="M50" s="33">
        <f t="shared" si="12"/>
        <v>1.0327400571303011</v>
      </c>
      <c r="N50" s="5">
        <f>VLOOKUP($B50,'Data Vlaue (Cr)'!$C:$FB,67)</f>
        <v>1040</v>
      </c>
      <c r="O50" s="5">
        <f>VLOOKUP($B50,'Data Vlaue (Cr)'!$C:$FB,68)</f>
        <v>1775</v>
      </c>
      <c r="P50" s="5">
        <f>(N50-O50)/N50*100</f>
        <v>-70.673076923076934</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Pharma</v>
      </c>
      <c r="B51" s="79" t="str">
        <f>'Data shares'!C46</f>
        <v>CIPLA</v>
      </c>
      <c r="C51" s="4">
        <f>VLOOKUP($B51,'Data shares'!$C:$FB,7)</f>
        <v>1229.5</v>
      </c>
      <c r="D51" s="82">
        <f>VLOOKUP($B51,'Data shares'!$C:$FB,98)</f>
        <v>24539250</v>
      </c>
      <c r="E51" s="165">
        <f>VLOOKUP(B51,'Snapshot (Volume)'!$A$7:$G$168,7,0)</f>
        <v>23799375</v>
      </c>
      <c r="F51" s="165">
        <f>D51-E51</f>
        <v>739875</v>
      </c>
      <c r="G51" s="166">
        <f>F51/E51</f>
        <v>3.1088001260537304E-2</v>
      </c>
      <c r="H51" s="165">
        <f>VLOOKUP($B51,'Data shares'!$C:$FB,66)</f>
        <v>10544250</v>
      </c>
      <c r="I51" s="165">
        <f>VLOOKUP($B51,'Data shares'!$C:$FB,67)</f>
        <v>9726375</v>
      </c>
      <c r="J51" s="81">
        <f>(H51-I51)/I51*100</f>
        <v>8.4088367968539153</v>
      </c>
      <c r="K51" s="5">
        <f>VLOOKUP($B51,'Data Vlaue (Cr)'!$C:$FB,99)</f>
        <v>3019</v>
      </c>
      <c r="L51" s="81">
        <f>VLOOKUP(B51,'OI(Value)'!$A$7:$C$232,3,0)</f>
        <v>91</v>
      </c>
      <c r="M51" s="33">
        <f t="shared" si="12"/>
        <v>3.0142431268631995</v>
      </c>
      <c r="N51" s="5">
        <f>VLOOKUP($B51,'Data Vlaue (Cr)'!$C:$FB,67)</f>
        <v>1297</v>
      </c>
      <c r="O51" s="5">
        <f>VLOOKUP($B51,'Data Vlaue (Cr)'!$C:$FB,68)</f>
        <v>1196</v>
      </c>
      <c r="P51" s="5">
        <f>(N51-O51)/N51*100</f>
        <v>7.7872012336160363</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Metals</v>
      </c>
      <c r="B52" s="79" t="str">
        <f>'Data shares'!C47</f>
        <v>COALINDIA</v>
      </c>
      <c r="C52" s="79">
        <f>VLOOKUP($B52,'Data shares'!$C:$FB,7)</f>
        <v>441.75</v>
      </c>
      <c r="D52" s="80">
        <f>VLOOKUP($B52,'Data shares'!$C:$FB,98)</f>
        <v>139598100</v>
      </c>
      <c r="E52" s="165">
        <f>VLOOKUP(B52,'Snapshot (Volume)'!$A$7:$G$168,7,0)</f>
        <v>142797600</v>
      </c>
      <c r="F52" s="165">
        <f t="shared" ref="F52:F68" si="18">D52-E52</f>
        <v>-3199500</v>
      </c>
      <c r="G52" s="166">
        <f t="shared" ref="G52:G68" si="19">F52/E52</f>
        <v>-2.2405838753592498E-2</v>
      </c>
      <c r="H52" s="165">
        <f>VLOOKUP($B52,'Data shares'!$C:$FB,66)</f>
        <v>83357100</v>
      </c>
      <c r="I52" s="165">
        <f>VLOOKUP($B52,'Data shares'!$C:$FB,67)</f>
        <v>95242500</v>
      </c>
      <c r="J52" s="81">
        <f t="shared" ref="J52:J68" si="20">(H52-I52)/I52*100</f>
        <v>-12.479092841956058</v>
      </c>
      <c r="K52" s="81">
        <f>VLOOKUP($B52,'Data Vlaue (Cr)'!$C:$FB,99)</f>
        <v>6175</v>
      </c>
      <c r="L52" s="81">
        <f>VLOOKUP(B52,'OI(Value)'!$A$7:$C$232,3,0)</f>
        <v>-142</v>
      </c>
      <c r="M52" s="81">
        <f t="shared" si="12"/>
        <v>-2.2995951417004048</v>
      </c>
      <c r="N52" s="81">
        <f>VLOOKUP($B52,'Data Vlaue (Cr)'!$C:$FB,67)</f>
        <v>3687</v>
      </c>
      <c r="O52" s="81">
        <f>VLOOKUP($B52,'Data Vlaue (Cr)'!$C:$FB,68)</f>
        <v>4213</v>
      </c>
      <c r="P52" s="81">
        <f t="shared" ref="P52:P68" si="21">(N52-O52)/N52*100</f>
        <v>-14.266341198806618</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COCHINSHIP</v>
      </c>
      <c r="C53" s="4">
        <f>VLOOKUP($B53,'Data shares'!$C:$FB,7)</f>
        <v>1544.9</v>
      </c>
      <c r="D53" s="82">
        <f>VLOOKUP($B53,'Data shares'!$C:$FB,98)</f>
        <v>4054400</v>
      </c>
      <c r="E53" s="165">
        <f>VLOOKUP(B53,'Snapshot (Volume)'!$A$7:$G$168,7,0)</f>
        <v>3617600</v>
      </c>
      <c r="F53" s="165">
        <f t="shared" si="18"/>
        <v>436800</v>
      </c>
      <c r="G53" s="166">
        <f t="shared" si="19"/>
        <v>0.12074303405572756</v>
      </c>
      <c r="H53" s="165">
        <f>VLOOKUP($B53,'Data shares'!$C:$FB,66)</f>
        <v>4341200</v>
      </c>
      <c r="I53" s="165">
        <f>VLOOKUP($B53,'Data shares'!$C:$FB,67)</f>
        <v>12188800</v>
      </c>
      <c r="J53" s="81">
        <f t="shared" si="20"/>
        <v>-64.383696508269878</v>
      </c>
      <c r="K53" s="5">
        <f>VLOOKUP($B53,'Data Vlaue (Cr)'!$C:$FB,99)</f>
        <v>627</v>
      </c>
      <c r="L53" s="81">
        <f>VLOOKUP(B53,'OI(Value)'!$A$7:$C$232,3,0)</f>
        <v>68</v>
      </c>
      <c r="M53" s="33">
        <f t="shared" si="12"/>
        <v>10.845295055821373</v>
      </c>
      <c r="N53" s="5">
        <f>VLOOKUP($B53,'Data Vlaue (Cr)'!$C:$FB,67)</f>
        <v>671</v>
      </c>
      <c r="O53" s="5">
        <f>VLOOKUP($B53,'Data Vlaue (Cr)'!$C:$FB,68)</f>
        <v>1884</v>
      </c>
      <c r="P53" s="5">
        <f t="shared" si="21"/>
        <v>-180.77496274217586</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Technology</v>
      </c>
      <c r="B54" s="79" t="str">
        <f>'Data shares'!C49</f>
        <v>COFORGE</v>
      </c>
      <c r="C54" s="4">
        <f>VLOOKUP($B54,'Data shares'!$C:$FB,7)</f>
        <v>1288.0999999999999</v>
      </c>
      <c r="D54" s="82">
        <f>VLOOKUP($B54,'Data shares'!$C:$FB,98)</f>
        <v>30865500</v>
      </c>
      <c r="E54" s="165">
        <f>VLOOKUP(B54,'Snapshot (Volume)'!$A$7:$G$168,7,0)</f>
        <v>30873000</v>
      </c>
      <c r="F54" s="165">
        <f t="shared" si="18"/>
        <v>-7500</v>
      </c>
      <c r="G54" s="166">
        <f t="shared" si="19"/>
        <v>-2.4293071615975125E-4</v>
      </c>
      <c r="H54" s="165">
        <f>VLOOKUP($B54,'Data shares'!$C:$FB,66)</f>
        <v>10797000</v>
      </c>
      <c r="I54" s="165">
        <f>VLOOKUP($B54,'Data shares'!$C:$FB,67)</f>
        <v>12450750</v>
      </c>
      <c r="J54" s="81">
        <f t="shared" si="20"/>
        <v>-13.282332389615084</v>
      </c>
      <c r="K54" s="5">
        <f>VLOOKUP($B54,'Data Vlaue (Cr)'!$C:$FB,99)</f>
        <v>3965</v>
      </c>
      <c r="L54" s="81">
        <f>VLOOKUP(B54,'OI(Value)'!$A$7:$C$232,3,0)</f>
        <v>-1</v>
      </c>
      <c r="M54" s="33">
        <f t="shared" si="12"/>
        <v>-2.5220680958385876E-2</v>
      </c>
      <c r="N54" s="5">
        <f>VLOOKUP($B54,'Data Vlaue (Cr)'!$C:$FB,67)</f>
        <v>1387</v>
      </c>
      <c r="O54" s="5">
        <f>VLOOKUP($B54,'Data Vlaue (Cr)'!$C:$FB,68)</f>
        <v>1600</v>
      </c>
      <c r="P54" s="5">
        <f t="shared" si="21"/>
        <v>-15.356885364095168</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FMCG</v>
      </c>
      <c r="B55" s="79" t="str">
        <f>'Data shares'!C50</f>
        <v>COLPAL</v>
      </c>
      <c r="C55" s="4">
        <f>VLOOKUP($B55,'Data shares'!$C:$FB,7)</f>
        <v>2129</v>
      </c>
      <c r="D55" s="82">
        <f>VLOOKUP($B55,'Data shares'!$C:$FB,98)</f>
        <v>9892800</v>
      </c>
      <c r="E55" s="165">
        <f>VLOOKUP(B55,'Snapshot (Volume)'!$A$7:$G$168,7,0)</f>
        <v>10500075</v>
      </c>
      <c r="F55" s="165">
        <f t="shared" si="18"/>
        <v>-607275</v>
      </c>
      <c r="G55" s="166">
        <f t="shared" si="19"/>
        <v>-5.7835301176420169E-2</v>
      </c>
      <c r="H55" s="165">
        <f>VLOOKUP($B55,'Data shares'!$C:$FB,66)</f>
        <v>7849575</v>
      </c>
      <c r="I55" s="165">
        <f>VLOOKUP($B55,'Data shares'!$C:$FB,67)</f>
        <v>41450850</v>
      </c>
      <c r="J55" s="81">
        <f t="shared" si="20"/>
        <v>-81.062933570722919</v>
      </c>
      <c r="K55" s="5">
        <f>VLOOKUP($B55,'Data Vlaue (Cr)'!$C:$FB,99)</f>
        <v>2100</v>
      </c>
      <c r="L55" s="81">
        <f>VLOOKUP(B55,'OI(Value)'!$A$7:$C$232,3,0)</f>
        <v>-129</v>
      </c>
      <c r="M55" s="33">
        <f t="shared" si="12"/>
        <v>-6.1428571428571432</v>
      </c>
      <c r="N55" s="5">
        <f>VLOOKUP($B55,'Data Vlaue (Cr)'!$C:$FB,67)</f>
        <v>1666</v>
      </c>
      <c r="O55" s="5">
        <f>VLOOKUP($B55,'Data Vlaue (Cr)'!$C:$FB,68)</f>
        <v>8798</v>
      </c>
      <c r="P55" s="5">
        <f t="shared" si="21"/>
        <v>-428.09123649459781</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Infrastructure</v>
      </c>
      <c r="B56" s="79" t="str">
        <f>'Data shares'!C51</f>
        <v>CONCOR</v>
      </c>
      <c r="C56" s="4">
        <f>VLOOKUP($B56,'Data shares'!$C:$FB,7)</f>
        <v>501.05</v>
      </c>
      <c r="D56" s="82">
        <f>VLOOKUP($B56,'Data shares'!$C:$FB,98)</f>
        <v>36837500</v>
      </c>
      <c r="E56" s="165">
        <f>VLOOKUP(B56,'Snapshot (Volume)'!$A$7:$G$168,7,0)</f>
        <v>37010000</v>
      </c>
      <c r="F56" s="165">
        <f t="shared" si="18"/>
        <v>-172500</v>
      </c>
      <c r="G56" s="166">
        <f t="shared" si="19"/>
        <v>-4.6609024587949202E-3</v>
      </c>
      <c r="H56" s="165">
        <f>VLOOKUP($B56,'Data shares'!$C:$FB,66)</f>
        <v>10245000</v>
      </c>
      <c r="I56" s="165">
        <f>VLOOKUP($B56,'Data shares'!$C:$FB,67)</f>
        <v>14356250</v>
      </c>
      <c r="J56" s="81">
        <f t="shared" si="20"/>
        <v>-28.637353069220723</v>
      </c>
      <c r="K56" s="5">
        <f>VLOOKUP($B56,'Data Vlaue (Cr)'!$C:$FB,99)</f>
        <v>1849</v>
      </c>
      <c r="L56" s="81">
        <f>VLOOKUP(B56,'OI(Value)'!$A$7:$C$232,3,0)</f>
        <v>-9</v>
      </c>
      <c r="M56" s="33">
        <f t="shared" si="12"/>
        <v>-0.48674959437533805</v>
      </c>
      <c r="N56" s="5">
        <f>VLOOKUP($B56,'Data Vlaue (Cr)'!$C:$FB,67)</f>
        <v>514</v>
      </c>
      <c r="O56" s="5">
        <f>VLOOKUP($B56,'Data Vlaue (Cr)'!$C:$FB,68)</f>
        <v>721</v>
      </c>
      <c r="P56" s="5">
        <f t="shared" si="21"/>
        <v>-40.27237354085603</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Capital_Goods</v>
      </c>
      <c r="B57" s="79" t="str">
        <f>'Data shares'!C52</f>
        <v>CROMPTON</v>
      </c>
      <c r="C57" s="4">
        <f>VLOOKUP($B57,'Data shares'!$C:$FB,7)</f>
        <v>261.22000000000003</v>
      </c>
      <c r="D57" s="82">
        <f>VLOOKUP($B57,'Data shares'!$C:$FB,98)</f>
        <v>65723400</v>
      </c>
      <c r="E57" s="165">
        <f>VLOOKUP(B57,'Snapshot (Volume)'!$A$7:$G$168,7,0)</f>
        <v>65597400</v>
      </c>
      <c r="F57" s="165">
        <f t="shared" si="18"/>
        <v>126000</v>
      </c>
      <c r="G57" s="166">
        <f t="shared" si="19"/>
        <v>1.9208078368959745E-3</v>
      </c>
      <c r="H57" s="165">
        <f>VLOOKUP($B57,'Data shares'!$C:$FB,66)</f>
        <v>21627000</v>
      </c>
      <c r="I57" s="165">
        <f>VLOOKUP($B57,'Data shares'!$C:$FB,67)</f>
        <v>30367800</v>
      </c>
      <c r="J57" s="81">
        <f t="shared" si="20"/>
        <v>-28.783118961531624</v>
      </c>
      <c r="K57" s="5">
        <f>VLOOKUP($B57,'Data Vlaue (Cr)'!$C:$FB,99)</f>
        <v>1715</v>
      </c>
      <c r="L57" s="81">
        <f>VLOOKUP(B57,'OI(Value)'!$A$7:$C$232,3,0)</f>
        <v>3</v>
      </c>
      <c r="M57" s="33">
        <f t="shared" si="12"/>
        <v>0.1749271137026239</v>
      </c>
      <c r="N57" s="5">
        <f>VLOOKUP($B57,'Data Vlaue (Cr)'!$C:$FB,67)</f>
        <v>564</v>
      </c>
      <c r="O57" s="5">
        <f>VLOOKUP($B57,'Data Vlaue (Cr)'!$C:$FB,68)</f>
        <v>793</v>
      </c>
      <c r="P57" s="5">
        <f t="shared" si="21"/>
        <v>-40.602836879432623</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Capital_Goods</v>
      </c>
      <c r="B58" s="79" t="str">
        <f>'Data shares'!C53</f>
        <v>CUMMINSIND</v>
      </c>
      <c r="C58" s="4">
        <f>VLOOKUP($B58,'Data shares'!$C:$FB,7)</f>
        <v>5200.3</v>
      </c>
      <c r="D58" s="82">
        <f>VLOOKUP($B58,'Data shares'!$C:$FB,98)</f>
        <v>6324600</v>
      </c>
      <c r="E58" s="165">
        <f>VLOOKUP(B58,'Snapshot (Volume)'!$A$7:$G$168,7,0)</f>
        <v>6232600</v>
      </c>
      <c r="F58" s="165">
        <f t="shared" si="18"/>
        <v>92000</v>
      </c>
      <c r="G58" s="166">
        <f t="shared" si="19"/>
        <v>1.4761094888168661E-2</v>
      </c>
      <c r="H58" s="165">
        <f>VLOOKUP($B58,'Data shares'!$C:$FB,66)</f>
        <v>6529800</v>
      </c>
      <c r="I58" s="165">
        <f>VLOOKUP($B58,'Data shares'!$C:$FB,67)</f>
        <v>7538400</v>
      </c>
      <c r="J58" s="81">
        <f t="shared" si="20"/>
        <v>-13.379496975485514</v>
      </c>
      <c r="K58" s="5">
        <f>VLOOKUP($B58,'Data Vlaue (Cr)'!$C:$FB,99)</f>
        <v>3286</v>
      </c>
      <c r="L58" s="81">
        <f>VLOOKUP(B58,'OI(Value)'!$A$7:$C$232,3,0)</f>
        <v>48</v>
      </c>
      <c r="M58" s="33">
        <f t="shared" si="12"/>
        <v>1.4607425441265978</v>
      </c>
      <c r="N58" s="5">
        <f>VLOOKUP($B58,'Data Vlaue (Cr)'!$C:$FB,67)</f>
        <v>3393</v>
      </c>
      <c r="O58" s="5">
        <f>VLOOKUP($B58,'Data Vlaue (Cr)'!$C:$FB,68)</f>
        <v>3917</v>
      </c>
      <c r="P58" s="5">
        <f t="shared" si="21"/>
        <v>-15.443560271146477</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FMCG</v>
      </c>
      <c r="B59" s="79" t="str">
        <f>'Data shares'!C54</f>
        <v>DABUR</v>
      </c>
      <c r="C59" s="4">
        <f>VLOOKUP($B59,'Data shares'!$C:$FB,7)</f>
        <v>441.7</v>
      </c>
      <c r="D59" s="82">
        <f>VLOOKUP($B59,'Data shares'!$C:$FB,98)</f>
        <v>49636250</v>
      </c>
      <c r="E59" s="165">
        <f>VLOOKUP(B59,'Snapshot (Volume)'!$A$7:$G$168,7,0)</f>
        <v>50657500</v>
      </c>
      <c r="F59" s="165">
        <f t="shared" si="18"/>
        <v>-1021250</v>
      </c>
      <c r="G59" s="166">
        <f t="shared" si="19"/>
        <v>-2.0159897349849479E-2</v>
      </c>
      <c r="H59" s="165">
        <f>VLOOKUP($B59,'Data shares'!$C:$FB,66)</f>
        <v>24085000</v>
      </c>
      <c r="I59" s="165">
        <f>VLOOKUP($B59,'Data shares'!$C:$FB,67)</f>
        <v>58455000</v>
      </c>
      <c r="J59" s="81">
        <f t="shared" si="20"/>
        <v>-58.79736549482508</v>
      </c>
      <c r="K59" s="5">
        <f>VLOOKUP($B59,'Data Vlaue (Cr)'!$C:$FB,99)</f>
        <v>2193</v>
      </c>
      <c r="L59" s="81">
        <f>VLOOKUP(B59,'OI(Value)'!$A$7:$C$232,3,0)</f>
        <v>-45</v>
      </c>
      <c r="M59" s="33">
        <f t="shared" si="12"/>
        <v>-2.0519835841313268</v>
      </c>
      <c r="N59" s="5">
        <f>VLOOKUP($B59,'Data Vlaue (Cr)'!$C:$FB,67)</f>
        <v>1064</v>
      </c>
      <c r="O59" s="5">
        <f>VLOOKUP($B59,'Data Vlaue (Cr)'!$C:$FB,68)</f>
        <v>2583</v>
      </c>
      <c r="P59" s="5">
        <f t="shared" si="21"/>
        <v>-142.76315789473685</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Cement</v>
      </c>
      <c r="B60" s="79" t="str">
        <f>'Data shares'!C55</f>
        <v>DALBHARAT</v>
      </c>
      <c r="C60" s="4">
        <f>VLOOKUP($B60,'Data shares'!$C:$FB,7)</f>
        <v>1981.8</v>
      </c>
      <c r="D60" s="82">
        <f>VLOOKUP($B60,'Data shares'!$C:$FB,98)</f>
        <v>4668950</v>
      </c>
      <c r="E60" s="165">
        <f>VLOOKUP(B60,'Snapshot (Volume)'!$A$7:$G$168,7,0)</f>
        <v>4595825</v>
      </c>
      <c r="F60" s="165">
        <f t="shared" si="18"/>
        <v>73125</v>
      </c>
      <c r="G60" s="166">
        <f t="shared" si="19"/>
        <v>1.591118025599321E-2</v>
      </c>
      <c r="H60" s="165">
        <f>VLOOKUP($B60,'Data shares'!$C:$FB,66)</f>
        <v>1645475</v>
      </c>
      <c r="I60" s="165">
        <f>VLOOKUP($B60,'Data shares'!$C:$FB,67)</f>
        <v>1954225</v>
      </c>
      <c r="J60" s="81">
        <f t="shared" si="20"/>
        <v>-15.799101945784134</v>
      </c>
      <c r="K60" s="5">
        <f>VLOOKUP($B60,'Data Vlaue (Cr)'!$C:$FB,99)</f>
        <v>925</v>
      </c>
      <c r="L60" s="81">
        <f>VLOOKUP(B60,'OI(Value)'!$A$7:$C$232,3,0)</f>
        <v>14</v>
      </c>
      <c r="M60" s="33">
        <f t="shared" si="12"/>
        <v>1.5135135135135136</v>
      </c>
      <c r="N60" s="5">
        <f>VLOOKUP($B60,'Data Vlaue (Cr)'!$C:$FB,67)</f>
        <v>326</v>
      </c>
      <c r="O60" s="5">
        <f>VLOOKUP($B60,'Data Vlaue (Cr)'!$C:$FB,68)</f>
        <v>387</v>
      </c>
      <c r="P60" s="5">
        <f t="shared" si="21"/>
        <v>-18.711656441717793</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New_Age</v>
      </c>
      <c r="B61" s="79" t="str">
        <f>'Data shares'!C56</f>
        <v>DELHIVERY</v>
      </c>
      <c r="C61" s="4">
        <f>VLOOKUP($B61,'Data shares'!$C:$FB,7)</f>
        <v>464.5</v>
      </c>
      <c r="D61" s="82">
        <f>VLOOKUP($B61,'Data shares'!$C:$FB,98)</f>
        <v>50019950</v>
      </c>
      <c r="E61" s="165">
        <f>VLOOKUP(B61,'Snapshot (Volume)'!$A$7:$G$168,7,0)</f>
        <v>51775400</v>
      </c>
      <c r="F61" s="165">
        <f t="shared" si="18"/>
        <v>-1755450</v>
      </c>
      <c r="G61" s="166">
        <f t="shared" si="19"/>
        <v>-3.3905097787752483E-2</v>
      </c>
      <c r="H61" s="165">
        <f>VLOOKUP($B61,'Data shares'!$C:$FB,66)</f>
        <v>47901375</v>
      </c>
      <c r="I61" s="165">
        <f>VLOOKUP($B61,'Data shares'!$C:$FB,67)</f>
        <v>45093900</v>
      </c>
      <c r="J61" s="81">
        <f t="shared" si="20"/>
        <v>6.2258420762009941</v>
      </c>
      <c r="K61" s="5">
        <f>VLOOKUP($B61,'Data Vlaue (Cr)'!$C:$FB,99)</f>
        <v>2325</v>
      </c>
      <c r="L61" s="81">
        <f>VLOOKUP(B61,'OI(Value)'!$A$7:$C$232,3,0)</f>
        <v>-82</v>
      </c>
      <c r="M61" s="33">
        <f t="shared" si="12"/>
        <v>-3.5268817204301075</v>
      </c>
      <c r="N61" s="5">
        <f>VLOOKUP($B61,'Data Vlaue (Cr)'!$C:$FB,67)</f>
        <v>2226</v>
      </c>
      <c r="O61" s="5">
        <f>VLOOKUP($B61,'Data Vlaue (Cr)'!$C:$FB,68)</f>
        <v>2096</v>
      </c>
      <c r="P61" s="5">
        <f t="shared" si="21"/>
        <v>5.840071877807727</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Pharma</v>
      </c>
      <c r="B62" s="79" t="str">
        <f>'Data shares'!C57</f>
        <v>DIVISLAB</v>
      </c>
      <c r="C62" s="4">
        <f>VLOOKUP($B62,'Data shares'!$C:$FB,7)</f>
        <v>6280</v>
      </c>
      <c r="D62" s="82">
        <f>VLOOKUP($B62,'Data shares'!$C:$FB,98)</f>
        <v>4284500</v>
      </c>
      <c r="E62" s="165">
        <f>VLOOKUP(B62,'Snapshot (Volume)'!$A$7:$G$168,7,0)</f>
        <v>4199800</v>
      </c>
      <c r="F62" s="165">
        <f t="shared" si="18"/>
        <v>84700</v>
      </c>
      <c r="G62" s="166"/>
      <c r="H62" s="165">
        <f>VLOOKUP($B62,'Data shares'!$C:$FB,66)</f>
        <v>1876900</v>
      </c>
      <c r="I62" s="165">
        <f>VLOOKUP($B62,'Data shares'!$C:$FB,67)</f>
        <v>1821300</v>
      </c>
      <c r="J62" s="81"/>
      <c r="K62" s="5">
        <f>VLOOKUP($B62,'Data Vlaue (Cr)'!$C:$FB,99)</f>
        <v>2688</v>
      </c>
      <c r="L62" s="81">
        <f>VLOOKUP(B62,'OI(Value)'!$A$7:$C$232,3,0)</f>
        <v>53</v>
      </c>
      <c r="M62" s="33"/>
      <c r="N62" s="5">
        <f>VLOOKUP($B62,'Data Vlaue (Cr)'!$C:$FB,67)</f>
        <v>1178</v>
      </c>
      <c r="O62" s="5">
        <f>VLOOKUP($B62,'Data Vlaue (Cr)'!$C:$FB,68)</f>
        <v>1143</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Capital_Goods</v>
      </c>
      <c r="B63" s="79" t="str">
        <f>'Data shares'!C58</f>
        <v>DIXON</v>
      </c>
      <c r="C63" s="4">
        <f>VLOOKUP($B63,'Data shares'!$C:$FB,7)</f>
        <v>11211</v>
      </c>
      <c r="D63" s="82">
        <f>VLOOKUP($B63,'Data shares'!$C:$FB,98)</f>
        <v>6737600</v>
      </c>
      <c r="E63" s="165">
        <f>VLOOKUP(B63,'Snapshot (Volume)'!$A$7:$G$168,7,0)</f>
        <v>6749450</v>
      </c>
      <c r="F63" s="165">
        <f t="shared" si="18"/>
        <v>-11850</v>
      </c>
      <c r="G63" s="166">
        <f t="shared" si="19"/>
        <v>-1.7556986124795354E-3</v>
      </c>
      <c r="H63" s="165">
        <f>VLOOKUP($B63,'Data shares'!$C:$FB,66)</f>
        <v>5367300</v>
      </c>
      <c r="I63" s="165">
        <f>VLOOKUP($B63,'Data shares'!$C:$FB,67)</f>
        <v>6342150</v>
      </c>
      <c r="J63" s="81">
        <f t="shared" si="20"/>
        <v>-15.370970412241904</v>
      </c>
      <c r="K63" s="5">
        <f>VLOOKUP($B63,'Data Vlaue (Cr)'!$C:$FB,99)</f>
        <v>7543</v>
      </c>
      <c r="L63" s="81">
        <f>VLOOKUP(B63,'OI(Value)'!$A$7:$C$232,3,0)</f>
        <v>-13</v>
      </c>
      <c r="M63" s="33">
        <f t="shared" si="12"/>
        <v>-0.1723452207344558</v>
      </c>
      <c r="N63" s="5">
        <f>VLOOKUP($B63,'Data Vlaue (Cr)'!$C:$FB,67)</f>
        <v>6009</v>
      </c>
      <c r="O63" s="5">
        <f>VLOOKUP($B63,'Data Vlaue (Cr)'!$C:$FB,68)</f>
        <v>7100</v>
      </c>
      <c r="P63" s="5">
        <f t="shared" si="21"/>
        <v>-18.156099184556499</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Realty</v>
      </c>
      <c r="B64" s="79" t="str">
        <f>'Data shares'!C59</f>
        <v>DLF</v>
      </c>
      <c r="C64" s="4">
        <f>VLOOKUP($B64,'Data shares'!$C:$FB,7)</f>
        <v>596.4</v>
      </c>
      <c r="D64" s="82">
        <f>VLOOKUP($B64,'Data shares'!$C:$FB,98)</f>
        <v>72867300</v>
      </c>
      <c r="E64" s="165">
        <f>VLOOKUP(B64,'Snapshot (Volume)'!$A$7:$G$168,7,0)</f>
        <v>73074375</v>
      </c>
      <c r="F64" s="165">
        <f t="shared" si="18"/>
        <v>-207075</v>
      </c>
      <c r="G64" s="166">
        <f t="shared" si="19"/>
        <v>-2.8337567033587356E-3</v>
      </c>
      <c r="H64" s="165">
        <f>VLOOKUP($B64,'Data shares'!$C:$FB,66)</f>
        <v>20881575</v>
      </c>
      <c r="I64" s="165">
        <f>VLOOKUP($B64,'Data shares'!$C:$FB,67)</f>
        <v>41220300</v>
      </c>
      <c r="J64" s="81">
        <f t="shared" si="20"/>
        <v>-49.341525898647028</v>
      </c>
      <c r="K64" s="5">
        <f>VLOOKUP($B64,'Data Vlaue (Cr)'!$C:$FB,99)</f>
        <v>4340</v>
      </c>
      <c r="L64" s="81">
        <f>VLOOKUP(B64,'OI(Value)'!$A$7:$C$232,3,0)</f>
        <v>-12</v>
      </c>
      <c r="M64" s="33">
        <f t="shared" si="12"/>
        <v>-0.27649769585253459</v>
      </c>
      <c r="N64" s="5">
        <f>VLOOKUP($B64,'Data Vlaue (Cr)'!$C:$FB,67)</f>
        <v>1244</v>
      </c>
      <c r="O64" s="5">
        <f>VLOOKUP($B64,'Data Vlaue (Cr)'!$C:$FB,68)</f>
        <v>2455</v>
      </c>
      <c r="P64" s="5">
        <f t="shared" si="21"/>
        <v>-97.347266881028943</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New_Age</v>
      </c>
      <c r="B65" s="79" t="str">
        <f>'Data shares'!C60</f>
        <v>DMART</v>
      </c>
      <c r="C65" s="4">
        <f>VLOOKUP($B65,'Data shares'!$C:$FB,7)</f>
        <v>4605.2</v>
      </c>
      <c r="D65" s="82">
        <f>VLOOKUP($B65,'Data shares'!$C:$FB,98)</f>
        <v>7750500</v>
      </c>
      <c r="E65" s="165">
        <f>VLOOKUP(B65,'Snapshot (Volume)'!$A$7:$G$168,7,0)</f>
        <v>7862550</v>
      </c>
      <c r="F65" s="165">
        <f t="shared" si="18"/>
        <v>-112050</v>
      </c>
      <c r="G65" s="166">
        <f t="shared" si="19"/>
        <v>-1.4251101741801324E-2</v>
      </c>
      <c r="H65" s="165">
        <f>VLOOKUP($B65,'Data shares'!$C:$FB,66)</f>
        <v>5050350</v>
      </c>
      <c r="I65" s="165">
        <f>VLOOKUP($B65,'Data shares'!$C:$FB,67)</f>
        <v>15516450</v>
      </c>
      <c r="J65" s="81">
        <f t="shared" si="20"/>
        <v>-67.451640033641709</v>
      </c>
      <c r="K65" s="5">
        <f>VLOOKUP($B65,'Data Vlaue (Cr)'!$C:$FB,99)</f>
        <v>3571</v>
      </c>
      <c r="L65" s="81">
        <f>VLOOKUP(B65,'OI(Value)'!$A$7:$C$232,3,0)</f>
        <v>-52</v>
      </c>
      <c r="M65" s="33">
        <f t="shared" si="12"/>
        <v>-1.4561747409689163</v>
      </c>
      <c r="N65" s="5">
        <f>VLOOKUP($B65,'Data Vlaue (Cr)'!$C:$FB,67)</f>
        <v>2327</v>
      </c>
      <c r="O65" s="5">
        <f>VLOOKUP($B65,'Data Vlaue (Cr)'!$C:$FB,68)</f>
        <v>7150</v>
      </c>
      <c r="P65" s="5">
        <f t="shared" si="21"/>
        <v>-207.26256983240225</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Pharma</v>
      </c>
      <c r="B66" s="79" t="str">
        <f>'Data shares'!C61</f>
        <v>DRREDDY</v>
      </c>
      <c r="C66" s="4">
        <f>VLOOKUP($B66,'Data shares'!$C:$FB,7)</f>
        <v>1232.5999999999999</v>
      </c>
      <c r="D66" s="82">
        <f>VLOOKUP($B66,'Data shares'!$C:$FB,98)</f>
        <v>26352500</v>
      </c>
      <c r="E66" s="165">
        <f>VLOOKUP(B66,'Snapshot (Volume)'!$A$7:$G$168,7,0)</f>
        <v>26233125</v>
      </c>
      <c r="F66" s="165">
        <f t="shared" si="18"/>
        <v>119375</v>
      </c>
      <c r="G66" s="166">
        <f t="shared" si="19"/>
        <v>4.5505443975889263E-3</v>
      </c>
      <c r="H66" s="165">
        <f>VLOOKUP($B66,'Data shares'!$C:$FB,66)</f>
        <v>11824375</v>
      </c>
      <c r="I66" s="165">
        <f>VLOOKUP($B66,'Data shares'!$C:$FB,67)</f>
        <v>15924375</v>
      </c>
      <c r="J66" s="81">
        <f t="shared" si="20"/>
        <v>-25.746693355312217</v>
      </c>
      <c r="K66" s="5">
        <f>VLOOKUP($B66,'Data Vlaue (Cr)'!$C:$FB,99)</f>
        <v>3226</v>
      </c>
      <c r="L66" s="81">
        <f>VLOOKUP(B66,'OI(Value)'!$A$7:$C$232,3,0)</f>
        <v>15</v>
      </c>
      <c r="M66" s="33">
        <f t="shared" ref="M66:M93" si="22">L66/K66*100</f>
        <v>0.46497210167389957</v>
      </c>
      <c r="N66" s="5">
        <f>VLOOKUP($B66,'Data Vlaue (Cr)'!$C:$FB,67)</f>
        <v>1447</v>
      </c>
      <c r="O66" s="5">
        <f>VLOOKUP($B66,'Data Vlaue (Cr)'!$C:$FB,68)</f>
        <v>1949</v>
      </c>
      <c r="P66" s="5">
        <f t="shared" si="21"/>
        <v>-34.69246717346234</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EICHERMOT</v>
      </c>
      <c r="C67" s="4">
        <f>VLOOKUP($B67,'Data shares'!$C:$FB,7)</f>
        <v>7243</v>
      </c>
      <c r="D67" s="82">
        <f>VLOOKUP($B67,'Data shares'!$C:$FB,98)</f>
        <v>8014600</v>
      </c>
      <c r="E67" s="165">
        <f>VLOOKUP(B67,'Snapshot (Volume)'!$A$7:$G$168,7,0)</f>
        <v>8195200</v>
      </c>
      <c r="F67" s="165">
        <f t="shared" si="18"/>
        <v>-180600</v>
      </c>
      <c r="G67" s="166">
        <f t="shared" si="19"/>
        <v>-2.2037290121046466E-2</v>
      </c>
      <c r="H67" s="165">
        <f>VLOOKUP($B67,'Data shares'!$C:$FB,66)</f>
        <v>5190300</v>
      </c>
      <c r="I67" s="165">
        <f>VLOOKUP($B67,'Data shares'!$C:$FB,67)</f>
        <v>4867500</v>
      </c>
      <c r="J67" s="81">
        <f t="shared" si="20"/>
        <v>6.6317411402157163</v>
      </c>
      <c r="K67" s="5">
        <f>VLOOKUP($B67,'Data Vlaue (Cr)'!$C:$FB,99)</f>
        <v>5797</v>
      </c>
      <c r="L67" s="81">
        <f>VLOOKUP(B67,'OI(Value)'!$A$7:$C$232,3,0)</f>
        <v>-131</v>
      </c>
      <c r="M67" s="33">
        <f t="shared" si="22"/>
        <v>-2.2597895463170605</v>
      </c>
      <c r="N67" s="5">
        <f>VLOOKUP($B67,'Data Vlaue (Cr)'!$C:$FB,67)</f>
        <v>3754</v>
      </c>
      <c r="O67" s="5">
        <f>VLOOKUP($B67,'Data Vlaue (Cr)'!$C:$FB,68)</f>
        <v>3521</v>
      </c>
      <c r="P67" s="5">
        <f t="shared" si="21"/>
        <v>6.2067128396377198</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New_Age</v>
      </c>
      <c r="B68" s="79" t="str">
        <f>'Data shares'!C63</f>
        <v>ETERNAL</v>
      </c>
      <c r="C68" s="4">
        <f>VLOOKUP($B68,'Data shares'!$C:$FB,7)</f>
        <v>254.88</v>
      </c>
      <c r="D68" s="82">
        <f>VLOOKUP($B68,'Data shares'!$C:$FB,98)</f>
        <v>306798875</v>
      </c>
      <c r="E68" s="165">
        <f>VLOOKUP(B68,'Snapshot (Volume)'!$A$7:$G$168,7,0)</f>
        <v>310545500</v>
      </c>
      <c r="F68" s="165">
        <f t="shared" si="18"/>
        <v>-3746625</v>
      </c>
      <c r="G68" s="166">
        <f t="shared" si="19"/>
        <v>-1.2064657191941278E-2</v>
      </c>
      <c r="H68" s="165">
        <f>VLOOKUP($B68,'Data shares'!$C:$FB,66)</f>
        <v>163512900</v>
      </c>
      <c r="I68" s="165">
        <f>VLOOKUP($B68,'Data shares'!$C:$FB,67)</f>
        <v>164007600</v>
      </c>
      <c r="J68" s="81">
        <f t="shared" si="20"/>
        <v>-0.30163236337828248</v>
      </c>
      <c r="K68" s="5">
        <f>VLOOKUP($B68,'Data Vlaue (Cr)'!$C:$FB,99)</f>
        <v>7815</v>
      </c>
      <c r="L68" s="81">
        <f>VLOOKUP(B68,'OI(Value)'!$A$7:$C$232,3,0)</f>
        <v>-95</v>
      </c>
      <c r="M68" s="33">
        <f t="shared" si="22"/>
        <v>-1.2156110044785668</v>
      </c>
      <c r="N68" s="5">
        <f>VLOOKUP($B68,'Data Vlaue (Cr)'!$C:$FB,67)</f>
        <v>4165</v>
      </c>
      <c r="O68" s="5">
        <f>VLOOKUP($B68,'Data Vlaue (Cr)'!$C:$FB,68)</f>
        <v>4178</v>
      </c>
      <c r="P68" s="5">
        <f t="shared" si="21"/>
        <v>-0.31212484993997597</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Automobile</v>
      </c>
      <c r="B69" s="79" t="str">
        <f>'Data shares'!C64</f>
        <v>EXIDEIND</v>
      </c>
      <c r="C69" s="79">
        <f>VLOOKUP($B69,'Data shares'!$C:$FB,7)</f>
        <v>329.7</v>
      </c>
      <c r="D69" s="165">
        <f>VLOOKUP($B69,'Data shares'!$C:$FB,98)</f>
        <v>54208800</v>
      </c>
      <c r="E69" s="165">
        <f>VLOOKUP(B69,'Snapshot (Volume)'!$A$7:$G$168,7,0)</f>
        <v>54329400</v>
      </c>
      <c r="F69" s="165">
        <f t="shared" ref="F69:F85" si="23">D69-E69</f>
        <v>-120600</v>
      </c>
      <c r="G69" s="166">
        <f t="shared" ref="G69:G85" si="24">F69/E69</f>
        <v>-2.2197925984825894E-3</v>
      </c>
      <c r="H69" s="165">
        <f>VLOOKUP($B69,'Data shares'!$C:$FB,66)</f>
        <v>16581600</v>
      </c>
      <c r="I69" s="165">
        <f>VLOOKUP($B69,'Data shares'!$C:$FB,67)</f>
        <v>12105000</v>
      </c>
      <c r="J69" s="81">
        <f t="shared" ref="J69:J85" si="25">(H69-I69)/I69*100</f>
        <v>36.981412639405207</v>
      </c>
      <c r="K69" s="81">
        <f>VLOOKUP($B69,'Data Vlaue (Cr)'!$C:$FB,99)</f>
        <v>1788</v>
      </c>
      <c r="L69" s="81">
        <f>VLOOKUP(B69,'OI(Value)'!$A$7:$C$232,3,0)</f>
        <v>-4</v>
      </c>
      <c r="M69" s="81">
        <f t="shared" si="22"/>
        <v>-0.22371364653243847</v>
      </c>
      <c r="N69" s="81">
        <f>VLOOKUP($B69,'Data Vlaue (Cr)'!$C:$FB,67)</f>
        <v>547</v>
      </c>
      <c r="O69" s="81">
        <f>VLOOKUP($B69,'Data Vlaue (Cr)'!$C:$FB,68)</f>
        <v>399</v>
      </c>
      <c r="P69" s="81">
        <f t="shared" ref="P69:P85" si="26">(N69-O69)/N69*100</f>
        <v>27.056672760511884</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Banking</v>
      </c>
      <c r="B70" s="79" t="str">
        <f>'Data shares'!C65</f>
        <v>FEDERALBNK</v>
      </c>
      <c r="C70" s="79">
        <f>VLOOKUP($B70,'Data shares'!$C:$FB,7)</f>
        <v>294.35000000000002</v>
      </c>
      <c r="D70" s="165">
        <f>VLOOKUP($B70,'Data shares'!$C:$FB,98)</f>
        <v>146970000</v>
      </c>
      <c r="E70" s="165">
        <f>VLOOKUP(B70,'Snapshot (Volume)'!$A$7:$G$168,7,0)</f>
        <v>147745000</v>
      </c>
      <c r="F70" s="165">
        <f t="shared" si="23"/>
        <v>-775000</v>
      </c>
      <c r="G70" s="166">
        <f t="shared" si="24"/>
        <v>-5.2455243832278588E-3</v>
      </c>
      <c r="H70" s="165">
        <f>VLOOKUP($B70,'Data shares'!$C:$FB,66)</f>
        <v>109740000</v>
      </c>
      <c r="I70" s="165">
        <f>VLOOKUP($B70,'Data shares'!$C:$FB,67)</f>
        <v>123750000</v>
      </c>
      <c r="J70" s="81">
        <f t="shared" si="25"/>
        <v>-11.32121212121212</v>
      </c>
      <c r="K70" s="81">
        <f>VLOOKUP($B70,'Data Vlaue (Cr)'!$C:$FB,99)</f>
        <v>4332</v>
      </c>
      <c r="L70" s="81">
        <f>VLOOKUP(B70,'OI(Value)'!$A$7:$C$232,3,0)</f>
        <v>-23</v>
      </c>
      <c r="M70" s="81">
        <f t="shared" si="22"/>
        <v>-0.53093259464450593</v>
      </c>
      <c r="N70" s="81">
        <f>VLOOKUP($B70,'Data Vlaue (Cr)'!$C:$FB,67)</f>
        <v>3235</v>
      </c>
      <c r="O70" s="81">
        <f>VLOOKUP($B70,'Data Vlaue (Cr)'!$C:$FB,68)</f>
        <v>3648</v>
      </c>
      <c r="P70" s="81">
        <f t="shared" si="26"/>
        <v>-12.766615146831532</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Index</v>
      </c>
      <c r="B71" s="79" t="str">
        <f>'Data shares'!C66</f>
        <v>FINNIFTY</v>
      </c>
      <c r="C71" s="4">
        <f>VLOOKUP($B71,'Data shares'!$C:$FB,7)</f>
        <v>26537.1</v>
      </c>
      <c r="D71" s="82">
        <f>VLOOKUP($B71,'Data shares'!$C:$FB,98)</f>
        <v>655200</v>
      </c>
      <c r="E71" s="165">
        <f>VLOOKUP(B71,'Snapshot (Volume)'!$A$7:$G$168,7,0)</f>
        <v>692040</v>
      </c>
      <c r="F71" s="165">
        <f t="shared" si="23"/>
        <v>-36840</v>
      </c>
      <c r="G71" s="166">
        <f t="shared" si="24"/>
        <v>-5.3233917114617654E-2</v>
      </c>
      <c r="H71" s="165">
        <f>VLOOKUP($B71,'Data shares'!$C:$FB,66)</f>
        <v>1066740</v>
      </c>
      <c r="I71" s="165">
        <f>VLOOKUP($B71,'Data shares'!$C:$FB,67)</f>
        <v>931500</v>
      </c>
      <c r="J71" s="81">
        <f t="shared" si="25"/>
        <v>14.518518518518519</v>
      </c>
      <c r="K71" s="5">
        <f>VLOOKUP($B71,'Data Vlaue (Cr)'!$C:$FB,99)</f>
        <v>1737</v>
      </c>
      <c r="L71" s="81">
        <f>VLOOKUP(B71,'OI(Value)'!$A$7:$C$232,3,0)</f>
        <v>-98</v>
      </c>
      <c r="M71" s="33">
        <f t="shared" si="22"/>
        <v>-5.6419113413932065</v>
      </c>
      <c r="N71" s="5">
        <f>VLOOKUP($B71,'Data Vlaue (Cr)'!$C:$FB,67)</f>
        <v>2828</v>
      </c>
      <c r="O71" s="5">
        <f>VLOOKUP($B71,'Data Vlaue (Cr)'!$C:$FB,68)</f>
        <v>2470</v>
      </c>
      <c r="P71" s="5">
        <f t="shared" si="26"/>
        <v>12.659123055162661</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Automobile</v>
      </c>
      <c r="B72" s="79" t="str">
        <f>'Data shares'!C67</f>
        <v>FORCEMOT</v>
      </c>
      <c r="C72" s="4">
        <f>VLOOKUP($B72,'Data shares'!$C:$FB,7)</f>
        <v>21925</v>
      </c>
      <c r="D72" s="82">
        <f>VLOOKUP($B72,'Data shares'!$C:$FB,98)</f>
        <v>256500</v>
      </c>
      <c r="E72" s="165">
        <f>VLOOKUP(B72,'Snapshot (Volume)'!$A$7:$G$168,7,0)</f>
        <v>236500</v>
      </c>
      <c r="F72" s="165">
        <f t="shared" si="23"/>
        <v>20000</v>
      </c>
      <c r="G72" s="166">
        <f t="shared" si="24"/>
        <v>8.4566596194503171E-2</v>
      </c>
      <c r="H72" s="165">
        <f>VLOOKUP($B72,'Data shares'!$C:$FB,66)</f>
        <v>140375</v>
      </c>
      <c r="I72" s="165">
        <f>VLOOKUP($B72,'Data shares'!$C:$FB,67)</f>
        <v>99725</v>
      </c>
      <c r="J72" s="81">
        <f t="shared" si="25"/>
        <v>40.762095763349208</v>
      </c>
      <c r="K72" s="5">
        <f>VLOOKUP($B72,'Data Vlaue (Cr)'!$C:$FB,99)</f>
        <v>561</v>
      </c>
      <c r="L72" s="81">
        <f>VLOOKUP(B72,'OI(Value)'!$A$7:$C$232,3,0)</f>
        <v>44</v>
      </c>
      <c r="M72" s="33">
        <f t="shared" si="22"/>
        <v>7.8431372549019605</v>
      </c>
      <c r="N72" s="5">
        <f>VLOOKUP($B72,'Data Vlaue (Cr)'!$C:$FB,67)</f>
        <v>307</v>
      </c>
      <c r="O72" s="5">
        <f>VLOOKUP($B72,'Data Vlaue (Cr)'!$C:$FB,68)</f>
        <v>218</v>
      </c>
      <c r="P72" s="5">
        <f t="shared" si="26"/>
        <v>28.990228013029316</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Pharma</v>
      </c>
      <c r="B73" s="79" t="str">
        <f>'Data shares'!C68</f>
        <v>FORTIS</v>
      </c>
      <c r="C73" s="4">
        <f>VLOOKUP($B73,'Data shares'!$C:$FB,7)</f>
        <v>890.9</v>
      </c>
      <c r="D73" s="82">
        <f>VLOOKUP($B73,'Data shares'!$C:$FB,98)</f>
        <v>15265950</v>
      </c>
      <c r="E73" s="165">
        <f>VLOOKUP(B73,'Snapshot (Volume)'!$A$7:$G$168,7,0)</f>
        <v>15195425</v>
      </c>
      <c r="F73" s="165">
        <f t="shared" si="23"/>
        <v>70525</v>
      </c>
      <c r="G73" s="166">
        <f t="shared" si="24"/>
        <v>4.6411995715815784E-3</v>
      </c>
      <c r="H73" s="165">
        <f>VLOOKUP($B73,'Data shares'!$C:$FB,66)</f>
        <v>4544600</v>
      </c>
      <c r="I73" s="165">
        <f>VLOOKUP($B73,'Data shares'!$C:$FB,67)</f>
        <v>8592425</v>
      </c>
      <c r="J73" s="81">
        <f t="shared" si="25"/>
        <v>-47.109227022639125</v>
      </c>
      <c r="K73" s="5">
        <f>VLOOKUP($B73,'Data Vlaue (Cr)'!$C:$FB,99)</f>
        <v>1359</v>
      </c>
      <c r="L73" s="81">
        <f>VLOOKUP(B73,'OI(Value)'!$A$7:$C$232,3,0)</f>
        <v>6</v>
      </c>
      <c r="M73" s="33">
        <f t="shared" si="22"/>
        <v>0.44150110375275936</v>
      </c>
      <c r="N73" s="5">
        <f>VLOOKUP($B73,'Data Vlaue (Cr)'!$C:$FB,67)</f>
        <v>405</v>
      </c>
      <c r="O73" s="5">
        <f>VLOOKUP($B73,'Data Vlaue (Cr)'!$C:$FB,68)</f>
        <v>765</v>
      </c>
      <c r="P73" s="5">
        <f t="shared" si="26"/>
        <v>-88.888888888888886</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Oil_Gas</v>
      </c>
      <c r="B74" s="79" t="str">
        <f>'Data shares'!C69</f>
        <v>GAIL</v>
      </c>
      <c r="C74" s="4">
        <f>VLOOKUP($B74,'Data shares'!$C:$FB,7)</f>
        <v>157.69999999999999</v>
      </c>
      <c r="D74" s="82">
        <f>VLOOKUP($B74,'Data shares'!$C:$FB,98)</f>
        <v>139648950</v>
      </c>
      <c r="E74" s="165">
        <f>VLOOKUP(B74,'Snapshot (Volume)'!$A$7:$G$168,7,0)</f>
        <v>138940200</v>
      </c>
      <c r="F74" s="165">
        <f t="shared" si="23"/>
        <v>708750</v>
      </c>
      <c r="G74" s="166">
        <f t="shared" si="24"/>
        <v>5.1011154439104013E-3</v>
      </c>
      <c r="H74" s="165">
        <f>VLOOKUP($B74,'Data shares'!$C:$FB,66)</f>
        <v>29751750</v>
      </c>
      <c r="I74" s="165">
        <f>VLOOKUP($B74,'Data shares'!$C:$FB,67)</f>
        <v>35254800</v>
      </c>
      <c r="J74" s="81">
        <f t="shared" si="25"/>
        <v>-15.609363831308077</v>
      </c>
      <c r="K74" s="5">
        <f>VLOOKUP($B74,'Data Vlaue (Cr)'!$C:$FB,99)</f>
        <v>2202</v>
      </c>
      <c r="L74" s="81">
        <f>VLOOKUP(B74,'OI(Value)'!$A$7:$C$232,3,0)</f>
        <v>11</v>
      </c>
      <c r="M74" s="33">
        <f t="shared" si="22"/>
        <v>0.49954586739327883</v>
      </c>
      <c r="N74" s="5">
        <f>VLOOKUP($B74,'Data Vlaue (Cr)'!$C:$FB,67)</f>
        <v>469</v>
      </c>
      <c r="O74" s="5">
        <f>VLOOKUP($B74,'Data Vlaue (Cr)'!$C:$FB,68)</f>
        <v>556</v>
      </c>
      <c r="P74" s="5">
        <f t="shared" si="26"/>
        <v>-18.550106609808104</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Pharma</v>
      </c>
      <c r="B75" s="79" t="str">
        <f>'Data shares'!C70</f>
        <v>GLENMARK</v>
      </c>
      <c r="C75" s="4">
        <f>VLOOKUP($B75,'Data shares'!$C:$FB,7)</f>
        <v>2230.6999999999998</v>
      </c>
      <c r="D75" s="82">
        <f>VLOOKUP($B75,'Data shares'!$C:$FB,98)</f>
        <v>13661625</v>
      </c>
      <c r="E75" s="165">
        <f>VLOOKUP(B75,'Snapshot (Volume)'!$A$7:$G$168,7,0)</f>
        <v>13838250</v>
      </c>
      <c r="F75" s="165">
        <f t="shared" si="23"/>
        <v>-176625</v>
      </c>
      <c r="G75" s="166">
        <f t="shared" si="24"/>
        <v>-1.2763535851715354E-2</v>
      </c>
      <c r="H75" s="165">
        <f>VLOOKUP($B75,'Data shares'!$C:$FB,66)</f>
        <v>5812125</v>
      </c>
      <c r="I75" s="165">
        <f>VLOOKUP($B75,'Data shares'!$C:$FB,67)</f>
        <v>6572625</v>
      </c>
      <c r="J75" s="81">
        <f t="shared" si="25"/>
        <v>-11.570719461402408</v>
      </c>
      <c r="K75" s="5">
        <f>VLOOKUP($B75,'Data Vlaue (Cr)'!$C:$FB,99)</f>
        <v>3045</v>
      </c>
      <c r="L75" s="81">
        <f>VLOOKUP(B75,'OI(Value)'!$A$7:$C$232,3,0)</f>
        <v>-39</v>
      </c>
      <c r="M75" s="33">
        <f t="shared" si="22"/>
        <v>-1.2807881773399015</v>
      </c>
      <c r="N75" s="5">
        <f>VLOOKUP($B75,'Data Vlaue (Cr)'!$C:$FB,67)</f>
        <v>1296</v>
      </c>
      <c r="O75" s="5">
        <f>VLOOKUP($B75,'Data Vlaue (Cr)'!$C:$FB,68)</f>
        <v>1465</v>
      </c>
      <c r="P75" s="5">
        <f t="shared" si="26"/>
        <v>-13.040123456790123</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Infrastructure</v>
      </c>
      <c r="B76" s="79" t="str">
        <f>'Data shares'!C71</f>
        <v>GMRAIRPORT</v>
      </c>
      <c r="C76" s="4">
        <f>VLOOKUP($B76,'Data shares'!$C:$FB,7)</f>
        <v>97.45</v>
      </c>
      <c r="D76" s="82">
        <f>VLOOKUP($B76,'Data shares'!$C:$FB,98)</f>
        <v>211879575</v>
      </c>
      <c r="E76" s="165">
        <f>VLOOKUP(B76,'Snapshot (Volume)'!$A$7:$G$168,7,0)</f>
        <v>202700475</v>
      </c>
      <c r="F76" s="165">
        <f t="shared" si="23"/>
        <v>9179100</v>
      </c>
      <c r="G76" s="166">
        <f t="shared" si="24"/>
        <v>4.5284057671793811E-2</v>
      </c>
      <c r="H76" s="165">
        <f>VLOOKUP($B76,'Data shares'!$C:$FB,66)</f>
        <v>99072900</v>
      </c>
      <c r="I76" s="165">
        <f>VLOOKUP($B76,'Data shares'!$C:$FB,67)</f>
        <v>61582275</v>
      </c>
      <c r="J76" s="81">
        <f t="shared" si="25"/>
        <v>60.87892173519085</v>
      </c>
      <c r="K76" s="5">
        <f>VLOOKUP($B76,'Data Vlaue (Cr)'!$C:$FB,99)</f>
        <v>2063</v>
      </c>
      <c r="L76" s="81">
        <f>VLOOKUP(B76,'OI(Value)'!$A$7:$C$232,3,0)</f>
        <v>89</v>
      </c>
      <c r="M76" s="33">
        <f t="shared" si="22"/>
        <v>4.3141056713523991</v>
      </c>
      <c r="N76" s="5">
        <f>VLOOKUP($B76,'Data Vlaue (Cr)'!$C:$FB,67)</f>
        <v>965</v>
      </c>
      <c r="O76" s="5">
        <f>VLOOKUP($B76,'Data Vlaue (Cr)'!$C:$FB,68)</f>
        <v>600</v>
      </c>
      <c r="P76" s="5">
        <f t="shared" si="26"/>
        <v>37.823834196891191</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FMCG</v>
      </c>
      <c r="B77" s="79" t="str">
        <f>'Data shares'!C72</f>
        <v>GODFRYPHLP</v>
      </c>
      <c r="C77" s="4">
        <f>VLOOKUP($B77,'Data shares'!$C:$FB,7)</f>
        <v>2137.8000000000002</v>
      </c>
      <c r="D77" s="82">
        <f>VLOOKUP($B77,'Data shares'!$C:$FB,98)</f>
        <v>2674100</v>
      </c>
      <c r="E77" s="165">
        <f>VLOOKUP(B77,'Snapshot (Volume)'!$A$7:$G$168,7,0)</f>
        <v>2614150</v>
      </c>
      <c r="F77" s="165">
        <f t="shared" si="23"/>
        <v>59950</v>
      </c>
      <c r="G77" s="166">
        <f t="shared" si="24"/>
        <v>2.2932884494003786E-2</v>
      </c>
      <c r="H77" s="165">
        <f>VLOOKUP($B77,'Data shares'!$C:$FB,66)</f>
        <v>2364175</v>
      </c>
      <c r="I77" s="165">
        <f>VLOOKUP($B77,'Data shares'!$C:$FB,67)</f>
        <v>9280975</v>
      </c>
      <c r="J77" s="81">
        <f t="shared" si="25"/>
        <v>-74.52665264155975</v>
      </c>
      <c r="K77" s="5">
        <f>VLOOKUP($B77,'Data Vlaue (Cr)'!$C:$FB,99)</f>
        <v>570</v>
      </c>
      <c r="L77" s="81">
        <f>VLOOKUP(B77,'OI(Value)'!$A$7:$C$232,3,0)</f>
        <v>13</v>
      </c>
      <c r="M77" s="33">
        <f t="shared" si="22"/>
        <v>2.2807017543859649</v>
      </c>
      <c r="N77" s="5">
        <f>VLOOKUP($B77,'Data Vlaue (Cr)'!$C:$FB,67)</f>
        <v>504</v>
      </c>
      <c r="O77" s="5">
        <f>VLOOKUP($B77,'Data Vlaue (Cr)'!$C:$FB,68)</f>
        <v>1978</v>
      </c>
      <c r="P77" s="5">
        <f t="shared" si="26"/>
        <v>-292.46031746031747</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FMCG</v>
      </c>
      <c r="B78" s="79" t="str">
        <f>'Data shares'!C73</f>
        <v>GODREJCP</v>
      </c>
      <c r="C78" s="4">
        <f>VLOOKUP($B78,'Data shares'!$C:$FB,7)</f>
        <v>1104.8</v>
      </c>
      <c r="D78" s="82">
        <f>VLOOKUP($B78,'Data shares'!$C:$FB,98)</f>
        <v>15301500</v>
      </c>
      <c r="E78" s="165">
        <f>VLOOKUP(B78,'Snapshot (Volume)'!$A$7:$G$168,7,0)</f>
        <v>15231500</v>
      </c>
      <c r="F78" s="165">
        <f t="shared" si="23"/>
        <v>70000</v>
      </c>
      <c r="G78" s="166">
        <f t="shared" si="24"/>
        <v>4.5957390933263299E-3</v>
      </c>
      <c r="H78" s="165">
        <f>VLOOKUP($B78,'Data shares'!$C:$FB,66)</f>
        <v>2742500</v>
      </c>
      <c r="I78" s="165">
        <f>VLOOKUP($B78,'Data shares'!$C:$FB,67)</f>
        <v>9947500</v>
      </c>
      <c r="J78" s="81">
        <f t="shared" si="25"/>
        <v>-72.430258859009797</v>
      </c>
      <c r="K78" s="5">
        <f>VLOOKUP($B78,'Data Vlaue (Cr)'!$C:$FB,99)</f>
        <v>1692</v>
      </c>
      <c r="L78" s="81">
        <f>VLOOKUP(B78,'OI(Value)'!$A$7:$C$232,3,0)</f>
        <v>8</v>
      </c>
      <c r="M78" s="33">
        <f t="shared" si="22"/>
        <v>0.4728132387706856</v>
      </c>
      <c r="N78" s="5">
        <f>VLOOKUP($B78,'Data Vlaue (Cr)'!$C:$FB,67)</f>
        <v>303</v>
      </c>
      <c r="O78" s="5">
        <f>VLOOKUP($B78,'Data Vlaue (Cr)'!$C:$FB,68)</f>
        <v>1100</v>
      </c>
      <c r="P78" s="5">
        <f t="shared" si="26"/>
        <v>-263.03630363036302</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Realty</v>
      </c>
      <c r="B79" s="79" t="str">
        <f>'Data shares'!C74</f>
        <v>GODREJPROP</v>
      </c>
      <c r="C79" s="4">
        <f>VLOOKUP($B79,'Data shares'!$C:$FB,7)</f>
        <v>1759.7</v>
      </c>
      <c r="D79" s="82">
        <f>VLOOKUP($B79,'Data shares'!$C:$FB,98)</f>
        <v>13936450</v>
      </c>
      <c r="E79" s="165">
        <f>VLOOKUP(B79,'Snapshot (Volume)'!$A$7:$G$168,7,0)</f>
        <v>13680425</v>
      </c>
      <c r="F79" s="165">
        <f t="shared" si="23"/>
        <v>256025</v>
      </c>
      <c r="G79" s="166">
        <f t="shared" si="24"/>
        <v>1.8714696363599816E-2</v>
      </c>
      <c r="H79" s="165">
        <f>VLOOKUP($B79,'Data shares'!$C:$FB,66)</f>
        <v>6287050</v>
      </c>
      <c r="I79" s="165">
        <f>VLOOKUP($B79,'Data shares'!$C:$FB,67)</f>
        <v>5262125</v>
      </c>
      <c r="J79" s="81">
        <f t="shared" si="25"/>
        <v>19.477397439247451</v>
      </c>
      <c r="K79" s="5">
        <f>VLOOKUP($B79,'Data Vlaue (Cr)'!$C:$FB,99)</f>
        <v>2448</v>
      </c>
      <c r="L79" s="81">
        <f>VLOOKUP(B79,'OI(Value)'!$A$7:$C$232,3,0)</f>
        <v>45</v>
      </c>
      <c r="M79" s="33">
        <f t="shared" si="22"/>
        <v>1.8382352941176472</v>
      </c>
      <c r="N79" s="5">
        <f>VLOOKUP($B79,'Data Vlaue (Cr)'!$C:$FB,67)</f>
        <v>1105</v>
      </c>
      <c r="O79" s="5">
        <f>VLOOKUP($B79,'Data Vlaue (Cr)'!$C:$FB,68)</f>
        <v>925</v>
      </c>
      <c r="P79" s="5">
        <f t="shared" si="26"/>
        <v>16.289592760180994</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Cement</v>
      </c>
      <c r="B80" s="79" t="str">
        <f>'Data shares'!C75</f>
        <v>GRASIM</v>
      </c>
      <c r="C80" s="4">
        <f>VLOOKUP($B80,'Data shares'!$C:$FB,7)</f>
        <v>2760.1</v>
      </c>
      <c r="D80" s="82">
        <f>VLOOKUP($B80,'Data shares'!$C:$FB,98)</f>
        <v>16909750</v>
      </c>
      <c r="E80" s="165">
        <f>VLOOKUP(B80,'Snapshot (Volume)'!$A$7:$G$168,7,0)</f>
        <v>17083750</v>
      </c>
      <c r="F80" s="165">
        <f t="shared" si="23"/>
        <v>-174000</v>
      </c>
      <c r="G80" s="166">
        <f t="shared" si="24"/>
        <v>-1.0185117436160093E-2</v>
      </c>
      <c r="H80" s="165">
        <f>VLOOKUP($B80,'Data shares'!$C:$FB,66)</f>
        <v>5792500</v>
      </c>
      <c r="I80" s="165">
        <f>VLOOKUP($B80,'Data shares'!$C:$FB,67)</f>
        <v>2267250</v>
      </c>
      <c r="J80" s="81">
        <f t="shared" si="25"/>
        <v>155.48572058661375</v>
      </c>
      <c r="K80" s="5">
        <f>VLOOKUP($B80,'Data Vlaue (Cr)'!$C:$FB,99)</f>
        <v>4662</v>
      </c>
      <c r="L80" s="81">
        <f>VLOOKUP(B80,'OI(Value)'!$A$7:$C$232,3,0)</f>
        <v>-48</v>
      </c>
      <c r="M80" s="33">
        <f t="shared" si="22"/>
        <v>-1.0296010296010296</v>
      </c>
      <c r="N80" s="5">
        <f>VLOOKUP($B80,'Data Vlaue (Cr)'!$C:$FB,67)</f>
        <v>1597</v>
      </c>
      <c r="O80" s="5">
        <f>VLOOKUP($B80,'Data Vlaue (Cr)'!$C:$FB,68)</f>
        <v>625</v>
      </c>
      <c r="P80" s="5">
        <f t="shared" si="26"/>
        <v>60.864120225422667</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Capital_Goods</v>
      </c>
      <c r="B81" s="79" t="str">
        <f>'Data shares'!C76</f>
        <v>HAL</v>
      </c>
      <c r="C81" s="4">
        <f>VLOOKUP($B81,'Data shares'!$C:$FB,7)</f>
        <v>4344.5</v>
      </c>
      <c r="D81" s="82">
        <f>VLOOKUP($B81,'Data shares'!$C:$FB,98)</f>
        <v>14318850</v>
      </c>
      <c r="E81" s="165">
        <f>VLOOKUP(B81,'Snapshot (Volume)'!$A$7:$G$168,7,0)</f>
        <v>14383950</v>
      </c>
      <c r="F81" s="165">
        <f t="shared" si="23"/>
        <v>-65100</v>
      </c>
      <c r="G81" s="166">
        <f t="shared" si="24"/>
        <v>-4.5258778012993647E-3</v>
      </c>
      <c r="H81" s="165">
        <f>VLOOKUP($B81,'Data shares'!$C:$FB,66)</f>
        <v>6739200</v>
      </c>
      <c r="I81" s="165">
        <f>VLOOKUP($B81,'Data shares'!$C:$FB,67)</f>
        <v>8750700</v>
      </c>
      <c r="J81" s="81">
        <f t="shared" si="25"/>
        <v>-22.98673248997223</v>
      </c>
      <c r="K81" s="5">
        <f>VLOOKUP($B81,'Data Vlaue (Cr)'!$C:$FB,99)</f>
        <v>6219</v>
      </c>
      <c r="L81" s="81">
        <f>VLOOKUP(B81,'OI(Value)'!$A$7:$C$232,3,0)</f>
        <v>-28</v>
      </c>
      <c r="M81" s="33">
        <f t="shared" si="22"/>
        <v>-0.45023315645602191</v>
      </c>
      <c r="N81" s="5">
        <f>VLOOKUP($B81,'Data Vlaue (Cr)'!$C:$FB,67)</f>
        <v>2927</v>
      </c>
      <c r="O81" s="5">
        <f>VLOOKUP($B81,'Data Vlaue (Cr)'!$C:$FB,68)</f>
        <v>3800</v>
      </c>
      <c r="P81" s="5">
        <f t="shared" si="26"/>
        <v>-29.825760163990434</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Capital_Goods</v>
      </c>
      <c r="B82" s="79" t="str">
        <f>'Data shares'!C77</f>
        <v>HAVELLS</v>
      </c>
      <c r="C82" s="4">
        <f>VLOOKUP($B82,'Data shares'!$C:$FB,7)</f>
        <v>1302.0999999999999</v>
      </c>
      <c r="D82" s="82">
        <f>VLOOKUP($B82,'Data shares'!$C:$FB,98)</f>
        <v>14633000</v>
      </c>
      <c r="E82" s="165">
        <f>VLOOKUP(B82,'Snapshot (Volume)'!$A$7:$G$168,7,0)</f>
        <v>14446500</v>
      </c>
      <c r="F82" s="165">
        <f t="shared" si="23"/>
        <v>186500</v>
      </c>
      <c r="G82" s="166">
        <f t="shared" si="24"/>
        <v>1.2909701311736407E-2</v>
      </c>
      <c r="H82" s="165">
        <f>VLOOKUP($B82,'Data shares'!$C:$FB,66)</f>
        <v>4600500</v>
      </c>
      <c r="I82" s="165">
        <f>VLOOKUP($B82,'Data shares'!$C:$FB,67)</f>
        <v>7586500</v>
      </c>
      <c r="J82" s="81">
        <f t="shared" si="25"/>
        <v>-39.359388387266861</v>
      </c>
      <c r="K82" s="5">
        <f>VLOOKUP($B82,'Data Vlaue (Cr)'!$C:$FB,99)</f>
        <v>1911</v>
      </c>
      <c r="L82" s="81">
        <f>VLOOKUP(B82,'OI(Value)'!$A$7:$C$232,3,0)</f>
        <v>24</v>
      </c>
      <c r="M82" s="33">
        <f t="shared" si="22"/>
        <v>1.2558869701726845</v>
      </c>
      <c r="N82" s="5">
        <f>VLOOKUP($B82,'Data Vlaue (Cr)'!$C:$FB,67)</f>
        <v>601</v>
      </c>
      <c r="O82" s="5">
        <f>VLOOKUP($B82,'Data Vlaue (Cr)'!$C:$FB,68)</f>
        <v>991</v>
      </c>
      <c r="P82" s="5">
        <f t="shared" si="26"/>
        <v>-64.891846921796997</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Technology</v>
      </c>
      <c r="B83" s="79" t="str">
        <f>'Data shares'!C78</f>
        <v>HCLTECH</v>
      </c>
      <c r="C83" s="4">
        <f>VLOOKUP($B83,'Data shares'!$C:$FB,7)</f>
        <v>1428.3</v>
      </c>
      <c r="D83" s="82">
        <f>VLOOKUP($B83,'Data shares'!$C:$FB,98)</f>
        <v>58397850</v>
      </c>
      <c r="E83" s="165">
        <f>VLOOKUP(B83,'Snapshot (Volume)'!$A$7:$G$168,7,0)</f>
        <v>55914950</v>
      </c>
      <c r="F83" s="165">
        <f t="shared" si="23"/>
        <v>2482900</v>
      </c>
      <c r="G83" s="166">
        <f t="shared" si="24"/>
        <v>4.4404940002628991E-2</v>
      </c>
      <c r="H83" s="165">
        <f>VLOOKUP($B83,'Data shares'!$C:$FB,66)</f>
        <v>20744850</v>
      </c>
      <c r="I83" s="165">
        <f>VLOOKUP($B83,'Data shares'!$C:$FB,67)</f>
        <v>23090200</v>
      </c>
      <c r="J83" s="81">
        <f t="shared" si="25"/>
        <v>-10.157339477354029</v>
      </c>
      <c r="K83" s="5">
        <f>VLOOKUP($B83,'Data Vlaue (Cr)'!$C:$FB,99)</f>
        <v>8217</v>
      </c>
      <c r="L83" s="81">
        <f>VLOOKUP(B83,'OI(Value)'!$A$7:$C$232,3,0)</f>
        <v>349</v>
      </c>
      <c r="M83" s="33">
        <f t="shared" si="22"/>
        <v>4.2472921990994283</v>
      </c>
      <c r="N83" s="5">
        <f>VLOOKUP($B83,'Data Vlaue (Cr)'!$C:$FB,67)</f>
        <v>2919</v>
      </c>
      <c r="O83" s="5">
        <f>VLOOKUP($B83,'Data Vlaue (Cr)'!$C:$FB,68)</f>
        <v>3249</v>
      </c>
      <c r="P83" s="5">
        <f t="shared" si="26"/>
        <v>-11.30524152106886</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Finance</v>
      </c>
      <c r="B84" s="79" t="str">
        <f>'Data shares'!C79</f>
        <v>HDFCAMC</v>
      </c>
      <c r="C84" s="4">
        <f>VLOOKUP($B84,'Data shares'!$C:$FB,7)</f>
        <v>2768.2</v>
      </c>
      <c r="D84" s="82">
        <f>VLOOKUP($B84,'Data shares'!$C:$FB,98)</f>
        <v>10026000</v>
      </c>
      <c r="E84" s="165">
        <f>VLOOKUP(B84,'Snapshot (Volume)'!$A$7:$G$168,7,0)</f>
        <v>10717500</v>
      </c>
      <c r="F84" s="165">
        <f t="shared" si="23"/>
        <v>-691500</v>
      </c>
      <c r="G84" s="166">
        <f t="shared" si="24"/>
        <v>-6.4520643806857944E-2</v>
      </c>
      <c r="H84" s="165">
        <f>VLOOKUP($B84,'Data shares'!$C:$FB,66)</f>
        <v>6798900</v>
      </c>
      <c r="I84" s="165">
        <f>VLOOKUP($B84,'Data shares'!$C:$FB,67)</f>
        <v>32129100</v>
      </c>
      <c r="J84" s="81">
        <f t="shared" si="25"/>
        <v>-78.838809677208516</v>
      </c>
      <c r="K84" s="5">
        <f>VLOOKUP($B84,'Data Vlaue (Cr)'!$C:$FB,99)</f>
        <v>2771</v>
      </c>
      <c r="L84" s="81">
        <f>VLOOKUP(B84,'OI(Value)'!$A$7:$C$232,3,0)</f>
        <v>-191</v>
      </c>
      <c r="M84" s="33">
        <f t="shared" si="22"/>
        <v>-6.8928184770840852</v>
      </c>
      <c r="N84" s="5">
        <f>VLOOKUP($B84,'Data Vlaue (Cr)'!$C:$FB,67)</f>
        <v>1879</v>
      </c>
      <c r="O84" s="5">
        <f>VLOOKUP($B84,'Data Vlaue (Cr)'!$C:$FB,68)</f>
        <v>8880</v>
      </c>
      <c r="P84" s="5">
        <f t="shared" si="26"/>
        <v>-372.59180415114423</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Banking</v>
      </c>
      <c r="B85" s="79" t="str">
        <f>'Data shares'!C80</f>
        <v>HDFCBANK</v>
      </c>
      <c r="C85" s="4">
        <f>VLOOKUP($B85,'Data shares'!$C:$FB,7)</f>
        <v>795.45</v>
      </c>
      <c r="D85" s="82">
        <f>VLOOKUP($B85,'Data shares'!$C:$FB,98)</f>
        <v>488415950</v>
      </c>
      <c r="E85" s="165">
        <f>VLOOKUP(B85,'Snapshot (Volume)'!$A$7:$G$168,7,0)</f>
        <v>484162800</v>
      </c>
      <c r="F85" s="165">
        <f t="shared" si="23"/>
        <v>4253150</v>
      </c>
      <c r="G85" s="166">
        <f t="shared" si="24"/>
        <v>8.7845451984332537E-3</v>
      </c>
      <c r="H85" s="165">
        <f>VLOOKUP($B85,'Data shares'!$C:$FB,66)</f>
        <v>408091750</v>
      </c>
      <c r="I85" s="165">
        <f>VLOOKUP($B85,'Data shares'!$C:$FB,67)</f>
        <v>196860400</v>
      </c>
      <c r="J85" s="81">
        <f t="shared" si="25"/>
        <v>107.30007152276436</v>
      </c>
      <c r="K85" s="5">
        <f>VLOOKUP($B85,'Data Vlaue (Cr)'!$C:$FB,99)</f>
        <v>38824</v>
      </c>
      <c r="L85" s="81">
        <f>VLOOKUP(B85,'OI(Value)'!$A$7:$C$232,3,0)</f>
        <v>338</v>
      </c>
      <c r="M85" s="33">
        <f t="shared" si="22"/>
        <v>0.87059550793323714</v>
      </c>
      <c r="N85" s="5">
        <f>VLOOKUP($B85,'Data Vlaue (Cr)'!$C:$FB,67)</f>
        <v>32439</v>
      </c>
      <c r="O85" s="5">
        <f>VLOOKUP($B85,'Data Vlaue (Cr)'!$C:$FB,68)</f>
        <v>15648</v>
      </c>
      <c r="P85" s="5">
        <f t="shared" si="26"/>
        <v>51.761768241931009</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Finance</v>
      </c>
      <c r="B86" s="79" t="str">
        <f>'Data shares'!C81</f>
        <v>HDFCLIFE</v>
      </c>
      <c r="C86" s="4">
        <f>VLOOKUP($B86,'Data shares'!$C:$FB,7)</f>
        <v>609.75</v>
      </c>
      <c r="D86" s="82">
        <f>VLOOKUP($B86,'Data shares'!$C:$FB,98)</f>
        <v>75318100</v>
      </c>
      <c r="E86" s="165">
        <f>VLOOKUP(B86,'Snapshot (Volume)'!$A$7:$G$168,7,0)</f>
        <v>76832800</v>
      </c>
      <c r="F86" s="165">
        <f t="shared" ref="F86:F96" si="27">D86-E86</f>
        <v>-1514700</v>
      </c>
      <c r="G86" s="166">
        <f t="shared" ref="G86:G96" si="28">F86/E86</f>
        <v>-1.9714236628106747E-2</v>
      </c>
      <c r="H86" s="165">
        <f>VLOOKUP($B86,'Data shares'!$C:$FB,66)</f>
        <v>41750500</v>
      </c>
      <c r="I86" s="165">
        <f>VLOOKUP($B86,'Data shares'!$C:$FB,67)</f>
        <v>112887500</v>
      </c>
      <c r="J86" s="81">
        <f t="shared" ref="J86:J96" si="29">(H86-I86)/I86*100</f>
        <v>-63.015834348355661</v>
      </c>
      <c r="K86" s="5">
        <f>VLOOKUP($B86,'Data Vlaue (Cr)'!$C:$FB,99)</f>
        <v>4602</v>
      </c>
      <c r="L86" s="81">
        <f>VLOOKUP(B86,'OI(Value)'!$A$7:$C$232,3,0)</f>
        <v>-93</v>
      </c>
      <c r="M86" s="33">
        <f t="shared" si="22"/>
        <v>-2.0208604954367666</v>
      </c>
      <c r="N86" s="5">
        <f>VLOOKUP($B86,'Data Vlaue (Cr)'!$C:$FB,67)</f>
        <v>2551</v>
      </c>
      <c r="O86" s="5">
        <f>VLOOKUP($B86,'Data Vlaue (Cr)'!$C:$FB,68)</f>
        <v>6897</v>
      </c>
      <c r="P86" s="5">
        <f t="shared" ref="P86:P96" si="30">(N86-O86)/N86*100</f>
        <v>-170.36456291650333</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Automobile</v>
      </c>
      <c r="B87" s="79" t="str">
        <f>'Data shares'!C82</f>
        <v>HEROMOTOCO</v>
      </c>
      <c r="C87" s="4">
        <f>VLOOKUP($B87,'Data shares'!$C:$FB,7)</f>
        <v>5282.5</v>
      </c>
      <c r="D87" s="82">
        <f>VLOOKUP($B87,'Data shares'!$C:$FB,98)</f>
        <v>7936500</v>
      </c>
      <c r="E87" s="165">
        <f>VLOOKUP(B87,'Snapshot (Volume)'!$A$7:$G$168,7,0)</f>
        <v>8291100</v>
      </c>
      <c r="F87" s="165">
        <f t="shared" si="27"/>
        <v>-354600</v>
      </c>
      <c r="G87" s="166">
        <f t="shared" si="28"/>
        <v>-4.2768752035314973E-2</v>
      </c>
      <c r="H87" s="165">
        <f>VLOOKUP($B87,'Data shares'!$C:$FB,66)</f>
        <v>6888000</v>
      </c>
      <c r="I87" s="165">
        <f>VLOOKUP($B87,'Data shares'!$C:$FB,67)</f>
        <v>7485750</v>
      </c>
      <c r="J87" s="81">
        <f t="shared" si="29"/>
        <v>-7.9851718264702942</v>
      </c>
      <c r="K87" s="5">
        <f>VLOOKUP($B87,'Data Vlaue (Cr)'!$C:$FB,99)</f>
        <v>4197</v>
      </c>
      <c r="L87" s="81">
        <f>VLOOKUP(B87,'OI(Value)'!$A$7:$C$232,3,0)</f>
        <v>-188</v>
      </c>
      <c r="M87" s="33">
        <f t="shared" si="22"/>
        <v>-4.4793900405051224</v>
      </c>
      <c r="N87" s="5">
        <f>VLOOKUP($B87,'Data Vlaue (Cr)'!$C:$FB,67)</f>
        <v>3642</v>
      </c>
      <c r="O87" s="5">
        <f>VLOOKUP($B87,'Data Vlaue (Cr)'!$C:$FB,68)</f>
        <v>3958</v>
      </c>
      <c r="P87" s="5">
        <f t="shared" si="30"/>
        <v>-8.676551345414607</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HINDALCO</v>
      </c>
      <c r="C88" s="4">
        <f>VLOOKUP($B88,'Data shares'!$C:$FB,7)</f>
        <v>1015.25</v>
      </c>
      <c r="D88" s="82">
        <f>VLOOKUP($B88,'Data shares'!$C:$FB,98)</f>
        <v>63278600</v>
      </c>
      <c r="E88" s="165">
        <f>VLOOKUP(B88,'Snapshot (Volume)'!$A$7:$G$168,7,0)</f>
        <v>63815500</v>
      </c>
      <c r="F88" s="165">
        <f t="shared" si="27"/>
        <v>-536900</v>
      </c>
      <c r="G88" s="166">
        <f t="shared" si="28"/>
        <v>-8.4133165140130532E-3</v>
      </c>
      <c r="H88" s="165">
        <f>VLOOKUP($B88,'Data shares'!$C:$FB,66)</f>
        <v>43316700</v>
      </c>
      <c r="I88" s="165">
        <f>VLOOKUP($B88,'Data shares'!$C:$FB,67)</f>
        <v>41369300</v>
      </c>
      <c r="J88" s="81">
        <f t="shared" si="29"/>
        <v>4.7073554544070122</v>
      </c>
      <c r="K88" s="5">
        <f>VLOOKUP($B88,'Data Vlaue (Cr)'!$C:$FB,99)</f>
        <v>6428</v>
      </c>
      <c r="L88" s="81">
        <f>VLOOKUP(B88,'OI(Value)'!$A$7:$C$232,3,0)</f>
        <v>-55</v>
      </c>
      <c r="M88" s="33">
        <f t="shared" si="22"/>
        <v>-0.85563161169881774</v>
      </c>
      <c r="N88" s="5">
        <f>VLOOKUP($B88,'Data Vlaue (Cr)'!$C:$FB,67)</f>
        <v>4400</v>
      </c>
      <c r="O88" s="5">
        <f>VLOOKUP($B88,'Data Vlaue (Cr)'!$C:$FB,68)</f>
        <v>4202</v>
      </c>
      <c r="P88" s="5">
        <f t="shared" si="30"/>
        <v>4.5</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Oil_Gas</v>
      </c>
      <c r="B89" s="79" t="str">
        <f>'Data shares'!C84</f>
        <v>HINDPETRO</v>
      </c>
      <c r="C89" s="4">
        <f>VLOOKUP($B89,'Data shares'!$C:$FB,7)</f>
        <v>379.5</v>
      </c>
      <c r="D89" s="82">
        <f>VLOOKUP($B89,'Data shares'!$C:$FB,98)</f>
        <v>77496750</v>
      </c>
      <c r="E89" s="165">
        <f>VLOOKUP(B89,'Snapshot (Volume)'!$A$7:$G$168,7,0)</f>
        <v>77899725</v>
      </c>
      <c r="F89" s="165">
        <f t="shared" si="27"/>
        <v>-402975</v>
      </c>
      <c r="G89" s="166">
        <f t="shared" si="28"/>
        <v>-5.1729964386908944E-3</v>
      </c>
      <c r="H89" s="165">
        <f>VLOOKUP($B89,'Data shares'!$C:$FB,66)</f>
        <v>73345500</v>
      </c>
      <c r="I89" s="165">
        <f>VLOOKUP($B89,'Data shares'!$C:$FB,67)</f>
        <v>37808775</v>
      </c>
      <c r="J89" s="81">
        <f t="shared" si="29"/>
        <v>93.990680734829411</v>
      </c>
      <c r="K89" s="5">
        <f>VLOOKUP($B89,'Data Vlaue (Cr)'!$C:$FB,99)</f>
        <v>2936</v>
      </c>
      <c r="L89" s="81">
        <f>VLOOKUP(B89,'OI(Value)'!$A$7:$C$232,3,0)</f>
        <v>-15</v>
      </c>
      <c r="M89" s="33">
        <f t="shared" si="22"/>
        <v>-0.51089918256130795</v>
      </c>
      <c r="N89" s="5">
        <f>VLOOKUP($B89,'Data Vlaue (Cr)'!$C:$FB,67)</f>
        <v>2778</v>
      </c>
      <c r="O89" s="5">
        <f>VLOOKUP($B89,'Data Vlaue (Cr)'!$C:$FB,68)</f>
        <v>1432</v>
      </c>
      <c r="P89" s="5">
        <f t="shared" si="30"/>
        <v>48.452123830093591</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FMCG</v>
      </c>
      <c r="B90" s="79" t="str">
        <f>'Data shares'!C85</f>
        <v>HINDUNILVR</v>
      </c>
      <c r="C90" s="4">
        <f>VLOOKUP($B90,'Data shares'!$C:$FB,7)</f>
        <v>2231.5</v>
      </c>
      <c r="D90" s="82">
        <f>VLOOKUP($B90,'Data shares'!$C:$FB,98)</f>
        <v>29578500</v>
      </c>
      <c r="E90" s="165">
        <f>VLOOKUP(B90,'Snapshot (Volume)'!$A$7:$G$168,7,0)</f>
        <v>29977800</v>
      </c>
      <c r="F90" s="165">
        <f t="shared" si="27"/>
        <v>-399300</v>
      </c>
      <c r="G90" s="166">
        <f t="shared" si="28"/>
        <v>-1.3319856693953526E-2</v>
      </c>
      <c r="H90" s="165">
        <f>VLOOKUP($B90,'Data shares'!$C:$FB,66)</f>
        <v>14665500</v>
      </c>
      <c r="I90" s="165">
        <f>VLOOKUP($B90,'Data shares'!$C:$FB,67)</f>
        <v>59895600</v>
      </c>
      <c r="J90" s="81">
        <f t="shared" si="29"/>
        <v>-75.514895918898887</v>
      </c>
      <c r="K90" s="5">
        <f>VLOOKUP($B90,'Data Vlaue (Cr)'!$C:$FB,99)</f>
        <v>6611</v>
      </c>
      <c r="L90" s="81">
        <f>VLOOKUP(B90,'OI(Value)'!$A$7:$C$232,3,0)</f>
        <v>-89</v>
      </c>
      <c r="M90" s="33">
        <f t="shared" si="22"/>
        <v>-1.3462411132960217</v>
      </c>
      <c r="N90" s="5">
        <f>VLOOKUP($B90,'Data Vlaue (Cr)'!$C:$FB,67)</f>
        <v>3278</v>
      </c>
      <c r="O90" s="5">
        <f>VLOOKUP($B90,'Data Vlaue (Cr)'!$C:$FB,68)</f>
        <v>13388</v>
      </c>
      <c r="P90" s="5">
        <f t="shared" si="30"/>
        <v>-308.41976815131176</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Metals</v>
      </c>
      <c r="B91" s="79" t="str">
        <f>'Data shares'!C86</f>
        <v>HINDZINC</v>
      </c>
      <c r="C91" s="4">
        <f>VLOOKUP($B91,'Data shares'!$C:$FB,7)</f>
        <v>590.29999999999995</v>
      </c>
      <c r="D91" s="82">
        <f>VLOOKUP($B91,'Data shares'!$C:$FB,98)</f>
        <v>74807075</v>
      </c>
      <c r="E91" s="165">
        <f>VLOOKUP(B91,'Snapshot (Volume)'!$A$7:$G$168,7,0)</f>
        <v>74200700</v>
      </c>
      <c r="F91" s="165">
        <f t="shared" si="27"/>
        <v>606375</v>
      </c>
      <c r="G91" s="166">
        <f t="shared" si="28"/>
        <v>8.1720927161064525E-3</v>
      </c>
      <c r="H91" s="165">
        <f>VLOOKUP($B91,'Data shares'!$C:$FB,66)</f>
        <v>33371450</v>
      </c>
      <c r="I91" s="165">
        <f>VLOOKUP($B91,'Data shares'!$C:$FB,67)</f>
        <v>31339175</v>
      </c>
      <c r="J91" s="81">
        <f t="shared" si="29"/>
        <v>6.4847750459289362</v>
      </c>
      <c r="K91" s="5">
        <f>VLOOKUP($B91,'Data Vlaue (Cr)'!$C:$FB,99)</f>
        <v>4416</v>
      </c>
      <c r="L91" s="81">
        <f>VLOOKUP(B91,'OI(Value)'!$A$7:$C$232,3,0)</f>
        <v>36</v>
      </c>
      <c r="M91" s="33">
        <f t="shared" si="22"/>
        <v>0.81521739130434778</v>
      </c>
      <c r="N91" s="5">
        <f>VLOOKUP($B91,'Data Vlaue (Cr)'!$C:$FB,67)</f>
        <v>1970</v>
      </c>
      <c r="O91" s="5">
        <f>VLOOKUP($B91,'Data Vlaue (Cr)'!$C:$FB,68)</f>
        <v>1850</v>
      </c>
      <c r="P91" s="5">
        <f t="shared" si="30"/>
        <v>6.091370558375635</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Realty</v>
      </c>
      <c r="B92" s="79" t="str">
        <f>'Data shares'!C87</f>
        <v>HUDCO</v>
      </c>
      <c r="C92" s="4">
        <f>VLOOKUP($B92,'Data shares'!$C:$FB,7)</f>
        <v>199.4</v>
      </c>
      <c r="D92" s="82">
        <f>VLOOKUP($B92,'Data shares'!$C:$FB,98)</f>
        <v>48665175</v>
      </c>
      <c r="E92" s="165">
        <f>VLOOKUP(B92,'Snapshot (Volume)'!$A$7:$G$168,7,0)</f>
        <v>48745650</v>
      </c>
      <c r="F92" s="165">
        <f t="shared" si="27"/>
        <v>-80475</v>
      </c>
      <c r="G92" s="166">
        <f t="shared" si="28"/>
        <v>-1.6509165433223271E-3</v>
      </c>
      <c r="H92" s="165">
        <f>VLOOKUP($B92,'Data shares'!$C:$FB,66)</f>
        <v>47555175</v>
      </c>
      <c r="I92" s="165">
        <f>VLOOKUP($B92,'Data shares'!$C:$FB,67)</f>
        <v>45584925</v>
      </c>
      <c r="J92" s="81">
        <f t="shared" si="29"/>
        <v>4.32215255372253</v>
      </c>
      <c r="K92" s="5">
        <f>VLOOKUP($B92,'Data Vlaue (Cr)'!$C:$FB,99)</f>
        <v>970</v>
      </c>
      <c r="L92" s="81">
        <f>VLOOKUP(B92,'OI(Value)'!$A$7:$C$232,3,0)</f>
        <v>-2</v>
      </c>
      <c r="M92" s="33">
        <f t="shared" si="22"/>
        <v>-0.2061855670103093</v>
      </c>
      <c r="N92" s="5">
        <f>VLOOKUP($B92,'Data Vlaue (Cr)'!$C:$FB,67)</f>
        <v>948</v>
      </c>
      <c r="O92" s="5">
        <f>VLOOKUP($B92,'Data Vlaue (Cr)'!$C:$FB,68)</f>
        <v>908</v>
      </c>
      <c r="P92" s="5">
        <f t="shared" si="30"/>
        <v>4.2194092827004219</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Automobile</v>
      </c>
      <c r="B93" s="79" t="str">
        <f>'Data shares'!C88</f>
        <v>HYUNDAI</v>
      </c>
      <c r="C93" s="4">
        <f>VLOOKUP($B93,'Data shares'!$C:$FB,7)</f>
        <v>1886</v>
      </c>
      <c r="D93" s="82">
        <f>VLOOKUP($B93,'Data shares'!$C:$FB,98)</f>
        <v>10086725</v>
      </c>
      <c r="E93" s="165">
        <f>VLOOKUP(B93,'Snapshot (Volume)'!$A$7:$G$168,7,0)</f>
        <v>9905500</v>
      </c>
      <c r="F93" s="165">
        <f t="shared" si="27"/>
        <v>181225</v>
      </c>
      <c r="G93" s="166">
        <f t="shared" si="28"/>
        <v>1.8295391449194891E-2</v>
      </c>
      <c r="H93" s="165">
        <f>VLOOKUP($B93,'Data shares'!$C:$FB,66)</f>
        <v>3135825</v>
      </c>
      <c r="I93" s="165">
        <f>VLOOKUP($B93,'Data shares'!$C:$FB,67)</f>
        <v>7158800</v>
      </c>
      <c r="J93" s="81">
        <f t="shared" si="29"/>
        <v>-56.196220036877683</v>
      </c>
      <c r="K93" s="5">
        <f>VLOOKUP($B93,'Data Vlaue (Cr)'!$C:$FB,99)</f>
        <v>1885</v>
      </c>
      <c r="L93" s="81">
        <f>VLOOKUP(B93,'OI(Value)'!$A$7:$C$232,3,0)</f>
        <v>34</v>
      </c>
      <c r="M93" s="33">
        <f t="shared" si="22"/>
        <v>1.8037135278514589</v>
      </c>
      <c r="N93" s="5">
        <f>VLOOKUP($B93,'Data Vlaue (Cr)'!$C:$FB,67)</f>
        <v>586</v>
      </c>
      <c r="O93" s="5">
        <f>VLOOKUP($B93,'Data Vlaue (Cr)'!$C:$FB,68)</f>
        <v>1338</v>
      </c>
      <c r="P93" s="5">
        <f t="shared" si="30"/>
        <v>-128.32764505119454</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ICICIBANK</v>
      </c>
      <c r="C94" s="4">
        <f>VLOOKUP($B94,'Data shares'!$C:$FB,7)</f>
        <v>1356.2</v>
      </c>
      <c r="D94" s="82">
        <f>VLOOKUP($B94,'Data shares'!$C:$FB,98)</f>
        <v>173072900</v>
      </c>
      <c r="E94" s="165">
        <f>VLOOKUP(B94,'Snapshot (Volume)'!$A$7:$G$168,7,0)</f>
        <v>171844400</v>
      </c>
      <c r="F94" s="165">
        <f t="shared" si="27"/>
        <v>1228500</v>
      </c>
      <c r="G94" s="166">
        <f t="shared" si="28"/>
        <v>7.148909129421733E-3</v>
      </c>
      <c r="H94" s="165">
        <f>VLOOKUP($B94,'Data shares'!$C:$FB,66)</f>
        <v>228769100</v>
      </c>
      <c r="I94" s="165">
        <f>VLOOKUP($B94,'Data shares'!$C:$FB,67)</f>
        <v>116723600</v>
      </c>
      <c r="J94" s="81">
        <f t="shared" si="29"/>
        <v>95.992155827955955</v>
      </c>
      <c r="K94" s="5">
        <f>VLOOKUP($B94,'Data Vlaue (Cr)'!$C:$FB,99)</f>
        <v>23491</v>
      </c>
      <c r="L94" s="81">
        <f>VLOOKUP(B94,'OI(Value)'!$A$7:$C$232,3,0)</f>
        <v>167</v>
      </c>
      <c r="M94" s="33">
        <f t="shared" ref="M94:M122" si="31">L94/K94*100</f>
        <v>0.71091056149163501</v>
      </c>
      <c r="N94" s="5">
        <f>VLOOKUP($B94,'Data Vlaue (Cr)'!$C:$FB,67)</f>
        <v>31051</v>
      </c>
      <c r="O94" s="5">
        <f>VLOOKUP($B94,'Data Vlaue (Cr)'!$C:$FB,68)</f>
        <v>15843</v>
      </c>
      <c r="P94" s="5">
        <f t="shared" si="30"/>
        <v>48.977488647708604</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Finance</v>
      </c>
      <c r="B95" s="79" t="str">
        <f>'Data shares'!C90</f>
        <v>ICICIGI</v>
      </c>
      <c r="C95" s="4">
        <f>VLOOKUP($B95,'Data shares'!$C:$FB,7)</f>
        <v>1876.5</v>
      </c>
      <c r="D95" s="82">
        <f>VLOOKUP($B95,'Data shares'!$C:$FB,98)</f>
        <v>8170175</v>
      </c>
      <c r="E95" s="165">
        <f>VLOOKUP(B95,'Snapshot (Volume)'!$A$7:$G$168,7,0)</f>
        <v>8403200</v>
      </c>
      <c r="F95" s="165">
        <f t="shared" si="27"/>
        <v>-233025</v>
      </c>
      <c r="G95" s="166">
        <f t="shared" si="28"/>
        <v>-2.7730507425742575E-2</v>
      </c>
      <c r="H95" s="165">
        <f>VLOOKUP($B95,'Data shares'!$C:$FB,66)</f>
        <v>2057250</v>
      </c>
      <c r="I95" s="165">
        <f>VLOOKUP($B95,'Data shares'!$C:$FB,67)</f>
        <v>4885725</v>
      </c>
      <c r="J95" s="81">
        <f t="shared" si="29"/>
        <v>-57.892636200359206</v>
      </c>
      <c r="K95" s="5">
        <f>VLOOKUP($B95,'Data Vlaue (Cr)'!$C:$FB,99)</f>
        <v>1530</v>
      </c>
      <c r="L95" s="81">
        <f>VLOOKUP(B95,'OI(Value)'!$A$7:$C$232,3,0)</f>
        <v>-44</v>
      </c>
      <c r="M95" s="33">
        <f t="shared" si="31"/>
        <v>-2.8758169934640523</v>
      </c>
      <c r="N95" s="5">
        <f>VLOOKUP($B95,'Data Vlaue (Cr)'!$C:$FB,67)</f>
        <v>385</v>
      </c>
      <c r="O95" s="5">
        <f>VLOOKUP($B95,'Data Vlaue (Cr)'!$C:$FB,68)</f>
        <v>915</v>
      </c>
      <c r="P95" s="5">
        <f t="shared" si="30"/>
        <v>-137.66233766233768</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Finance</v>
      </c>
      <c r="B96" s="79" t="str">
        <f>'Data shares'!C91</f>
        <v>ICICIPRULI</v>
      </c>
      <c r="C96" s="4">
        <f>VLOOKUP($B96,'Data shares'!$C:$FB,7)</f>
        <v>557.9</v>
      </c>
      <c r="D96" s="82">
        <f>VLOOKUP($B96,'Data shares'!$C:$FB,98)</f>
        <v>32254750</v>
      </c>
      <c r="E96" s="165">
        <f>VLOOKUP(B96,'Snapshot (Volume)'!$A$7:$G$168,7,0)</f>
        <v>32592375</v>
      </c>
      <c r="F96" s="165">
        <f t="shared" si="27"/>
        <v>-337625</v>
      </c>
      <c r="G96" s="166">
        <f t="shared" si="28"/>
        <v>-1.035901802185327E-2</v>
      </c>
      <c r="H96" s="165">
        <f>VLOOKUP($B96,'Data shares'!$C:$FB,66)</f>
        <v>11621700</v>
      </c>
      <c r="I96" s="165">
        <f>VLOOKUP($B96,'Data shares'!$C:$FB,67)</f>
        <v>18208625</v>
      </c>
      <c r="J96" s="81">
        <f t="shared" si="29"/>
        <v>-36.174752349504693</v>
      </c>
      <c r="K96" s="5">
        <f>VLOOKUP($B96,'Data Vlaue (Cr)'!$C:$FB,99)</f>
        <v>1804</v>
      </c>
      <c r="L96" s="81">
        <f>VLOOKUP(B96,'OI(Value)'!$A$7:$C$232,3,0)</f>
        <v>-19</v>
      </c>
      <c r="M96" s="33">
        <f t="shared" si="31"/>
        <v>-1.0532150776053215</v>
      </c>
      <c r="N96" s="5">
        <f>VLOOKUP($B96,'Data Vlaue (Cr)'!$C:$FB,67)</f>
        <v>650</v>
      </c>
      <c r="O96" s="5">
        <f>VLOOKUP($B96,'Data Vlaue (Cr)'!$C:$FB,68)</f>
        <v>1018</v>
      </c>
      <c r="P96" s="5">
        <f t="shared" si="30"/>
        <v>-56.615384615384613</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Telecom</v>
      </c>
      <c r="B97" s="79" t="str">
        <f>'Data shares'!C92</f>
        <v>IDEA</v>
      </c>
      <c r="C97" s="4">
        <f>VLOOKUP($B97,'Data shares'!$C:$FB,7)</f>
        <v>9.4700000000000006</v>
      </c>
      <c r="D97" s="82">
        <f>VLOOKUP($B97,'Data shares'!$C:$FB,98)</f>
        <v>8866259325</v>
      </c>
      <c r="E97" s="165">
        <f>VLOOKUP(B97,'Snapshot (Volume)'!$A$7:$G$168,7,0)</f>
        <v>8756044875</v>
      </c>
      <c r="F97" s="165">
        <f t="shared" ref="F97:F105" si="32">D97-E97</f>
        <v>110214450</v>
      </c>
      <c r="G97" s="166">
        <f t="shared" ref="G97:G105" si="33">F97/E97</f>
        <v>1.2587241337088282E-2</v>
      </c>
      <c r="H97" s="165">
        <f>VLOOKUP($B97,'Data shares'!$C:$FB,66)</f>
        <v>2146465725</v>
      </c>
      <c r="I97" s="165">
        <f>VLOOKUP($B97,'Data shares'!$C:$FB,67)</f>
        <v>1973067375</v>
      </c>
      <c r="J97" s="81">
        <f t="shared" ref="J97:J105" si="34">(H97-I97)/I97*100</f>
        <v>8.7882629958340885</v>
      </c>
      <c r="K97" s="5">
        <f>VLOOKUP($B97,'Data Vlaue (Cr)'!$C:$FB,99)</f>
        <v>8379</v>
      </c>
      <c r="L97" s="81">
        <f>VLOOKUP(B97,'OI(Value)'!$A$7:$C$232,3,0)</f>
        <v>104</v>
      </c>
      <c r="M97" s="33">
        <f t="shared" si="31"/>
        <v>1.2411982336794367</v>
      </c>
      <c r="N97" s="5">
        <f>VLOOKUP($B97,'Data Vlaue (Cr)'!$C:$FB,67)</f>
        <v>2028</v>
      </c>
      <c r="O97" s="5">
        <f>VLOOKUP($B97,'Data Vlaue (Cr)'!$C:$FB,68)</f>
        <v>1865</v>
      </c>
      <c r="P97" s="5">
        <f t="shared" ref="P97:P105" si="35">(N97-O97)/N97*100</f>
        <v>8.0374753451676515</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Banking</v>
      </c>
      <c r="B98" s="79" t="str">
        <f>'Data shares'!C93</f>
        <v>IDFCFIRSTB</v>
      </c>
      <c r="C98" s="4">
        <f>VLOOKUP($B98,'Data shares'!$C:$FB,7)</f>
        <v>67.5</v>
      </c>
      <c r="D98" s="82">
        <f>VLOOKUP($B98,'Data shares'!$C:$FB,98)</f>
        <v>648155550</v>
      </c>
      <c r="E98" s="165">
        <f>VLOOKUP(B98,'Snapshot (Volume)'!$A$7:$G$168,7,0)</f>
        <v>651002975</v>
      </c>
      <c r="F98" s="165">
        <f t="shared" si="32"/>
        <v>-2847425</v>
      </c>
      <c r="G98" s="166">
        <f t="shared" si="33"/>
        <v>-4.3739047429084332E-3</v>
      </c>
      <c r="H98" s="165">
        <f>VLOOKUP($B98,'Data shares'!$C:$FB,66)</f>
        <v>203011200</v>
      </c>
      <c r="I98" s="165">
        <f>VLOOKUP($B98,'Data shares'!$C:$FB,67)</f>
        <v>215634475</v>
      </c>
      <c r="J98" s="81">
        <f t="shared" si="34"/>
        <v>-5.8540152264613532</v>
      </c>
      <c r="K98" s="5">
        <f>VLOOKUP($B98,'Data Vlaue (Cr)'!$C:$FB,99)</f>
        <v>4382</v>
      </c>
      <c r="L98" s="81">
        <f>VLOOKUP(B98,'OI(Value)'!$A$7:$C$232,3,0)</f>
        <v>-19</v>
      </c>
      <c r="M98" s="33">
        <f t="shared" si="31"/>
        <v>-0.43359196713829301</v>
      </c>
      <c r="N98" s="5">
        <f>VLOOKUP($B98,'Data Vlaue (Cr)'!$C:$FB,67)</f>
        <v>1372</v>
      </c>
      <c r="O98" s="5">
        <f>VLOOKUP($B98,'Data Vlaue (Cr)'!$C:$FB,68)</f>
        <v>1458</v>
      </c>
      <c r="P98" s="5">
        <f t="shared" si="35"/>
        <v>-6.2682215743440235</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Power</v>
      </c>
      <c r="B99" s="79" t="str">
        <f>'Data shares'!C94</f>
        <v>IEX</v>
      </c>
      <c r="C99" s="4">
        <f>VLOOKUP($B99,'Data shares'!$C:$FB,7)</f>
        <v>124.99</v>
      </c>
      <c r="D99" s="82">
        <f>VLOOKUP($B99,'Data shares'!$C:$FB,98)</f>
        <v>176636250</v>
      </c>
      <c r="E99" s="165">
        <f>VLOOKUP(B99,'Snapshot (Volume)'!$A$7:$G$168,7,0)</f>
        <v>138453750</v>
      </c>
      <c r="F99" s="165">
        <f t="shared" si="32"/>
        <v>38182500</v>
      </c>
      <c r="G99" s="166">
        <f t="shared" si="33"/>
        <v>0.27577801251320389</v>
      </c>
      <c r="H99" s="165">
        <f>VLOOKUP($B99,'Data shares'!$C:$FB,66)</f>
        <v>292068750</v>
      </c>
      <c r="I99" s="165">
        <f>VLOOKUP($B99,'Data shares'!$C:$FB,67)</f>
        <v>65677500</v>
      </c>
      <c r="J99" s="81">
        <f t="shared" si="34"/>
        <v>344.70138175174145</v>
      </c>
      <c r="K99" s="5">
        <f>VLOOKUP($B99,'Data Vlaue (Cr)'!$C:$FB,99)</f>
        <v>2208</v>
      </c>
      <c r="L99" s="81">
        <f>VLOOKUP(B99,'OI(Value)'!$A$7:$C$232,3,0)</f>
        <v>477</v>
      </c>
      <c r="M99" s="33">
        <f t="shared" si="31"/>
        <v>21.603260869565215</v>
      </c>
      <c r="N99" s="5">
        <f>VLOOKUP($B99,'Data Vlaue (Cr)'!$C:$FB,67)</f>
        <v>3650</v>
      </c>
      <c r="O99" s="5">
        <f>VLOOKUP($B99,'Data Vlaue (Cr)'!$C:$FB,68)</f>
        <v>821</v>
      </c>
      <c r="P99" s="5">
        <f t="shared" si="35"/>
        <v>77.506849315068493</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Realty</v>
      </c>
      <c r="B100" s="79" t="str">
        <f>'Data shares'!C95</f>
        <v>INDHOTEL</v>
      </c>
      <c r="C100" s="4">
        <f>VLOOKUP($B100,'Data shares'!$C:$FB,7)</f>
        <v>659.5</v>
      </c>
      <c r="D100" s="82">
        <f>VLOOKUP($B100,'Data shares'!$C:$FB,98)</f>
        <v>33818000</v>
      </c>
      <c r="E100" s="165">
        <f>VLOOKUP(B100,'Snapshot (Volume)'!$A$7:$G$168,7,0)</f>
        <v>34118000</v>
      </c>
      <c r="F100" s="165">
        <f t="shared" si="32"/>
        <v>-300000</v>
      </c>
      <c r="G100" s="166">
        <f t="shared" si="33"/>
        <v>-8.7930124860777295E-3</v>
      </c>
      <c r="H100" s="165">
        <f>VLOOKUP($B100,'Data shares'!$C:$FB,66)</f>
        <v>11338000</v>
      </c>
      <c r="I100" s="165">
        <f>VLOOKUP($B100,'Data shares'!$C:$FB,67)</f>
        <v>15126000</v>
      </c>
      <c r="J100" s="81">
        <f t="shared" si="34"/>
        <v>-25.042972365463438</v>
      </c>
      <c r="K100" s="5">
        <f>VLOOKUP($B100,'Data Vlaue (Cr)'!$C:$FB,99)</f>
        <v>2225</v>
      </c>
      <c r="L100" s="81">
        <f>VLOOKUP(B100,'OI(Value)'!$A$7:$C$232,3,0)</f>
        <v>-20</v>
      </c>
      <c r="M100" s="33">
        <f t="shared" si="31"/>
        <v>-0.89887640449438211</v>
      </c>
      <c r="N100" s="5">
        <f>VLOOKUP($B100,'Data Vlaue (Cr)'!$C:$FB,67)</f>
        <v>746</v>
      </c>
      <c r="O100" s="5">
        <f>VLOOKUP($B100,'Data Vlaue (Cr)'!$C:$FB,68)</f>
        <v>995</v>
      </c>
      <c r="P100" s="5">
        <f t="shared" si="35"/>
        <v>-33.378016085790883</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Banking</v>
      </c>
      <c r="B101" s="79" t="str">
        <f>'Data shares'!C96</f>
        <v>INDIANB</v>
      </c>
      <c r="C101" s="4">
        <f>VLOOKUP($B101,'Data shares'!$C:$FB,7)</f>
        <v>928.3</v>
      </c>
      <c r="D101" s="82">
        <f>VLOOKUP($B101,'Data shares'!$C:$FB,98)</f>
        <v>21334000</v>
      </c>
      <c r="E101" s="165">
        <f>VLOOKUP(B101,'Snapshot (Volume)'!$A$7:$G$168,7,0)</f>
        <v>19614000</v>
      </c>
      <c r="F101" s="165">
        <f t="shared" si="32"/>
        <v>1720000</v>
      </c>
      <c r="G101" s="166">
        <f t="shared" si="33"/>
        <v>8.7692464566126241E-2</v>
      </c>
      <c r="H101" s="165">
        <f>VLOOKUP($B101,'Data shares'!$C:$FB,66)</f>
        <v>16914000</v>
      </c>
      <c r="I101" s="165">
        <f>VLOOKUP($B101,'Data shares'!$C:$FB,67)</f>
        <v>9866000</v>
      </c>
      <c r="J101" s="81">
        <f t="shared" si="34"/>
        <v>71.437259274275291</v>
      </c>
      <c r="K101" s="5">
        <f>VLOOKUP($B101,'Data Vlaue (Cr)'!$C:$FB,99)</f>
        <v>1987</v>
      </c>
      <c r="L101" s="81">
        <f>VLOOKUP(B101,'OI(Value)'!$A$7:$C$232,3,0)</f>
        <v>160</v>
      </c>
      <c r="M101" s="33">
        <f t="shared" si="31"/>
        <v>8.0523402113739309</v>
      </c>
      <c r="N101" s="5">
        <f>VLOOKUP($B101,'Data Vlaue (Cr)'!$C:$FB,67)</f>
        <v>1575</v>
      </c>
      <c r="O101" s="5">
        <f>VLOOKUP($B101,'Data Vlaue (Cr)'!$C:$FB,68)</f>
        <v>919</v>
      </c>
      <c r="P101" s="5">
        <f t="shared" si="35"/>
        <v>41.650793650793652</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Index</v>
      </c>
      <c r="B102" s="79" t="str">
        <f>'Data shares'!C97</f>
        <v>INDIAVIX</v>
      </c>
      <c r="C102" s="4">
        <f>VLOOKUP($B102,'Data shares'!$C:$FB,7)</f>
        <v>18.79</v>
      </c>
      <c r="D102" s="82">
        <f>VLOOKUP($B102,'Data shares'!$C:$FB,98)</f>
        <v>0</v>
      </c>
      <c r="E102" s="165">
        <f>VLOOKUP(B102,'Snapshot (Volume)'!$A$7:$G$168,7,0)</f>
        <v>0</v>
      </c>
      <c r="F102" s="165">
        <f t="shared" si="32"/>
        <v>0</v>
      </c>
      <c r="G102" s="166" t="e">
        <f t="shared" si="33"/>
        <v>#DIV/0!</v>
      </c>
      <c r="H102" s="165">
        <f>VLOOKUP($B102,'Data shares'!$C:$FB,66)</f>
        <v>0</v>
      </c>
      <c r="I102" s="165">
        <f>VLOOKUP($B102,'Data shares'!$C:$FB,67)</f>
        <v>0</v>
      </c>
      <c r="J102" s="81" t="e">
        <f t="shared" si="34"/>
        <v>#DIV/0!</v>
      </c>
      <c r="K102" s="5">
        <f>VLOOKUP($B102,'Data Vlaue (Cr)'!$C:$FB,99)</f>
        <v>0</v>
      </c>
      <c r="L102" s="81">
        <f>VLOOKUP(B102,'OI(Value)'!$A$7:$C$232,3,0)</f>
        <v>0</v>
      </c>
      <c r="M102" s="33" t="e">
        <f t="shared" si="31"/>
        <v>#DIV/0!</v>
      </c>
      <c r="N102" s="5">
        <f>VLOOKUP($B102,'Data Vlaue (Cr)'!$C:$FB,67)</f>
        <v>0</v>
      </c>
      <c r="O102" s="5">
        <f>VLOOKUP($B102,'Data Vlaue (Cr)'!$C:$FB,68)</f>
        <v>0</v>
      </c>
      <c r="P102" s="5" t="e">
        <f t="shared" si="35"/>
        <v>#DIV/0!</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Infrastructure</v>
      </c>
      <c r="B103" s="79" t="str">
        <f>'Data shares'!C98</f>
        <v>INDIGO</v>
      </c>
      <c r="C103" s="4">
        <f>VLOOKUP($B103,'Data shares'!$C:$FB,7)</f>
        <v>4678.2</v>
      </c>
      <c r="D103" s="82">
        <f>VLOOKUP($B103,'Data shares'!$C:$FB,98)</f>
        <v>17881950</v>
      </c>
      <c r="E103" s="165">
        <f>VLOOKUP(B103,'Snapshot (Volume)'!$A$7:$G$168,7,0)</f>
        <v>17672400</v>
      </c>
      <c r="F103" s="165">
        <f t="shared" si="32"/>
        <v>209550</v>
      </c>
      <c r="G103" s="166">
        <f t="shared" si="33"/>
        <v>1.1857472669246961E-2</v>
      </c>
      <c r="H103" s="165">
        <f>VLOOKUP($B103,'Data shares'!$C:$FB,66)</f>
        <v>11590800</v>
      </c>
      <c r="I103" s="165">
        <f>VLOOKUP($B103,'Data shares'!$C:$FB,67)</f>
        <v>8943000</v>
      </c>
      <c r="J103" s="81">
        <f t="shared" si="34"/>
        <v>29.607514256960755</v>
      </c>
      <c r="K103" s="5">
        <f>VLOOKUP($B103,'Data Vlaue (Cr)'!$C:$FB,99)</f>
        <v>8355</v>
      </c>
      <c r="L103" s="81">
        <f>VLOOKUP(B103,'OI(Value)'!$A$7:$C$232,3,0)</f>
        <v>98</v>
      </c>
      <c r="M103" s="33">
        <f t="shared" si="31"/>
        <v>1.1729503291442249</v>
      </c>
      <c r="N103" s="5">
        <f>VLOOKUP($B103,'Data Vlaue (Cr)'!$C:$FB,67)</f>
        <v>5416</v>
      </c>
      <c r="O103" s="5">
        <f>VLOOKUP($B103,'Data Vlaue (Cr)'!$C:$FB,68)</f>
        <v>4178</v>
      </c>
      <c r="P103" s="5">
        <f t="shared" si="35"/>
        <v>22.858197932053177</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Banking</v>
      </c>
      <c r="B104" s="79" t="str">
        <f>'Data shares'!C99</f>
        <v>INDUSINDBK</v>
      </c>
      <c r="C104" s="4">
        <f>VLOOKUP($B104,'Data shares'!$C:$FB,7)</f>
        <v>851.95</v>
      </c>
      <c r="D104" s="82">
        <f>VLOOKUP($B104,'Data shares'!$C:$FB,98)</f>
        <v>51695000</v>
      </c>
      <c r="E104" s="165">
        <f>VLOOKUP(B104,'Snapshot (Volume)'!$A$7:$G$168,7,0)</f>
        <v>52703700</v>
      </c>
      <c r="F104" s="165">
        <f t="shared" si="32"/>
        <v>-1008700</v>
      </c>
      <c r="G104" s="166">
        <f t="shared" si="33"/>
        <v>-1.913907372727152E-2</v>
      </c>
      <c r="H104" s="165">
        <f>VLOOKUP($B104,'Data shares'!$C:$FB,66)</f>
        <v>16128000</v>
      </c>
      <c r="I104" s="165">
        <f>VLOOKUP($B104,'Data shares'!$C:$FB,67)</f>
        <v>16914100</v>
      </c>
      <c r="J104" s="81">
        <f t="shared" si="34"/>
        <v>-4.6476017050862888</v>
      </c>
      <c r="K104" s="5">
        <f>VLOOKUP($B104,'Data Vlaue (Cr)'!$C:$FB,99)</f>
        <v>4395</v>
      </c>
      <c r="L104" s="81">
        <f>VLOOKUP(B104,'OI(Value)'!$A$7:$C$232,3,0)</f>
        <v>-86</v>
      </c>
      <c r="M104" s="33">
        <f t="shared" si="31"/>
        <v>-1.9567690557451649</v>
      </c>
      <c r="N104" s="5">
        <f>VLOOKUP($B104,'Data Vlaue (Cr)'!$C:$FB,67)</f>
        <v>1371</v>
      </c>
      <c r="O104" s="5">
        <f>VLOOKUP($B104,'Data Vlaue (Cr)'!$C:$FB,68)</f>
        <v>1438</v>
      </c>
      <c r="P104" s="5">
        <f t="shared" si="35"/>
        <v>-4.8869438366156093</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Telecom</v>
      </c>
      <c r="B105" s="79" t="str">
        <f>'Data shares'!C100</f>
        <v>INDUSTOWER</v>
      </c>
      <c r="C105" s="4">
        <f>VLOOKUP($B105,'Data shares'!$C:$FB,7)</f>
        <v>405.8</v>
      </c>
      <c r="D105" s="82">
        <f>VLOOKUP($B105,'Data shares'!$C:$FB,98)</f>
        <v>115941700</v>
      </c>
      <c r="E105" s="165">
        <f>VLOOKUP(B105,'Snapshot (Volume)'!$A$7:$G$168,7,0)</f>
        <v>113077200</v>
      </c>
      <c r="F105" s="165">
        <f t="shared" si="32"/>
        <v>2864500</v>
      </c>
      <c r="G105" s="166">
        <f t="shared" si="33"/>
        <v>2.533225088700463E-2</v>
      </c>
      <c r="H105" s="165">
        <f>VLOOKUP($B105,'Data shares'!$C:$FB,66)</f>
        <v>42163400</v>
      </c>
      <c r="I105" s="165">
        <f>VLOOKUP($B105,'Data shares'!$C:$FB,67)</f>
        <v>73506300</v>
      </c>
      <c r="J105" s="81">
        <f t="shared" si="34"/>
        <v>-42.639746525127784</v>
      </c>
      <c r="K105" s="5">
        <f>VLOOKUP($B105,'Data Vlaue (Cr)'!$C:$FB,99)</f>
        <v>4718</v>
      </c>
      <c r="L105" s="81">
        <f>VLOOKUP(B105,'OI(Value)'!$A$7:$C$232,3,0)</f>
        <v>117</v>
      </c>
      <c r="M105" s="33">
        <f t="shared" si="31"/>
        <v>2.4798643493005512</v>
      </c>
      <c r="N105" s="5">
        <f>VLOOKUP($B105,'Data Vlaue (Cr)'!$C:$FB,67)</f>
        <v>1716</v>
      </c>
      <c r="O105" s="5">
        <f>VLOOKUP($B105,'Data Vlaue (Cr)'!$C:$FB,68)</f>
        <v>2991</v>
      </c>
      <c r="P105" s="5">
        <f t="shared" si="35"/>
        <v>-74.300699300699307</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Technology</v>
      </c>
      <c r="B106" s="79" t="str">
        <f>'Data shares'!C101</f>
        <v>INFY</v>
      </c>
      <c r="C106" s="79">
        <f>VLOOKUP($B106,'Data shares'!$C:$FB,7)</f>
        <v>1312.6</v>
      </c>
      <c r="D106" s="80">
        <f>VLOOKUP($B106,'Data shares'!$C:$FB,98)</f>
        <v>129382000</v>
      </c>
      <c r="E106" s="165">
        <f>VLOOKUP(B106,'Snapshot (Volume)'!$A$7:$G$168,7,0)</f>
        <v>128380400</v>
      </c>
      <c r="F106" s="165">
        <f t="shared" ref="F106:F114" si="36">D106-E106</f>
        <v>1001600</v>
      </c>
      <c r="G106" s="166">
        <f t="shared" ref="G106:G114" si="37">F106/E106</f>
        <v>7.8018139840661032E-3</v>
      </c>
      <c r="H106" s="165">
        <f>VLOOKUP($B106,'Data shares'!$C:$FB,66)</f>
        <v>32884400</v>
      </c>
      <c r="I106" s="165">
        <f>VLOOKUP($B106,'Data shares'!$C:$FB,67)</f>
        <v>42485600</v>
      </c>
      <c r="J106" s="81">
        <f t="shared" ref="J106:J114" si="38">(H106-I106)/I106*100</f>
        <v>-22.598715800177001</v>
      </c>
      <c r="K106" s="81">
        <f>VLOOKUP($B106,'Data Vlaue (Cr)'!$C:$FB,99)</f>
        <v>16940</v>
      </c>
      <c r="L106" s="81">
        <f>VLOOKUP(B106,'OI(Value)'!$A$7:$C$232,3,0)</f>
        <v>131</v>
      </c>
      <c r="M106" s="81">
        <f t="shared" si="31"/>
        <v>0.77331759149940971</v>
      </c>
      <c r="N106" s="81">
        <f>VLOOKUP($B106,'Data Vlaue (Cr)'!$C:$FB,67)</f>
        <v>4306</v>
      </c>
      <c r="O106" s="81">
        <f>VLOOKUP($B106,'Data Vlaue (Cr)'!$C:$FB,68)</f>
        <v>5563</v>
      </c>
      <c r="P106" s="81">
        <f t="shared" ref="P106:P114" si="39">(N106-O106)/N106*100</f>
        <v>-29.191825359962841</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Power</v>
      </c>
      <c r="B107" s="79" t="str">
        <f>'Data shares'!C102</f>
        <v>INOXWIND</v>
      </c>
      <c r="C107" s="79">
        <f>VLOOKUP($B107,'Data shares'!$C:$FB,7)</f>
        <v>97.35</v>
      </c>
      <c r="D107" s="80">
        <f>VLOOKUP($B107,'Data shares'!$C:$FB,98)</f>
        <v>150157150</v>
      </c>
      <c r="E107" s="165">
        <f>VLOOKUP(B107,'Snapshot (Volume)'!$A$7:$G$168,7,0)</f>
        <v>151061625</v>
      </c>
      <c r="F107" s="165">
        <f t="shared" si="36"/>
        <v>-904475</v>
      </c>
      <c r="G107" s="166">
        <f t="shared" si="37"/>
        <v>-5.9874571056679681E-3</v>
      </c>
      <c r="H107" s="165">
        <f>VLOOKUP($B107,'Data shares'!$C:$FB,66)</f>
        <v>44161975</v>
      </c>
      <c r="I107" s="165">
        <f>VLOOKUP($B107,'Data shares'!$C:$FB,67)</f>
        <v>111675850</v>
      </c>
      <c r="J107" s="81">
        <f t="shared" si="38"/>
        <v>-60.455214802484157</v>
      </c>
      <c r="K107" s="81">
        <f>VLOOKUP($B107,'Data Vlaue (Cr)'!$C:$FB,99)</f>
        <v>1459</v>
      </c>
      <c r="L107" s="81">
        <f>VLOOKUP(B107,'OI(Value)'!$A$7:$C$232,3,0)</f>
        <v>-9</v>
      </c>
      <c r="M107" s="81">
        <f t="shared" si="31"/>
        <v>-0.61686086360520898</v>
      </c>
      <c r="N107" s="81">
        <f>VLOOKUP($B107,'Data Vlaue (Cr)'!$C:$FB,67)</f>
        <v>429</v>
      </c>
      <c r="O107" s="81">
        <f>VLOOKUP($B107,'Data Vlaue (Cr)'!$C:$FB,68)</f>
        <v>1085</v>
      </c>
      <c r="P107" s="81">
        <f t="shared" si="39"/>
        <v>-152.91375291375292</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Oil_Gas</v>
      </c>
      <c r="B108" s="79" t="str">
        <f>'Data shares'!C103</f>
        <v>IOC</v>
      </c>
      <c r="C108" s="4">
        <f>VLOOKUP($B108,'Data shares'!$C:$FB,7)</f>
        <v>146.87</v>
      </c>
      <c r="D108" s="82">
        <f>VLOOKUP($B108,'Data shares'!$C:$FB,98)</f>
        <v>223708875</v>
      </c>
      <c r="E108" s="165">
        <f>VLOOKUP(B108,'Snapshot (Volume)'!$A$7:$G$168,7,0)</f>
        <v>214461000</v>
      </c>
      <c r="F108" s="165">
        <f t="shared" si="36"/>
        <v>9247875</v>
      </c>
      <c r="G108" s="166">
        <f t="shared" si="37"/>
        <v>4.3121476632114929E-2</v>
      </c>
      <c r="H108" s="165">
        <f>VLOOKUP($B108,'Data shares'!$C:$FB,66)</f>
        <v>116078625</v>
      </c>
      <c r="I108" s="165">
        <f>VLOOKUP($B108,'Data shares'!$C:$FB,67)</f>
        <v>69717375</v>
      </c>
      <c r="J108" s="81">
        <f t="shared" si="38"/>
        <v>66.498846234529054</v>
      </c>
      <c r="K108" s="5">
        <f>VLOOKUP($B108,'Data Vlaue (Cr)'!$C:$FB,99)</f>
        <v>3282</v>
      </c>
      <c r="L108" s="81">
        <f>VLOOKUP(B108,'OI(Value)'!$A$7:$C$232,3,0)</f>
        <v>136</v>
      </c>
      <c r="M108" s="33">
        <f t="shared" si="31"/>
        <v>4.1438147471054236</v>
      </c>
      <c r="N108" s="5">
        <f>VLOOKUP($B108,'Data Vlaue (Cr)'!$C:$FB,67)</f>
        <v>1703</v>
      </c>
      <c r="O108" s="5">
        <f>VLOOKUP($B108,'Data Vlaue (Cr)'!$C:$FB,68)</f>
        <v>1023</v>
      </c>
      <c r="P108" s="5">
        <f t="shared" si="39"/>
        <v>39.92953611274222</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Finance</v>
      </c>
      <c r="B109" s="79" t="str">
        <f>'Data shares'!C104</f>
        <v>IREDA</v>
      </c>
      <c r="C109" s="4">
        <f>VLOOKUP($B109,'Data shares'!$C:$FB,7)</f>
        <v>130.13999999999999</v>
      </c>
      <c r="D109" s="82">
        <f>VLOOKUP($B109,'Data shares'!$C:$FB,98)</f>
        <v>105028350</v>
      </c>
      <c r="E109" s="165">
        <f>VLOOKUP(B109,'Snapshot (Volume)'!$A$7:$G$168,7,0)</f>
        <v>102640950</v>
      </c>
      <c r="F109" s="165">
        <f t="shared" si="36"/>
        <v>2387400</v>
      </c>
      <c r="G109" s="166">
        <f t="shared" si="37"/>
        <v>2.3259722362273538E-2</v>
      </c>
      <c r="H109" s="165">
        <f>VLOOKUP($B109,'Data shares'!$C:$FB,66)</f>
        <v>33268350</v>
      </c>
      <c r="I109" s="165">
        <f>VLOOKUP($B109,'Data shares'!$C:$FB,67)</f>
        <v>92953350</v>
      </c>
      <c r="J109" s="81">
        <f t="shared" si="38"/>
        <v>-64.209627732620717</v>
      </c>
      <c r="K109" s="5">
        <f>VLOOKUP($B109,'Data Vlaue (Cr)'!$C:$FB,99)</f>
        <v>1369</v>
      </c>
      <c r="L109" s="81">
        <f>VLOOKUP(B109,'OI(Value)'!$A$7:$C$232,3,0)</f>
        <v>31</v>
      </c>
      <c r="M109" s="33">
        <f t="shared" si="31"/>
        <v>2.2644265887509132</v>
      </c>
      <c r="N109" s="5">
        <f>VLOOKUP($B109,'Data Vlaue (Cr)'!$C:$FB,67)</f>
        <v>434</v>
      </c>
      <c r="O109" s="5">
        <f>VLOOKUP($B109,'Data Vlaue (Cr)'!$C:$FB,68)</f>
        <v>1212</v>
      </c>
      <c r="P109" s="5">
        <f t="shared" si="39"/>
        <v>-179.2626728110599</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Infrastructure</v>
      </c>
      <c r="B110" s="79" t="str">
        <f>'Data shares'!C105</f>
        <v>IRFC</v>
      </c>
      <c r="C110" s="4">
        <f>VLOOKUP($B110,'Data shares'!$C:$FB,7)</f>
        <v>103.02</v>
      </c>
      <c r="D110" s="82">
        <f>VLOOKUP($B110,'Data shares'!$C:$FB,98)</f>
        <v>132893250</v>
      </c>
      <c r="E110" s="165">
        <f>VLOOKUP(B110,'Snapshot (Volume)'!$A$7:$G$168,7,0)</f>
        <v>131881750</v>
      </c>
      <c r="F110" s="165">
        <f t="shared" si="36"/>
        <v>1011500</v>
      </c>
      <c r="G110" s="166">
        <f t="shared" si="37"/>
        <v>7.6697496052334762E-3</v>
      </c>
      <c r="H110" s="165">
        <f>VLOOKUP($B110,'Data shares'!$C:$FB,66)</f>
        <v>53936750</v>
      </c>
      <c r="I110" s="165">
        <f>VLOOKUP($B110,'Data shares'!$C:$FB,67)</f>
        <v>120759500</v>
      </c>
      <c r="J110" s="81">
        <f t="shared" si="38"/>
        <v>-55.335398043218134</v>
      </c>
      <c r="K110" s="5">
        <f>VLOOKUP($B110,'Data Vlaue (Cr)'!$C:$FB,99)</f>
        <v>1370</v>
      </c>
      <c r="L110" s="81">
        <f>VLOOKUP(B110,'OI(Value)'!$A$7:$C$232,3,0)</f>
        <v>10</v>
      </c>
      <c r="M110" s="33">
        <f t="shared" si="31"/>
        <v>0.72992700729927007</v>
      </c>
      <c r="N110" s="5">
        <f>VLOOKUP($B110,'Data Vlaue (Cr)'!$C:$FB,67)</f>
        <v>556</v>
      </c>
      <c r="O110" s="5">
        <f>VLOOKUP($B110,'Data Vlaue (Cr)'!$C:$FB,68)</f>
        <v>1245</v>
      </c>
      <c r="P110" s="5">
        <f t="shared" si="39"/>
        <v>-123.92086330935253</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FMCG</v>
      </c>
      <c r="B111" s="79" t="str">
        <f>'Data shares'!C106</f>
        <v>ITC</v>
      </c>
      <c r="C111" s="4">
        <f>VLOOKUP($B111,'Data shares'!$C:$FB,7)</f>
        <v>305</v>
      </c>
      <c r="D111" s="82">
        <f>VLOOKUP($B111,'Data shares'!$C:$FB,98)</f>
        <v>339188800</v>
      </c>
      <c r="E111" s="165">
        <f>VLOOKUP(B111,'Snapshot (Volume)'!$A$7:$G$168,7,0)</f>
        <v>336720000</v>
      </c>
      <c r="F111" s="165">
        <f t="shared" si="36"/>
        <v>2468800</v>
      </c>
      <c r="G111" s="166">
        <f t="shared" si="37"/>
        <v>7.3319078165835112E-3</v>
      </c>
      <c r="H111" s="165">
        <f>VLOOKUP($B111,'Data shares'!$C:$FB,66)</f>
        <v>123320000</v>
      </c>
      <c r="I111" s="165">
        <f>VLOOKUP($B111,'Data shares'!$C:$FB,67)</f>
        <v>440985600</v>
      </c>
      <c r="J111" s="81">
        <f t="shared" si="38"/>
        <v>-72.035368048299091</v>
      </c>
      <c r="K111" s="5">
        <f>VLOOKUP($B111,'Data Vlaue (Cr)'!$C:$FB,99)</f>
        <v>10354</v>
      </c>
      <c r="L111" s="81">
        <f>VLOOKUP(B111,'OI(Value)'!$A$7:$C$232,3,0)</f>
        <v>75</v>
      </c>
      <c r="M111" s="33">
        <f t="shared" si="31"/>
        <v>0.72435773614062204</v>
      </c>
      <c r="N111" s="5">
        <f>VLOOKUP($B111,'Data Vlaue (Cr)'!$C:$FB,67)</f>
        <v>3764</v>
      </c>
      <c r="O111" s="5">
        <f>VLOOKUP($B111,'Data Vlaue (Cr)'!$C:$FB,68)</f>
        <v>13461</v>
      </c>
      <c r="P111" s="5">
        <f t="shared" si="39"/>
        <v>-257.62486716259303</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Metals</v>
      </c>
      <c r="B112" s="79" t="str">
        <f>'Data shares'!C107</f>
        <v>JINDALSTEL</v>
      </c>
      <c r="C112" s="4">
        <f>VLOOKUP($B112,'Data shares'!$C:$FB,7)</f>
        <v>1287.7</v>
      </c>
      <c r="D112" s="82">
        <f>VLOOKUP($B112,'Data shares'!$C:$FB,98)</f>
        <v>21345625</v>
      </c>
      <c r="E112" s="165">
        <f>VLOOKUP(B112,'Snapshot (Volume)'!$A$7:$G$168,7,0)</f>
        <v>20543125</v>
      </c>
      <c r="F112" s="165">
        <f t="shared" si="36"/>
        <v>802500</v>
      </c>
      <c r="G112" s="166">
        <f t="shared" si="37"/>
        <v>3.9064163801758499E-2</v>
      </c>
      <c r="H112" s="165">
        <f>VLOOKUP($B112,'Data shares'!$C:$FB,66)</f>
        <v>17013750</v>
      </c>
      <c r="I112" s="165">
        <f>VLOOKUP($B112,'Data shares'!$C:$FB,67)</f>
        <v>24908750</v>
      </c>
      <c r="J112" s="81">
        <f t="shared" si="38"/>
        <v>-31.695689265820242</v>
      </c>
      <c r="K112" s="5">
        <f>VLOOKUP($B112,'Data Vlaue (Cr)'!$C:$FB,99)</f>
        <v>2747</v>
      </c>
      <c r="L112" s="81">
        <f>VLOOKUP(B112,'OI(Value)'!$A$7:$C$232,3,0)</f>
        <v>103</v>
      </c>
      <c r="M112" s="33">
        <f t="shared" si="31"/>
        <v>3.7495449581361489</v>
      </c>
      <c r="N112" s="5">
        <f>VLOOKUP($B112,'Data Vlaue (Cr)'!$C:$FB,67)</f>
        <v>2190</v>
      </c>
      <c r="O112" s="5">
        <f>VLOOKUP($B112,'Data Vlaue (Cr)'!$C:$FB,68)</f>
        <v>3206</v>
      </c>
      <c r="P112" s="5">
        <f t="shared" si="39"/>
        <v>-46.392694063926939</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Finance</v>
      </c>
      <c r="B113" s="79" t="str">
        <f>'Data shares'!C108</f>
        <v>JIOFIN</v>
      </c>
      <c r="C113" s="4">
        <f>VLOOKUP($B113,'Data shares'!$C:$FB,7)</f>
        <v>237.15</v>
      </c>
      <c r="D113" s="82">
        <f>VLOOKUP($B113,'Data shares'!$C:$FB,98)</f>
        <v>290584550</v>
      </c>
      <c r="E113" s="165">
        <f>VLOOKUP(B113,'Snapshot (Volume)'!$A$7:$G$168,7,0)</f>
        <v>285449800</v>
      </c>
      <c r="F113" s="165">
        <f t="shared" si="36"/>
        <v>5134750</v>
      </c>
      <c r="G113" s="166">
        <f t="shared" si="37"/>
        <v>1.7988276747785425E-2</v>
      </c>
      <c r="H113" s="165">
        <f>VLOOKUP($B113,'Data shares'!$C:$FB,66)</f>
        <v>282105750</v>
      </c>
      <c r="I113" s="165">
        <f>VLOOKUP($B113,'Data shares'!$C:$FB,67)</f>
        <v>212703200</v>
      </c>
      <c r="J113" s="81">
        <f t="shared" si="38"/>
        <v>32.628822697542873</v>
      </c>
      <c r="K113" s="5">
        <f>VLOOKUP($B113,'Data Vlaue (Cr)'!$C:$FB,99)</f>
        <v>6884</v>
      </c>
      <c r="L113" s="81">
        <f>VLOOKUP(B113,'OI(Value)'!$A$7:$C$232,3,0)</f>
        <v>122</v>
      </c>
      <c r="M113" s="33">
        <f t="shared" si="31"/>
        <v>1.7722254503195816</v>
      </c>
      <c r="N113" s="5">
        <f>VLOOKUP($B113,'Data Vlaue (Cr)'!$C:$FB,67)</f>
        <v>6683</v>
      </c>
      <c r="O113" s="5">
        <f>VLOOKUP($B113,'Data Vlaue (Cr)'!$C:$FB,68)</f>
        <v>5039</v>
      </c>
      <c r="P113" s="5">
        <f t="shared" si="39"/>
        <v>24.599730659883289</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Power</v>
      </c>
      <c r="B114" s="79" t="str">
        <f>'Data shares'!C109</f>
        <v>JSWENERGY</v>
      </c>
      <c r="C114" s="4">
        <f>VLOOKUP($B114,'Data shares'!$C:$FB,7)</f>
        <v>543.04999999999995</v>
      </c>
      <c r="D114" s="82">
        <f>VLOOKUP($B114,'Data shares'!$C:$FB,98)</f>
        <v>39237000</v>
      </c>
      <c r="E114" s="165">
        <f>VLOOKUP(B114,'Snapshot (Volume)'!$A$7:$G$168,7,0)</f>
        <v>38543000</v>
      </c>
      <c r="F114" s="165">
        <f t="shared" si="36"/>
        <v>694000</v>
      </c>
      <c r="G114" s="166">
        <f t="shared" si="37"/>
        <v>1.8005863580935578E-2</v>
      </c>
      <c r="H114" s="165">
        <f>VLOOKUP($B114,'Data shares'!$C:$FB,66)</f>
        <v>28482000</v>
      </c>
      <c r="I114" s="165">
        <f>VLOOKUP($B114,'Data shares'!$C:$FB,67)</f>
        <v>16059000</v>
      </c>
      <c r="J114" s="81">
        <f t="shared" si="38"/>
        <v>77.358490566037744</v>
      </c>
      <c r="K114" s="5">
        <f>VLOOKUP($B114,'Data Vlaue (Cr)'!$C:$FB,99)</f>
        <v>2130</v>
      </c>
      <c r="L114" s="81">
        <f>VLOOKUP(B114,'OI(Value)'!$A$7:$C$232,3,0)</f>
        <v>38</v>
      </c>
      <c r="M114" s="33">
        <f t="shared" si="31"/>
        <v>1.784037558685446</v>
      </c>
      <c r="N114" s="5">
        <f>VLOOKUP($B114,'Data Vlaue (Cr)'!$C:$FB,67)</f>
        <v>1546</v>
      </c>
      <c r="O114" s="5">
        <f>VLOOKUP($B114,'Data Vlaue (Cr)'!$C:$FB,68)</f>
        <v>872</v>
      </c>
      <c r="P114" s="5">
        <f t="shared" si="39"/>
        <v>43.596377749029749</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Metals</v>
      </c>
      <c r="B115" s="79" t="str">
        <f>'Data shares'!C110</f>
        <v>JSWSTEEL</v>
      </c>
      <c r="C115" s="79">
        <f>VLOOKUP($B115,'Data shares'!$C:$FB,7)</f>
        <v>1274.5</v>
      </c>
      <c r="D115" s="80">
        <f>VLOOKUP($B115,'Data shares'!$C:$FB,98)</f>
        <v>61580250</v>
      </c>
      <c r="E115" s="165">
        <f>VLOOKUP(B115,'Snapshot (Volume)'!$A$7:$G$168,7,0)</f>
        <v>61297425</v>
      </c>
      <c r="F115" s="165">
        <f t="shared" ref="F115:F126" si="40">D115-E115</f>
        <v>282825</v>
      </c>
      <c r="G115" s="166">
        <f t="shared" ref="G115:G126" si="41">F115/E115</f>
        <v>4.6139784827829225E-3</v>
      </c>
      <c r="H115" s="165">
        <f>VLOOKUP($B115,'Data shares'!$C:$FB,66)</f>
        <v>30964950</v>
      </c>
      <c r="I115" s="165">
        <f>VLOOKUP($B115,'Data shares'!$C:$FB,67)</f>
        <v>21487950</v>
      </c>
      <c r="J115" s="81">
        <f t="shared" ref="J115:J126" si="42">(H115-I115)/I115*100</f>
        <v>44.103788402337123</v>
      </c>
      <c r="K115" s="81">
        <f>VLOOKUP($B115,'Data Vlaue (Cr)'!$C:$FB,99)</f>
        <v>7840</v>
      </c>
      <c r="L115" s="81">
        <f>VLOOKUP(B115,'OI(Value)'!$A$7:$C$232,3,0)</f>
        <v>36</v>
      </c>
      <c r="M115" s="81">
        <f t="shared" si="31"/>
        <v>0.45918367346938782</v>
      </c>
      <c r="N115" s="81">
        <f>VLOOKUP($B115,'Data Vlaue (Cr)'!$C:$FB,67)</f>
        <v>3942</v>
      </c>
      <c r="O115" s="81">
        <f>VLOOKUP($B115,'Data Vlaue (Cr)'!$C:$FB,68)</f>
        <v>2736</v>
      </c>
      <c r="P115" s="81">
        <f t="shared" ref="P115:P126" si="43">(N115-O115)/N115*100</f>
        <v>30.593607305936072</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JUBLFOOD</v>
      </c>
      <c r="C116" s="4">
        <f>VLOOKUP($B116,'Data shares'!$C:$FB,7)</f>
        <v>456.15</v>
      </c>
      <c r="D116" s="82">
        <f>VLOOKUP($B116,'Data shares'!$C:$FB,98)</f>
        <v>77575000</v>
      </c>
      <c r="E116" s="165">
        <f>VLOOKUP(B116,'Snapshot (Volume)'!$A$7:$G$168,7,0)</f>
        <v>76172500</v>
      </c>
      <c r="F116" s="165">
        <f t="shared" si="40"/>
        <v>1402500</v>
      </c>
      <c r="G116" s="166">
        <f t="shared" si="41"/>
        <v>1.8412156618202107E-2</v>
      </c>
      <c r="H116" s="165">
        <f>VLOOKUP($B116,'Data shares'!$C:$FB,66)</f>
        <v>29130000</v>
      </c>
      <c r="I116" s="165">
        <f>VLOOKUP($B116,'Data shares'!$C:$FB,67)</f>
        <v>39621250</v>
      </c>
      <c r="J116" s="81">
        <f t="shared" si="42"/>
        <v>-26.478846578540555</v>
      </c>
      <c r="K116" s="5">
        <f>VLOOKUP($B116,'Data Vlaue (Cr)'!$C:$FB,99)</f>
        <v>3525</v>
      </c>
      <c r="L116" s="81">
        <f>VLOOKUP(B116,'OI(Value)'!$A$7:$C$232,3,0)</f>
        <v>64</v>
      </c>
      <c r="M116" s="33">
        <f t="shared" si="31"/>
        <v>1.8156028368794326</v>
      </c>
      <c r="N116" s="5">
        <f>VLOOKUP($B116,'Data Vlaue (Cr)'!$C:$FB,67)</f>
        <v>1324</v>
      </c>
      <c r="O116" s="5">
        <f>VLOOKUP($B116,'Data Vlaue (Cr)'!$C:$FB,68)</f>
        <v>1800</v>
      </c>
      <c r="P116" s="5">
        <f t="shared" si="43"/>
        <v>-35.951661631419938</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FMCG</v>
      </c>
      <c r="B117" s="79" t="str">
        <f>'Data shares'!C112</f>
        <v>KALYANKJIL</v>
      </c>
      <c r="C117" s="4">
        <f>VLOOKUP($B117,'Data shares'!$C:$FB,7)</f>
        <v>417.5</v>
      </c>
      <c r="D117" s="82">
        <f>VLOOKUP($B117,'Data shares'!$C:$FB,98)</f>
        <v>49736575</v>
      </c>
      <c r="E117" s="165">
        <f>VLOOKUP(B117,'Snapshot (Volume)'!$A$7:$G$168,7,0)</f>
        <v>47703825</v>
      </c>
      <c r="F117" s="165">
        <f t="shared" si="40"/>
        <v>2032750</v>
      </c>
      <c r="G117" s="166">
        <f t="shared" si="41"/>
        <v>4.2611886992290453E-2</v>
      </c>
      <c r="H117" s="165">
        <f>VLOOKUP($B117,'Data shares'!$C:$FB,66)</f>
        <v>29362075</v>
      </c>
      <c r="I117" s="165">
        <f>VLOOKUP($B117,'Data shares'!$C:$FB,67)</f>
        <v>148035900</v>
      </c>
      <c r="J117" s="81">
        <f t="shared" si="42"/>
        <v>-80.165571324253108</v>
      </c>
      <c r="K117" s="5">
        <f>VLOOKUP($B117,'Data Vlaue (Cr)'!$C:$FB,99)</f>
        <v>2075</v>
      </c>
      <c r="L117" s="81">
        <f>VLOOKUP(B117,'OI(Value)'!$A$7:$C$232,3,0)</f>
        <v>85</v>
      </c>
      <c r="M117" s="33">
        <f t="shared" si="31"/>
        <v>4.096385542168675</v>
      </c>
      <c r="N117" s="5">
        <f>VLOOKUP($B117,'Data Vlaue (Cr)'!$C:$FB,67)</f>
        <v>1225</v>
      </c>
      <c r="O117" s="5">
        <f>VLOOKUP($B117,'Data Vlaue (Cr)'!$C:$FB,68)</f>
        <v>6176</v>
      </c>
      <c r="P117" s="5">
        <f t="shared" si="43"/>
        <v>-404.16326530612247</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Capital_Goods</v>
      </c>
      <c r="B118" s="79" t="str">
        <f>'Data shares'!C113</f>
        <v>KAYNES</v>
      </c>
      <c r="C118" s="4">
        <f>VLOOKUP($B118,'Data shares'!$C:$FB,7)</f>
        <v>4222.6000000000004</v>
      </c>
      <c r="D118" s="82">
        <f>VLOOKUP($B118,'Data shares'!$C:$FB,98)</f>
        <v>6161900</v>
      </c>
      <c r="E118" s="165">
        <f>VLOOKUP(B118,'Snapshot (Volume)'!$A$7:$G$168,7,0)</f>
        <v>6141100</v>
      </c>
      <c r="F118" s="165">
        <f t="shared" si="40"/>
        <v>20800</v>
      </c>
      <c r="G118" s="166">
        <f t="shared" si="41"/>
        <v>3.3870153555551935E-3</v>
      </c>
      <c r="H118" s="165">
        <f>VLOOKUP($B118,'Data shares'!$C:$FB,66)</f>
        <v>6410500</v>
      </c>
      <c r="I118" s="165">
        <f>VLOOKUP($B118,'Data shares'!$C:$FB,67)</f>
        <v>4778200</v>
      </c>
      <c r="J118" s="81">
        <f t="shared" si="42"/>
        <v>34.161399690259927</v>
      </c>
      <c r="K118" s="5">
        <f>VLOOKUP($B118,'Data Vlaue (Cr)'!$C:$FB,99)</f>
        <v>2592</v>
      </c>
      <c r="L118" s="81">
        <f>VLOOKUP(B118,'OI(Value)'!$A$7:$C$232,3,0)</f>
        <v>9</v>
      </c>
      <c r="M118" s="33">
        <f t="shared" si="31"/>
        <v>0.34722222222222221</v>
      </c>
      <c r="N118" s="5">
        <f>VLOOKUP($B118,'Data Vlaue (Cr)'!$C:$FB,67)</f>
        <v>2696</v>
      </c>
      <c r="O118" s="5">
        <f>VLOOKUP($B118,'Data Vlaue (Cr)'!$C:$FB,68)</f>
        <v>2010</v>
      </c>
      <c r="P118" s="5">
        <f t="shared" si="43"/>
        <v>25.445103857566764</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Power</v>
      </c>
      <c r="B119" s="79" t="str">
        <f>'Data shares'!C114</f>
        <v>KEI</v>
      </c>
      <c r="C119" s="4">
        <f>VLOOKUP($B119,'Data shares'!$C:$FB,7)</f>
        <v>4880.6000000000004</v>
      </c>
      <c r="D119" s="82">
        <f>VLOOKUP($B119,'Data shares'!$C:$FB,98)</f>
        <v>3531675</v>
      </c>
      <c r="E119" s="165">
        <f>VLOOKUP(B119,'Snapshot (Volume)'!$A$7:$G$168,7,0)</f>
        <v>3508925</v>
      </c>
      <c r="F119" s="165">
        <f t="shared" si="40"/>
        <v>22750</v>
      </c>
      <c r="G119" s="166">
        <f t="shared" si="41"/>
        <v>6.4834671587451998E-3</v>
      </c>
      <c r="H119" s="165">
        <f>VLOOKUP($B119,'Data shares'!$C:$FB,66)</f>
        <v>2537850</v>
      </c>
      <c r="I119" s="165">
        <f>VLOOKUP($B119,'Data shares'!$C:$FB,67)</f>
        <v>5513200</v>
      </c>
      <c r="J119" s="81">
        <f t="shared" si="42"/>
        <v>-53.967750126968006</v>
      </c>
      <c r="K119" s="5">
        <f>VLOOKUP($B119,'Data Vlaue (Cr)'!$C:$FB,99)</f>
        <v>1723</v>
      </c>
      <c r="L119" s="81">
        <f>VLOOKUP(B119,'OI(Value)'!$A$7:$C$232,3,0)</f>
        <v>11</v>
      </c>
      <c r="M119" s="33">
        <f t="shared" si="31"/>
        <v>0.63842135809634359</v>
      </c>
      <c r="N119" s="5">
        <f>VLOOKUP($B119,'Data Vlaue (Cr)'!$C:$FB,67)</f>
        <v>1238</v>
      </c>
      <c r="O119" s="5">
        <f>VLOOKUP($B119,'Data Vlaue (Cr)'!$C:$FB,68)</f>
        <v>2689</v>
      </c>
      <c r="P119" s="5">
        <f t="shared" si="43"/>
        <v>-117.20516962843294</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Finance</v>
      </c>
      <c r="B120" s="79" t="str">
        <f>'Data shares'!C115</f>
        <v>KFINTECH</v>
      </c>
      <c r="C120" s="4">
        <f>VLOOKUP($B120,'Data shares'!$C:$FB,7)</f>
        <v>975.1</v>
      </c>
      <c r="D120" s="82">
        <f>VLOOKUP($B120,'Data shares'!$C:$FB,98)</f>
        <v>7552000</v>
      </c>
      <c r="E120" s="165">
        <f>VLOOKUP(B120,'Snapshot (Volume)'!$A$7:$G$168,7,0)</f>
        <v>7392500</v>
      </c>
      <c r="F120" s="165">
        <f t="shared" si="40"/>
        <v>159500</v>
      </c>
      <c r="G120" s="166">
        <f t="shared" si="41"/>
        <v>2.1575921542103482E-2</v>
      </c>
      <c r="H120" s="165">
        <f>VLOOKUP($B120,'Data shares'!$C:$FB,66)</f>
        <v>6351000</v>
      </c>
      <c r="I120" s="165">
        <f>VLOOKUP($B120,'Data shares'!$C:$FB,67)</f>
        <v>9726000</v>
      </c>
      <c r="J120" s="81">
        <f t="shared" si="42"/>
        <v>-34.700801974090069</v>
      </c>
      <c r="K120" s="5">
        <f>VLOOKUP($B120,'Data Vlaue (Cr)'!$C:$FB,99)</f>
        <v>735</v>
      </c>
      <c r="L120" s="81">
        <f>VLOOKUP(B120,'OI(Value)'!$A$7:$C$232,3,0)</f>
        <v>16</v>
      </c>
      <c r="M120" s="33">
        <f t="shared" si="31"/>
        <v>2.1768707482993195</v>
      </c>
      <c r="N120" s="5">
        <f>VLOOKUP($B120,'Data Vlaue (Cr)'!$C:$FB,67)</f>
        <v>618</v>
      </c>
      <c r="O120" s="5">
        <f>VLOOKUP($B120,'Data Vlaue (Cr)'!$C:$FB,68)</f>
        <v>946</v>
      </c>
      <c r="P120" s="5">
        <f t="shared" si="43"/>
        <v>-53.074433656957929</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Banking</v>
      </c>
      <c r="B121" s="79" t="str">
        <f>'Data shares'!C116</f>
        <v>KOTAKBANK</v>
      </c>
      <c r="C121" s="4">
        <f>VLOOKUP($B121,'Data shares'!$C:$FB,7)</f>
        <v>379.2</v>
      </c>
      <c r="D121" s="82">
        <f>VLOOKUP($B121,'Data shares'!$C:$FB,98)</f>
        <v>276082000</v>
      </c>
      <c r="E121" s="165">
        <f>VLOOKUP(B121,'Snapshot (Volume)'!$A$7:$G$168,7,0)</f>
        <v>276060000</v>
      </c>
      <c r="F121" s="165">
        <f t="shared" si="40"/>
        <v>22000</v>
      </c>
      <c r="G121" s="166">
        <f t="shared" si="41"/>
        <v>7.969282040136202E-5</v>
      </c>
      <c r="H121" s="165">
        <f>VLOOKUP($B121,'Data shares'!$C:$FB,66)</f>
        <v>66728000</v>
      </c>
      <c r="I121" s="165">
        <f>VLOOKUP($B121,'Data shares'!$C:$FB,67)</f>
        <v>68980000</v>
      </c>
      <c r="J121" s="81">
        <f t="shared" si="42"/>
        <v>-3.2647144099739052</v>
      </c>
      <c r="K121" s="5">
        <f>VLOOKUP($B121,'Data Vlaue (Cr)'!$C:$FB,99)</f>
        <v>10461</v>
      </c>
      <c r="L121" s="81">
        <f>VLOOKUP(B121,'OI(Value)'!$A$7:$C$232,3,0)</f>
        <v>1</v>
      </c>
      <c r="M121" s="33">
        <f t="shared" si="31"/>
        <v>9.5593155530064051E-3</v>
      </c>
      <c r="N121" s="5">
        <f>VLOOKUP($B121,'Data Vlaue (Cr)'!$C:$FB,67)</f>
        <v>2528</v>
      </c>
      <c r="O121" s="5">
        <f>VLOOKUP($B121,'Data Vlaue (Cr)'!$C:$FB,68)</f>
        <v>2614</v>
      </c>
      <c r="P121" s="5">
        <f t="shared" si="43"/>
        <v>-3.4018987341772151</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Technology</v>
      </c>
      <c r="B122" s="79" t="str">
        <f>'Data shares'!C117</f>
        <v>KPITTECH</v>
      </c>
      <c r="C122" s="4">
        <f>VLOOKUP($B122,'Data shares'!$C:$FB,7)</f>
        <v>734.4</v>
      </c>
      <c r="D122" s="82">
        <f>VLOOKUP($B122,'Data shares'!$C:$FB,98)</f>
        <v>12996075</v>
      </c>
      <c r="E122" s="165">
        <f>VLOOKUP(B122,'Snapshot (Volume)'!$A$7:$G$168,7,0)</f>
        <v>12873250</v>
      </c>
      <c r="F122" s="165">
        <f t="shared" si="40"/>
        <v>122825</v>
      </c>
      <c r="G122" s="166">
        <f t="shared" si="41"/>
        <v>9.5411026741498844E-3</v>
      </c>
      <c r="H122" s="165">
        <f>VLOOKUP($B122,'Data shares'!$C:$FB,66)</f>
        <v>9279450</v>
      </c>
      <c r="I122" s="165">
        <f>VLOOKUP($B122,'Data shares'!$C:$FB,67)</f>
        <v>7751150</v>
      </c>
      <c r="J122" s="81">
        <f t="shared" si="42"/>
        <v>19.717074240596556</v>
      </c>
      <c r="K122" s="5">
        <f>VLOOKUP($B122,'Data Vlaue (Cr)'!$C:$FB,99)</f>
        <v>957</v>
      </c>
      <c r="L122" s="81">
        <f>VLOOKUP(B122,'OI(Value)'!$A$7:$C$232,3,0)</f>
        <v>9</v>
      </c>
      <c r="M122" s="33">
        <f t="shared" si="31"/>
        <v>0.94043887147335425</v>
      </c>
      <c r="N122" s="5">
        <f>VLOOKUP($B122,'Data Vlaue (Cr)'!$C:$FB,67)</f>
        <v>683</v>
      </c>
      <c r="O122" s="5">
        <f>VLOOKUP($B122,'Data Vlaue (Cr)'!$C:$FB,68)</f>
        <v>571</v>
      </c>
      <c r="P122" s="5">
        <f t="shared" si="43"/>
        <v>16.398243045387993</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Pharma</v>
      </c>
      <c r="B123" s="79" t="str">
        <f>'Data shares'!C118</f>
        <v>LAURUSLABS</v>
      </c>
      <c r="C123" s="4">
        <f>VLOOKUP($B123,'Data shares'!$C:$FB,7)</f>
        <v>1129.5</v>
      </c>
      <c r="D123" s="82">
        <f>VLOOKUP($B123,'Data shares'!$C:$FB,98)</f>
        <v>27566350</v>
      </c>
      <c r="E123" s="165">
        <f>VLOOKUP(B123,'Snapshot (Volume)'!$A$7:$G$168,7,0)</f>
        <v>27976050</v>
      </c>
      <c r="F123" s="165">
        <f t="shared" si="40"/>
        <v>-409700</v>
      </c>
      <c r="G123" s="166">
        <f t="shared" si="41"/>
        <v>-1.4644669279615958E-2</v>
      </c>
      <c r="H123" s="165">
        <f>VLOOKUP($B123,'Data shares'!$C:$FB,66)</f>
        <v>10331750</v>
      </c>
      <c r="I123" s="165">
        <f>VLOOKUP($B123,'Data shares'!$C:$FB,67)</f>
        <v>12196650</v>
      </c>
      <c r="J123" s="81">
        <f t="shared" si="42"/>
        <v>-15.290264129904523</v>
      </c>
      <c r="K123" s="5">
        <f>VLOOKUP($B123,'Data Vlaue (Cr)'!$C:$FB,99)</f>
        <v>3112</v>
      </c>
      <c r="L123" s="81">
        <f>VLOOKUP(B123,'OI(Value)'!$A$7:$C$232,3,0)</f>
        <v>-46</v>
      </c>
      <c r="M123" s="33">
        <f t="shared" ref="M123:M144" si="44">L123/K123*100</f>
        <v>-1.4781491002570695</v>
      </c>
      <c r="N123" s="5">
        <f>VLOOKUP($B123,'Data Vlaue (Cr)'!$C:$FB,67)</f>
        <v>1166</v>
      </c>
      <c r="O123" s="5">
        <f>VLOOKUP($B123,'Data Vlaue (Cr)'!$C:$FB,68)</f>
        <v>1377</v>
      </c>
      <c r="P123" s="5">
        <f t="shared" si="43"/>
        <v>-18.096054888507716</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LICHSGFIN</v>
      </c>
      <c r="C124" s="4">
        <f>VLOOKUP($B124,'Data shares'!$C:$FB,7)</f>
        <v>536.70000000000005</v>
      </c>
      <c r="D124" s="82">
        <f>VLOOKUP($B124,'Data shares'!$C:$FB,98)</f>
        <v>43284000</v>
      </c>
      <c r="E124" s="165">
        <f>VLOOKUP(B124,'Snapshot (Volume)'!$A$7:$G$168,7,0)</f>
        <v>43733000</v>
      </c>
      <c r="F124" s="165">
        <f t="shared" si="40"/>
        <v>-449000</v>
      </c>
      <c r="G124" s="166">
        <f t="shared" si="41"/>
        <v>-1.0266846546086479E-2</v>
      </c>
      <c r="H124" s="165">
        <f>VLOOKUP($B124,'Data shares'!$C:$FB,66)</f>
        <v>10733000</v>
      </c>
      <c r="I124" s="165">
        <f>VLOOKUP($B124,'Data shares'!$C:$FB,67)</f>
        <v>9559000</v>
      </c>
      <c r="J124" s="81">
        <f t="shared" si="42"/>
        <v>12.28161941625693</v>
      </c>
      <c r="K124" s="5">
        <f>VLOOKUP($B124,'Data Vlaue (Cr)'!$C:$FB,99)</f>
        <v>2321</v>
      </c>
      <c r="L124" s="81">
        <f>VLOOKUP(B124,'OI(Value)'!$A$7:$C$232,3,0)</f>
        <v>-24</v>
      </c>
      <c r="M124" s="33">
        <f t="shared" si="44"/>
        <v>-1.034037052994399</v>
      </c>
      <c r="N124" s="5">
        <f>VLOOKUP($B124,'Data Vlaue (Cr)'!$C:$FB,67)</f>
        <v>575</v>
      </c>
      <c r="O124" s="5">
        <f>VLOOKUP($B124,'Data Vlaue (Cr)'!$C:$FB,68)</f>
        <v>513</v>
      </c>
      <c r="P124" s="5">
        <f t="shared" si="43"/>
        <v>10.782608695652174</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Finance</v>
      </c>
      <c r="B125" s="79" t="str">
        <f>'Data shares'!C120</f>
        <v>LICI</v>
      </c>
      <c r="C125" s="4">
        <f>VLOOKUP($B125,'Data shares'!$C:$FB,7)</f>
        <v>828.1</v>
      </c>
      <c r="D125" s="82">
        <f>VLOOKUP($B125,'Data shares'!$C:$FB,98)</f>
        <v>22267700</v>
      </c>
      <c r="E125" s="165">
        <f>VLOOKUP(B125,'Snapshot (Volume)'!$A$7:$G$168,7,0)</f>
        <v>22010800</v>
      </c>
      <c r="F125" s="165">
        <f t="shared" si="40"/>
        <v>256900</v>
      </c>
      <c r="G125" s="166">
        <f t="shared" si="41"/>
        <v>1.1671543060679303E-2</v>
      </c>
      <c r="H125" s="165">
        <f>VLOOKUP($B125,'Data shares'!$C:$FB,66)</f>
        <v>9800700</v>
      </c>
      <c r="I125" s="165">
        <f>VLOOKUP($B125,'Data shares'!$C:$FB,67)</f>
        <v>9534000</v>
      </c>
      <c r="J125" s="81">
        <f t="shared" si="42"/>
        <v>2.7973568281938328</v>
      </c>
      <c r="K125" s="5">
        <f>VLOOKUP($B125,'Data Vlaue (Cr)'!$C:$FB,99)</f>
        <v>1842</v>
      </c>
      <c r="L125" s="81">
        <f>VLOOKUP(B125,'OI(Value)'!$A$7:$C$232,3,0)</f>
        <v>21</v>
      </c>
      <c r="M125" s="33">
        <f t="shared" si="44"/>
        <v>1.1400651465798046</v>
      </c>
      <c r="N125" s="5">
        <f>VLOOKUP($B125,'Data Vlaue (Cr)'!$C:$FB,67)</f>
        <v>811</v>
      </c>
      <c r="O125" s="5">
        <f>VLOOKUP($B125,'Data Vlaue (Cr)'!$C:$FB,68)</f>
        <v>789</v>
      </c>
      <c r="P125" s="5">
        <f t="shared" si="43"/>
        <v>2.7127003699136867</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Realty</v>
      </c>
      <c r="B126" s="79" t="str">
        <f>'Data shares'!C121</f>
        <v>LODHA</v>
      </c>
      <c r="C126" s="4">
        <f>VLOOKUP($B126,'Data shares'!$C:$FB,7)</f>
        <v>856.55</v>
      </c>
      <c r="D126" s="82">
        <f>VLOOKUP($B126,'Data shares'!$C:$FB,98)</f>
        <v>30194550</v>
      </c>
      <c r="E126" s="165">
        <f>VLOOKUP(B126,'Snapshot (Volume)'!$A$7:$G$168,7,0)</f>
        <v>30568500</v>
      </c>
      <c r="F126" s="165">
        <f t="shared" si="40"/>
        <v>-373950</v>
      </c>
      <c r="G126" s="166">
        <f t="shared" si="41"/>
        <v>-1.2233181215957603E-2</v>
      </c>
      <c r="H126" s="165">
        <f>VLOOKUP($B126,'Data shares'!$C:$FB,66)</f>
        <v>8994600</v>
      </c>
      <c r="I126" s="165">
        <f>VLOOKUP($B126,'Data shares'!$C:$FB,67)</f>
        <v>15045750</v>
      </c>
      <c r="J126" s="81">
        <f t="shared" si="42"/>
        <v>-40.218334081052788</v>
      </c>
      <c r="K126" s="5">
        <f>VLOOKUP($B126,'Data Vlaue (Cr)'!$C:$FB,99)</f>
        <v>2588</v>
      </c>
      <c r="L126" s="81">
        <f>VLOOKUP(B126,'OI(Value)'!$A$7:$C$232,3,0)</f>
        <v>-32</v>
      </c>
      <c r="M126" s="33">
        <f t="shared" si="44"/>
        <v>-1.2364760432766615</v>
      </c>
      <c r="N126" s="5">
        <f>VLOOKUP($B126,'Data Vlaue (Cr)'!$C:$FB,67)</f>
        <v>771</v>
      </c>
      <c r="O126" s="5">
        <f>VLOOKUP($B126,'Data Vlaue (Cr)'!$C:$FB,68)</f>
        <v>1290</v>
      </c>
      <c r="P126" s="5">
        <f t="shared" si="43"/>
        <v>-67.315175097276267</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Capital_Goods</v>
      </c>
      <c r="B127" s="79" t="str">
        <f>'Data shares'!C122</f>
        <v>LT</v>
      </c>
      <c r="C127" s="4">
        <f>VLOOKUP($B127,'Data shares'!$C:$FB,7)</f>
        <v>4051</v>
      </c>
      <c r="D127" s="82">
        <f>VLOOKUP($B127,'Data shares'!$C:$FB,98)</f>
        <v>32882675</v>
      </c>
      <c r="E127" s="165">
        <f>VLOOKUP(B127,'Snapshot (Volume)'!$A$7:$G$168,7,0)</f>
        <v>32313225</v>
      </c>
      <c r="F127" s="165">
        <f>D127-E127</f>
        <v>569450</v>
      </c>
      <c r="G127" s="166">
        <f>F127/E127</f>
        <v>1.7622815426191599E-2</v>
      </c>
      <c r="H127" s="165">
        <f>VLOOKUP($B127,'Data shares'!$C:$FB,66)</f>
        <v>16262050</v>
      </c>
      <c r="I127" s="165">
        <f>VLOOKUP($B127,'Data shares'!$C:$FB,67)</f>
        <v>13683950</v>
      </c>
      <c r="J127" s="81">
        <f>(H127-I127)/I127*100</f>
        <v>18.840320229173592</v>
      </c>
      <c r="K127" s="5">
        <f>VLOOKUP($B127,'Data Vlaue (Cr)'!$C:$FB,99)</f>
        <v>13339</v>
      </c>
      <c r="L127" s="81">
        <f>VLOOKUP(B127,'OI(Value)'!$A$7:$C$232,3,0)</f>
        <v>231</v>
      </c>
      <c r="M127" s="33">
        <f t="shared" si="44"/>
        <v>1.7317640002998724</v>
      </c>
      <c r="N127" s="5">
        <f>VLOOKUP($B127,'Data Vlaue (Cr)'!$C:$FB,67)</f>
        <v>6597</v>
      </c>
      <c r="O127" s="5">
        <f>VLOOKUP($B127,'Data Vlaue (Cr)'!$C:$FB,68)</f>
        <v>5551</v>
      </c>
      <c r="P127" s="5">
        <f>(N127-O127)/N127*100</f>
        <v>15.855691981203575</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Finance</v>
      </c>
      <c r="B128" s="79" t="str">
        <f>'Data shares'!C123</f>
        <v>LTF</v>
      </c>
      <c r="C128" s="4">
        <f>VLOOKUP($B128,'Data shares'!$C:$FB,7)</f>
        <v>290.14999999999998</v>
      </c>
      <c r="D128" s="82">
        <f>VLOOKUP($B128,'Data shares'!$C:$FB,98)</f>
        <v>86357250</v>
      </c>
      <c r="E128" s="165">
        <f>VLOOKUP(B128,'Snapshot (Volume)'!$A$7:$G$168,7,0)</f>
        <v>88211250</v>
      </c>
      <c r="F128" s="165">
        <f>D128-E128</f>
        <v>-1854000</v>
      </c>
      <c r="G128" s="166">
        <f>F128/E128</f>
        <v>-2.1017727330697615E-2</v>
      </c>
      <c r="H128" s="165">
        <f>VLOOKUP($B128,'Data shares'!$C:$FB,66)</f>
        <v>42171750</v>
      </c>
      <c r="I128" s="165">
        <f>VLOOKUP($B128,'Data shares'!$C:$FB,67)</f>
        <v>45123750</v>
      </c>
      <c r="J128" s="81">
        <f>(H128-I128)/I128*100</f>
        <v>-6.5420094739466474</v>
      </c>
      <c r="K128" s="5">
        <f>VLOOKUP($B128,'Data Vlaue (Cr)'!$C:$FB,99)</f>
        <v>2509</v>
      </c>
      <c r="L128" s="81">
        <f>VLOOKUP(B128,'OI(Value)'!$A$7:$C$232,3,0)</f>
        <v>-54</v>
      </c>
      <c r="M128" s="33">
        <f t="shared" si="44"/>
        <v>-2.1522518931845354</v>
      </c>
      <c r="N128" s="5">
        <f>VLOOKUP($B128,'Data Vlaue (Cr)'!$C:$FB,67)</f>
        <v>1225</v>
      </c>
      <c r="O128" s="5">
        <f>VLOOKUP($B128,'Data Vlaue (Cr)'!$C:$FB,68)</f>
        <v>1311</v>
      </c>
      <c r="P128" s="5">
        <f>(N128-O128)/N128*100</f>
        <v>-7.0204081632653059</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Technology</v>
      </c>
      <c r="B129" s="79" t="str">
        <f>'Data shares'!C124</f>
        <v>LTM</v>
      </c>
      <c r="C129" s="4">
        <f>VLOOKUP($B129,'Data shares'!$C:$FB,7)</f>
        <v>4715.8</v>
      </c>
      <c r="D129" s="82">
        <f>VLOOKUP($B129,'Data shares'!$C:$FB,98)</f>
        <v>6953850</v>
      </c>
      <c r="E129" s="165">
        <f>VLOOKUP(B129,'Snapshot (Volume)'!$A$7:$G$168,7,0)</f>
        <v>6967500</v>
      </c>
      <c r="F129" s="165">
        <f>D129-E129</f>
        <v>-13650</v>
      </c>
      <c r="G129" s="166">
        <f>F129/E129</f>
        <v>-1.9590958019375672E-3</v>
      </c>
      <c r="H129" s="165">
        <f>VLOOKUP($B129,'Data shares'!$C:$FB,66)</f>
        <v>1667850</v>
      </c>
      <c r="I129" s="165">
        <f>VLOOKUP($B129,'Data shares'!$C:$FB,67)</f>
        <v>2693550</v>
      </c>
      <c r="J129" s="81">
        <f>(H129-I129)/I129*100</f>
        <v>-38.079857437211118</v>
      </c>
      <c r="K129" s="5">
        <f>VLOOKUP($B129,'Data Vlaue (Cr)'!$C:$FB,99)</f>
        <v>3221</v>
      </c>
      <c r="L129" s="81">
        <f>VLOOKUP(B129,'OI(Value)'!$A$7:$C$232,3,0)</f>
        <v>-6</v>
      </c>
      <c r="M129" s="33">
        <f t="shared" si="44"/>
        <v>-0.18627755355479667</v>
      </c>
      <c r="N129" s="5">
        <f>VLOOKUP($B129,'Data Vlaue (Cr)'!$C:$FB,67)</f>
        <v>773</v>
      </c>
      <c r="O129" s="5">
        <f>VLOOKUP($B129,'Data Vlaue (Cr)'!$C:$FB,68)</f>
        <v>1248</v>
      </c>
      <c r="P129" s="5">
        <f>(N129-O129)/N129*100</f>
        <v>-61.448900388098316</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Pharma</v>
      </c>
      <c r="B130" s="79" t="str">
        <f>'Data shares'!C125</f>
        <v>LUPIN</v>
      </c>
      <c r="C130" s="4">
        <f>VLOOKUP($B130,'Data shares'!$C:$FB,7)</f>
        <v>2328.6999999999998</v>
      </c>
      <c r="D130" s="82">
        <f>VLOOKUP($B130,'Data shares'!$C:$FB,98)</f>
        <v>10831125</v>
      </c>
      <c r="E130" s="165">
        <f>VLOOKUP(B130,'Snapshot (Volume)'!$A$7:$G$168,7,0)</f>
        <v>10874900</v>
      </c>
      <c r="F130" s="165">
        <f>D130-E130</f>
        <v>-43775</v>
      </c>
      <c r="G130" s="166">
        <f>F130/E130</f>
        <v>-4.0253243707988121E-3</v>
      </c>
      <c r="H130" s="165">
        <f>VLOOKUP($B130,'Data shares'!$C:$FB,66)</f>
        <v>8610925</v>
      </c>
      <c r="I130" s="165">
        <f>VLOOKUP($B130,'Data shares'!$C:$FB,67)</f>
        <v>6756650</v>
      </c>
      <c r="J130" s="81">
        <f>(H130-I130)/I130*100</f>
        <v>27.443703610517044</v>
      </c>
      <c r="K130" s="5">
        <f>VLOOKUP($B130,'Data Vlaue (Cr)'!$C:$FB,99)</f>
        <v>2518</v>
      </c>
      <c r="L130" s="81">
        <f>VLOOKUP(B130,'OI(Value)'!$A$7:$C$232,3,0)</f>
        <v>-10</v>
      </c>
      <c r="M130" s="33">
        <f t="shared" si="44"/>
        <v>-0.39714058776806987</v>
      </c>
      <c r="N130" s="5">
        <f>VLOOKUP($B130,'Data Vlaue (Cr)'!$C:$FB,67)</f>
        <v>2002</v>
      </c>
      <c r="O130" s="5">
        <f>VLOOKUP($B130,'Data Vlaue (Cr)'!$C:$FB,68)</f>
        <v>1571</v>
      </c>
      <c r="P130" s="5">
        <f>(N130-O130)/N130*100</f>
        <v>21.528471528471531</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Automobile</v>
      </c>
      <c r="B131" s="79" t="str">
        <f>'Data shares'!C126</f>
        <v>M&amp;M</v>
      </c>
      <c r="C131" s="4">
        <f>VLOOKUP($B131,'Data shares'!$C:$FB,7)</f>
        <v>3221.6</v>
      </c>
      <c r="D131" s="82">
        <f>VLOOKUP($B131,'Data shares'!$C:$FB,98)</f>
        <v>28771800</v>
      </c>
      <c r="E131" s="165">
        <f>VLOOKUP(B131,'Snapshot (Volume)'!$A$7:$G$168,7,0)</f>
        <v>28887000</v>
      </c>
      <c r="F131" s="165">
        <f>D131-E131</f>
        <v>-115200</v>
      </c>
      <c r="G131" s="166">
        <f>F131/E131</f>
        <v>-3.9879530584692076E-3</v>
      </c>
      <c r="H131" s="165">
        <f>VLOOKUP($B131,'Data shares'!$C:$FB,66)</f>
        <v>12690000</v>
      </c>
      <c r="I131" s="165">
        <f>VLOOKUP($B131,'Data shares'!$C:$FB,67)</f>
        <v>11856400</v>
      </c>
      <c r="J131" s="81">
        <f>(H131-I131)/I131*100</f>
        <v>7.0308019297594546</v>
      </c>
      <c r="K131" s="5">
        <f>VLOOKUP($B131,'Data Vlaue (Cr)'!$C:$FB,99)</f>
        <v>9260</v>
      </c>
      <c r="L131" s="81">
        <f>VLOOKUP(B131,'OI(Value)'!$A$7:$C$232,3,0)</f>
        <v>-37</v>
      </c>
      <c r="M131" s="33">
        <f t="shared" si="44"/>
        <v>-0.39956803455723544</v>
      </c>
      <c r="N131" s="5">
        <f>VLOOKUP($B131,'Data Vlaue (Cr)'!$C:$FB,67)</f>
        <v>4084</v>
      </c>
      <c r="O131" s="5">
        <f>VLOOKUP($B131,'Data Vlaue (Cr)'!$C:$FB,68)</f>
        <v>3816</v>
      </c>
      <c r="P131" s="5">
        <f>(N131-O131)/N131*100</f>
        <v>6.5621939275220376</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Finance</v>
      </c>
      <c r="B132" s="79" t="str">
        <f>'Data shares'!C127</f>
        <v>MANAPPURAM</v>
      </c>
      <c r="C132" s="79">
        <f>VLOOKUP($B132,'Data shares'!$C:$FB,7)</f>
        <v>269.10000000000002</v>
      </c>
      <c r="D132" s="165">
        <f>VLOOKUP($B132,'Data shares'!$C:$FB,98)</f>
        <v>83631000</v>
      </c>
      <c r="E132" s="165">
        <f>VLOOKUP(B132,'Snapshot (Volume)'!$A$7:$G$168,7,0)</f>
        <v>82248000</v>
      </c>
      <c r="F132" s="165">
        <f t="shared" ref="F132:F139" si="45">D132-E132</f>
        <v>1383000</v>
      </c>
      <c r="G132" s="166">
        <f t="shared" ref="G132:G139" si="46">F132/E132</f>
        <v>1.6814998540997956E-2</v>
      </c>
      <c r="H132" s="165">
        <f>VLOOKUP($B132,'Data shares'!$C:$FB,66)</f>
        <v>25857000</v>
      </c>
      <c r="I132" s="165">
        <f>VLOOKUP($B132,'Data shares'!$C:$FB,67)</f>
        <v>27111000</v>
      </c>
      <c r="J132" s="81">
        <f t="shared" ref="J132:J139" si="47">(H132-I132)/I132*100</f>
        <v>-4.6254287927409532</v>
      </c>
      <c r="K132" s="81">
        <f>VLOOKUP($B132,'Data Vlaue (Cr)'!$C:$FB,99)</f>
        <v>2254</v>
      </c>
      <c r="L132" s="81">
        <f>VLOOKUP(B132,'OI(Value)'!$A$7:$C$232,3,0)</f>
        <v>37</v>
      </c>
      <c r="M132" s="81">
        <f t="shared" si="44"/>
        <v>1.6415261756876662</v>
      </c>
      <c r="N132" s="81">
        <f>VLOOKUP($B132,'Data Vlaue (Cr)'!$C:$FB,67)</f>
        <v>697</v>
      </c>
      <c r="O132" s="81">
        <f>VLOOKUP($B132,'Data Vlaue (Cr)'!$C:$FB,68)</f>
        <v>731</v>
      </c>
      <c r="P132" s="81">
        <f t="shared" ref="P132:P139" si="48">(N132-O132)/N132*100</f>
        <v>-4.8780487804878048</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Pharma</v>
      </c>
      <c r="B133" s="79" t="str">
        <f>'Data shares'!C128</f>
        <v>MANKIND</v>
      </c>
      <c r="C133" s="79">
        <f>VLOOKUP($B133,'Data shares'!$C:$FB,7)</f>
        <v>2144</v>
      </c>
      <c r="D133" s="165">
        <f>VLOOKUP($B133,'Data shares'!$C:$FB,98)</f>
        <v>4056075</v>
      </c>
      <c r="E133" s="165">
        <f>VLOOKUP(B133,'Snapshot (Volume)'!$A$7:$G$168,7,0)</f>
        <v>3971925</v>
      </c>
      <c r="F133" s="165">
        <f t="shared" si="45"/>
        <v>84150</v>
      </c>
      <c r="G133" s="166">
        <f t="shared" si="46"/>
        <v>2.1186200645782586E-2</v>
      </c>
      <c r="H133" s="165">
        <f>VLOOKUP($B133,'Data shares'!$C:$FB,66)</f>
        <v>2667150</v>
      </c>
      <c r="I133" s="165">
        <f>VLOOKUP($B133,'Data shares'!$C:$FB,67)</f>
        <v>1062000</v>
      </c>
      <c r="J133" s="81">
        <f t="shared" si="47"/>
        <v>151.14406779661016</v>
      </c>
      <c r="K133" s="81">
        <f>VLOOKUP($B133,'Data Vlaue (Cr)'!$C:$FB,99)</f>
        <v>868</v>
      </c>
      <c r="L133" s="81">
        <f>VLOOKUP(B133,'OI(Value)'!$A$7:$C$232,3,0)</f>
        <v>18</v>
      </c>
      <c r="M133" s="81">
        <f t="shared" si="44"/>
        <v>2.0737327188940093</v>
      </c>
      <c r="N133" s="81">
        <f>VLOOKUP($B133,'Data Vlaue (Cr)'!$C:$FB,67)</f>
        <v>570</v>
      </c>
      <c r="O133" s="81">
        <f>VLOOKUP($B133,'Data Vlaue (Cr)'!$C:$FB,68)</f>
        <v>227</v>
      </c>
      <c r="P133" s="81">
        <f t="shared" si="48"/>
        <v>60.175438596491226</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FMCG</v>
      </c>
      <c r="B134" s="79" t="str">
        <f>'Data shares'!C129</f>
        <v>MARICO</v>
      </c>
      <c r="C134" s="4">
        <f>VLOOKUP($B134,'Data shares'!$C:$FB,7)</f>
        <v>760.7</v>
      </c>
      <c r="D134" s="82">
        <f>VLOOKUP($B134,'Data shares'!$C:$FB,98)</f>
        <v>33421200</v>
      </c>
      <c r="E134" s="165">
        <f>VLOOKUP(B134,'Snapshot (Volume)'!$A$7:$G$168,7,0)</f>
        <v>33502800</v>
      </c>
      <c r="F134" s="165">
        <f t="shared" si="45"/>
        <v>-81600</v>
      </c>
      <c r="G134" s="166">
        <f t="shared" si="46"/>
        <v>-2.4356173215373043E-3</v>
      </c>
      <c r="H134" s="165">
        <f>VLOOKUP($B134,'Data shares'!$C:$FB,66)</f>
        <v>10964400</v>
      </c>
      <c r="I134" s="165">
        <f>VLOOKUP($B134,'Data shares'!$C:$FB,67)</f>
        <v>20836800</v>
      </c>
      <c r="J134" s="81">
        <f t="shared" si="47"/>
        <v>-47.379636028564846</v>
      </c>
      <c r="K134" s="5">
        <f>VLOOKUP($B134,'Data Vlaue (Cr)'!$C:$FB,99)</f>
        <v>2540</v>
      </c>
      <c r="L134" s="81">
        <f>VLOOKUP(B134,'OI(Value)'!$A$7:$C$232,3,0)</f>
        <v>-6</v>
      </c>
      <c r="M134" s="33">
        <f t="shared" si="44"/>
        <v>-0.23622047244094488</v>
      </c>
      <c r="N134" s="5">
        <f>VLOOKUP($B134,'Data Vlaue (Cr)'!$C:$FB,67)</f>
        <v>833</v>
      </c>
      <c r="O134" s="5">
        <f>VLOOKUP($B134,'Data Vlaue (Cr)'!$C:$FB,68)</f>
        <v>1584</v>
      </c>
      <c r="P134" s="5">
        <f t="shared" si="48"/>
        <v>-90.156062424969988</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Automobile</v>
      </c>
      <c r="B135" s="79" t="str">
        <f>'Data shares'!C130</f>
        <v>MARUTI</v>
      </c>
      <c r="C135" s="4">
        <f>VLOOKUP($B135,'Data shares'!$C:$FB,7)</f>
        <v>13450</v>
      </c>
      <c r="D135" s="82">
        <f>VLOOKUP($B135,'Data shares'!$C:$FB,98)</f>
        <v>6852750</v>
      </c>
      <c r="E135" s="165">
        <f>VLOOKUP(B135,'Snapshot (Volume)'!$A$7:$G$168,7,0)</f>
        <v>6842600</v>
      </c>
      <c r="F135" s="165">
        <f t="shared" si="45"/>
        <v>10150</v>
      </c>
      <c r="G135" s="166">
        <f t="shared" si="46"/>
        <v>1.4833542805366381E-3</v>
      </c>
      <c r="H135" s="165">
        <f>VLOOKUP($B135,'Data shares'!$C:$FB,66)</f>
        <v>3496700</v>
      </c>
      <c r="I135" s="165">
        <f>VLOOKUP($B135,'Data shares'!$C:$FB,67)</f>
        <v>9439400</v>
      </c>
      <c r="J135" s="81">
        <f t="shared" si="47"/>
        <v>-62.956331970252343</v>
      </c>
      <c r="K135" s="5">
        <f>VLOOKUP($B135,'Data Vlaue (Cr)'!$C:$FB,99)</f>
        <v>9211</v>
      </c>
      <c r="L135" s="81">
        <f>VLOOKUP(B135,'OI(Value)'!$A$7:$C$232,3,0)</f>
        <v>14</v>
      </c>
      <c r="M135" s="33">
        <f t="shared" si="44"/>
        <v>0.15199218325914668</v>
      </c>
      <c r="N135" s="5">
        <f>VLOOKUP($B135,'Data Vlaue (Cr)'!$C:$FB,67)</f>
        <v>4700</v>
      </c>
      <c r="O135" s="5">
        <f>VLOOKUP($B135,'Data Vlaue (Cr)'!$C:$FB,68)</f>
        <v>12688</v>
      </c>
      <c r="P135" s="5">
        <f t="shared" si="48"/>
        <v>-169.95744680851064</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Pharma</v>
      </c>
      <c r="B136" s="79" t="str">
        <f>'Data shares'!C131</f>
        <v>MAXHEALTH</v>
      </c>
      <c r="C136" s="4">
        <f>VLOOKUP($B136,'Data shares'!$C:$FB,7)</f>
        <v>1011.35</v>
      </c>
      <c r="D136" s="82">
        <f>VLOOKUP($B136,'Data shares'!$C:$FB,98)</f>
        <v>20984775</v>
      </c>
      <c r="E136" s="165">
        <f>VLOOKUP(B136,'Snapshot (Volume)'!$A$7:$G$168,7,0)</f>
        <v>21362250</v>
      </c>
      <c r="F136" s="165">
        <f t="shared" si="45"/>
        <v>-377475</v>
      </c>
      <c r="G136" s="166">
        <f t="shared" si="46"/>
        <v>-1.7670189235684444E-2</v>
      </c>
      <c r="H136" s="165">
        <f>VLOOKUP($B136,'Data shares'!$C:$FB,66)</f>
        <v>11825625</v>
      </c>
      <c r="I136" s="165">
        <f>VLOOKUP($B136,'Data shares'!$C:$FB,67)</f>
        <v>11106375</v>
      </c>
      <c r="J136" s="81">
        <f t="shared" si="47"/>
        <v>6.4760103994327576</v>
      </c>
      <c r="K136" s="5">
        <f>VLOOKUP($B136,'Data Vlaue (Cr)'!$C:$FB,99)</f>
        <v>2119</v>
      </c>
      <c r="L136" s="81">
        <f>VLOOKUP(B136,'OI(Value)'!$A$7:$C$232,3,0)</f>
        <v>-38</v>
      </c>
      <c r="M136" s="33">
        <f t="shared" si="44"/>
        <v>-1.7932987258140631</v>
      </c>
      <c r="N136" s="5">
        <f>VLOOKUP($B136,'Data Vlaue (Cr)'!$C:$FB,67)</f>
        <v>1194</v>
      </c>
      <c r="O136" s="5">
        <f>VLOOKUP($B136,'Data Vlaue (Cr)'!$C:$FB,68)</f>
        <v>1122</v>
      </c>
      <c r="P136" s="5">
        <f t="shared" si="48"/>
        <v>6.0301507537688437</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Infrastructure</v>
      </c>
      <c r="B137" s="79" t="str">
        <f>'Data shares'!C132</f>
        <v>MAZDOCK</v>
      </c>
      <c r="C137" s="4">
        <f>VLOOKUP($B137,'Data shares'!$C:$FB,7)</f>
        <v>2621.1999999999998</v>
      </c>
      <c r="D137" s="82">
        <f>VLOOKUP($B137,'Data shares'!$C:$FB,98)</f>
        <v>11763400</v>
      </c>
      <c r="E137" s="165">
        <f>VLOOKUP(B137,'Snapshot (Volume)'!$A$7:$G$168,7,0)</f>
        <v>11011000</v>
      </c>
      <c r="F137" s="165">
        <f t="shared" si="45"/>
        <v>752400</v>
      </c>
      <c r="G137" s="166">
        <f t="shared" si="46"/>
        <v>6.833166833166833E-2</v>
      </c>
      <c r="H137" s="165">
        <f>VLOOKUP($B137,'Data shares'!$C:$FB,66)</f>
        <v>13960200</v>
      </c>
      <c r="I137" s="165">
        <f>VLOOKUP($B137,'Data shares'!$C:$FB,67)</f>
        <v>17867400</v>
      </c>
      <c r="J137" s="81">
        <f t="shared" si="47"/>
        <v>-21.867759159138991</v>
      </c>
      <c r="K137" s="5">
        <f>VLOOKUP($B137,'Data Vlaue (Cr)'!$C:$FB,99)</f>
        <v>3089</v>
      </c>
      <c r="L137" s="81">
        <f>VLOOKUP(B137,'OI(Value)'!$A$7:$C$232,3,0)</f>
        <v>198</v>
      </c>
      <c r="M137" s="33">
        <f t="shared" si="44"/>
        <v>6.4098413726124956</v>
      </c>
      <c r="N137" s="5">
        <f>VLOOKUP($B137,'Data Vlaue (Cr)'!$C:$FB,67)</f>
        <v>3665</v>
      </c>
      <c r="O137" s="5">
        <f>VLOOKUP($B137,'Data Vlaue (Cr)'!$C:$FB,68)</f>
        <v>4691</v>
      </c>
      <c r="P137" s="5">
        <f t="shared" si="48"/>
        <v>-27.994542974079128</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MCX</v>
      </c>
      <c r="C138" s="4">
        <f>VLOOKUP($B138,'Data shares'!$C:$FB,7)</f>
        <v>2859.1</v>
      </c>
      <c r="D138" s="82">
        <f>VLOOKUP($B138,'Data shares'!$C:$FB,98)</f>
        <v>30113750</v>
      </c>
      <c r="E138" s="165">
        <f>VLOOKUP(B138,'Snapshot (Volume)'!$A$7:$G$168,7,0)</f>
        <v>29853750</v>
      </c>
      <c r="F138" s="165">
        <f t="shared" si="45"/>
        <v>260000</v>
      </c>
      <c r="G138" s="166">
        <f t="shared" si="46"/>
        <v>8.7091236444332785E-3</v>
      </c>
      <c r="H138" s="165">
        <f>VLOOKUP($B138,'Data shares'!$C:$FB,66)</f>
        <v>18715000</v>
      </c>
      <c r="I138" s="165">
        <f>VLOOKUP($B138,'Data shares'!$C:$FB,67)</f>
        <v>43651875</v>
      </c>
      <c r="J138" s="81">
        <f t="shared" si="47"/>
        <v>-57.126698452242884</v>
      </c>
      <c r="K138" s="5">
        <f>VLOOKUP($B138,'Data Vlaue (Cr)'!$C:$FB,99)</f>
        <v>8609</v>
      </c>
      <c r="L138" s="81">
        <f>VLOOKUP(B138,'OI(Value)'!$A$7:$C$232,3,0)</f>
        <v>74</v>
      </c>
      <c r="M138" s="33">
        <f t="shared" si="44"/>
        <v>0.85956557091415964</v>
      </c>
      <c r="N138" s="5">
        <f>VLOOKUP($B138,'Data Vlaue (Cr)'!$C:$FB,67)</f>
        <v>5350</v>
      </c>
      <c r="O138" s="5">
        <f>VLOOKUP($B138,'Data Vlaue (Cr)'!$C:$FB,68)</f>
        <v>12480</v>
      </c>
      <c r="P138" s="5">
        <f t="shared" si="48"/>
        <v>-133.27102803738319</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Finance</v>
      </c>
      <c r="B139" s="79" t="str">
        <f>'Data shares'!C134</f>
        <v>MFSL</v>
      </c>
      <c r="C139" s="4">
        <f>VLOOKUP($B139,'Data shares'!$C:$FB,7)</f>
        <v>1688.8</v>
      </c>
      <c r="D139" s="82">
        <f>VLOOKUP($B139,'Data shares'!$C:$FB,98)</f>
        <v>10757200</v>
      </c>
      <c r="E139" s="165">
        <f>VLOOKUP(B139,'Snapshot (Volume)'!$A$7:$G$168,7,0)</f>
        <v>11176800</v>
      </c>
      <c r="F139" s="165">
        <f t="shared" si="45"/>
        <v>-419600</v>
      </c>
      <c r="G139" s="166">
        <f t="shared" si="46"/>
        <v>-3.7542051392169491E-2</v>
      </c>
      <c r="H139" s="165">
        <f>VLOOKUP($B139,'Data shares'!$C:$FB,66)</f>
        <v>2001600</v>
      </c>
      <c r="I139" s="165">
        <f>VLOOKUP($B139,'Data shares'!$C:$FB,67)</f>
        <v>1715600</v>
      </c>
      <c r="J139" s="81">
        <f t="shared" si="47"/>
        <v>16.670552576358126</v>
      </c>
      <c r="K139" s="5">
        <f>VLOOKUP($B139,'Data Vlaue (Cr)'!$C:$FB,99)</f>
        <v>1815</v>
      </c>
      <c r="L139" s="81">
        <f>VLOOKUP(B139,'OI(Value)'!$A$7:$C$232,3,0)</f>
        <v>-71</v>
      </c>
      <c r="M139" s="33">
        <f t="shared" si="44"/>
        <v>-3.9118457300275482</v>
      </c>
      <c r="N139" s="5">
        <f>VLOOKUP($B139,'Data Vlaue (Cr)'!$C:$FB,67)</f>
        <v>338</v>
      </c>
      <c r="O139" s="5">
        <f>VLOOKUP($B139,'Data Vlaue (Cr)'!$C:$FB,68)</f>
        <v>289</v>
      </c>
      <c r="P139" s="5">
        <f t="shared" si="48"/>
        <v>14.497041420118343</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Index</v>
      </c>
      <c r="B140" s="79" t="str">
        <f>'Data shares'!C135</f>
        <v>MIDCPNIFTY</v>
      </c>
      <c r="C140" s="79">
        <f>VLOOKUP($B140,'Data shares'!$C:$FB,7)</f>
        <v>13807.25</v>
      </c>
      <c r="D140" s="165">
        <f>VLOOKUP($B140,'Data shares'!$C:$FB,98)</f>
        <v>15644160</v>
      </c>
      <c r="E140" s="165">
        <f>VLOOKUP(B140,'Snapshot (Volume)'!$A$7:$G$168,7,0)</f>
        <v>15694680</v>
      </c>
      <c r="F140" s="165">
        <f>D140-E140</f>
        <v>-50520</v>
      </c>
      <c r="G140" s="166">
        <f>F140/E140</f>
        <v>-3.2189251389642859E-3</v>
      </c>
      <c r="H140" s="165">
        <f>VLOOKUP($B140,'Data shares'!$C:$FB,66)</f>
        <v>28732200</v>
      </c>
      <c r="I140" s="165">
        <f>VLOOKUP($B140,'Data shares'!$C:$FB,67)</f>
        <v>33626640</v>
      </c>
      <c r="J140" s="81">
        <f>(H140-I140)/I140*100</f>
        <v>-14.555245483937734</v>
      </c>
      <c r="K140" s="81">
        <f>VLOOKUP($B140,'Data Vlaue (Cr)'!$C:$FB,99)</f>
        <v>21566</v>
      </c>
      <c r="L140" s="81">
        <f>VLOOKUP(B140,'OI(Value)'!$A$7:$C$232,3,0)</f>
        <v>-70</v>
      </c>
      <c r="M140" s="81">
        <f t="shared" si="44"/>
        <v>-0.32458499489937864</v>
      </c>
      <c r="N140" s="81">
        <f>VLOOKUP($B140,'Data Vlaue (Cr)'!$C:$FB,67)</f>
        <v>39608</v>
      </c>
      <c r="O140" s="81">
        <f>VLOOKUP($B140,'Data Vlaue (Cr)'!$C:$FB,68)</f>
        <v>46355</v>
      </c>
      <c r="P140" s="81">
        <f>(N140-O140)/N140*100</f>
        <v>-17.034437487376287</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Automobile</v>
      </c>
      <c r="B141" s="79" t="str">
        <f>'Data shares'!C136</f>
        <v>MOTHERSON</v>
      </c>
      <c r="C141" s="4">
        <f>VLOOKUP($B141,'Data shares'!$C:$FB,7)</f>
        <v>123.19</v>
      </c>
      <c r="D141" s="82">
        <f>VLOOKUP($B141,'Data shares'!$C:$FB,98)</f>
        <v>206467800</v>
      </c>
      <c r="E141" s="165">
        <f>VLOOKUP(B141,'Snapshot (Volume)'!$A$7:$G$168,7,0)</f>
        <v>204364500</v>
      </c>
      <c r="F141" s="165">
        <f>D141-E141</f>
        <v>2103300</v>
      </c>
      <c r="G141" s="166">
        <f>F141/E141</f>
        <v>1.0291904905206139E-2</v>
      </c>
      <c r="H141" s="165">
        <f>VLOOKUP($B141,'Data shares'!$C:$FB,66)</f>
        <v>60602100</v>
      </c>
      <c r="I141" s="165">
        <f>VLOOKUP($B141,'Data shares'!$C:$FB,67)</f>
        <v>89642400</v>
      </c>
      <c r="J141" s="81">
        <f>(H141-I141)/I141*100</f>
        <v>-32.395718990120749</v>
      </c>
      <c r="K141" s="5">
        <f>VLOOKUP($B141,'Data Vlaue (Cr)'!$C:$FB,99)</f>
        <v>2547</v>
      </c>
      <c r="L141" s="81">
        <f>VLOOKUP(B141,'OI(Value)'!$A$7:$C$232,3,0)</f>
        <v>26</v>
      </c>
      <c r="M141" s="33">
        <f t="shared" si="44"/>
        <v>1.0208087946603848</v>
      </c>
      <c r="N141" s="5">
        <f>VLOOKUP($B141,'Data Vlaue (Cr)'!$C:$FB,67)</f>
        <v>747</v>
      </c>
      <c r="O141" s="5">
        <f>VLOOKUP($B141,'Data Vlaue (Cr)'!$C:$FB,68)</f>
        <v>1106</v>
      </c>
      <c r="P141" s="5">
        <f>(N141-O141)/N141*100</f>
        <v>-48.058902275769746</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MOTILALOFS</v>
      </c>
      <c r="C142" s="4">
        <f>VLOOKUP($B142,'Data shares'!$C:$FB,7)</f>
        <v>807.95</v>
      </c>
      <c r="D142" s="82">
        <f>VLOOKUP($B142,'Data shares'!$C:$FB,98)</f>
        <v>6275175</v>
      </c>
      <c r="E142" s="165">
        <f>VLOOKUP(B142,'Snapshot (Volume)'!$A$7:$G$168,7,0)</f>
        <v>5677650</v>
      </c>
      <c r="F142" s="165">
        <f>D142-E142</f>
        <v>597525</v>
      </c>
      <c r="G142" s="166">
        <f>F142/E142</f>
        <v>0.10524160524160524</v>
      </c>
      <c r="H142" s="165">
        <f>VLOOKUP($B142,'Data shares'!$C:$FB,66)</f>
        <v>21943350</v>
      </c>
      <c r="I142" s="165">
        <f>VLOOKUP($B142,'Data shares'!$C:$FB,67)</f>
        <v>11142175</v>
      </c>
      <c r="J142" s="81">
        <f>(H142-I142)/I142*100</f>
        <v>96.939556235654166</v>
      </c>
      <c r="K142" s="5">
        <f>VLOOKUP($B142,'Data Vlaue (Cr)'!$C:$FB,99)</f>
        <v>507</v>
      </c>
      <c r="L142" s="81">
        <f>VLOOKUP(B142,'OI(Value)'!$A$7:$C$232,3,0)</f>
        <v>48</v>
      </c>
      <c r="M142" s="33">
        <f t="shared" si="44"/>
        <v>9.4674556213017755</v>
      </c>
      <c r="N142" s="5">
        <f>VLOOKUP($B142,'Data Vlaue (Cr)'!$C:$FB,67)</f>
        <v>1772</v>
      </c>
      <c r="O142" s="5">
        <f>VLOOKUP($B142,'Data Vlaue (Cr)'!$C:$FB,68)</f>
        <v>900</v>
      </c>
      <c r="P142" s="5">
        <f>(N142-O142)/N142*100</f>
        <v>49.209932279909708</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Technology</v>
      </c>
      <c r="B143" s="79" t="str">
        <f>'Data shares'!C138</f>
        <v>MPHASIS</v>
      </c>
      <c r="C143" s="4">
        <f>VLOOKUP($B143,'Data shares'!$C:$FB,7)</f>
        <v>2417</v>
      </c>
      <c r="D143" s="82">
        <f>VLOOKUP($B143,'Data shares'!$C:$FB,98)</f>
        <v>6776000</v>
      </c>
      <c r="E143" s="165">
        <f>VLOOKUP(B143,'Snapshot (Volume)'!$A$7:$G$168,7,0)</f>
        <v>6829625</v>
      </c>
      <c r="F143" s="165">
        <f>D143-E143</f>
        <v>-53625</v>
      </c>
      <c r="G143" s="166">
        <f>F143/E143</f>
        <v>-7.8518220253674248E-3</v>
      </c>
      <c r="H143" s="165">
        <f>VLOOKUP($B143,'Data shares'!$C:$FB,66)</f>
        <v>1934900</v>
      </c>
      <c r="I143" s="165">
        <f>VLOOKUP($B143,'Data shares'!$C:$FB,67)</f>
        <v>2353175</v>
      </c>
      <c r="J143" s="81">
        <f>(H143-I143)/I143*100</f>
        <v>-17.774921117213978</v>
      </c>
      <c r="K143" s="5">
        <f>VLOOKUP($B143,'Data Vlaue (Cr)'!$C:$FB,99)</f>
        <v>1637</v>
      </c>
      <c r="L143" s="81">
        <f>VLOOKUP(B143,'OI(Value)'!$A$7:$C$232,3,0)</f>
        <v>-13</v>
      </c>
      <c r="M143" s="33">
        <f t="shared" si="44"/>
        <v>-0.79413561392791698</v>
      </c>
      <c r="N143" s="5">
        <f>VLOOKUP($B143,'Data Vlaue (Cr)'!$C:$FB,67)</f>
        <v>467</v>
      </c>
      <c r="O143" s="5">
        <f>VLOOKUP($B143,'Data Vlaue (Cr)'!$C:$FB,68)</f>
        <v>568</v>
      </c>
      <c r="P143" s="5">
        <f>(N143-O143)/N143*100</f>
        <v>-21.627408993576015</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MUTHOOTFIN</v>
      </c>
      <c r="C144" s="4">
        <f>VLOOKUP($B144,'Data shares'!$C:$FB,7)</f>
        <v>3531.2</v>
      </c>
      <c r="D144" s="82">
        <f>VLOOKUP($B144,'Data shares'!$C:$FB,98)</f>
        <v>7654350</v>
      </c>
      <c r="E144" s="165">
        <f>VLOOKUP(B144,'Snapshot (Volume)'!$A$7:$G$168,7,0)</f>
        <v>7704950</v>
      </c>
      <c r="F144" s="165">
        <f>D144-E144</f>
        <v>-50600</v>
      </c>
      <c r="G144" s="166">
        <f>F144/E144</f>
        <v>-6.5672067956313801E-3</v>
      </c>
      <c r="H144" s="165">
        <f>VLOOKUP($B144,'Data shares'!$C:$FB,66)</f>
        <v>3218600</v>
      </c>
      <c r="I144" s="165">
        <f>VLOOKUP($B144,'Data shares'!$C:$FB,67)</f>
        <v>8393275</v>
      </c>
      <c r="J144" s="81">
        <f>(H144-I144)/I144*100</f>
        <v>-61.652632613610301</v>
      </c>
      <c r="K144" s="5">
        <f>VLOOKUP($B144,'Data Vlaue (Cr)'!$C:$FB,99)</f>
        <v>2711</v>
      </c>
      <c r="L144" s="81">
        <f>VLOOKUP(B144,'OI(Value)'!$A$7:$C$232,3,0)</f>
        <v>-18</v>
      </c>
      <c r="M144" s="33">
        <f t="shared" si="44"/>
        <v>-0.66396163777203987</v>
      </c>
      <c r="N144" s="5">
        <f>VLOOKUP($B144,'Data Vlaue (Cr)'!$C:$FB,67)</f>
        <v>1140</v>
      </c>
      <c r="O144" s="5">
        <f>VLOOKUP($B144,'Data Vlaue (Cr)'!$C:$FB,68)</f>
        <v>2972</v>
      </c>
      <c r="P144" s="5">
        <f>(N144-O144)/N144*100</f>
        <v>-160.70175438596493</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Finance</v>
      </c>
      <c r="B145" s="79" t="str">
        <f>'Data shares'!C140</f>
        <v>NAM-INDIA</v>
      </c>
      <c r="C145" s="4">
        <f>VLOOKUP($B145,'Data shares'!$C:$FB,7)</f>
        <v>1003</v>
      </c>
      <c r="D145" s="82">
        <f>VLOOKUP($B145,'Data shares'!$C:$FB,98)</f>
        <v>4593125</v>
      </c>
      <c r="E145" s="165">
        <f>VLOOKUP(B145,'Snapshot (Volume)'!$A$7:$G$168,7,0)</f>
        <v>4444375</v>
      </c>
      <c r="F145" s="165">
        <f t="shared" ref="F145:F152" si="49">D145-E145</f>
        <v>148750</v>
      </c>
      <c r="G145" s="166">
        <f t="shared" ref="G145:G153" si="50">F145/E145</f>
        <v>3.346927295738996E-2</v>
      </c>
      <c r="H145" s="165">
        <f>VLOOKUP($B145,'Data shares'!$C:$FB,66)</f>
        <v>3094375</v>
      </c>
      <c r="I145" s="165">
        <f>VLOOKUP($B145,'Data shares'!$C:$FB,67)</f>
        <v>4853750</v>
      </c>
      <c r="J145" s="81">
        <f t="shared" ref="J145:J153" si="51">(H145-I145)/I145*100</f>
        <v>-36.247746587689932</v>
      </c>
      <c r="K145" s="5">
        <f>VLOOKUP($B145,'Data Vlaue (Cr)'!$C:$FB,99)</f>
        <v>461</v>
      </c>
      <c r="L145" s="81">
        <f>VLOOKUP(B145,'OI(Value)'!$A$7:$C$232,3,0)</f>
        <v>15</v>
      </c>
      <c r="M145" s="33">
        <f t="shared" ref="M145:M153" si="52">L145/K145*100</f>
        <v>3.2537960954446854</v>
      </c>
      <c r="N145" s="5">
        <f>VLOOKUP($B145,'Data Vlaue (Cr)'!$C:$FB,67)</f>
        <v>311</v>
      </c>
      <c r="O145" s="5">
        <f>VLOOKUP($B145,'Data Vlaue (Cr)'!$C:$FB,68)</f>
        <v>487</v>
      </c>
      <c r="P145" s="5">
        <f t="shared" ref="P145:P152" si="53">(N145-O145)/N145*100</f>
        <v>-56.59163987138264</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Metals</v>
      </c>
      <c r="B146" s="79" t="str">
        <f>'Data shares'!C141</f>
        <v>NATIONALUM</v>
      </c>
      <c r="C146" s="4">
        <f>VLOOKUP($B146,'Data shares'!$C:$FB,7)</f>
        <v>426.65</v>
      </c>
      <c r="D146" s="82">
        <f>VLOOKUP($B146,'Data shares'!$C:$FB,98)</f>
        <v>124342500</v>
      </c>
      <c r="E146" s="165">
        <f>VLOOKUP(B146,'Snapshot (Volume)'!$A$7:$G$168,7,0)</f>
        <v>122265000</v>
      </c>
      <c r="F146" s="165">
        <f t="shared" si="49"/>
        <v>2077500</v>
      </c>
      <c r="G146" s="166">
        <f t="shared" si="50"/>
        <v>1.6991780149674885E-2</v>
      </c>
      <c r="H146" s="165">
        <f>VLOOKUP($B146,'Data shares'!$C:$FB,66)</f>
        <v>77797500</v>
      </c>
      <c r="I146" s="165">
        <f>VLOOKUP($B146,'Data shares'!$C:$FB,67)</f>
        <v>111757500</v>
      </c>
      <c r="J146" s="81">
        <f t="shared" si="51"/>
        <v>-30.387222334071538</v>
      </c>
      <c r="K146" s="5">
        <f>VLOOKUP($B146,'Data Vlaue (Cr)'!$C:$FB,99)</f>
        <v>5311</v>
      </c>
      <c r="L146" s="81">
        <f>VLOOKUP(B146,'OI(Value)'!$A$7:$C$232,3,0)</f>
        <v>89</v>
      </c>
      <c r="M146" s="33">
        <f t="shared" si="52"/>
        <v>1.6757672754660138</v>
      </c>
      <c r="N146" s="5">
        <f>VLOOKUP($B146,'Data Vlaue (Cr)'!$C:$FB,67)</f>
        <v>3323</v>
      </c>
      <c r="O146" s="5">
        <f>VLOOKUP($B146,'Data Vlaue (Cr)'!$C:$FB,68)</f>
        <v>4773</v>
      </c>
      <c r="P146" s="5">
        <f t="shared" si="53"/>
        <v>-43.635269334938307</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New_Age</v>
      </c>
      <c r="B147" s="79" t="str">
        <f>'Data shares'!C142</f>
        <v>NAUKRI</v>
      </c>
      <c r="C147" s="4">
        <f>VLOOKUP($B147,'Data shares'!$C:$FB,7)</f>
        <v>1067.9000000000001</v>
      </c>
      <c r="D147" s="82">
        <f>VLOOKUP($B147,'Data shares'!$C:$FB,98)</f>
        <v>15151125</v>
      </c>
      <c r="E147" s="165">
        <f>VLOOKUP(B147,'Snapshot (Volume)'!$A$7:$G$168,7,0)</f>
        <v>14418000</v>
      </c>
      <c r="F147" s="165">
        <f t="shared" si="49"/>
        <v>733125</v>
      </c>
      <c r="G147" s="166">
        <f t="shared" si="50"/>
        <v>5.0847898460258008E-2</v>
      </c>
      <c r="H147" s="165">
        <f>VLOOKUP($B147,'Data shares'!$C:$FB,66)</f>
        <v>10855125</v>
      </c>
      <c r="I147" s="165">
        <f>VLOOKUP($B147,'Data shares'!$C:$FB,67)</f>
        <v>4581750</v>
      </c>
      <c r="J147" s="81">
        <f t="shared" si="51"/>
        <v>136.9209363234572</v>
      </c>
      <c r="K147" s="5">
        <f>VLOOKUP($B147,'Data Vlaue (Cr)'!$C:$FB,99)</f>
        <v>1616</v>
      </c>
      <c r="L147" s="81">
        <f>VLOOKUP(B147,'OI(Value)'!$A$7:$C$232,3,0)</f>
        <v>78</v>
      </c>
      <c r="M147" s="33">
        <f t="shared" si="52"/>
        <v>4.826732673267327</v>
      </c>
      <c r="N147" s="5">
        <f>VLOOKUP($B147,'Data Vlaue (Cr)'!$C:$FB,67)</f>
        <v>1158</v>
      </c>
      <c r="O147" s="5">
        <f>VLOOKUP($B147,'Data Vlaue (Cr)'!$C:$FB,68)</f>
        <v>489</v>
      </c>
      <c r="P147" s="5">
        <f t="shared" si="53"/>
        <v>57.772020725388607</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Realty</v>
      </c>
      <c r="B148" s="79" t="str">
        <f>'Data shares'!C143</f>
        <v>NBCC</v>
      </c>
      <c r="C148" s="4">
        <f>VLOOKUP($B148,'Data shares'!$C:$FB,7)</f>
        <v>93.32</v>
      </c>
      <c r="D148" s="82">
        <f>VLOOKUP($B148,'Data shares'!$C:$FB,98)</f>
        <v>113308000</v>
      </c>
      <c r="E148" s="165">
        <f>VLOOKUP(B148,'Snapshot (Volume)'!$A$7:$G$168,7,0)</f>
        <v>112677500</v>
      </c>
      <c r="F148" s="165">
        <f t="shared" si="49"/>
        <v>630500</v>
      </c>
      <c r="G148" s="166">
        <f t="shared" si="50"/>
        <v>5.5956158061724838E-3</v>
      </c>
      <c r="H148" s="165">
        <f>VLOOKUP($B148,'Data shares'!$C:$FB,66)</f>
        <v>33020000</v>
      </c>
      <c r="I148" s="165">
        <f>VLOOKUP($B148,'Data shares'!$C:$FB,67)</f>
        <v>47320000</v>
      </c>
      <c r="J148" s="81">
        <f t="shared" si="51"/>
        <v>-30.219780219780219</v>
      </c>
      <c r="K148" s="5">
        <f>VLOOKUP($B148,'Data Vlaue (Cr)'!$C:$FB,99)</f>
        <v>1059</v>
      </c>
      <c r="L148" s="81">
        <f>VLOOKUP(B148,'OI(Value)'!$A$7:$C$232,3,0)</f>
        <v>6</v>
      </c>
      <c r="M148" s="33">
        <f t="shared" si="52"/>
        <v>0.56657223796033995</v>
      </c>
      <c r="N148" s="5">
        <f>VLOOKUP($B148,'Data Vlaue (Cr)'!$C:$FB,67)</f>
        <v>309</v>
      </c>
      <c r="O148" s="5">
        <f>VLOOKUP($B148,'Data Vlaue (Cr)'!$C:$FB,68)</f>
        <v>442</v>
      </c>
      <c r="P148" s="5">
        <f t="shared" si="53"/>
        <v>-43.042071197411005</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FMCG</v>
      </c>
      <c r="B149" s="79" t="str">
        <f>'Data shares'!C144</f>
        <v>NESTLEIND</v>
      </c>
      <c r="C149" s="4">
        <f>VLOOKUP($B149,'Data shares'!$C:$FB,7)</f>
        <v>1286.4000000000001</v>
      </c>
      <c r="D149" s="82">
        <f>VLOOKUP($B149,'Data shares'!$C:$FB,98)</f>
        <v>26499500</v>
      </c>
      <c r="E149" s="165">
        <f>VLOOKUP(B149,'Snapshot (Volume)'!$A$7:$G$168,7,0)</f>
        <v>25472500</v>
      </c>
      <c r="F149" s="165">
        <f t="shared" si="49"/>
        <v>1027000</v>
      </c>
      <c r="G149" s="166">
        <f t="shared" si="50"/>
        <v>4.0317989989204044E-2</v>
      </c>
      <c r="H149" s="165">
        <f>VLOOKUP($B149,'Data shares'!$C:$FB,66)</f>
        <v>13103000</v>
      </c>
      <c r="I149" s="165">
        <f>VLOOKUP($B149,'Data shares'!$C:$FB,67)</f>
        <v>14579000</v>
      </c>
      <c r="J149" s="81">
        <f t="shared" si="51"/>
        <v>-10.124151176349544</v>
      </c>
      <c r="K149" s="5">
        <f>VLOOKUP($B149,'Data Vlaue (Cr)'!$C:$FB,99)</f>
        <v>3412</v>
      </c>
      <c r="L149" s="81">
        <f>VLOOKUP(B149,'OI(Value)'!$A$7:$C$232,3,0)</f>
        <v>132</v>
      </c>
      <c r="M149" s="33">
        <f t="shared" si="52"/>
        <v>3.8686987104337636</v>
      </c>
      <c r="N149" s="5">
        <f>VLOOKUP($B149,'Data Vlaue (Cr)'!$C:$FB,67)</f>
        <v>1687</v>
      </c>
      <c r="O149" s="5">
        <f>VLOOKUP($B149,'Data Vlaue (Cr)'!$C:$FB,68)</f>
        <v>1877</v>
      </c>
      <c r="P149" s="5">
        <f t="shared" si="53"/>
        <v>-11.26259632483699</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Power</v>
      </c>
      <c r="B150" s="79" t="str">
        <f>'Data shares'!C145</f>
        <v>NHPC</v>
      </c>
      <c r="C150" s="4">
        <f>VLOOKUP($B150,'Data shares'!$C:$FB,7)</f>
        <v>83.1</v>
      </c>
      <c r="D150" s="82">
        <f>VLOOKUP($B150,'Data shares'!$C:$FB,98)</f>
        <v>153049600</v>
      </c>
      <c r="E150" s="165">
        <f>VLOOKUP(B150,'Snapshot (Volume)'!$A$7:$G$168,7,0)</f>
        <v>153331200</v>
      </c>
      <c r="F150" s="165">
        <f t="shared" si="49"/>
        <v>-281600</v>
      </c>
      <c r="G150" s="166">
        <f t="shared" si="50"/>
        <v>-1.8365472910927456E-3</v>
      </c>
      <c r="H150" s="165">
        <f>VLOOKUP($B150,'Data shares'!$C:$FB,66)</f>
        <v>76608000</v>
      </c>
      <c r="I150" s="165">
        <f>VLOOKUP($B150,'Data shares'!$C:$FB,67)</f>
        <v>129811200</v>
      </c>
      <c r="J150" s="81">
        <f t="shared" si="51"/>
        <v>-40.985061381452446</v>
      </c>
      <c r="K150" s="5">
        <f>VLOOKUP($B150,'Data Vlaue (Cr)'!$C:$FB,99)</f>
        <v>1266</v>
      </c>
      <c r="L150" s="81">
        <f>VLOOKUP(B150,'OI(Value)'!$A$7:$C$232,3,0)</f>
        <v>-2</v>
      </c>
      <c r="M150" s="33">
        <f t="shared" si="52"/>
        <v>-0.15797788309636651</v>
      </c>
      <c r="N150" s="5">
        <f>VLOOKUP($B150,'Data Vlaue (Cr)'!$C:$FB,67)</f>
        <v>634</v>
      </c>
      <c r="O150" s="5">
        <f>VLOOKUP($B150,'Data Vlaue (Cr)'!$C:$FB,68)</f>
        <v>1074</v>
      </c>
      <c r="P150" s="5">
        <f t="shared" si="53"/>
        <v>-69.400630914826493</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Index</v>
      </c>
      <c r="B151" s="79" t="str">
        <f>'Data shares'!C146</f>
        <v>NIFTY</v>
      </c>
      <c r="C151" s="4">
        <f>VLOOKUP($B151,'Data shares'!$C:$FB,7)</f>
        <v>24364.85</v>
      </c>
      <c r="D151" s="82">
        <f>VLOOKUP($B151,'Data shares'!$C:$FB,98)</f>
        <v>520518060</v>
      </c>
      <c r="E151" s="165">
        <f>VLOOKUP(B151,'Snapshot (Volume)'!$A$7:$G$168,7,0)</f>
        <v>518874120</v>
      </c>
      <c r="F151" s="165">
        <f t="shared" si="49"/>
        <v>1643940</v>
      </c>
      <c r="G151" s="166">
        <f t="shared" si="50"/>
        <v>3.1682828968228362E-3</v>
      </c>
      <c r="H151" s="165">
        <f>VLOOKUP($B151,'Data shares'!$C:$FB,66)</f>
        <v>7708542010</v>
      </c>
      <c r="I151" s="165">
        <f>VLOOKUP($B151,'Data shares'!$C:$FB,67)</f>
        <v>4531114770</v>
      </c>
      <c r="J151" s="81">
        <f t="shared" si="51"/>
        <v>70.124624982739064</v>
      </c>
      <c r="K151" s="5">
        <f>VLOOKUP($B151,'Data Vlaue (Cr)'!$C:$FB,99)</f>
        <v>1266514</v>
      </c>
      <c r="L151" s="81">
        <f>VLOOKUP(B151,'OI(Value)'!$A$7:$C$232,3,0)</f>
        <v>4000</v>
      </c>
      <c r="M151" s="33">
        <f t="shared" si="52"/>
        <v>0.3158275392139368</v>
      </c>
      <c r="N151" s="5">
        <f>VLOOKUP($B151,'Data Vlaue (Cr)'!$C:$FB,67)</f>
        <v>18756270</v>
      </c>
      <c r="O151" s="5">
        <f>VLOOKUP($B151,'Data Vlaue (Cr)'!$C:$FB,68)</f>
        <v>11025018</v>
      </c>
      <c r="P151" s="5">
        <f t="shared" si="53"/>
        <v>41.219560179076112</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Index</v>
      </c>
      <c r="B152" s="79" t="str">
        <f>'Data shares'!C147</f>
        <v>NIFTYNXT50</v>
      </c>
      <c r="C152" s="4">
        <f>VLOOKUP($B152,'Data shares'!$C:$FB,7)</f>
        <v>70341</v>
      </c>
      <c r="D152" s="82">
        <f>VLOOKUP($B152,'Data shares'!$C:$FB,98)</f>
        <v>41125</v>
      </c>
      <c r="E152" s="165">
        <f>VLOOKUP(B152,'Snapshot (Volume)'!$A$7:$G$168,7,0)</f>
        <v>39325</v>
      </c>
      <c r="F152" s="165">
        <f t="shared" si="49"/>
        <v>1800</v>
      </c>
      <c r="G152" s="166">
        <f t="shared" si="50"/>
        <v>4.5772409408773043E-2</v>
      </c>
      <c r="H152" s="165">
        <f>VLOOKUP($B152,'Data shares'!$C:$FB,66)</f>
        <v>27700</v>
      </c>
      <c r="I152" s="165">
        <f>VLOOKUP($B152,'Data shares'!$C:$FB,67)</f>
        <v>32125</v>
      </c>
      <c r="J152" s="81">
        <f t="shared" si="51"/>
        <v>-13.774319066147861</v>
      </c>
      <c r="K152" s="5">
        <f>VLOOKUP($B152,'Data Vlaue (Cr)'!$C:$FB,99)</f>
        <v>289</v>
      </c>
      <c r="L152" s="81">
        <f>VLOOKUP(B152,'OI(Value)'!$A$7:$C$232,3,0)</f>
        <v>13</v>
      </c>
      <c r="M152" s="33">
        <f t="shared" si="52"/>
        <v>4.4982698961937722</v>
      </c>
      <c r="N152" s="5">
        <f>VLOOKUP($B152,'Data Vlaue (Cr)'!$C:$FB,67)</f>
        <v>195</v>
      </c>
      <c r="O152" s="5">
        <f>VLOOKUP($B152,'Data Vlaue (Cr)'!$C:$FB,68)</f>
        <v>226</v>
      </c>
      <c r="P152" s="5">
        <f t="shared" si="53"/>
        <v>-15.897435897435896</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Metals</v>
      </c>
      <c r="B153" s="79" t="str">
        <f>'Data shares'!C148</f>
        <v>NMDC</v>
      </c>
      <c r="C153" s="4">
        <f>VLOOKUP($B153,'Data shares'!$C:$FB,7)</f>
        <v>88.9</v>
      </c>
      <c r="D153" s="82">
        <f>VLOOKUP($B153,'Data shares'!$C:$FB,98)</f>
        <v>455314500</v>
      </c>
      <c r="E153" s="165">
        <f>VLOOKUP(B153,'Snapshot (Volume)'!$A$7:$G$168,7,0)</f>
        <v>461571750</v>
      </c>
      <c r="F153" s="165">
        <f>D153-E153</f>
        <v>-6257250</v>
      </c>
      <c r="G153" s="166">
        <f t="shared" si="50"/>
        <v>-1.3556397244848715E-2</v>
      </c>
      <c r="H153" s="165">
        <f>VLOOKUP($B153,'Data shares'!$C:$FB,66)</f>
        <v>138550500</v>
      </c>
      <c r="I153" s="165">
        <f>VLOOKUP($B153,'Data shares'!$C:$FB,67)</f>
        <v>275109750</v>
      </c>
      <c r="J153" s="81">
        <f t="shared" si="51"/>
        <v>-49.638098976862871</v>
      </c>
      <c r="K153" s="5">
        <f>VLOOKUP($B153,'Data Vlaue (Cr)'!$C:$FB,99)</f>
        <v>4042</v>
      </c>
      <c r="L153" s="81">
        <f>VLOOKUP(B153,'OI(Value)'!$A$7:$C$232,3,0)</f>
        <v>-56</v>
      </c>
      <c r="M153" s="33">
        <f t="shared" si="52"/>
        <v>-1.3854527461652646</v>
      </c>
      <c r="N153" s="5">
        <f>VLOOKUP($B153,'Data Vlaue (Cr)'!$C:$FB,67)</f>
        <v>1230</v>
      </c>
      <c r="O153" s="5">
        <f>VLOOKUP($B153,'Data Vlaue (Cr)'!$C:$FB,68)</f>
        <v>2442</v>
      </c>
      <c r="P153" s="5">
        <f>(N153-O153)/N153*100</f>
        <v>-98.536585365853654</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Power</v>
      </c>
      <c r="B154" s="79" t="str">
        <f>'Data shares'!C149</f>
        <v>NTPC</v>
      </c>
      <c r="C154" s="4">
        <f>VLOOKUP($B154,'Data shares'!$C:$FB,7)</f>
        <v>398</v>
      </c>
      <c r="D154" s="82">
        <f>VLOOKUP($B154,'Data shares'!$C:$FB,98)</f>
        <v>209124000</v>
      </c>
      <c r="E154" s="165">
        <f>VLOOKUP(B154,'Snapshot (Volume)'!$A$7:$G$168,7,0)</f>
        <v>188704500</v>
      </c>
      <c r="F154" s="165">
        <f t="shared" ref="F154:F166" si="54">D154-E154</f>
        <v>20419500</v>
      </c>
      <c r="G154" s="166">
        <f t="shared" ref="G154:G166" si="55">F154/E154</f>
        <v>0.10820886624325333</v>
      </c>
      <c r="H154" s="165">
        <f>VLOOKUP($B154,'Data shares'!$C:$FB,66)</f>
        <v>180475500</v>
      </c>
      <c r="I154" s="165">
        <f>VLOOKUP($B154,'Data shares'!$C:$FB,67)</f>
        <v>145749000</v>
      </c>
      <c r="J154" s="81">
        <f t="shared" ref="J154:J166" si="56">(H154-I154)/I154*100</f>
        <v>23.826235514480373</v>
      </c>
      <c r="K154" s="5">
        <f>VLOOKUP($B154,'Data Vlaue (Cr)'!$C:$FB,99)</f>
        <v>8329</v>
      </c>
      <c r="L154" s="81">
        <f>VLOOKUP(B154,'OI(Value)'!$A$7:$C$232,3,0)</f>
        <v>813</v>
      </c>
      <c r="M154" s="33">
        <f t="shared" ref="M154:M166" si="57">L154/K154*100</f>
        <v>9.7610757593948847</v>
      </c>
      <c r="N154" s="5">
        <f>VLOOKUP($B154,'Data Vlaue (Cr)'!$C:$FB,67)</f>
        <v>7188</v>
      </c>
      <c r="O154" s="5">
        <f>VLOOKUP($B154,'Data Vlaue (Cr)'!$C:$FB,68)</f>
        <v>5805</v>
      </c>
      <c r="P154" s="5">
        <f t="shared" ref="P154:P161" si="58">(N154-O154)/N154*100</f>
        <v>19.240400667779632</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Finance</v>
      </c>
      <c r="B155" s="79" t="str">
        <f>'Data shares'!C150</f>
        <v>NUVAMA</v>
      </c>
      <c r="C155" s="4">
        <f>VLOOKUP($B155,'Data shares'!$C:$FB,7)</f>
        <v>1379.1</v>
      </c>
      <c r="D155" s="82">
        <f>VLOOKUP($B155,'Data shares'!$C:$FB,98)</f>
        <v>3842000</v>
      </c>
      <c r="E155" s="165">
        <f>VLOOKUP(B155,'Snapshot (Volume)'!$A$7:$G$168,7,0)</f>
        <v>3817500</v>
      </c>
      <c r="F155" s="165">
        <f t="shared" si="54"/>
        <v>24500</v>
      </c>
      <c r="G155" s="166">
        <f t="shared" si="55"/>
        <v>6.41781270464964E-3</v>
      </c>
      <c r="H155" s="165">
        <f>VLOOKUP($B155,'Data shares'!$C:$FB,66)</f>
        <v>3502500</v>
      </c>
      <c r="I155" s="165">
        <f>VLOOKUP($B155,'Data shares'!$C:$FB,67)</f>
        <v>2496500</v>
      </c>
      <c r="J155" s="81">
        <f t="shared" si="56"/>
        <v>40.29641498097336</v>
      </c>
      <c r="K155" s="5">
        <f>VLOOKUP($B155,'Data Vlaue (Cr)'!$C:$FB,99)</f>
        <v>530</v>
      </c>
      <c r="L155" s="81">
        <f>VLOOKUP(B155,'OI(Value)'!$A$7:$C$232,3,0)</f>
        <v>3</v>
      </c>
      <c r="M155" s="33">
        <f t="shared" si="57"/>
        <v>0.56603773584905659</v>
      </c>
      <c r="N155" s="5">
        <f>VLOOKUP($B155,'Data Vlaue (Cr)'!$C:$FB,67)</f>
        <v>483</v>
      </c>
      <c r="O155" s="5">
        <f>VLOOKUP($B155,'Data Vlaue (Cr)'!$C:$FB,68)</f>
        <v>344</v>
      </c>
      <c r="P155" s="5">
        <f t="shared" si="58"/>
        <v>28.778467908902694</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New_Age</v>
      </c>
      <c r="B156" s="79" t="str">
        <f>'Data shares'!C151</f>
        <v>NYKAA</v>
      </c>
      <c r="C156" s="4">
        <f>VLOOKUP($B156,'Data shares'!$C:$FB,7)</f>
        <v>264.55</v>
      </c>
      <c r="D156" s="82">
        <f>VLOOKUP($B156,'Data shares'!$C:$FB,98)</f>
        <v>61637500</v>
      </c>
      <c r="E156" s="165">
        <f>VLOOKUP(B156,'Snapshot (Volume)'!$A$7:$G$168,7,0)</f>
        <v>58631250</v>
      </c>
      <c r="F156" s="165">
        <f t="shared" si="54"/>
        <v>3006250</v>
      </c>
      <c r="G156" s="166">
        <f t="shared" si="55"/>
        <v>5.1273851401769537E-2</v>
      </c>
      <c r="H156" s="165">
        <f>VLOOKUP($B156,'Data shares'!$C:$FB,66)</f>
        <v>19615625</v>
      </c>
      <c r="I156" s="165">
        <f>VLOOKUP($B156,'Data shares'!$C:$FB,67)</f>
        <v>21940625</v>
      </c>
      <c r="J156" s="81">
        <f t="shared" si="56"/>
        <v>-10.596781085315483</v>
      </c>
      <c r="K156" s="5">
        <f>VLOOKUP($B156,'Data Vlaue (Cr)'!$C:$FB,99)</f>
        <v>1635</v>
      </c>
      <c r="L156" s="81">
        <f>VLOOKUP(B156,'OI(Value)'!$A$7:$C$232,3,0)</f>
        <v>80</v>
      </c>
      <c r="M156" s="33">
        <f t="shared" si="57"/>
        <v>4.8929663608562688</v>
      </c>
      <c r="N156" s="5">
        <f>VLOOKUP($B156,'Data Vlaue (Cr)'!$C:$FB,67)</f>
        <v>520</v>
      </c>
      <c r="O156" s="5">
        <f>VLOOKUP($B156,'Data Vlaue (Cr)'!$C:$FB,68)</f>
        <v>582</v>
      </c>
      <c r="P156" s="5">
        <f t="shared" si="58"/>
        <v>-11.923076923076923</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Realty</v>
      </c>
      <c r="B157" s="79" t="str">
        <f>'Data shares'!C152</f>
        <v>OBEROIRLTY</v>
      </c>
      <c r="C157" s="4">
        <f>VLOOKUP($B157,'Data shares'!$C:$FB,7)</f>
        <v>1694.9</v>
      </c>
      <c r="D157" s="82">
        <f>VLOOKUP($B157,'Data shares'!$C:$FB,98)</f>
        <v>12092500</v>
      </c>
      <c r="E157" s="165">
        <f>VLOOKUP(B157,'Snapshot (Volume)'!$A$7:$G$168,7,0)</f>
        <v>12255600</v>
      </c>
      <c r="F157" s="165">
        <f t="shared" si="54"/>
        <v>-163100</v>
      </c>
      <c r="G157" s="166">
        <f t="shared" si="55"/>
        <v>-1.3308201964816083E-2</v>
      </c>
      <c r="H157" s="165">
        <f>VLOOKUP($B157,'Data shares'!$C:$FB,66)</f>
        <v>1629950</v>
      </c>
      <c r="I157" s="165">
        <f>VLOOKUP($B157,'Data shares'!$C:$FB,67)</f>
        <v>1661450</v>
      </c>
      <c r="J157" s="81">
        <f t="shared" si="56"/>
        <v>-1.8959342742784917</v>
      </c>
      <c r="K157" s="5">
        <f>VLOOKUP($B157,'Data Vlaue (Cr)'!$C:$FB,99)</f>
        <v>2054</v>
      </c>
      <c r="L157" s="81">
        <f>VLOOKUP(B157,'OI(Value)'!$A$7:$C$232,3,0)</f>
        <v>-28</v>
      </c>
      <c r="M157" s="33">
        <f t="shared" si="57"/>
        <v>-1.3631937682570594</v>
      </c>
      <c r="N157" s="5">
        <f>VLOOKUP($B157,'Data Vlaue (Cr)'!$C:$FB,67)</f>
        <v>277</v>
      </c>
      <c r="O157" s="5">
        <f>VLOOKUP($B157,'Data Vlaue (Cr)'!$C:$FB,68)</f>
        <v>282</v>
      </c>
      <c r="P157" s="5">
        <f t="shared" si="58"/>
        <v>-1.8050541516245486</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Technology</v>
      </c>
      <c r="B158" s="79" t="str">
        <f>'Data shares'!C153</f>
        <v>OFSS</v>
      </c>
      <c r="C158" s="4">
        <f>VLOOKUP($B158,'Data shares'!$C:$FB,7)</f>
        <v>8082.5</v>
      </c>
      <c r="D158" s="82">
        <f>VLOOKUP($B158,'Data shares'!$C:$FB,98)</f>
        <v>2753175</v>
      </c>
      <c r="E158" s="165">
        <f>VLOOKUP(B158,'Snapshot (Volume)'!$A$7:$G$168,7,0)</f>
        <v>2566725</v>
      </c>
      <c r="F158" s="165">
        <f t="shared" si="54"/>
        <v>186450</v>
      </c>
      <c r="G158" s="166">
        <f t="shared" si="55"/>
        <v>7.2641206206352449E-2</v>
      </c>
      <c r="H158" s="165">
        <f>VLOOKUP($B158,'Data shares'!$C:$FB,66)</f>
        <v>2583900</v>
      </c>
      <c r="I158" s="165">
        <f>VLOOKUP($B158,'Data shares'!$C:$FB,67)</f>
        <v>2987400</v>
      </c>
      <c r="J158" s="81">
        <f t="shared" si="56"/>
        <v>-13.506728258686485</v>
      </c>
      <c r="K158" s="5">
        <f>VLOOKUP($B158,'Data Vlaue (Cr)'!$C:$FB,99)</f>
        <v>2232</v>
      </c>
      <c r="L158" s="81">
        <f>VLOOKUP(B158,'OI(Value)'!$A$7:$C$232,3,0)</f>
        <v>151</v>
      </c>
      <c r="M158" s="33">
        <f t="shared" si="57"/>
        <v>6.7652329749103943</v>
      </c>
      <c r="N158" s="5">
        <f>VLOOKUP($B158,'Data Vlaue (Cr)'!$C:$FB,67)</f>
        <v>2095</v>
      </c>
      <c r="O158" s="5">
        <f>VLOOKUP($B158,'Data Vlaue (Cr)'!$C:$FB,68)</f>
        <v>2422</v>
      </c>
      <c r="P158" s="5">
        <f t="shared" si="58"/>
        <v>-15.608591885441529</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Oil_Gas</v>
      </c>
      <c r="B159" s="79" t="str">
        <f>'Data shares'!C154</f>
        <v>OIL</v>
      </c>
      <c r="C159" s="4">
        <f>VLOOKUP($B159,'Data shares'!$C:$FB,7)</f>
        <v>471.7</v>
      </c>
      <c r="D159" s="82">
        <f>VLOOKUP($B159,'Data shares'!$C:$FB,98)</f>
        <v>35393400</v>
      </c>
      <c r="E159" s="165">
        <f>VLOOKUP(B159,'Snapshot (Volume)'!$A$7:$G$168,7,0)</f>
        <v>37529800</v>
      </c>
      <c r="F159" s="165">
        <f t="shared" si="54"/>
        <v>-2136400</v>
      </c>
      <c r="G159" s="166">
        <f t="shared" si="55"/>
        <v>-5.6925429925019581E-2</v>
      </c>
      <c r="H159" s="165">
        <f>VLOOKUP($B159,'Data shares'!$C:$FB,66)</f>
        <v>15878800</v>
      </c>
      <c r="I159" s="165">
        <f>VLOOKUP($B159,'Data shares'!$C:$FB,67)</f>
        <v>15575000</v>
      </c>
      <c r="J159" s="81">
        <f t="shared" si="56"/>
        <v>1.9505617977528089</v>
      </c>
      <c r="K159" s="5">
        <f>VLOOKUP($B159,'Data Vlaue (Cr)'!$C:$FB,99)</f>
        <v>1668</v>
      </c>
      <c r="L159" s="81">
        <f>VLOOKUP(B159,'OI(Value)'!$A$7:$C$232,3,0)</f>
        <v>-101</v>
      </c>
      <c r="M159" s="33">
        <f t="shared" si="57"/>
        <v>-6.0551558752997598</v>
      </c>
      <c r="N159" s="5">
        <f>VLOOKUP($B159,'Data Vlaue (Cr)'!$C:$FB,67)</f>
        <v>748</v>
      </c>
      <c r="O159" s="5">
        <f>VLOOKUP($B159,'Data Vlaue (Cr)'!$C:$FB,68)</f>
        <v>734</v>
      </c>
      <c r="P159" s="5">
        <f t="shared" si="58"/>
        <v>1.8716577540106951</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Oil_Gas</v>
      </c>
      <c r="B160" s="79" t="str">
        <f>'Data shares'!C155</f>
        <v>ONGC</v>
      </c>
      <c r="C160" s="4">
        <f>VLOOKUP($B160,'Data shares'!$C:$FB,7)</f>
        <v>283.35000000000002</v>
      </c>
      <c r="D160" s="82">
        <f>VLOOKUP($B160,'Data shares'!$C:$FB,98)</f>
        <v>229290750</v>
      </c>
      <c r="E160" s="165">
        <f>VLOOKUP(B160,'Snapshot (Volume)'!$A$7:$G$168,7,0)</f>
        <v>229875750</v>
      </c>
      <c r="F160" s="165">
        <f t="shared" si="54"/>
        <v>-585000</v>
      </c>
      <c r="G160" s="166">
        <f t="shared" si="55"/>
        <v>-2.544853034737244E-3</v>
      </c>
      <c r="H160" s="165">
        <f>VLOOKUP($B160,'Data shares'!$C:$FB,66)</f>
        <v>93051000</v>
      </c>
      <c r="I160" s="165">
        <f>VLOOKUP($B160,'Data shares'!$C:$FB,67)</f>
        <v>94585500</v>
      </c>
      <c r="J160" s="81">
        <f t="shared" si="56"/>
        <v>-1.6223416908511348</v>
      </c>
      <c r="K160" s="5">
        <f>VLOOKUP($B160,'Data Vlaue (Cr)'!$C:$FB,99)</f>
        <v>6512</v>
      </c>
      <c r="L160" s="81">
        <f>VLOOKUP(B160,'OI(Value)'!$A$7:$C$232,3,0)</f>
        <v>-17</v>
      </c>
      <c r="M160" s="33">
        <f t="shared" si="57"/>
        <v>-0.26105651105651106</v>
      </c>
      <c r="N160" s="5">
        <f>VLOOKUP($B160,'Data Vlaue (Cr)'!$C:$FB,67)</f>
        <v>2643</v>
      </c>
      <c r="O160" s="5">
        <f>VLOOKUP($B160,'Data Vlaue (Cr)'!$C:$FB,68)</f>
        <v>2686</v>
      </c>
      <c r="P160" s="5">
        <f t="shared" si="58"/>
        <v>-1.6269390843738174</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Textile</v>
      </c>
      <c r="B161" s="79" t="str">
        <f>'Data shares'!C156</f>
        <v>PAGEIND</v>
      </c>
      <c r="C161" s="4">
        <f>VLOOKUP($B161,'Data shares'!$C:$FB,7)</f>
        <v>38405</v>
      </c>
      <c r="D161" s="82">
        <f>VLOOKUP($B161,'Data shares'!$C:$FB,98)</f>
        <v>507165</v>
      </c>
      <c r="E161" s="165">
        <f>VLOOKUP(B161,'Snapshot (Volume)'!$A$7:$G$168,7,0)</f>
        <v>503325</v>
      </c>
      <c r="F161" s="165">
        <f t="shared" si="54"/>
        <v>3840</v>
      </c>
      <c r="G161" s="166">
        <f t="shared" si="55"/>
        <v>7.6292653851884962E-3</v>
      </c>
      <c r="H161" s="165">
        <f>VLOOKUP($B161,'Data shares'!$C:$FB,66)</f>
        <v>249915</v>
      </c>
      <c r="I161" s="165">
        <f>VLOOKUP($B161,'Data shares'!$C:$FB,67)</f>
        <v>353220</v>
      </c>
      <c r="J161" s="81">
        <f t="shared" si="56"/>
        <v>-29.24664515033124</v>
      </c>
      <c r="K161" s="5">
        <f>VLOOKUP($B161,'Data Vlaue (Cr)'!$C:$FB,99)</f>
        <v>1946</v>
      </c>
      <c r="L161" s="81">
        <f>VLOOKUP(B161,'OI(Value)'!$A$7:$C$232,3,0)</f>
        <v>15</v>
      </c>
      <c r="M161" s="33">
        <f t="shared" si="57"/>
        <v>0.77081192189105863</v>
      </c>
      <c r="N161" s="5">
        <f>VLOOKUP($B161,'Data Vlaue (Cr)'!$C:$FB,67)</f>
        <v>959</v>
      </c>
      <c r="O161" s="5">
        <f>VLOOKUP($B161,'Data Vlaue (Cr)'!$C:$FB,68)</f>
        <v>1355</v>
      </c>
      <c r="P161" s="5">
        <f t="shared" si="58"/>
        <v>-41.293013555787276</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FMCG</v>
      </c>
      <c r="B162" s="79" t="str">
        <f>'Data shares'!C157</f>
        <v>PATANJALI</v>
      </c>
      <c r="C162" s="4">
        <f>VLOOKUP($B162,'Data shares'!$C:$FB,7)</f>
        <v>459.65</v>
      </c>
      <c r="D162" s="82">
        <f>VLOOKUP($B162,'Data shares'!$C:$FB,98)</f>
        <v>43816500</v>
      </c>
      <c r="E162" s="165">
        <f>VLOOKUP(B162,'Snapshot (Volume)'!$A$7:$G$168,7,0)</f>
        <v>42699600</v>
      </c>
      <c r="F162" s="165">
        <f t="shared" si="54"/>
        <v>1116900</v>
      </c>
      <c r="G162" s="166">
        <f t="shared" si="55"/>
        <v>2.6157153696990135E-2</v>
      </c>
      <c r="H162" s="165">
        <f>VLOOKUP($B162,'Data shares'!$C:$FB,66)</f>
        <v>9754200</v>
      </c>
      <c r="I162" s="165">
        <f>VLOOKUP($B162,'Data shares'!$C:$FB,67)</f>
        <v>20628000</v>
      </c>
      <c r="J162" s="81">
        <f t="shared" si="56"/>
        <v>-52.713787085514831</v>
      </c>
      <c r="K162" s="5">
        <f>VLOOKUP($B162,'Data Vlaue (Cr)'!$C:$FB,99)</f>
        <v>2013</v>
      </c>
      <c r="L162" s="81">
        <f>VLOOKUP(B162,'OI(Value)'!$A$7:$C$232,3,0)</f>
        <v>51</v>
      </c>
      <c r="M162" s="33">
        <f t="shared" si="57"/>
        <v>2.5335320417287628</v>
      </c>
      <c r="N162" s="5">
        <f>VLOOKUP($B162,'Data Vlaue (Cr)'!$C:$FB,67)</f>
        <v>448</v>
      </c>
      <c r="O162" s="5">
        <f>VLOOKUP($B162,'Data Vlaue (Cr)'!$C:$FB,68)</f>
        <v>948</v>
      </c>
      <c r="P162" s="5">
        <f>(N162-O162)/N162*100</f>
        <v>-111.60714285714286</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New_Age</v>
      </c>
      <c r="B163" s="79" t="str">
        <f>'Data shares'!C158</f>
        <v>PAYTM</v>
      </c>
      <c r="C163" s="4">
        <f>VLOOKUP($B163,'Data shares'!$C:$FB,7)</f>
        <v>1161.3499999999999</v>
      </c>
      <c r="D163" s="82">
        <f>VLOOKUP($B163,'Data shares'!$C:$FB,98)</f>
        <v>28277900</v>
      </c>
      <c r="E163" s="165">
        <f>VLOOKUP(B163,'Snapshot (Volume)'!$A$7:$G$168,7,0)</f>
        <v>28085775</v>
      </c>
      <c r="F163" s="165">
        <f t="shared" si="54"/>
        <v>192125</v>
      </c>
      <c r="G163" s="166">
        <f t="shared" si="55"/>
        <v>6.8406515397919409E-3</v>
      </c>
      <c r="H163" s="165">
        <f>VLOOKUP($B163,'Data shares'!$C:$FB,66)</f>
        <v>11579700</v>
      </c>
      <c r="I163" s="165">
        <f>VLOOKUP($B163,'Data shares'!$C:$FB,67)</f>
        <v>13382775</v>
      </c>
      <c r="J163" s="81">
        <f t="shared" si="56"/>
        <v>-13.473102551600846</v>
      </c>
      <c r="K163" s="5">
        <f>VLOOKUP($B163,'Data Vlaue (Cr)'!$C:$FB,99)</f>
        <v>3288</v>
      </c>
      <c r="L163" s="81">
        <f>VLOOKUP(B163,'OI(Value)'!$A$7:$C$232,3,0)</f>
        <v>22</v>
      </c>
      <c r="M163" s="33">
        <f t="shared" si="57"/>
        <v>0.66909975669099753</v>
      </c>
      <c r="N163" s="5">
        <f>VLOOKUP($B163,'Data Vlaue (Cr)'!$C:$FB,67)</f>
        <v>1346</v>
      </c>
      <c r="O163" s="5">
        <f>VLOOKUP($B163,'Data Vlaue (Cr)'!$C:$FB,68)</f>
        <v>1556</v>
      </c>
      <c r="P163" s="5">
        <f>(N163-O163)/N163*100</f>
        <v>-15.601783060921248</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Technology</v>
      </c>
      <c r="B164" s="79" t="str">
        <f>'Data shares'!C159</f>
        <v>PERSISTENT</v>
      </c>
      <c r="C164" s="4">
        <f>VLOOKUP($B164,'Data shares'!$C:$FB,7)</f>
        <v>5325.2</v>
      </c>
      <c r="D164" s="82">
        <f>VLOOKUP($B164,'Data shares'!$C:$FB,98)</f>
        <v>8558100</v>
      </c>
      <c r="E164" s="165">
        <f>VLOOKUP(B164,'Snapshot (Volume)'!$A$7:$G$168,7,0)</f>
        <v>8357700</v>
      </c>
      <c r="F164" s="165">
        <f t="shared" si="54"/>
        <v>200400</v>
      </c>
      <c r="G164" s="166">
        <f t="shared" si="55"/>
        <v>2.3977888653576942E-2</v>
      </c>
      <c r="H164" s="165">
        <f>VLOOKUP($B164,'Data shares'!$C:$FB,66)</f>
        <v>7488900</v>
      </c>
      <c r="I164" s="165">
        <f>VLOOKUP($B164,'Data shares'!$C:$FB,67)</f>
        <v>5506000</v>
      </c>
      <c r="J164" s="81">
        <f t="shared" si="56"/>
        <v>36.013439883763162</v>
      </c>
      <c r="K164" s="5">
        <f>VLOOKUP($B164,'Data Vlaue (Cr)'!$C:$FB,99)</f>
        <v>4562</v>
      </c>
      <c r="L164" s="81">
        <f>VLOOKUP(B164,'OI(Value)'!$A$7:$C$232,3,0)</f>
        <v>107</v>
      </c>
      <c r="M164" s="33">
        <f t="shared" si="57"/>
        <v>2.3454625164401577</v>
      </c>
      <c r="N164" s="5">
        <f>VLOOKUP($B164,'Data Vlaue (Cr)'!$C:$FB,67)</f>
        <v>3992</v>
      </c>
      <c r="O164" s="5">
        <f>VLOOKUP($B164,'Data Vlaue (Cr)'!$C:$FB,68)</f>
        <v>2935</v>
      </c>
      <c r="P164" s="5">
        <f>(N164-O164)/N164*100</f>
        <v>26.477955911823649</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VLOOKUP(B165,'OI(Value)'!$A$7:$C$232,3,0)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shares'!B220</f>
        <v>Pharma</v>
      </c>
      <c r="B166" s="79" t="str">
        <f>'Data shares'!C220</f>
        <v>ZYDUSLIFE</v>
      </c>
      <c r="C166" s="4">
        <f>VLOOKUP($B166,'Data shares'!$C:$FB,7)</f>
        <v>936.5</v>
      </c>
      <c r="D166" s="82">
        <f>VLOOKUP($B166,'Data shares'!$C:$FB,98)</f>
        <v>14733000</v>
      </c>
      <c r="E166" s="165" t="e">
        <f>VLOOKUP(B166,'Snapshot (Volume)'!$A$7:$G$168,7,0)</f>
        <v>#N/A</v>
      </c>
      <c r="F166" s="165" t="e">
        <f t="shared" si="54"/>
        <v>#N/A</v>
      </c>
      <c r="G166" s="166" t="e">
        <f t="shared" si="55"/>
        <v>#N/A</v>
      </c>
      <c r="H166" s="165">
        <f>VLOOKUP($B166,'Data shares'!$C:$FB,66)</f>
        <v>4797900</v>
      </c>
      <c r="I166" s="165">
        <f>VLOOKUP($B166,'Data shares'!$C:$FB,67)</f>
        <v>5775300</v>
      </c>
      <c r="J166" s="81">
        <f t="shared" si="56"/>
        <v>-16.923796166432915</v>
      </c>
      <c r="K166" s="5">
        <f>VLOOKUP($B166,'Data Vlaue (Cr)'!$C:$FB,99)</f>
        <v>1378</v>
      </c>
      <c r="L166" s="81">
        <f>VLOOKUP(B166,'OI(Value)'!$A$7:$C$232,3,0)</f>
        <v>22</v>
      </c>
      <c r="M166" s="33">
        <f t="shared" si="57"/>
        <v>1.5965166908563133</v>
      </c>
      <c r="N166" s="5">
        <f>VLOOKUP($B166,'Data Vlaue (Cr)'!$C:$FB,67)</f>
        <v>449</v>
      </c>
      <c r="O166" s="5">
        <f>VLOOKUP($B166,'Data Vlaue (Cr)'!$C:$FB,68)</f>
        <v>540</v>
      </c>
      <c r="P166" s="5">
        <f>(N166-O166)/N166*100</f>
        <v>-20.26726057906459</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8"/>
  <sheetViews>
    <sheetView zoomScale="85" zoomScaleNormal="85" workbookViewId="0">
      <pane ySplit="6" topLeftCell="A7" activePane="bottomLeft" state="frozen"/>
      <selection activeCell="Q163" sqref="Q163"/>
      <selection pane="bottomLeft" activeCell="A7" sqref="A7:A225"/>
    </sheetView>
  </sheetViews>
  <sheetFormatPr defaultRowHeight="15" x14ac:dyDescent="0.25"/>
  <cols>
    <col min="1" max="1" width="14.5703125" style="74" bestFit="1" customWidth="1"/>
    <col min="2" max="2" width="12.28515625" bestFit="1" customWidth="1"/>
    <col min="3" max="3" width="10.28515625" bestFit="1" customWidth="1"/>
    <col min="5" max="5" width="12.28515625" bestFit="1" customWidth="1"/>
    <col min="6" max="6" width="10.28515625" bestFit="1" customWidth="1"/>
    <col min="7" max="7" width="6.42578125" bestFit="1" customWidth="1"/>
    <col min="8" max="8" width="11.5703125" bestFit="1" customWidth="1"/>
    <col min="9" max="9" width="10.5703125" bestFit="1" customWidth="1"/>
    <col min="10" max="10" width="7.140625" bestFit="1" customWidth="1"/>
    <col min="11" max="11" width="11.5703125" bestFit="1" customWidth="1"/>
    <col min="12" max="12" width="10.28515625" bestFit="1" customWidth="1"/>
    <col min="13" max="13" width="7.140625" bestFit="1" customWidth="1"/>
    <col min="14" max="14" width="11.85546875" bestFit="1" customWidth="1"/>
  </cols>
  <sheetData>
    <row r="1" spans="1:15" hidden="1" x14ac:dyDescent="0.25"/>
    <row r="2" spans="1:15" ht="15.75" thickBot="1" x14ac:dyDescent="0.3"/>
    <row r="3" spans="1:15" s="85" customFormat="1" ht="23.25" customHeight="1" thickBot="1" x14ac:dyDescent="0.3">
      <c r="A3" s="275" t="s">
        <v>334</v>
      </c>
      <c r="B3" s="276"/>
      <c r="C3" s="276"/>
      <c r="D3" s="277"/>
      <c r="E3" s="278"/>
      <c r="F3" s="278"/>
      <c r="G3" s="278"/>
      <c r="H3" s="278"/>
      <c r="I3" s="278"/>
      <c r="J3" s="278"/>
      <c r="K3" s="278"/>
      <c r="L3" s="278"/>
      <c r="M3" s="278"/>
      <c r="N3" s="278"/>
      <c r="O3" s="279"/>
    </row>
    <row r="4" spans="1:15" s="84" customFormat="1" x14ac:dyDescent="0.25">
      <c r="A4" s="272" t="s">
        <v>330</v>
      </c>
      <c r="B4" s="272" t="s">
        <v>340</v>
      </c>
      <c r="C4" s="272"/>
      <c r="D4" s="272"/>
      <c r="E4" s="272"/>
      <c r="F4" s="272"/>
      <c r="G4" s="272"/>
      <c r="H4" s="272"/>
      <c r="I4" s="272"/>
      <c r="J4" s="272"/>
      <c r="K4" s="272"/>
      <c r="L4" s="272"/>
      <c r="M4" s="272"/>
      <c r="N4" s="272"/>
      <c r="O4" s="272"/>
    </row>
    <row r="5" spans="1:15" s="84" customFormat="1" x14ac:dyDescent="0.25">
      <c r="A5" s="273"/>
      <c r="B5" s="273" t="s">
        <v>314</v>
      </c>
      <c r="C5" s="273"/>
      <c r="D5" s="273"/>
      <c r="E5" s="273" t="s">
        <v>341</v>
      </c>
      <c r="F5" s="273"/>
      <c r="G5" s="273"/>
      <c r="H5" s="273" t="s">
        <v>336</v>
      </c>
      <c r="I5" s="273"/>
      <c r="J5" s="273"/>
      <c r="K5" s="273" t="s">
        <v>342</v>
      </c>
      <c r="L5" s="273"/>
      <c r="M5" s="273"/>
      <c r="N5" s="273" t="s">
        <v>338</v>
      </c>
      <c r="O5" s="273"/>
    </row>
    <row r="6" spans="1:15" s="84" customFormat="1" x14ac:dyDescent="0.25">
      <c r="A6" s="71" t="s">
        <v>318</v>
      </c>
      <c r="B6" s="66">
        <f>'OI(Value)'!B6</f>
        <v>46132</v>
      </c>
      <c r="C6" s="71" t="s">
        <v>333</v>
      </c>
      <c r="D6" s="71" t="s">
        <v>328</v>
      </c>
      <c r="E6" s="66">
        <f>B6</f>
        <v>46132</v>
      </c>
      <c r="F6" s="71" t="s">
        <v>333</v>
      </c>
      <c r="G6" s="71" t="s">
        <v>328</v>
      </c>
      <c r="H6" s="66">
        <f>B6</f>
        <v>46132</v>
      </c>
      <c r="I6" s="71" t="s">
        <v>333</v>
      </c>
      <c r="J6" s="71" t="s">
        <v>328</v>
      </c>
      <c r="K6" s="66">
        <f>B6</f>
        <v>46132</v>
      </c>
      <c r="L6" s="71" t="s">
        <v>333</v>
      </c>
      <c r="M6" s="71" t="s">
        <v>328</v>
      </c>
      <c r="N6" s="71" t="s">
        <v>339</v>
      </c>
      <c r="O6" s="71" t="s">
        <v>328</v>
      </c>
    </row>
    <row r="7" spans="1:15" x14ac:dyDescent="0.25">
      <c r="A7" s="100" t="str">
        <f>'Data Vlaue (Cr)'!C2</f>
        <v>360ONE</v>
      </c>
      <c r="B7" s="82">
        <f>VLOOKUP(A7,'Data shares'!$C$2:$CV$220,98,0)</f>
        <v>9895000</v>
      </c>
      <c r="C7" s="82">
        <f>VLOOKUP(A7,'Data shares'!$C$2:$CX$220,100,0)</f>
        <v>27000</v>
      </c>
      <c r="D7" s="141">
        <f>VLOOKUP(A7,'Data shares'!$C$2:$CY$543,101,0)</f>
        <v>2.7000000000000001E-3</v>
      </c>
      <c r="E7" s="86">
        <f>VLOOKUP($A7,'Data shares'!$C:$FA,74)</f>
        <v>5682500</v>
      </c>
      <c r="F7" s="86">
        <f>VLOOKUP($A7,'Data shares'!$C:$FA,76)</f>
        <v>-223000</v>
      </c>
      <c r="G7" s="87">
        <f>VLOOKUP(A7,'Data shares'!$C$2:$CA$220,77,0)</f>
        <v>-3.78E-2</v>
      </c>
      <c r="H7" s="86">
        <f>VLOOKUP($A7,'Data shares'!$C:$FA,90)</f>
        <v>1979000</v>
      </c>
      <c r="I7" s="86">
        <f>VLOOKUP($A7,'Data shares'!$C:$FA,92)</f>
        <v>198500</v>
      </c>
      <c r="J7" s="87">
        <f>VLOOKUP($A7,'Data shares'!$C:$FA,93)</f>
        <v>0.1115</v>
      </c>
      <c r="K7" s="86">
        <f>VLOOKUP($A7,'Data shares'!$C:$FA,94)</f>
        <v>2233500</v>
      </c>
      <c r="L7" s="86">
        <f>VLOOKUP($A7,'Data shares'!$C:$FA,96)</f>
        <v>51500</v>
      </c>
      <c r="M7" s="87">
        <f>VLOOKUP($A7,'Data shares'!$C:$FA,97)</f>
        <v>2.3599999999999999E-2</v>
      </c>
      <c r="N7" s="86">
        <f>VLOOKUP($A7,'Data shares'!$C:$FA,78)</f>
        <v>5142500</v>
      </c>
      <c r="O7" s="87">
        <f>VLOOKUP($A7,'Data shares'!$C:$FA,81)</f>
        <v>-4.41E-2</v>
      </c>
    </row>
    <row r="8" spans="1:15" x14ac:dyDescent="0.25">
      <c r="A8" s="100" t="str">
        <f>'Data Vlaue (Cr)'!C3</f>
        <v>ABB</v>
      </c>
      <c r="B8" s="82">
        <f>VLOOKUP(A8,'Data shares'!$C$2:$CV$220,98,0)</f>
        <v>5143375</v>
      </c>
      <c r="C8" s="82">
        <f>VLOOKUP(A8,'Data shares'!$C$2:$CX$220,100,0)</f>
        <v>609250</v>
      </c>
      <c r="D8" s="141">
        <f>VLOOKUP(A8,'Data shares'!$C$2:$CY$543,101,0)</f>
        <v>0.13439999999999999</v>
      </c>
      <c r="E8" s="86">
        <f>VLOOKUP($A8,'Data shares'!$C:$FA,74)</f>
        <v>2419750</v>
      </c>
      <c r="F8" s="86">
        <f>VLOOKUP($A8,'Data shares'!$C:$FA,76)</f>
        <v>16625</v>
      </c>
      <c r="G8" s="87">
        <f>VLOOKUP(A8,'Data shares'!$C$2:$CA$220,77,0)</f>
        <v>6.8999999999999999E-3</v>
      </c>
      <c r="H8" s="86">
        <f>VLOOKUP($A8,'Data shares'!$C:$FA,90)</f>
        <v>1425750</v>
      </c>
      <c r="I8" s="86">
        <f>VLOOKUP($A8,'Data shares'!$C:$FA,92)</f>
        <v>426250</v>
      </c>
      <c r="J8" s="87">
        <f>VLOOKUP($A8,'Data shares'!$C:$FA,93)</f>
        <v>0.42649999999999999</v>
      </c>
      <c r="K8" s="86">
        <f>VLOOKUP($A8,'Data shares'!$C:$FA,94)</f>
        <v>1297875</v>
      </c>
      <c r="L8" s="86">
        <f>VLOOKUP($A8,'Data shares'!$C:$FA,96)</f>
        <v>166375</v>
      </c>
      <c r="M8" s="87">
        <f>VLOOKUP($A8,'Data shares'!$C:$FA,97)</f>
        <v>0.14699999999999999</v>
      </c>
      <c r="N8" s="86">
        <f>VLOOKUP($A8,'Data shares'!$C:$FA,78)</f>
        <v>2228000</v>
      </c>
      <c r="O8" s="87">
        <f>VLOOKUP($A8,'Data shares'!$C:$FA,81)</f>
        <v>-8.6E-3</v>
      </c>
    </row>
    <row r="9" spans="1:15" x14ac:dyDescent="0.25">
      <c r="A9" s="100" t="str">
        <f>'Data Vlaue (Cr)'!C4</f>
        <v>ABCAPITAL</v>
      </c>
      <c r="B9" s="82">
        <f>VLOOKUP(A9,'Data shares'!$C$2:$CV$220,98,0)</f>
        <v>66011400</v>
      </c>
      <c r="C9" s="82">
        <f>VLOOKUP(A9,'Data shares'!$C$2:$CX$220,100,0)</f>
        <v>-4064100</v>
      </c>
      <c r="D9" s="141">
        <f>VLOOKUP(A9,'Data shares'!$C$2:$CY$543,101,0)</f>
        <v>-5.8000000000000003E-2</v>
      </c>
      <c r="E9" s="86">
        <f>VLOOKUP($A9,'Data shares'!$C:$FA,74)</f>
        <v>42197200</v>
      </c>
      <c r="F9" s="86">
        <f>VLOOKUP($A9,'Data shares'!$C:$FA,76)</f>
        <v>-1345400</v>
      </c>
      <c r="G9" s="87">
        <f>VLOOKUP(A9,'Data shares'!$C$2:$CA$220,77,0)</f>
        <v>-3.09E-2</v>
      </c>
      <c r="H9" s="86">
        <f>VLOOKUP($A9,'Data shares'!$C:$FA,90)</f>
        <v>14232100</v>
      </c>
      <c r="I9" s="86">
        <f>VLOOKUP($A9,'Data shares'!$C:$FA,92)</f>
        <v>-2201000</v>
      </c>
      <c r="J9" s="87">
        <f>VLOOKUP($A9,'Data shares'!$C:$FA,93)</f>
        <v>-0.13389999999999999</v>
      </c>
      <c r="K9" s="86">
        <f>VLOOKUP($A9,'Data shares'!$C:$FA,94)</f>
        <v>9582100</v>
      </c>
      <c r="L9" s="86">
        <f>VLOOKUP($A9,'Data shares'!$C:$FA,96)</f>
        <v>-517700</v>
      </c>
      <c r="M9" s="87">
        <f>VLOOKUP($A9,'Data shares'!$C:$FA,97)</f>
        <v>-5.1299999999999998E-2</v>
      </c>
      <c r="N9" s="86">
        <f>VLOOKUP($A9,'Data shares'!$C:$FA,78)</f>
        <v>41112200</v>
      </c>
      <c r="O9" s="87">
        <f>VLOOKUP($A9,'Data shares'!$C:$FA,81)</f>
        <v>-3.4000000000000002E-2</v>
      </c>
    </row>
    <row r="10" spans="1:15" x14ac:dyDescent="0.25">
      <c r="A10" s="100" t="str">
        <f>'Data Vlaue (Cr)'!C5</f>
        <v>ADANIENSOL</v>
      </c>
      <c r="B10" s="82">
        <f>VLOOKUP(A10,'Data shares'!$C$2:$CV$220,98,0)</f>
        <v>29461050</v>
      </c>
      <c r="C10" s="82">
        <f>VLOOKUP(A10,'Data shares'!$C$2:$CX$220,100,0)</f>
        <v>-504225</v>
      </c>
      <c r="D10" s="141">
        <f>VLOOKUP(A10,'Data shares'!$C$2:$CY$543,101,0)</f>
        <v>-1.6799999999999999E-2</v>
      </c>
      <c r="E10" s="86">
        <f>VLOOKUP($A10,'Data shares'!$C:$FA,74)</f>
        <v>22454550</v>
      </c>
      <c r="F10" s="86">
        <f>VLOOKUP($A10,'Data shares'!$C:$FA,76)</f>
        <v>-770175</v>
      </c>
      <c r="G10" s="87">
        <f>VLOOKUP(A10,'Data shares'!$C$2:$CA$220,77,0)</f>
        <v>-3.32E-2</v>
      </c>
      <c r="H10" s="86">
        <f>VLOOKUP($A10,'Data shares'!$C:$FA,90)</f>
        <v>4276800</v>
      </c>
      <c r="I10" s="86">
        <f>VLOOKUP($A10,'Data shares'!$C:$FA,92)</f>
        <v>280125</v>
      </c>
      <c r="J10" s="87">
        <f>VLOOKUP($A10,'Data shares'!$C:$FA,93)</f>
        <v>7.0099999999999996E-2</v>
      </c>
      <c r="K10" s="86">
        <f>VLOOKUP($A10,'Data shares'!$C:$FA,94)</f>
        <v>2729700</v>
      </c>
      <c r="L10" s="86">
        <f>VLOOKUP($A10,'Data shares'!$C:$FA,96)</f>
        <v>-14175</v>
      </c>
      <c r="M10" s="87">
        <f>VLOOKUP($A10,'Data shares'!$C:$FA,97)</f>
        <v>-5.1999999999999998E-3</v>
      </c>
      <c r="N10" s="86">
        <f>VLOOKUP($A10,'Data shares'!$C:$FA,78)</f>
        <v>19172025</v>
      </c>
      <c r="O10" s="87">
        <f>VLOOKUP($A10,'Data shares'!$C:$FA,81)</f>
        <v>-0.04</v>
      </c>
    </row>
    <row r="11" spans="1:15" x14ac:dyDescent="0.25">
      <c r="A11" s="100" t="str">
        <f>'Data Vlaue (Cr)'!C6</f>
        <v>ADANIENT</v>
      </c>
      <c r="B11" s="82">
        <f>VLOOKUP(A11,'Data shares'!$C$2:$CV$220,98,0)</f>
        <v>31771071</v>
      </c>
      <c r="C11" s="82">
        <f>VLOOKUP(A11,'Data shares'!$C$2:$CX$220,100,0)</f>
        <v>380379</v>
      </c>
      <c r="D11" s="141">
        <f>VLOOKUP(A11,'Data shares'!$C$2:$CY$543,101,0)</f>
        <v>1.21E-2</v>
      </c>
      <c r="E11" s="86">
        <f>VLOOKUP($A11,'Data shares'!$C:$FA,74)</f>
        <v>17270010</v>
      </c>
      <c r="F11" s="86">
        <f>VLOOKUP($A11,'Data shares'!$C:$FA,76)</f>
        <v>-41097</v>
      </c>
      <c r="G11" s="87">
        <f>VLOOKUP(A11,'Data shares'!$C$2:$CA$220,77,0)</f>
        <v>-2.3999999999999998E-3</v>
      </c>
      <c r="H11" s="86">
        <f>VLOOKUP($A11,'Data shares'!$C:$FA,90)</f>
        <v>7246977</v>
      </c>
      <c r="I11" s="86">
        <f>VLOOKUP($A11,'Data shares'!$C:$FA,92)</f>
        <v>-25338</v>
      </c>
      <c r="J11" s="87">
        <f>VLOOKUP($A11,'Data shares'!$C:$FA,93)</f>
        <v>-3.5000000000000001E-3</v>
      </c>
      <c r="K11" s="86">
        <f>VLOOKUP($A11,'Data shares'!$C:$FA,94)</f>
        <v>7254084</v>
      </c>
      <c r="L11" s="86">
        <f>VLOOKUP($A11,'Data shares'!$C:$FA,96)</f>
        <v>446814</v>
      </c>
      <c r="M11" s="87">
        <f>VLOOKUP($A11,'Data shares'!$C:$FA,97)</f>
        <v>6.5600000000000006E-2</v>
      </c>
      <c r="N11" s="86">
        <f>VLOOKUP($A11,'Data shares'!$C:$FA,78)</f>
        <v>15357918</v>
      </c>
      <c r="O11" s="87">
        <f>VLOOKUP($A11,'Data shares'!$C:$FA,81)</f>
        <v>-2.01E-2</v>
      </c>
    </row>
    <row r="12" spans="1:15" x14ac:dyDescent="0.25">
      <c r="A12" s="100" t="str">
        <f>'Data Vlaue (Cr)'!C7</f>
        <v>ADANIGREEN</v>
      </c>
      <c r="B12" s="82">
        <f>VLOOKUP(A12,'Data shares'!$C$2:$CV$220,98,0)</f>
        <v>37735800</v>
      </c>
      <c r="C12" s="82">
        <f>VLOOKUP(A12,'Data shares'!$C$2:$CX$220,100,0)</f>
        <v>1594200</v>
      </c>
      <c r="D12" s="141">
        <f>VLOOKUP(A12,'Data shares'!$C$2:$CY$543,101,0)</f>
        <v>4.41E-2</v>
      </c>
      <c r="E12" s="86">
        <f>VLOOKUP($A12,'Data shares'!$C:$FA,74)</f>
        <v>21483000</v>
      </c>
      <c r="F12" s="86">
        <f>VLOOKUP($A12,'Data shares'!$C:$FA,76)</f>
        <v>292800</v>
      </c>
      <c r="G12" s="87">
        <f>VLOOKUP(A12,'Data shares'!$C$2:$CA$220,77,0)</f>
        <v>1.38E-2</v>
      </c>
      <c r="H12" s="86">
        <f>VLOOKUP($A12,'Data shares'!$C:$FA,90)</f>
        <v>9236400</v>
      </c>
      <c r="I12" s="86">
        <f>VLOOKUP($A12,'Data shares'!$C:$FA,92)</f>
        <v>1120800</v>
      </c>
      <c r="J12" s="87">
        <f>VLOOKUP($A12,'Data shares'!$C:$FA,93)</f>
        <v>0.1381</v>
      </c>
      <c r="K12" s="86">
        <f>VLOOKUP($A12,'Data shares'!$C:$FA,94)</f>
        <v>7016400</v>
      </c>
      <c r="L12" s="86">
        <f>VLOOKUP($A12,'Data shares'!$C:$FA,96)</f>
        <v>180600</v>
      </c>
      <c r="M12" s="87">
        <f>VLOOKUP($A12,'Data shares'!$C:$FA,97)</f>
        <v>2.64E-2</v>
      </c>
      <c r="N12" s="86">
        <f>VLOOKUP($A12,'Data shares'!$C:$FA,78)</f>
        <v>20563200</v>
      </c>
      <c r="O12" s="87">
        <f>VLOOKUP($A12,'Data shares'!$C:$FA,81)</f>
        <v>6.1000000000000004E-3</v>
      </c>
    </row>
    <row r="13" spans="1:15" x14ac:dyDescent="0.25">
      <c r="A13" s="100" t="str">
        <f>'Data Vlaue (Cr)'!C8</f>
        <v>ADANIPORTS</v>
      </c>
      <c r="B13" s="82">
        <f>VLOOKUP(A13,'Data shares'!$C$2:$CV$220,98,0)</f>
        <v>37489850</v>
      </c>
      <c r="C13" s="82">
        <f>VLOOKUP(A13,'Data shares'!$C$2:$CX$220,100,0)</f>
        <v>326325</v>
      </c>
      <c r="D13" s="141">
        <f>VLOOKUP(A13,'Data shares'!$C$2:$CY$543,101,0)</f>
        <v>8.8000000000000005E-3</v>
      </c>
      <c r="E13" s="86">
        <f>VLOOKUP($A13,'Data shares'!$C:$FA,74)</f>
        <v>19695875</v>
      </c>
      <c r="F13" s="86">
        <f>VLOOKUP($A13,'Data shares'!$C:$FA,76)</f>
        <v>-148200</v>
      </c>
      <c r="G13" s="87">
        <f>VLOOKUP(A13,'Data shares'!$C$2:$CA$220,77,0)</f>
        <v>-7.4999999999999997E-3</v>
      </c>
      <c r="H13" s="86">
        <f>VLOOKUP($A13,'Data shares'!$C:$FA,90)</f>
        <v>9273425</v>
      </c>
      <c r="I13" s="86">
        <f>VLOOKUP($A13,'Data shares'!$C:$FA,92)</f>
        <v>-136800</v>
      </c>
      <c r="J13" s="87">
        <f>VLOOKUP($A13,'Data shares'!$C:$FA,93)</f>
        <v>-1.4500000000000001E-2</v>
      </c>
      <c r="K13" s="86">
        <f>VLOOKUP($A13,'Data shares'!$C:$FA,94)</f>
        <v>8520550</v>
      </c>
      <c r="L13" s="86">
        <f>VLOOKUP($A13,'Data shares'!$C:$FA,96)</f>
        <v>611325</v>
      </c>
      <c r="M13" s="87">
        <f>VLOOKUP($A13,'Data shares'!$C:$FA,97)</f>
        <v>7.7299999999999994E-2</v>
      </c>
      <c r="N13" s="86">
        <f>VLOOKUP($A13,'Data shares'!$C:$FA,78)</f>
        <v>16608375</v>
      </c>
      <c r="O13" s="87">
        <f>VLOOKUP($A13,'Data shares'!$C:$FA,81)</f>
        <v>-1.9099999999999999E-2</v>
      </c>
    </row>
    <row r="14" spans="1:15" x14ac:dyDescent="0.25">
      <c r="A14" s="100" t="str">
        <f>'Data Vlaue (Cr)'!C9</f>
        <v>ADANIPOWER</v>
      </c>
      <c r="B14" s="82">
        <f>VLOOKUP(A14,'Data shares'!$C$2:$CV$220,98,0)</f>
        <v>148066950</v>
      </c>
      <c r="C14" s="82">
        <f>VLOOKUP(A14,'Data shares'!$C$2:$CX$220,100,0)</f>
        <v>13255700</v>
      </c>
      <c r="D14" s="141">
        <f>VLOOKUP(A14,'Data shares'!$C$2:$CY$543,101,0)</f>
        <v>9.8299999999999998E-2</v>
      </c>
      <c r="E14" s="86">
        <f>VLOOKUP($A14,'Data shares'!$C:$FA,74)</f>
        <v>87805700</v>
      </c>
      <c r="F14" s="86">
        <f>VLOOKUP($A14,'Data shares'!$C:$FA,76)</f>
        <v>4480100</v>
      </c>
      <c r="G14" s="87">
        <f>VLOOKUP(A14,'Data shares'!$C$2:$CA$220,77,0)</f>
        <v>5.3800000000000001E-2</v>
      </c>
      <c r="H14" s="86">
        <f>VLOOKUP($A14,'Data shares'!$C:$FA,90)</f>
        <v>35642000</v>
      </c>
      <c r="I14" s="86">
        <f>VLOOKUP($A14,'Data shares'!$C:$FA,92)</f>
        <v>6077600</v>
      </c>
      <c r="J14" s="87">
        <f>VLOOKUP($A14,'Data shares'!$C:$FA,93)</f>
        <v>0.2056</v>
      </c>
      <c r="K14" s="86">
        <f>VLOOKUP($A14,'Data shares'!$C:$FA,94)</f>
        <v>24619250</v>
      </c>
      <c r="L14" s="86">
        <f>VLOOKUP($A14,'Data shares'!$C:$FA,96)</f>
        <v>2698000</v>
      </c>
      <c r="M14" s="87">
        <f>VLOOKUP($A14,'Data shares'!$C:$FA,97)</f>
        <v>0.1231</v>
      </c>
      <c r="N14" s="86">
        <f>VLOOKUP($A14,'Data shares'!$C:$FA,78)</f>
        <v>77297700</v>
      </c>
      <c r="O14" s="87">
        <f>VLOOKUP($A14,'Data shares'!$C:$FA,81)</f>
        <v>1.5E-3</v>
      </c>
    </row>
    <row r="15" spans="1:15" x14ac:dyDescent="0.25">
      <c r="A15" s="100" t="str">
        <f>'Data Vlaue (Cr)'!C10</f>
        <v>ALKEM</v>
      </c>
      <c r="B15" s="82">
        <f>VLOOKUP(A15,'Data shares'!$C$2:$CV$220,98,0)</f>
        <v>1782250</v>
      </c>
      <c r="C15" s="82">
        <f>VLOOKUP(A15,'Data shares'!$C$2:$CX$220,100,0)</f>
        <v>175500</v>
      </c>
      <c r="D15" s="141">
        <f>VLOOKUP(A15,'Data shares'!$C$2:$CY$543,101,0)</f>
        <v>0.10920000000000001</v>
      </c>
      <c r="E15" s="86">
        <f>VLOOKUP($A15,'Data shares'!$C:$FA,74)</f>
        <v>1191625</v>
      </c>
      <c r="F15" s="86">
        <f>VLOOKUP($A15,'Data shares'!$C:$FA,76)</f>
        <v>16875</v>
      </c>
      <c r="G15" s="87">
        <f>VLOOKUP(A15,'Data shares'!$C$2:$CA$220,77,0)</f>
        <v>1.44E-2</v>
      </c>
      <c r="H15" s="86">
        <f>VLOOKUP($A15,'Data shares'!$C:$FA,90)</f>
        <v>387250</v>
      </c>
      <c r="I15" s="86">
        <f>VLOOKUP($A15,'Data shares'!$C:$FA,92)</f>
        <v>107250</v>
      </c>
      <c r="J15" s="87">
        <f>VLOOKUP($A15,'Data shares'!$C:$FA,93)</f>
        <v>0.38300000000000001</v>
      </c>
      <c r="K15" s="86">
        <f>VLOOKUP($A15,'Data shares'!$C:$FA,94)</f>
        <v>203375</v>
      </c>
      <c r="L15" s="86">
        <f>VLOOKUP($A15,'Data shares'!$C:$FA,96)</f>
        <v>51375</v>
      </c>
      <c r="M15" s="87">
        <f>VLOOKUP($A15,'Data shares'!$C:$FA,97)</f>
        <v>0.33800000000000002</v>
      </c>
      <c r="N15" s="86">
        <f>VLOOKUP($A15,'Data shares'!$C:$FA,78)</f>
        <v>1176000</v>
      </c>
      <c r="O15" s="87">
        <f>VLOOKUP($A15,'Data shares'!$C:$FA,81)</f>
        <v>1.09E-2</v>
      </c>
    </row>
    <row r="16" spans="1:15" x14ac:dyDescent="0.25">
      <c r="A16" s="100" t="str">
        <f>'Data Vlaue (Cr)'!C11</f>
        <v>AMBER</v>
      </c>
      <c r="B16" s="82">
        <f>VLOOKUP(A16,'Data shares'!$C$2:$CV$220,98,0)</f>
        <v>3079800</v>
      </c>
      <c r="C16" s="82">
        <f>VLOOKUP(A16,'Data shares'!$C$2:$CX$220,100,0)</f>
        <v>15900</v>
      </c>
      <c r="D16" s="141">
        <f>VLOOKUP(A16,'Data shares'!$C$2:$CY$543,101,0)</f>
        <v>5.1999999999999998E-3</v>
      </c>
      <c r="E16" s="86">
        <f>VLOOKUP($A16,'Data shares'!$C:$FA,74)</f>
        <v>1268900</v>
      </c>
      <c r="F16" s="86">
        <f>VLOOKUP($A16,'Data shares'!$C:$FA,76)</f>
        <v>-7100</v>
      </c>
      <c r="G16" s="87">
        <f>VLOOKUP(A16,'Data shares'!$C$2:$CA$220,77,0)</f>
        <v>-5.5999999999999999E-3</v>
      </c>
      <c r="H16" s="86">
        <f>VLOOKUP($A16,'Data shares'!$C:$FA,90)</f>
        <v>1080500</v>
      </c>
      <c r="I16" s="86">
        <f>VLOOKUP($A16,'Data shares'!$C:$FA,92)</f>
        <v>75200</v>
      </c>
      <c r="J16" s="87">
        <f>VLOOKUP($A16,'Data shares'!$C:$FA,93)</f>
        <v>7.4800000000000005E-2</v>
      </c>
      <c r="K16" s="86">
        <f>VLOOKUP($A16,'Data shares'!$C:$FA,94)</f>
        <v>730400</v>
      </c>
      <c r="L16" s="86">
        <f>VLOOKUP($A16,'Data shares'!$C:$FA,96)</f>
        <v>-52200</v>
      </c>
      <c r="M16" s="87">
        <f>VLOOKUP($A16,'Data shares'!$C:$FA,97)</f>
        <v>-6.6699999999999995E-2</v>
      </c>
      <c r="N16" s="86">
        <f>VLOOKUP($A16,'Data shares'!$C:$FA,78)</f>
        <v>1182500</v>
      </c>
      <c r="O16" s="87">
        <f>VLOOKUP($A16,'Data shares'!$C:$FA,81)</f>
        <v>-1.26E-2</v>
      </c>
    </row>
    <row r="17" spans="1:15" x14ac:dyDescent="0.25">
      <c r="A17" s="100" t="str">
        <f>'Data Vlaue (Cr)'!C12</f>
        <v>AMBUJACEM</v>
      </c>
      <c r="B17" s="82">
        <f>VLOOKUP(A17,'Data shares'!$C$2:$CV$220,98,0)</f>
        <v>79979550</v>
      </c>
      <c r="C17" s="82">
        <f>VLOOKUP(A17,'Data shares'!$C$2:$CX$220,100,0)</f>
        <v>-297150</v>
      </c>
      <c r="D17" s="141">
        <f>VLOOKUP(A17,'Data shares'!$C$2:$CY$543,101,0)</f>
        <v>-3.7000000000000002E-3</v>
      </c>
      <c r="E17" s="86">
        <f>VLOOKUP($A17,'Data shares'!$C:$FA,74)</f>
        <v>59502450</v>
      </c>
      <c r="F17" s="86">
        <f>VLOOKUP($A17,'Data shares'!$C:$FA,76)</f>
        <v>-151200</v>
      </c>
      <c r="G17" s="87">
        <f>VLOOKUP(A17,'Data shares'!$C$2:$CA$220,77,0)</f>
        <v>-2.5000000000000001E-3</v>
      </c>
      <c r="H17" s="86">
        <f>VLOOKUP($A17,'Data shares'!$C:$FA,90)</f>
        <v>10557750</v>
      </c>
      <c r="I17" s="86">
        <f>VLOOKUP($A17,'Data shares'!$C:$FA,92)</f>
        <v>-58800</v>
      </c>
      <c r="J17" s="87">
        <f>VLOOKUP($A17,'Data shares'!$C:$FA,93)</f>
        <v>-5.4999999999999997E-3</v>
      </c>
      <c r="K17" s="86">
        <f>VLOOKUP($A17,'Data shares'!$C:$FA,94)</f>
        <v>9919350</v>
      </c>
      <c r="L17" s="86">
        <f>VLOOKUP($A17,'Data shares'!$C:$FA,96)</f>
        <v>-87150</v>
      </c>
      <c r="M17" s="87">
        <f>VLOOKUP($A17,'Data shares'!$C:$FA,97)</f>
        <v>-8.6999999999999994E-3</v>
      </c>
      <c r="N17" s="86">
        <f>VLOOKUP($A17,'Data shares'!$C:$FA,78)</f>
        <v>49472850</v>
      </c>
      <c r="O17" s="87">
        <f>VLOOKUP($A17,'Data shares'!$C:$FA,81)</f>
        <v>-3.49E-2</v>
      </c>
    </row>
    <row r="18" spans="1:15" x14ac:dyDescent="0.25">
      <c r="A18" s="100" t="str">
        <f>'Data Vlaue (Cr)'!C13</f>
        <v>ANGELONE</v>
      </c>
      <c r="B18" s="82">
        <f>VLOOKUP(A18,'Data shares'!$C$2:$CV$220,98,0)</f>
        <v>101200000</v>
      </c>
      <c r="C18" s="82">
        <f>VLOOKUP(A18,'Data shares'!$C$2:$CX$220,100,0)</f>
        <v>-2805000</v>
      </c>
      <c r="D18" s="141">
        <f>VLOOKUP(A18,'Data shares'!$C$2:$CY$543,101,0)</f>
        <v>-2.7E-2</v>
      </c>
      <c r="E18" s="86">
        <f>VLOOKUP($A18,'Data shares'!$C:$FA,74)</f>
        <v>29600000</v>
      </c>
      <c r="F18" s="86">
        <f>VLOOKUP($A18,'Data shares'!$C:$FA,76)</f>
        <v>-2220000</v>
      </c>
      <c r="G18" s="87">
        <f>VLOOKUP(A18,'Data shares'!$C$2:$CA$220,77,0)</f>
        <v>-6.9800000000000001E-2</v>
      </c>
      <c r="H18" s="86">
        <f>VLOOKUP($A18,'Data shares'!$C:$FA,90)</f>
        <v>36165000</v>
      </c>
      <c r="I18" s="86">
        <f>VLOOKUP($A18,'Data shares'!$C:$FA,92)</f>
        <v>3740000</v>
      </c>
      <c r="J18" s="87">
        <f>VLOOKUP($A18,'Data shares'!$C:$FA,93)</f>
        <v>0.1153</v>
      </c>
      <c r="K18" s="86">
        <f>VLOOKUP($A18,'Data shares'!$C:$FA,94)</f>
        <v>35435000</v>
      </c>
      <c r="L18" s="86">
        <f>VLOOKUP($A18,'Data shares'!$C:$FA,96)</f>
        <v>-4325000</v>
      </c>
      <c r="M18" s="87">
        <f>VLOOKUP($A18,'Data shares'!$C:$FA,97)</f>
        <v>-0.10879999999999999</v>
      </c>
      <c r="N18" s="86">
        <f>VLOOKUP($A18,'Data shares'!$C:$FA,78)</f>
        <v>24032500</v>
      </c>
      <c r="O18" s="87">
        <f>VLOOKUP($A18,'Data shares'!$C:$FA,81)</f>
        <v>-8.8900000000000007E-2</v>
      </c>
    </row>
    <row r="19" spans="1:15" x14ac:dyDescent="0.25">
      <c r="A19" s="100" t="str">
        <f>'Data Vlaue (Cr)'!C14</f>
        <v>APLAPOLLO</v>
      </c>
      <c r="B19" s="82">
        <f>VLOOKUP(A19,'Data shares'!$C$2:$CV$220,98,0)</f>
        <v>6952400</v>
      </c>
      <c r="C19" s="82">
        <f>VLOOKUP(A19,'Data shares'!$C$2:$CX$220,100,0)</f>
        <v>-291900</v>
      </c>
      <c r="D19" s="141">
        <f>VLOOKUP(A19,'Data shares'!$C$2:$CY$543,101,0)</f>
        <v>-4.0300000000000002E-2</v>
      </c>
      <c r="E19" s="86">
        <f>VLOOKUP($A19,'Data shares'!$C:$FA,74)</f>
        <v>4756150</v>
      </c>
      <c r="F19" s="86">
        <f>VLOOKUP($A19,'Data shares'!$C:$FA,76)</f>
        <v>-331100</v>
      </c>
      <c r="G19" s="87">
        <f>VLOOKUP(A19,'Data shares'!$C$2:$CA$220,77,0)</f>
        <v>-6.5100000000000005E-2</v>
      </c>
      <c r="H19" s="86">
        <f>VLOOKUP($A19,'Data shares'!$C:$FA,90)</f>
        <v>1280650</v>
      </c>
      <c r="I19" s="86">
        <f>VLOOKUP($A19,'Data shares'!$C:$FA,92)</f>
        <v>-7700</v>
      </c>
      <c r="J19" s="87">
        <f>VLOOKUP($A19,'Data shares'!$C:$FA,93)</f>
        <v>-6.0000000000000001E-3</v>
      </c>
      <c r="K19" s="86">
        <f>VLOOKUP($A19,'Data shares'!$C:$FA,94)</f>
        <v>915600</v>
      </c>
      <c r="L19" s="86">
        <f>VLOOKUP($A19,'Data shares'!$C:$FA,96)</f>
        <v>46900</v>
      </c>
      <c r="M19" s="87">
        <f>VLOOKUP($A19,'Data shares'!$C:$FA,97)</f>
        <v>5.3999999999999999E-2</v>
      </c>
      <c r="N19" s="86">
        <f>VLOOKUP($A19,'Data shares'!$C:$FA,78)</f>
        <v>4171650</v>
      </c>
      <c r="O19" s="87">
        <f>VLOOKUP($A19,'Data shares'!$C:$FA,81)</f>
        <v>-7.6200000000000004E-2</v>
      </c>
    </row>
    <row r="20" spans="1:15" x14ac:dyDescent="0.25">
      <c r="A20" s="100" t="str">
        <f>'Data Vlaue (Cr)'!C15</f>
        <v>APOLLOHOSP</v>
      </c>
      <c r="B20" s="82">
        <f>VLOOKUP(A20,'Data shares'!$C$2:$CV$220,98,0)</f>
        <v>4046375</v>
      </c>
      <c r="C20" s="82">
        <f>VLOOKUP(A20,'Data shares'!$C$2:$CX$220,100,0)</f>
        <v>-19375</v>
      </c>
      <c r="D20" s="141">
        <f>VLOOKUP(A20,'Data shares'!$C$2:$CY$543,101,0)</f>
        <v>-4.7999999999999996E-3</v>
      </c>
      <c r="E20" s="86">
        <f>VLOOKUP($A20,'Data shares'!$C:$FA,74)</f>
        <v>2387875</v>
      </c>
      <c r="F20" s="86">
        <f>VLOOKUP($A20,'Data shares'!$C:$FA,76)</f>
        <v>-8500</v>
      </c>
      <c r="G20" s="87">
        <f>VLOOKUP(A20,'Data shares'!$C$2:$CA$220,77,0)</f>
        <v>-3.5000000000000001E-3</v>
      </c>
      <c r="H20" s="86">
        <f>VLOOKUP($A20,'Data shares'!$C:$FA,90)</f>
        <v>884750</v>
      </c>
      <c r="I20" s="86">
        <f>VLOOKUP($A20,'Data shares'!$C:$FA,92)</f>
        <v>12125</v>
      </c>
      <c r="J20" s="87">
        <f>VLOOKUP($A20,'Data shares'!$C:$FA,93)</f>
        <v>1.3899999999999999E-2</v>
      </c>
      <c r="K20" s="86">
        <f>VLOOKUP($A20,'Data shares'!$C:$FA,94)</f>
        <v>773750</v>
      </c>
      <c r="L20" s="86">
        <f>VLOOKUP($A20,'Data shares'!$C:$FA,96)</f>
        <v>-23000</v>
      </c>
      <c r="M20" s="87">
        <f>VLOOKUP($A20,'Data shares'!$C:$FA,97)</f>
        <v>-2.8899999999999999E-2</v>
      </c>
      <c r="N20" s="86">
        <f>VLOOKUP($A20,'Data shares'!$C:$FA,78)</f>
        <v>2254625</v>
      </c>
      <c r="O20" s="87">
        <f>VLOOKUP($A20,'Data shares'!$C:$FA,81)</f>
        <v>-1.17E-2</v>
      </c>
    </row>
    <row r="21" spans="1:15" x14ac:dyDescent="0.25">
      <c r="A21" s="100" t="str">
        <f>'Data Vlaue (Cr)'!C16</f>
        <v>ASHOKLEY</v>
      </c>
      <c r="B21" s="82">
        <f>VLOOKUP(A21,'Data shares'!$C$2:$CV$220,98,0)</f>
        <v>300470000</v>
      </c>
      <c r="C21" s="82">
        <f>VLOOKUP(A21,'Data shares'!$C$2:$CX$220,100,0)</f>
        <v>2000000</v>
      </c>
      <c r="D21" s="141">
        <f>VLOOKUP(A21,'Data shares'!$C$2:$CY$543,101,0)</f>
        <v>6.7000000000000002E-3</v>
      </c>
      <c r="E21" s="86">
        <f>VLOOKUP($A21,'Data shares'!$C:$FA,74)</f>
        <v>135670000</v>
      </c>
      <c r="F21" s="86">
        <f>VLOOKUP($A21,'Data shares'!$C:$FA,76)</f>
        <v>-2305000</v>
      </c>
      <c r="G21" s="87">
        <f>VLOOKUP(A21,'Data shares'!$C$2:$CA$220,77,0)</f>
        <v>-1.67E-2</v>
      </c>
      <c r="H21" s="86">
        <f>VLOOKUP($A21,'Data shares'!$C:$FA,90)</f>
        <v>96045000</v>
      </c>
      <c r="I21" s="86">
        <f>VLOOKUP($A21,'Data shares'!$C:$FA,92)</f>
        <v>3650000</v>
      </c>
      <c r="J21" s="87">
        <f>VLOOKUP($A21,'Data shares'!$C:$FA,93)</f>
        <v>3.95E-2</v>
      </c>
      <c r="K21" s="86">
        <f>VLOOKUP($A21,'Data shares'!$C:$FA,94)</f>
        <v>68755000</v>
      </c>
      <c r="L21" s="86">
        <f>VLOOKUP($A21,'Data shares'!$C:$FA,96)</f>
        <v>655000</v>
      </c>
      <c r="M21" s="87">
        <f>VLOOKUP($A21,'Data shares'!$C:$FA,97)</f>
        <v>9.5999999999999992E-3</v>
      </c>
      <c r="N21" s="86">
        <f>VLOOKUP($A21,'Data shares'!$C:$FA,78)</f>
        <v>121020000</v>
      </c>
      <c r="O21" s="87">
        <f>VLOOKUP($A21,'Data shares'!$C:$FA,81)</f>
        <v>-2.52E-2</v>
      </c>
    </row>
    <row r="22" spans="1:15" x14ac:dyDescent="0.25">
      <c r="A22" s="100" t="str">
        <f>'Data Vlaue (Cr)'!C17</f>
        <v>ASIANPAINT</v>
      </c>
      <c r="B22" s="82">
        <f>VLOOKUP(A22,'Data shares'!$C$2:$CV$220,98,0)</f>
        <v>25262500</v>
      </c>
      <c r="C22" s="82">
        <f>VLOOKUP(A22,'Data shares'!$C$2:$CX$220,100,0)</f>
        <v>1078000</v>
      </c>
      <c r="D22" s="141">
        <f>VLOOKUP(A22,'Data shares'!$C$2:$CY$543,101,0)</f>
        <v>4.4600000000000001E-2</v>
      </c>
      <c r="E22" s="86">
        <f>VLOOKUP($A22,'Data shares'!$C:$FA,74)</f>
        <v>14537250</v>
      </c>
      <c r="F22" s="86">
        <f>VLOOKUP($A22,'Data shares'!$C:$FA,76)</f>
        <v>-37500</v>
      </c>
      <c r="G22" s="87">
        <f>VLOOKUP(A22,'Data shares'!$C$2:$CA$220,77,0)</f>
        <v>-2.5999999999999999E-3</v>
      </c>
      <c r="H22" s="86">
        <f>VLOOKUP($A22,'Data shares'!$C:$FA,90)</f>
        <v>4817250</v>
      </c>
      <c r="I22" s="86">
        <f>VLOOKUP($A22,'Data shares'!$C:$FA,92)</f>
        <v>355500</v>
      </c>
      <c r="J22" s="87">
        <f>VLOOKUP($A22,'Data shares'!$C:$FA,93)</f>
        <v>7.9699999999999993E-2</v>
      </c>
      <c r="K22" s="86">
        <f>VLOOKUP($A22,'Data shares'!$C:$FA,94)</f>
        <v>5908000</v>
      </c>
      <c r="L22" s="86">
        <f>VLOOKUP($A22,'Data shares'!$C:$FA,96)</f>
        <v>760000</v>
      </c>
      <c r="M22" s="87">
        <f>VLOOKUP($A22,'Data shares'!$C:$FA,97)</f>
        <v>0.14760000000000001</v>
      </c>
      <c r="N22" s="86">
        <f>VLOOKUP($A22,'Data shares'!$C:$FA,78)</f>
        <v>12307250</v>
      </c>
      <c r="O22" s="87">
        <f>VLOOKUP($A22,'Data shares'!$C:$FA,81)</f>
        <v>-1.77E-2</v>
      </c>
    </row>
    <row r="23" spans="1:15" x14ac:dyDescent="0.25">
      <c r="A23" s="100" t="str">
        <f>'Data Vlaue (Cr)'!C18</f>
        <v>ASTRAL</v>
      </c>
      <c r="B23" s="82">
        <f>VLOOKUP(A23,'Data shares'!$C$2:$CV$220,98,0)</f>
        <v>21006475</v>
      </c>
      <c r="C23" s="82">
        <f>VLOOKUP(A23,'Data shares'!$C$2:$CX$220,100,0)</f>
        <v>153850</v>
      </c>
      <c r="D23" s="141">
        <f>VLOOKUP(A23,'Data shares'!$C$2:$CY$543,101,0)</f>
        <v>7.4000000000000003E-3</v>
      </c>
      <c r="E23" s="86">
        <f>VLOOKUP($A23,'Data shares'!$C:$FA,74)</f>
        <v>14443625</v>
      </c>
      <c r="F23" s="86">
        <f>VLOOKUP($A23,'Data shares'!$C:$FA,76)</f>
        <v>309400</v>
      </c>
      <c r="G23" s="87">
        <f>VLOOKUP(A23,'Data shares'!$C$2:$CA$220,77,0)</f>
        <v>2.1899999999999999E-2</v>
      </c>
      <c r="H23" s="86">
        <f>VLOOKUP($A23,'Data shares'!$C:$FA,90)</f>
        <v>4069375</v>
      </c>
      <c r="I23" s="86">
        <f>VLOOKUP($A23,'Data shares'!$C:$FA,92)</f>
        <v>-162350</v>
      </c>
      <c r="J23" s="87">
        <f>VLOOKUP($A23,'Data shares'!$C:$FA,93)</f>
        <v>-3.8399999999999997E-2</v>
      </c>
      <c r="K23" s="86">
        <f>VLOOKUP($A23,'Data shares'!$C:$FA,94)</f>
        <v>2493475</v>
      </c>
      <c r="L23" s="86">
        <f>VLOOKUP($A23,'Data shares'!$C:$FA,96)</f>
        <v>6800</v>
      </c>
      <c r="M23" s="87">
        <f>VLOOKUP($A23,'Data shares'!$C:$FA,97)</f>
        <v>2.7000000000000001E-3</v>
      </c>
      <c r="N23" s="86">
        <f>VLOOKUP($A23,'Data shares'!$C:$FA,78)</f>
        <v>10607575</v>
      </c>
      <c r="O23" s="87">
        <f>VLOOKUP($A23,'Data shares'!$C:$FA,81)</f>
        <v>-4.4000000000000003E-3</v>
      </c>
    </row>
    <row r="24" spans="1:15" x14ac:dyDescent="0.25">
      <c r="A24" s="100" t="str">
        <f>'Data Vlaue (Cr)'!C19</f>
        <v>AUBANK</v>
      </c>
      <c r="B24" s="82">
        <f>VLOOKUP(A24,'Data shares'!$C$2:$CV$220,98,0)</f>
        <v>37668000</v>
      </c>
      <c r="C24" s="82">
        <f>VLOOKUP(A24,'Data shares'!$C$2:$CX$220,100,0)</f>
        <v>714000</v>
      </c>
      <c r="D24" s="141">
        <f>VLOOKUP(A24,'Data shares'!$C$2:$CY$543,101,0)</f>
        <v>1.9300000000000001E-2</v>
      </c>
      <c r="E24" s="86">
        <f>VLOOKUP($A24,'Data shares'!$C:$FA,74)</f>
        <v>24720000</v>
      </c>
      <c r="F24" s="86">
        <f>VLOOKUP($A24,'Data shares'!$C:$FA,76)</f>
        <v>-5000</v>
      </c>
      <c r="G24" s="87">
        <f>VLOOKUP(A24,'Data shares'!$C$2:$CA$220,77,0)</f>
        <v>-2.0000000000000001E-4</v>
      </c>
      <c r="H24" s="86">
        <f>VLOOKUP($A24,'Data shares'!$C:$FA,90)</f>
        <v>7193000</v>
      </c>
      <c r="I24" s="86">
        <f>VLOOKUP($A24,'Data shares'!$C:$FA,92)</f>
        <v>394000</v>
      </c>
      <c r="J24" s="87">
        <f>VLOOKUP($A24,'Data shares'!$C:$FA,93)</f>
        <v>5.79E-2</v>
      </c>
      <c r="K24" s="86">
        <f>VLOOKUP($A24,'Data shares'!$C:$FA,94)</f>
        <v>5755000</v>
      </c>
      <c r="L24" s="86">
        <f>VLOOKUP($A24,'Data shares'!$C:$FA,96)</f>
        <v>325000</v>
      </c>
      <c r="M24" s="87">
        <f>VLOOKUP($A24,'Data shares'!$C:$FA,97)</f>
        <v>5.9900000000000002E-2</v>
      </c>
      <c r="N24" s="86">
        <f>VLOOKUP($A24,'Data shares'!$C:$FA,78)</f>
        <v>22984000</v>
      </c>
      <c r="O24" s="87">
        <f>VLOOKUP($A24,'Data shares'!$C:$FA,81)</f>
        <v>-1.1299999999999999E-2</v>
      </c>
    </row>
    <row r="25" spans="1:15" x14ac:dyDescent="0.25">
      <c r="A25" s="100" t="str">
        <f>'Data Vlaue (Cr)'!C20</f>
        <v>AUROPHARMA</v>
      </c>
      <c r="B25" s="82">
        <f>VLOOKUP(A25,'Data shares'!$C$2:$CV$220,98,0)</f>
        <v>28223800</v>
      </c>
      <c r="C25" s="82">
        <f>VLOOKUP(A25,'Data shares'!$C$2:$CX$220,100,0)</f>
        <v>660000</v>
      </c>
      <c r="D25" s="141">
        <f>VLOOKUP(A25,'Data shares'!$C$2:$CY$543,101,0)</f>
        <v>2.3900000000000001E-2</v>
      </c>
      <c r="E25" s="86">
        <f>VLOOKUP($A25,'Data shares'!$C:$FA,74)</f>
        <v>21283350</v>
      </c>
      <c r="F25" s="86">
        <f>VLOOKUP($A25,'Data shares'!$C:$FA,76)</f>
        <v>273900</v>
      </c>
      <c r="G25" s="87">
        <f>VLOOKUP(A25,'Data shares'!$C$2:$CA$220,77,0)</f>
        <v>1.2999999999999999E-2</v>
      </c>
      <c r="H25" s="86">
        <f>VLOOKUP($A25,'Data shares'!$C:$FA,90)</f>
        <v>4244350</v>
      </c>
      <c r="I25" s="86">
        <f>VLOOKUP($A25,'Data shares'!$C:$FA,92)</f>
        <v>391050</v>
      </c>
      <c r="J25" s="87">
        <f>VLOOKUP($A25,'Data shares'!$C:$FA,93)</f>
        <v>0.10150000000000001</v>
      </c>
      <c r="K25" s="86">
        <f>VLOOKUP($A25,'Data shares'!$C:$FA,94)</f>
        <v>2696100</v>
      </c>
      <c r="L25" s="86">
        <f>VLOOKUP($A25,'Data shares'!$C:$FA,96)</f>
        <v>-4950</v>
      </c>
      <c r="M25" s="87">
        <f>VLOOKUP($A25,'Data shares'!$C:$FA,97)</f>
        <v>-1.8E-3</v>
      </c>
      <c r="N25" s="86">
        <f>VLOOKUP($A25,'Data shares'!$C:$FA,78)</f>
        <v>16237100</v>
      </c>
      <c r="O25" s="87">
        <f>VLOOKUP($A25,'Data shares'!$C:$FA,81)</f>
        <v>-0.20180000000000001</v>
      </c>
    </row>
    <row r="26" spans="1:15" x14ac:dyDescent="0.25">
      <c r="A26" s="100" t="str">
        <f>'Data Vlaue (Cr)'!C21</f>
        <v>AXISBANK</v>
      </c>
      <c r="B26" s="82">
        <f>VLOOKUP(A26,'Data shares'!$C$2:$CV$220,98,0)</f>
        <v>95133125</v>
      </c>
      <c r="C26" s="82">
        <f>VLOOKUP(A26,'Data shares'!$C$2:$CX$220,100,0)</f>
        <v>-106875</v>
      </c>
      <c r="D26" s="141">
        <f>VLOOKUP(A26,'Data shares'!$C$2:$CY$543,101,0)</f>
        <v>-1.1000000000000001E-3</v>
      </c>
      <c r="E26" s="86">
        <f>VLOOKUP($A26,'Data shares'!$C:$FA,74)</f>
        <v>64467500</v>
      </c>
      <c r="F26" s="86">
        <f>VLOOKUP($A26,'Data shares'!$C:$FA,76)</f>
        <v>-100625</v>
      </c>
      <c r="G26" s="87">
        <f>VLOOKUP(A26,'Data shares'!$C$2:$CA$220,77,0)</f>
        <v>-1.6000000000000001E-3</v>
      </c>
      <c r="H26" s="86">
        <f>VLOOKUP($A26,'Data shares'!$C:$FA,90)</f>
        <v>16973750</v>
      </c>
      <c r="I26" s="86">
        <f>VLOOKUP($A26,'Data shares'!$C:$FA,92)</f>
        <v>280625</v>
      </c>
      <c r="J26" s="87">
        <f>VLOOKUP($A26,'Data shares'!$C:$FA,93)</f>
        <v>1.6799999999999999E-2</v>
      </c>
      <c r="K26" s="86">
        <f>VLOOKUP($A26,'Data shares'!$C:$FA,94)</f>
        <v>13691875</v>
      </c>
      <c r="L26" s="86">
        <f>VLOOKUP($A26,'Data shares'!$C:$FA,96)</f>
        <v>-286875</v>
      </c>
      <c r="M26" s="87">
        <f>VLOOKUP($A26,'Data shares'!$C:$FA,97)</f>
        <v>-2.0500000000000001E-2</v>
      </c>
      <c r="N26" s="86">
        <f>VLOOKUP($A26,'Data shares'!$C:$FA,78)</f>
        <v>46210625</v>
      </c>
      <c r="O26" s="87">
        <f>VLOOKUP($A26,'Data shares'!$C:$FA,81)</f>
        <v>-1.7000000000000001E-2</v>
      </c>
    </row>
    <row r="27" spans="1:15" x14ac:dyDescent="0.25">
      <c r="A27" s="100" t="str">
        <f>'Data Vlaue (Cr)'!C22</f>
        <v>BAJAJ-AUTO</v>
      </c>
      <c r="B27" s="82">
        <f>VLOOKUP(A27,'Data shares'!$C$2:$CV$220,98,0)</f>
        <v>5395800</v>
      </c>
      <c r="C27" s="82">
        <f>VLOOKUP(A27,'Data shares'!$C$2:$CX$220,100,0)</f>
        <v>-90975</v>
      </c>
      <c r="D27" s="141">
        <f>VLOOKUP(A27,'Data shares'!$C$2:$CY$543,101,0)</f>
        <v>-1.66E-2</v>
      </c>
      <c r="E27" s="86">
        <f>VLOOKUP($A27,'Data shares'!$C:$FA,74)</f>
        <v>3038625</v>
      </c>
      <c r="F27" s="86">
        <f>VLOOKUP($A27,'Data shares'!$C:$FA,76)</f>
        <v>-26625</v>
      </c>
      <c r="G27" s="87">
        <f>VLOOKUP(A27,'Data shares'!$C$2:$CA$220,77,0)</f>
        <v>-8.6999999999999994E-3</v>
      </c>
      <c r="H27" s="86">
        <f>VLOOKUP($A27,'Data shares'!$C:$FA,90)</f>
        <v>1235550</v>
      </c>
      <c r="I27" s="86">
        <f>VLOOKUP($A27,'Data shares'!$C:$FA,92)</f>
        <v>-46950</v>
      </c>
      <c r="J27" s="87">
        <f>VLOOKUP($A27,'Data shares'!$C:$FA,93)</f>
        <v>-3.6600000000000001E-2</v>
      </c>
      <c r="K27" s="86">
        <f>VLOOKUP($A27,'Data shares'!$C:$FA,94)</f>
        <v>1121625</v>
      </c>
      <c r="L27" s="86">
        <f>VLOOKUP($A27,'Data shares'!$C:$FA,96)</f>
        <v>-17400</v>
      </c>
      <c r="M27" s="87">
        <f>VLOOKUP($A27,'Data shares'!$C:$FA,97)</f>
        <v>-1.5299999999999999E-2</v>
      </c>
      <c r="N27" s="86">
        <f>VLOOKUP($A27,'Data shares'!$C:$FA,78)</f>
        <v>2733600</v>
      </c>
      <c r="O27" s="87">
        <f>VLOOKUP($A27,'Data shares'!$C:$FA,81)</f>
        <v>-1.5900000000000001E-2</v>
      </c>
    </row>
    <row r="28" spans="1:15" x14ac:dyDescent="0.25">
      <c r="A28" s="100" t="str">
        <f>'Data Vlaue (Cr)'!C23</f>
        <v>BAJAJFINSV</v>
      </c>
      <c r="B28" s="82">
        <f>VLOOKUP(A28,'Data shares'!$C$2:$CV$220,98,0)</f>
        <v>18117250</v>
      </c>
      <c r="C28" s="82">
        <f>VLOOKUP(A28,'Data shares'!$C$2:$CX$220,100,0)</f>
        <v>-162250</v>
      </c>
      <c r="D28" s="141">
        <f>VLOOKUP(A28,'Data shares'!$C$2:$CY$543,101,0)</f>
        <v>-8.8999999999999999E-3</v>
      </c>
      <c r="E28" s="86">
        <f>VLOOKUP($A28,'Data shares'!$C:$FA,74)</f>
        <v>11019000</v>
      </c>
      <c r="F28" s="86">
        <f>VLOOKUP($A28,'Data shares'!$C:$FA,76)</f>
        <v>-183250</v>
      </c>
      <c r="G28" s="87">
        <f>VLOOKUP(A28,'Data shares'!$C$2:$CA$220,77,0)</f>
        <v>-1.6400000000000001E-2</v>
      </c>
      <c r="H28" s="86">
        <f>VLOOKUP($A28,'Data shares'!$C:$FA,90)</f>
        <v>3527250</v>
      </c>
      <c r="I28" s="86">
        <f>VLOOKUP($A28,'Data shares'!$C:$FA,92)</f>
        <v>28500</v>
      </c>
      <c r="J28" s="87">
        <f>VLOOKUP($A28,'Data shares'!$C:$FA,93)</f>
        <v>8.0999999999999996E-3</v>
      </c>
      <c r="K28" s="86">
        <f>VLOOKUP($A28,'Data shares'!$C:$FA,94)</f>
        <v>3571000</v>
      </c>
      <c r="L28" s="86">
        <f>VLOOKUP($A28,'Data shares'!$C:$FA,96)</f>
        <v>-7500</v>
      </c>
      <c r="M28" s="87">
        <f>VLOOKUP($A28,'Data shares'!$C:$FA,97)</f>
        <v>-2.0999999999999999E-3</v>
      </c>
      <c r="N28" s="86">
        <f>VLOOKUP($A28,'Data shares'!$C:$FA,78)</f>
        <v>8966250</v>
      </c>
      <c r="O28" s="87">
        <f>VLOOKUP($A28,'Data shares'!$C:$FA,81)</f>
        <v>-5.1700000000000003E-2</v>
      </c>
    </row>
    <row r="29" spans="1:15" x14ac:dyDescent="0.25">
      <c r="A29" s="100" t="str">
        <f>'Data Vlaue (Cr)'!C24</f>
        <v>BAJAJHLDNG</v>
      </c>
      <c r="B29" s="82">
        <f>VLOOKUP(A29,'Data shares'!$C$2:$CV$220,98,0)</f>
        <v>426050</v>
      </c>
      <c r="C29" s="82">
        <f>VLOOKUP(A29,'Data shares'!$C$2:$CX$220,100,0)</f>
        <v>50</v>
      </c>
      <c r="D29" s="141">
        <f>VLOOKUP(A29,'Data shares'!$C$2:$CY$543,101,0)</f>
        <v>1E-4</v>
      </c>
      <c r="E29" s="86">
        <f>VLOOKUP($A29,'Data shares'!$C:$FA,74)</f>
        <v>294050</v>
      </c>
      <c r="F29" s="86">
        <f>VLOOKUP($A29,'Data shares'!$C:$FA,76)</f>
        <v>250</v>
      </c>
      <c r="G29" s="87">
        <f>VLOOKUP(A29,'Data shares'!$C$2:$CA$220,77,0)</f>
        <v>8.9999999999999998E-4</v>
      </c>
      <c r="H29" s="86">
        <f>VLOOKUP($A29,'Data shares'!$C:$FA,90)</f>
        <v>75400</v>
      </c>
      <c r="I29" s="86">
        <f>VLOOKUP($A29,'Data shares'!$C:$FA,92)</f>
        <v>-9900</v>
      </c>
      <c r="J29" s="87">
        <f>VLOOKUP($A29,'Data shares'!$C:$FA,93)</f>
        <v>-0.11609999999999999</v>
      </c>
      <c r="K29" s="86">
        <f>VLOOKUP($A29,'Data shares'!$C:$FA,94)</f>
        <v>56600</v>
      </c>
      <c r="L29" s="86">
        <f>VLOOKUP($A29,'Data shares'!$C:$FA,96)</f>
        <v>9700</v>
      </c>
      <c r="M29" s="87">
        <f>VLOOKUP($A29,'Data shares'!$C:$FA,97)</f>
        <v>0.20680000000000001</v>
      </c>
      <c r="N29" s="86">
        <f>VLOOKUP($A29,'Data shares'!$C:$FA,78)</f>
        <v>259700</v>
      </c>
      <c r="O29" s="87">
        <f>VLOOKUP($A29,'Data shares'!$C:$FA,81)</f>
        <v>-2.3E-3</v>
      </c>
    </row>
    <row r="30" spans="1:15" x14ac:dyDescent="0.25">
      <c r="A30" s="100" t="str">
        <f>'Data Vlaue (Cr)'!C25</f>
        <v>BAJFINANCE</v>
      </c>
      <c r="B30" s="82">
        <f>VLOOKUP(A30,'Data shares'!$C$2:$CV$220,98,0)</f>
        <v>108551250</v>
      </c>
      <c r="C30" s="82">
        <f>VLOOKUP(A30,'Data shares'!$C$2:$CX$220,100,0)</f>
        <v>-1445250</v>
      </c>
      <c r="D30" s="141">
        <f>VLOOKUP(A30,'Data shares'!$C$2:$CY$543,101,0)</f>
        <v>-1.3100000000000001E-2</v>
      </c>
      <c r="E30" s="86">
        <f>VLOOKUP($A30,'Data shares'!$C:$FA,74)</f>
        <v>70197750</v>
      </c>
      <c r="F30" s="86">
        <f>VLOOKUP($A30,'Data shares'!$C:$FA,76)</f>
        <v>-774750</v>
      </c>
      <c r="G30" s="87">
        <f>VLOOKUP(A30,'Data shares'!$C$2:$CA$220,77,0)</f>
        <v>-1.09E-2</v>
      </c>
      <c r="H30" s="86">
        <f>VLOOKUP($A30,'Data shares'!$C:$FA,90)</f>
        <v>21276000</v>
      </c>
      <c r="I30" s="86">
        <f>VLOOKUP($A30,'Data shares'!$C:$FA,92)</f>
        <v>-662250</v>
      </c>
      <c r="J30" s="87">
        <f>VLOOKUP($A30,'Data shares'!$C:$FA,93)</f>
        <v>-3.0200000000000001E-2</v>
      </c>
      <c r="K30" s="86">
        <f>VLOOKUP($A30,'Data shares'!$C:$FA,94)</f>
        <v>17077500</v>
      </c>
      <c r="L30" s="86">
        <f>VLOOKUP($A30,'Data shares'!$C:$FA,96)</f>
        <v>-8250</v>
      </c>
      <c r="M30" s="87">
        <f>VLOOKUP($A30,'Data shares'!$C:$FA,97)</f>
        <v>-5.0000000000000001E-4</v>
      </c>
      <c r="N30" s="86">
        <f>VLOOKUP($A30,'Data shares'!$C:$FA,78)</f>
        <v>64403250</v>
      </c>
      <c r="O30" s="87">
        <f>VLOOKUP($A30,'Data shares'!$C:$FA,81)</f>
        <v>-1.61E-2</v>
      </c>
    </row>
    <row r="31" spans="1:15" x14ac:dyDescent="0.25">
      <c r="A31" s="100" t="str">
        <f>'Data Vlaue (Cr)'!C26</f>
        <v>BANDHANBNK</v>
      </c>
      <c r="B31" s="82">
        <f>VLOOKUP(A31,'Data shares'!$C$2:$CV$220,98,0)</f>
        <v>134139600</v>
      </c>
      <c r="C31" s="82">
        <f>VLOOKUP(A31,'Data shares'!$C$2:$CX$220,100,0)</f>
        <v>-1371600</v>
      </c>
      <c r="D31" s="141">
        <f>VLOOKUP(A31,'Data shares'!$C$2:$CY$543,101,0)</f>
        <v>-1.01E-2</v>
      </c>
      <c r="E31" s="86">
        <f>VLOOKUP($A31,'Data shares'!$C:$FA,74)</f>
        <v>87847200</v>
      </c>
      <c r="F31" s="86">
        <f>VLOOKUP($A31,'Data shares'!$C:$FA,76)</f>
        <v>-1206000</v>
      </c>
      <c r="G31" s="87">
        <f>VLOOKUP(A31,'Data shares'!$C$2:$CA$220,77,0)</f>
        <v>-1.35E-2</v>
      </c>
      <c r="H31" s="86">
        <f>VLOOKUP($A31,'Data shares'!$C:$FA,90)</f>
        <v>27104400</v>
      </c>
      <c r="I31" s="86">
        <f>VLOOKUP($A31,'Data shares'!$C:$FA,92)</f>
        <v>842400</v>
      </c>
      <c r="J31" s="87">
        <f>VLOOKUP($A31,'Data shares'!$C:$FA,93)</f>
        <v>3.2099999999999997E-2</v>
      </c>
      <c r="K31" s="86">
        <f>VLOOKUP($A31,'Data shares'!$C:$FA,94)</f>
        <v>19188000</v>
      </c>
      <c r="L31" s="86">
        <f>VLOOKUP($A31,'Data shares'!$C:$FA,96)</f>
        <v>-1008000</v>
      </c>
      <c r="M31" s="87">
        <f>VLOOKUP($A31,'Data shares'!$C:$FA,97)</f>
        <v>-4.99E-2</v>
      </c>
      <c r="N31" s="86">
        <f>VLOOKUP($A31,'Data shares'!$C:$FA,78)</f>
        <v>70084800</v>
      </c>
      <c r="O31" s="87">
        <f>VLOOKUP($A31,'Data shares'!$C:$FA,81)</f>
        <v>-4.65E-2</v>
      </c>
    </row>
    <row r="32" spans="1:15" x14ac:dyDescent="0.25">
      <c r="A32" s="100" t="str">
        <f>'Data Vlaue (Cr)'!C27</f>
        <v>BANKBARODA</v>
      </c>
      <c r="B32" s="82">
        <f>VLOOKUP(A32,'Data shares'!$C$2:$CV$220,98,0)</f>
        <v>188144775</v>
      </c>
      <c r="C32" s="82">
        <f>VLOOKUP(A32,'Data shares'!$C$2:$CX$220,100,0)</f>
        <v>4153500</v>
      </c>
      <c r="D32" s="141">
        <f>VLOOKUP(A32,'Data shares'!$C$2:$CY$543,101,0)</f>
        <v>2.2599999999999999E-2</v>
      </c>
      <c r="E32" s="86">
        <f>VLOOKUP($A32,'Data shares'!$C:$FA,74)</f>
        <v>102313575</v>
      </c>
      <c r="F32" s="86">
        <f>VLOOKUP($A32,'Data shares'!$C:$FA,76)</f>
        <v>-1020825</v>
      </c>
      <c r="G32" s="87">
        <f>VLOOKUP(A32,'Data shares'!$C$2:$CA$220,77,0)</f>
        <v>-9.9000000000000008E-3</v>
      </c>
      <c r="H32" s="86">
        <f>VLOOKUP($A32,'Data shares'!$C:$FA,90)</f>
        <v>44106075</v>
      </c>
      <c r="I32" s="86">
        <f>VLOOKUP($A32,'Data shares'!$C:$FA,92)</f>
        <v>2822625</v>
      </c>
      <c r="J32" s="87">
        <f>VLOOKUP($A32,'Data shares'!$C:$FA,93)</f>
        <v>6.8400000000000002E-2</v>
      </c>
      <c r="K32" s="86">
        <f>VLOOKUP($A32,'Data shares'!$C:$FA,94)</f>
        <v>41725125</v>
      </c>
      <c r="L32" s="86">
        <f>VLOOKUP($A32,'Data shares'!$C:$FA,96)</f>
        <v>2351700</v>
      </c>
      <c r="M32" s="87">
        <f>VLOOKUP($A32,'Data shares'!$C:$FA,97)</f>
        <v>5.9700000000000003E-2</v>
      </c>
      <c r="N32" s="86">
        <f>VLOOKUP($A32,'Data shares'!$C:$FA,78)</f>
        <v>85959900</v>
      </c>
      <c r="O32" s="87">
        <f>VLOOKUP($A32,'Data shares'!$C:$FA,81)</f>
        <v>-3.9E-2</v>
      </c>
    </row>
    <row r="33" spans="1:15" x14ac:dyDescent="0.25">
      <c r="A33" s="100" t="str">
        <f>'Data Vlaue (Cr)'!C28</f>
        <v>BANKINDIA</v>
      </c>
      <c r="B33" s="82">
        <f>VLOOKUP(A33,'Data shares'!$C$2:$CV$220,98,0)</f>
        <v>109818800</v>
      </c>
      <c r="C33" s="82">
        <f>VLOOKUP(A33,'Data shares'!$C$2:$CX$220,100,0)</f>
        <v>5319600</v>
      </c>
      <c r="D33" s="141">
        <f>VLOOKUP(A33,'Data shares'!$C$2:$CY$543,101,0)</f>
        <v>5.0900000000000001E-2</v>
      </c>
      <c r="E33" s="86">
        <f>VLOOKUP($A33,'Data shares'!$C:$FA,74)</f>
        <v>57205200</v>
      </c>
      <c r="F33" s="86">
        <f>VLOOKUP($A33,'Data shares'!$C:$FA,76)</f>
        <v>722800</v>
      </c>
      <c r="G33" s="87">
        <f>VLOOKUP(A33,'Data shares'!$C$2:$CA$220,77,0)</f>
        <v>1.2800000000000001E-2</v>
      </c>
      <c r="H33" s="86">
        <f>VLOOKUP($A33,'Data shares'!$C:$FA,90)</f>
        <v>30004000</v>
      </c>
      <c r="I33" s="86">
        <f>VLOOKUP($A33,'Data shares'!$C:$FA,92)</f>
        <v>4378400</v>
      </c>
      <c r="J33" s="87">
        <f>VLOOKUP($A33,'Data shares'!$C:$FA,93)</f>
        <v>0.1709</v>
      </c>
      <c r="K33" s="86">
        <f>VLOOKUP($A33,'Data shares'!$C:$FA,94)</f>
        <v>22609600</v>
      </c>
      <c r="L33" s="86">
        <f>VLOOKUP($A33,'Data shares'!$C:$FA,96)</f>
        <v>218400</v>
      </c>
      <c r="M33" s="87">
        <f>VLOOKUP($A33,'Data shares'!$C:$FA,97)</f>
        <v>9.7999999999999997E-3</v>
      </c>
      <c r="N33" s="86">
        <f>VLOOKUP($A33,'Data shares'!$C:$FA,78)</f>
        <v>51350000</v>
      </c>
      <c r="O33" s="87">
        <f>VLOOKUP($A33,'Data shares'!$C:$FA,81)</f>
        <v>-1.2999999999999999E-2</v>
      </c>
    </row>
    <row r="34" spans="1:15" x14ac:dyDescent="0.25">
      <c r="A34" s="100" t="str">
        <f>'Data Vlaue (Cr)'!C29</f>
        <v>BANKNIFTY</v>
      </c>
      <c r="B34" s="82">
        <f>VLOOKUP(A34,'Data shares'!$C$2:$CV$220,98,0)</f>
        <v>41878200</v>
      </c>
      <c r="C34" s="82">
        <f>VLOOKUP(A34,'Data shares'!$C$2:$CX$220,100,0)</f>
        <v>764100</v>
      </c>
      <c r="D34" s="141">
        <f>VLOOKUP(A34,'Data shares'!$C$2:$CY$543,101,0)</f>
        <v>1.8599999999999998E-2</v>
      </c>
      <c r="E34" s="86">
        <f>VLOOKUP($A34,'Data shares'!$C:$FA,74)</f>
        <v>2434770</v>
      </c>
      <c r="F34" s="86">
        <f>VLOOKUP($A34,'Data shares'!$C:$FA,76)</f>
        <v>-167700</v>
      </c>
      <c r="G34" s="87">
        <f>VLOOKUP(A34,'Data shares'!$C$2:$CA$220,77,0)</f>
        <v>-6.4399999999999999E-2</v>
      </c>
      <c r="H34" s="86">
        <f>VLOOKUP($A34,'Data shares'!$C:$FA,90)</f>
        <v>19775550</v>
      </c>
      <c r="I34" s="86">
        <f>VLOOKUP($A34,'Data shares'!$C:$FA,92)</f>
        <v>-150690</v>
      </c>
      <c r="J34" s="87">
        <f>VLOOKUP($A34,'Data shares'!$C:$FA,93)</f>
        <v>-7.6E-3</v>
      </c>
      <c r="K34" s="86">
        <f>VLOOKUP($A34,'Data shares'!$C:$FA,94)</f>
        <v>19667880</v>
      </c>
      <c r="L34" s="86">
        <f>VLOOKUP($A34,'Data shares'!$C:$FA,96)</f>
        <v>1082490</v>
      </c>
      <c r="M34" s="87">
        <f>VLOOKUP($A34,'Data shares'!$C:$FA,97)</f>
        <v>5.8200000000000002E-2</v>
      </c>
      <c r="N34" s="86">
        <f>VLOOKUP($A34,'Data shares'!$C:$FA,78)</f>
        <v>1798770</v>
      </c>
      <c r="O34" s="87">
        <f>VLOOKUP($A34,'Data shares'!$C:$FA,81)</f>
        <v>-9.1499999999999998E-2</v>
      </c>
    </row>
    <row r="35" spans="1:15" x14ac:dyDescent="0.25">
      <c r="A35" s="100" t="str">
        <f>'Data Vlaue (Cr)'!C30</f>
        <v>BDL</v>
      </c>
      <c r="B35" s="82">
        <f>VLOOKUP(A35,'Data shares'!$C$2:$CV$220,98,0)</f>
        <v>9951550</v>
      </c>
      <c r="C35" s="82">
        <f>VLOOKUP(A35,'Data shares'!$C$2:$CX$220,100,0)</f>
        <v>26950</v>
      </c>
      <c r="D35" s="141">
        <f>VLOOKUP(A35,'Data shares'!$C$2:$CY$543,101,0)</f>
        <v>2.7000000000000001E-3</v>
      </c>
      <c r="E35" s="86">
        <f>VLOOKUP($A35,'Data shares'!$C:$FA,74)</f>
        <v>3959200</v>
      </c>
      <c r="F35" s="86">
        <f>VLOOKUP($A35,'Data shares'!$C:$FA,76)</f>
        <v>14350</v>
      </c>
      <c r="G35" s="87">
        <f>VLOOKUP(A35,'Data shares'!$C$2:$CA$220,77,0)</f>
        <v>3.5999999999999999E-3</v>
      </c>
      <c r="H35" s="86">
        <f>VLOOKUP($A35,'Data shares'!$C:$FA,90)</f>
        <v>3253600</v>
      </c>
      <c r="I35" s="86">
        <f>VLOOKUP($A35,'Data shares'!$C:$FA,92)</f>
        <v>-61950</v>
      </c>
      <c r="J35" s="87">
        <f>VLOOKUP($A35,'Data shares'!$C:$FA,93)</f>
        <v>-1.8700000000000001E-2</v>
      </c>
      <c r="K35" s="86">
        <f>VLOOKUP($A35,'Data shares'!$C:$FA,94)</f>
        <v>2738750</v>
      </c>
      <c r="L35" s="86">
        <f>VLOOKUP($A35,'Data shares'!$C:$FA,96)</f>
        <v>74550</v>
      </c>
      <c r="M35" s="87">
        <f>VLOOKUP($A35,'Data shares'!$C:$FA,97)</f>
        <v>2.8000000000000001E-2</v>
      </c>
      <c r="N35" s="86">
        <f>VLOOKUP($A35,'Data shares'!$C:$FA,78)</f>
        <v>3057600</v>
      </c>
      <c r="O35" s="87">
        <f>VLOOKUP($A35,'Data shares'!$C:$FA,81)</f>
        <v>-1.7999999999999999E-2</v>
      </c>
    </row>
    <row r="36" spans="1:15" x14ac:dyDescent="0.25">
      <c r="A36" s="100" t="str">
        <f>'Data Vlaue (Cr)'!C31</f>
        <v>BEL</v>
      </c>
      <c r="B36" s="82">
        <f>VLOOKUP(A36,'Data shares'!$C$2:$CV$220,98,0)</f>
        <v>179621250</v>
      </c>
      <c r="C36" s="82">
        <f>VLOOKUP(A36,'Data shares'!$C$2:$CX$220,100,0)</f>
        <v>430350</v>
      </c>
      <c r="D36" s="141">
        <f>VLOOKUP(A36,'Data shares'!$C$2:$CY$543,101,0)</f>
        <v>2.3999999999999998E-3</v>
      </c>
      <c r="E36" s="86">
        <f>VLOOKUP($A36,'Data shares'!$C:$FA,74)</f>
        <v>105950175</v>
      </c>
      <c r="F36" s="86">
        <f>VLOOKUP($A36,'Data shares'!$C:$FA,76)</f>
        <v>213750</v>
      </c>
      <c r="G36" s="87">
        <f>VLOOKUP(A36,'Data shares'!$C$2:$CA$220,77,0)</f>
        <v>2E-3</v>
      </c>
      <c r="H36" s="86">
        <f>VLOOKUP($A36,'Data shares'!$C:$FA,90)</f>
        <v>42465000</v>
      </c>
      <c r="I36" s="86">
        <f>VLOOKUP($A36,'Data shares'!$C:$FA,92)</f>
        <v>537225</v>
      </c>
      <c r="J36" s="87">
        <f>VLOOKUP($A36,'Data shares'!$C:$FA,93)</f>
        <v>1.2800000000000001E-2</v>
      </c>
      <c r="K36" s="86">
        <f>VLOOKUP($A36,'Data shares'!$C:$FA,94)</f>
        <v>31206075</v>
      </c>
      <c r="L36" s="86">
        <f>VLOOKUP($A36,'Data shares'!$C:$FA,96)</f>
        <v>-320625</v>
      </c>
      <c r="M36" s="87">
        <f>VLOOKUP($A36,'Data shares'!$C:$FA,97)</f>
        <v>-1.0200000000000001E-2</v>
      </c>
      <c r="N36" s="86">
        <f>VLOOKUP($A36,'Data shares'!$C:$FA,78)</f>
        <v>88030800</v>
      </c>
      <c r="O36" s="87">
        <f>VLOOKUP($A36,'Data shares'!$C:$FA,81)</f>
        <v>-3.0599999999999999E-2</v>
      </c>
    </row>
    <row r="37" spans="1:15" x14ac:dyDescent="0.25">
      <c r="A37" s="100" t="str">
        <f>'Data Vlaue (Cr)'!C32</f>
        <v>BHARATFORG</v>
      </c>
      <c r="B37" s="82">
        <f>VLOOKUP(A37,'Data shares'!$C$2:$CV$220,98,0)</f>
        <v>13395500</v>
      </c>
      <c r="C37" s="82">
        <f>VLOOKUP(A37,'Data shares'!$C$2:$CX$220,100,0)</f>
        <v>85000</v>
      </c>
      <c r="D37" s="141">
        <f>VLOOKUP(A37,'Data shares'!$C$2:$CY$543,101,0)</f>
        <v>6.4000000000000003E-3</v>
      </c>
      <c r="E37" s="86">
        <f>VLOOKUP($A37,'Data shares'!$C:$FA,74)</f>
        <v>8113500</v>
      </c>
      <c r="F37" s="86">
        <f>VLOOKUP($A37,'Data shares'!$C:$FA,76)</f>
        <v>27500</v>
      </c>
      <c r="G37" s="87">
        <f>VLOOKUP(A37,'Data shares'!$C$2:$CA$220,77,0)</f>
        <v>3.3999999999999998E-3</v>
      </c>
      <c r="H37" s="86">
        <f>VLOOKUP($A37,'Data shares'!$C:$FA,90)</f>
        <v>3185000</v>
      </c>
      <c r="I37" s="86">
        <f>VLOOKUP($A37,'Data shares'!$C:$FA,92)</f>
        <v>-54000</v>
      </c>
      <c r="J37" s="87">
        <f>VLOOKUP($A37,'Data shares'!$C:$FA,93)</f>
        <v>-1.67E-2</v>
      </c>
      <c r="K37" s="86">
        <f>VLOOKUP($A37,'Data shares'!$C:$FA,94)</f>
        <v>2097000</v>
      </c>
      <c r="L37" s="86">
        <f>VLOOKUP($A37,'Data shares'!$C:$FA,96)</f>
        <v>111500</v>
      </c>
      <c r="M37" s="87">
        <f>VLOOKUP($A37,'Data shares'!$C:$FA,97)</f>
        <v>5.62E-2</v>
      </c>
      <c r="N37" s="86">
        <f>VLOOKUP($A37,'Data shares'!$C:$FA,78)</f>
        <v>7659500</v>
      </c>
      <c r="O37" s="87">
        <f>VLOOKUP($A37,'Data shares'!$C:$FA,81)</f>
        <v>-8.5000000000000006E-3</v>
      </c>
    </row>
    <row r="38" spans="1:15" x14ac:dyDescent="0.25">
      <c r="A38" s="100" t="str">
        <f>'Data Vlaue (Cr)'!C33</f>
        <v>BHARTIARTL</v>
      </c>
      <c r="B38" s="82">
        <f>VLOOKUP(A38,'Data shares'!$C$2:$CV$220,98,0)</f>
        <v>83023350</v>
      </c>
      <c r="C38" s="82">
        <f>VLOOKUP(A38,'Data shares'!$C$2:$CX$220,100,0)</f>
        <v>288800</v>
      </c>
      <c r="D38" s="141">
        <f>VLOOKUP(A38,'Data shares'!$C$2:$CY$543,101,0)</f>
        <v>3.5000000000000001E-3</v>
      </c>
      <c r="E38" s="86">
        <f>VLOOKUP($A38,'Data shares'!$C:$FA,74)</f>
        <v>60472250</v>
      </c>
      <c r="F38" s="86">
        <f>VLOOKUP($A38,'Data shares'!$C:$FA,76)</f>
        <v>-210900</v>
      </c>
      <c r="G38" s="87">
        <f>VLOOKUP(A38,'Data shares'!$C$2:$CA$220,77,0)</f>
        <v>-3.5000000000000001E-3</v>
      </c>
      <c r="H38" s="86">
        <f>VLOOKUP($A38,'Data shares'!$C:$FA,90)</f>
        <v>14108925</v>
      </c>
      <c r="I38" s="86">
        <f>VLOOKUP($A38,'Data shares'!$C:$FA,92)</f>
        <v>407075</v>
      </c>
      <c r="J38" s="87">
        <f>VLOOKUP($A38,'Data shares'!$C:$FA,93)</f>
        <v>2.9700000000000001E-2</v>
      </c>
      <c r="K38" s="86">
        <f>VLOOKUP($A38,'Data shares'!$C:$FA,94)</f>
        <v>8442175</v>
      </c>
      <c r="L38" s="86">
        <f>VLOOKUP($A38,'Data shares'!$C:$FA,96)</f>
        <v>92625</v>
      </c>
      <c r="M38" s="87">
        <f>VLOOKUP($A38,'Data shares'!$C:$FA,97)</f>
        <v>1.11E-2</v>
      </c>
      <c r="N38" s="86">
        <f>VLOOKUP($A38,'Data shares'!$C:$FA,78)</f>
        <v>43454425</v>
      </c>
      <c r="O38" s="87">
        <f>VLOOKUP($A38,'Data shares'!$C:$FA,81)</f>
        <v>-3.8699999999999998E-2</v>
      </c>
    </row>
    <row r="39" spans="1:15" x14ac:dyDescent="0.25">
      <c r="A39" s="100" t="str">
        <f>'Data Vlaue (Cr)'!C34</f>
        <v>BHEL</v>
      </c>
      <c r="B39" s="82">
        <f>VLOOKUP(A39,'Data shares'!$C$2:$CV$220,98,0)</f>
        <v>204807750</v>
      </c>
      <c r="C39" s="82">
        <f>VLOOKUP(A39,'Data shares'!$C$2:$CX$220,100,0)</f>
        <v>22491000</v>
      </c>
      <c r="D39" s="141">
        <f>VLOOKUP(A39,'Data shares'!$C$2:$CY$543,101,0)</f>
        <v>0.1234</v>
      </c>
      <c r="E39" s="86">
        <f>VLOOKUP($A39,'Data shares'!$C:$FA,74)</f>
        <v>105821625</v>
      </c>
      <c r="F39" s="86">
        <f>VLOOKUP($A39,'Data shares'!$C:$FA,76)</f>
        <v>6040125</v>
      </c>
      <c r="G39" s="87">
        <f>VLOOKUP(A39,'Data shares'!$C$2:$CA$220,77,0)</f>
        <v>6.0499999999999998E-2</v>
      </c>
      <c r="H39" s="86">
        <f>VLOOKUP($A39,'Data shares'!$C:$FA,90)</f>
        <v>53124750</v>
      </c>
      <c r="I39" s="86">
        <f>VLOOKUP($A39,'Data shares'!$C:$FA,92)</f>
        <v>9329250</v>
      </c>
      <c r="J39" s="87">
        <f>VLOOKUP($A39,'Data shares'!$C:$FA,93)</f>
        <v>0.21299999999999999</v>
      </c>
      <c r="K39" s="86">
        <f>VLOOKUP($A39,'Data shares'!$C:$FA,94)</f>
        <v>45861375</v>
      </c>
      <c r="L39" s="86">
        <f>VLOOKUP($A39,'Data shares'!$C:$FA,96)</f>
        <v>7121625</v>
      </c>
      <c r="M39" s="87">
        <f>VLOOKUP($A39,'Data shares'!$C:$FA,97)</f>
        <v>0.18379999999999999</v>
      </c>
      <c r="N39" s="86">
        <f>VLOOKUP($A39,'Data shares'!$C:$FA,78)</f>
        <v>98579250</v>
      </c>
      <c r="O39" s="87">
        <f>VLOOKUP($A39,'Data shares'!$C:$FA,81)</f>
        <v>4.0399999999999998E-2</v>
      </c>
    </row>
    <row r="40" spans="1:15" x14ac:dyDescent="0.25">
      <c r="A40" s="100" t="str">
        <f>'Data Vlaue (Cr)'!C35</f>
        <v>BIOCON</v>
      </c>
      <c r="B40" s="82">
        <f>VLOOKUP(A40,'Data shares'!$C$2:$CV$220,98,0)</f>
        <v>75410000</v>
      </c>
      <c r="C40" s="82">
        <f>VLOOKUP(A40,'Data shares'!$C$2:$CX$220,100,0)</f>
        <v>-1262500</v>
      </c>
      <c r="D40" s="141">
        <f>VLOOKUP(A40,'Data shares'!$C$2:$CY$543,101,0)</f>
        <v>-1.6500000000000001E-2</v>
      </c>
      <c r="E40" s="86">
        <f>VLOOKUP($A40,'Data shares'!$C:$FA,74)</f>
        <v>36292500</v>
      </c>
      <c r="F40" s="86">
        <f>VLOOKUP($A40,'Data shares'!$C:$FA,76)</f>
        <v>-560000</v>
      </c>
      <c r="G40" s="87">
        <f>VLOOKUP(A40,'Data shares'!$C$2:$CA$220,77,0)</f>
        <v>-1.52E-2</v>
      </c>
      <c r="H40" s="86">
        <f>VLOOKUP($A40,'Data shares'!$C:$FA,90)</f>
        <v>23347500</v>
      </c>
      <c r="I40" s="86">
        <f>VLOOKUP($A40,'Data shares'!$C:$FA,92)</f>
        <v>-940000</v>
      </c>
      <c r="J40" s="87">
        <f>VLOOKUP($A40,'Data shares'!$C:$FA,93)</f>
        <v>-3.8699999999999998E-2</v>
      </c>
      <c r="K40" s="86">
        <f>VLOOKUP($A40,'Data shares'!$C:$FA,94)</f>
        <v>15770000</v>
      </c>
      <c r="L40" s="86">
        <f>VLOOKUP($A40,'Data shares'!$C:$FA,96)</f>
        <v>237500</v>
      </c>
      <c r="M40" s="87">
        <f>VLOOKUP($A40,'Data shares'!$C:$FA,97)</f>
        <v>1.5299999999999999E-2</v>
      </c>
      <c r="N40" s="86">
        <f>VLOOKUP($A40,'Data shares'!$C:$FA,78)</f>
        <v>32680000</v>
      </c>
      <c r="O40" s="87">
        <f>VLOOKUP($A40,'Data shares'!$C:$FA,81)</f>
        <v>-3.1300000000000001E-2</v>
      </c>
    </row>
    <row r="41" spans="1:15" x14ac:dyDescent="0.25">
      <c r="A41" s="100" t="str">
        <f>'Data Vlaue (Cr)'!C36</f>
        <v>BLUESTARCO</v>
      </c>
      <c r="B41" s="82">
        <f>VLOOKUP(A41,'Data shares'!$C$2:$CV$220,98,0)</f>
        <v>6728475</v>
      </c>
      <c r="C41" s="82">
        <f>VLOOKUP(A41,'Data shares'!$C$2:$CX$220,100,0)</f>
        <v>641225</v>
      </c>
      <c r="D41" s="141">
        <f>VLOOKUP(A41,'Data shares'!$C$2:$CY$543,101,0)</f>
        <v>0.1053</v>
      </c>
      <c r="E41" s="86">
        <f>VLOOKUP($A41,'Data shares'!$C:$FA,74)</f>
        <v>3799900</v>
      </c>
      <c r="F41" s="86">
        <f>VLOOKUP($A41,'Data shares'!$C:$FA,76)</f>
        <v>243425</v>
      </c>
      <c r="G41" s="87">
        <f>VLOOKUP(A41,'Data shares'!$C$2:$CA$220,77,0)</f>
        <v>6.8400000000000002E-2</v>
      </c>
      <c r="H41" s="86">
        <f>VLOOKUP($A41,'Data shares'!$C:$FA,90)</f>
        <v>1734850</v>
      </c>
      <c r="I41" s="86">
        <f>VLOOKUP($A41,'Data shares'!$C:$FA,92)</f>
        <v>180375</v>
      </c>
      <c r="J41" s="87">
        <f>VLOOKUP($A41,'Data shares'!$C:$FA,93)</f>
        <v>0.11600000000000001</v>
      </c>
      <c r="K41" s="86">
        <f>VLOOKUP($A41,'Data shares'!$C:$FA,94)</f>
        <v>1193725</v>
      </c>
      <c r="L41" s="86">
        <f>VLOOKUP($A41,'Data shares'!$C:$FA,96)</f>
        <v>217425</v>
      </c>
      <c r="M41" s="87">
        <f>VLOOKUP($A41,'Data shares'!$C:$FA,97)</f>
        <v>0.22270000000000001</v>
      </c>
      <c r="N41" s="86">
        <f>VLOOKUP($A41,'Data shares'!$C:$FA,78)</f>
        <v>2743650</v>
      </c>
      <c r="O41" s="87">
        <f>VLOOKUP($A41,'Data shares'!$C:$FA,81)</f>
        <v>6.3899999999999998E-2</v>
      </c>
    </row>
    <row r="42" spans="1:15" x14ac:dyDescent="0.25">
      <c r="A42" s="100" t="str">
        <f>'Data Vlaue (Cr)'!C37</f>
        <v>BOSCHLTD</v>
      </c>
      <c r="B42" s="82">
        <f>VLOOKUP(A42,'Data shares'!$C$2:$CV$220,98,0)</f>
        <v>751600</v>
      </c>
      <c r="C42" s="82">
        <f>VLOOKUP(A42,'Data shares'!$C$2:$CX$220,100,0)</f>
        <v>-1325</v>
      </c>
      <c r="D42" s="141">
        <f>VLOOKUP(A42,'Data shares'!$C$2:$CY$543,101,0)</f>
        <v>-1.8E-3</v>
      </c>
      <c r="E42" s="86">
        <f>VLOOKUP($A42,'Data shares'!$C:$FA,74)</f>
        <v>270625</v>
      </c>
      <c r="F42" s="86">
        <f>VLOOKUP($A42,'Data shares'!$C:$FA,76)</f>
        <v>-2725</v>
      </c>
      <c r="G42" s="87">
        <f>VLOOKUP(A42,'Data shares'!$C$2:$CA$220,77,0)</f>
        <v>-0.01</v>
      </c>
      <c r="H42" s="86">
        <f>VLOOKUP($A42,'Data shares'!$C:$FA,90)</f>
        <v>258550</v>
      </c>
      <c r="I42" s="86">
        <f>VLOOKUP($A42,'Data shares'!$C:$FA,92)</f>
        <v>4625</v>
      </c>
      <c r="J42" s="87">
        <f>VLOOKUP($A42,'Data shares'!$C:$FA,93)</f>
        <v>1.8200000000000001E-2</v>
      </c>
      <c r="K42" s="86">
        <f>VLOOKUP($A42,'Data shares'!$C:$FA,94)</f>
        <v>222425</v>
      </c>
      <c r="L42" s="86">
        <f>VLOOKUP($A42,'Data shares'!$C:$FA,96)</f>
        <v>-3225</v>
      </c>
      <c r="M42" s="87">
        <f>VLOOKUP($A42,'Data shares'!$C:$FA,97)</f>
        <v>-1.43E-2</v>
      </c>
      <c r="N42" s="86">
        <f>VLOOKUP($A42,'Data shares'!$C:$FA,78)</f>
        <v>259725</v>
      </c>
      <c r="O42" s="87">
        <f>VLOOKUP($A42,'Data shares'!$C:$FA,81)</f>
        <v>-1.41E-2</v>
      </c>
    </row>
    <row r="43" spans="1:15" x14ac:dyDescent="0.25">
      <c r="A43" s="100" t="str">
        <f>'Data Vlaue (Cr)'!C38</f>
        <v>BPCL</v>
      </c>
      <c r="B43" s="82">
        <f>VLOOKUP(A43,'Data shares'!$C$2:$CV$220,98,0)</f>
        <v>105528200</v>
      </c>
      <c r="C43" s="82">
        <f>VLOOKUP(A43,'Data shares'!$C$2:$CX$220,100,0)</f>
        <v>7973075</v>
      </c>
      <c r="D43" s="141">
        <f>VLOOKUP(A43,'Data shares'!$C$2:$CY$543,101,0)</f>
        <v>8.1699999999999995E-2</v>
      </c>
      <c r="E43" s="86">
        <f>VLOOKUP($A43,'Data shares'!$C:$FA,74)</f>
        <v>56151225</v>
      </c>
      <c r="F43" s="86">
        <f>VLOOKUP($A43,'Data shares'!$C:$FA,76)</f>
        <v>1431875</v>
      </c>
      <c r="G43" s="87">
        <f>VLOOKUP(A43,'Data shares'!$C$2:$CA$220,77,0)</f>
        <v>2.6200000000000001E-2</v>
      </c>
      <c r="H43" s="86">
        <f>VLOOKUP($A43,'Data shares'!$C:$FA,90)</f>
        <v>27051575</v>
      </c>
      <c r="I43" s="86">
        <f>VLOOKUP($A43,'Data shares'!$C:$FA,92)</f>
        <v>4230450</v>
      </c>
      <c r="J43" s="87">
        <f>VLOOKUP($A43,'Data shares'!$C:$FA,93)</f>
        <v>0.18540000000000001</v>
      </c>
      <c r="K43" s="86">
        <f>VLOOKUP($A43,'Data shares'!$C:$FA,94)</f>
        <v>22325400</v>
      </c>
      <c r="L43" s="86">
        <f>VLOOKUP($A43,'Data shares'!$C:$FA,96)</f>
        <v>2310750</v>
      </c>
      <c r="M43" s="87">
        <f>VLOOKUP($A43,'Data shares'!$C:$FA,97)</f>
        <v>0.11550000000000001</v>
      </c>
      <c r="N43" s="86">
        <f>VLOOKUP($A43,'Data shares'!$C:$FA,78)</f>
        <v>52286150</v>
      </c>
      <c r="O43" s="87">
        <f>VLOOKUP($A43,'Data shares'!$C:$FA,81)</f>
        <v>2.3999999999999998E-3</v>
      </c>
    </row>
    <row r="44" spans="1:15" x14ac:dyDescent="0.25">
      <c r="A44" s="100" t="str">
        <f>'Data Vlaue (Cr)'!C39</f>
        <v>BRITANNIA</v>
      </c>
      <c r="B44" s="82">
        <f>VLOOKUP(A44,'Data shares'!$C$2:$CV$220,98,0)</f>
        <v>3896250</v>
      </c>
      <c r="C44" s="82">
        <f>VLOOKUP(A44,'Data shares'!$C$2:$CX$220,100,0)</f>
        <v>-67000</v>
      </c>
      <c r="D44" s="141">
        <f>VLOOKUP(A44,'Data shares'!$C$2:$CY$543,101,0)</f>
        <v>-1.6899999999999998E-2</v>
      </c>
      <c r="E44" s="86">
        <f>VLOOKUP($A44,'Data shares'!$C:$FA,74)</f>
        <v>2803000</v>
      </c>
      <c r="F44" s="86">
        <f>VLOOKUP($A44,'Data shares'!$C:$FA,76)</f>
        <v>13250</v>
      </c>
      <c r="G44" s="87">
        <f>VLOOKUP(A44,'Data shares'!$C$2:$CA$220,77,0)</f>
        <v>4.7000000000000002E-3</v>
      </c>
      <c r="H44" s="86">
        <f>VLOOKUP($A44,'Data shares'!$C:$FA,90)</f>
        <v>530875</v>
      </c>
      <c r="I44" s="86">
        <f>VLOOKUP($A44,'Data shares'!$C:$FA,92)</f>
        <v>-39000</v>
      </c>
      <c r="J44" s="87">
        <f>VLOOKUP($A44,'Data shares'!$C:$FA,93)</f>
        <v>-6.8400000000000002E-2</v>
      </c>
      <c r="K44" s="86">
        <f>VLOOKUP($A44,'Data shares'!$C:$FA,94)</f>
        <v>562375</v>
      </c>
      <c r="L44" s="86">
        <f>VLOOKUP($A44,'Data shares'!$C:$FA,96)</f>
        <v>-41250</v>
      </c>
      <c r="M44" s="87">
        <f>VLOOKUP($A44,'Data shares'!$C:$FA,97)</f>
        <v>-6.83E-2</v>
      </c>
      <c r="N44" s="86">
        <f>VLOOKUP($A44,'Data shares'!$C:$FA,78)</f>
        <v>2686250</v>
      </c>
      <c r="O44" s="87">
        <f>VLOOKUP($A44,'Data shares'!$C:$FA,81)</f>
        <v>-1.6000000000000001E-3</v>
      </c>
    </row>
    <row r="45" spans="1:15" x14ac:dyDescent="0.25">
      <c r="A45" s="100" t="str">
        <f>'Data Vlaue (Cr)'!C40</f>
        <v>BSE</v>
      </c>
      <c r="B45" s="82">
        <f>VLOOKUP(A45,'Data shares'!$C$2:$CV$220,98,0)</f>
        <v>26715375</v>
      </c>
      <c r="C45" s="82">
        <f>VLOOKUP(A45,'Data shares'!$C$2:$CX$220,100,0)</f>
        <v>-291000</v>
      </c>
      <c r="D45" s="141">
        <f>VLOOKUP(A45,'Data shares'!$C$2:$CY$543,101,0)</f>
        <v>-1.0800000000000001E-2</v>
      </c>
      <c r="E45" s="86">
        <f>VLOOKUP($A45,'Data shares'!$C:$FA,74)</f>
        <v>8185125</v>
      </c>
      <c r="F45" s="86">
        <f>VLOOKUP($A45,'Data shares'!$C:$FA,76)</f>
        <v>-222375</v>
      </c>
      <c r="G45" s="87">
        <f>VLOOKUP(A45,'Data shares'!$C$2:$CA$220,77,0)</f>
        <v>-2.64E-2</v>
      </c>
      <c r="H45" s="86">
        <f>VLOOKUP($A45,'Data shares'!$C:$FA,90)</f>
        <v>8366250</v>
      </c>
      <c r="I45" s="86">
        <f>VLOOKUP($A45,'Data shares'!$C:$FA,92)</f>
        <v>366000</v>
      </c>
      <c r="J45" s="87">
        <f>VLOOKUP($A45,'Data shares'!$C:$FA,93)</f>
        <v>4.5699999999999998E-2</v>
      </c>
      <c r="K45" s="86">
        <f>VLOOKUP($A45,'Data shares'!$C:$FA,94)</f>
        <v>10164000</v>
      </c>
      <c r="L45" s="86">
        <f>VLOOKUP($A45,'Data shares'!$C:$FA,96)</f>
        <v>-434625</v>
      </c>
      <c r="M45" s="87">
        <f>VLOOKUP($A45,'Data shares'!$C:$FA,97)</f>
        <v>-4.1000000000000002E-2</v>
      </c>
      <c r="N45" s="86">
        <f>VLOOKUP($A45,'Data shares'!$C:$FA,78)</f>
        <v>6739125</v>
      </c>
      <c r="O45" s="87">
        <f>VLOOKUP($A45,'Data shares'!$C:$FA,81)</f>
        <v>-7.9500000000000001E-2</v>
      </c>
    </row>
    <row r="46" spans="1:15" x14ac:dyDescent="0.25">
      <c r="A46" s="100" t="str">
        <f>'Data Vlaue (Cr)'!C41</f>
        <v>CAMS</v>
      </c>
      <c r="B46" s="82">
        <f>VLOOKUP(A46,'Data shares'!$C$2:$CV$220,98,0)</f>
        <v>13161000</v>
      </c>
      <c r="C46" s="82">
        <f>VLOOKUP(A46,'Data shares'!$C$2:$CX$220,100,0)</f>
        <v>35250</v>
      </c>
      <c r="D46" s="141">
        <f>VLOOKUP(A46,'Data shares'!$C$2:$CY$543,101,0)</f>
        <v>2.7000000000000001E-3</v>
      </c>
      <c r="E46" s="86">
        <f>VLOOKUP($A46,'Data shares'!$C:$FA,74)</f>
        <v>7620750</v>
      </c>
      <c r="F46" s="86">
        <f>VLOOKUP($A46,'Data shares'!$C:$FA,76)</f>
        <v>24750</v>
      </c>
      <c r="G46" s="87">
        <f>VLOOKUP(A46,'Data shares'!$C$2:$CA$220,77,0)</f>
        <v>3.3E-3</v>
      </c>
      <c r="H46" s="86">
        <f>VLOOKUP($A46,'Data shares'!$C:$FA,90)</f>
        <v>3016500</v>
      </c>
      <c r="I46" s="86">
        <f>VLOOKUP($A46,'Data shares'!$C:$FA,92)</f>
        <v>32250</v>
      </c>
      <c r="J46" s="87">
        <f>VLOOKUP($A46,'Data shares'!$C:$FA,93)</f>
        <v>1.0800000000000001E-2</v>
      </c>
      <c r="K46" s="86">
        <f>VLOOKUP($A46,'Data shares'!$C:$FA,94)</f>
        <v>2523750</v>
      </c>
      <c r="L46" s="86">
        <f>VLOOKUP($A46,'Data shares'!$C:$FA,96)</f>
        <v>-21750</v>
      </c>
      <c r="M46" s="87">
        <f>VLOOKUP($A46,'Data shares'!$C:$FA,97)</f>
        <v>-8.5000000000000006E-3</v>
      </c>
      <c r="N46" s="86">
        <f>VLOOKUP($A46,'Data shares'!$C:$FA,78)</f>
        <v>6304500</v>
      </c>
      <c r="O46" s="87">
        <f>VLOOKUP($A46,'Data shares'!$C:$FA,81)</f>
        <v>-9.9000000000000008E-3</v>
      </c>
    </row>
    <row r="47" spans="1:15" x14ac:dyDescent="0.25">
      <c r="A47" s="100" t="str">
        <f>'Data Vlaue (Cr)'!C42</f>
        <v>CANBK</v>
      </c>
      <c r="B47" s="82">
        <f>VLOOKUP(A47,'Data shares'!$C$2:$CV$220,98,0)</f>
        <v>354658500</v>
      </c>
      <c r="C47" s="82">
        <f>VLOOKUP(A47,'Data shares'!$C$2:$CX$220,100,0)</f>
        <v>11049750</v>
      </c>
      <c r="D47" s="141">
        <f>VLOOKUP(A47,'Data shares'!$C$2:$CY$543,101,0)</f>
        <v>3.2199999999999999E-2</v>
      </c>
      <c r="E47" s="86">
        <f>VLOOKUP($A47,'Data shares'!$C:$FA,74)</f>
        <v>201150000</v>
      </c>
      <c r="F47" s="86">
        <f>VLOOKUP($A47,'Data shares'!$C:$FA,76)</f>
        <v>2679750</v>
      </c>
      <c r="G47" s="87">
        <f>VLOOKUP(A47,'Data shares'!$C$2:$CA$220,77,0)</f>
        <v>1.35E-2</v>
      </c>
      <c r="H47" s="86">
        <f>VLOOKUP($A47,'Data shares'!$C:$FA,90)</f>
        <v>79562250</v>
      </c>
      <c r="I47" s="86">
        <f>VLOOKUP($A47,'Data shares'!$C:$FA,92)</f>
        <v>4259250</v>
      </c>
      <c r="J47" s="87">
        <f>VLOOKUP($A47,'Data shares'!$C:$FA,93)</f>
        <v>5.6599999999999998E-2</v>
      </c>
      <c r="K47" s="86">
        <f>VLOOKUP($A47,'Data shares'!$C:$FA,94)</f>
        <v>73946250</v>
      </c>
      <c r="L47" s="86">
        <f>VLOOKUP($A47,'Data shares'!$C:$FA,96)</f>
        <v>4110750</v>
      </c>
      <c r="M47" s="87">
        <f>VLOOKUP($A47,'Data shares'!$C:$FA,97)</f>
        <v>5.8900000000000001E-2</v>
      </c>
      <c r="N47" s="86">
        <f>VLOOKUP($A47,'Data shares'!$C:$FA,78)</f>
        <v>164517750</v>
      </c>
      <c r="O47" s="87">
        <f>VLOOKUP($A47,'Data shares'!$C:$FA,81)</f>
        <v>-1.7899999999999999E-2</v>
      </c>
    </row>
    <row r="48" spans="1:15" x14ac:dyDescent="0.25">
      <c r="A48" s="100" t="str">
        <f>'Data Vlaue (Cr)'!C43</f>
        <v>CDSL</v>
      </c>
      <c r="B48" s="82">
        <f>VLOOKUP(A48,'Data shares'!$C$2:$CV$220,98,0)</f>
        <v>21401125</v>
      </c>
      <c r="C48" s="82">
        <f>VLOOKUP(A48,'Data shares'!$C$2:$CX$220,100,0)</f>
        <v>1156625</v>
      </c>
      <c r="D48" s="141">
        <f>VLOOKUP(A48,'Data shares'!$C$2:$CY$543,101,0)</f>
        <v>5.7099999999999998E-2</v>
      </c>
      <c r="E48" s="86">
        <f>VLOOKUP($A48,'Data shares'!$C:$FA,74)</f>
        <v>11609000</v>
      </c>
      <c r="F48" s="86">
        <f>VLOOKUP($A48,'Data shares'!$C:$FA,76)</f>
        <v>659775</v>
      </c>
      <c r="G48" s="87">
        <f>VLOOKUP(A48,'Data shares'!$C$2:$CA$220,77,0)</f>
        <v>6.0299999999999999E-2</v>
      </c>
      <c r="H48" s="86">
        <f>VLOOKUP($A48,'Data shares'!$C:$FA,90)</f>
        <v>5206000</v>
      </c>
      <c r="I48" s="86">
        <f>VLOOKUP($A48,'Data shares'!$C:$FA,92)</f>
        <v>346275</v>
      </c>
      <c r="J48" s="87">
        <f>VLOOKUP($A48,'Data shares'!$C:$FA,93)</f>
        <v>7.1300000000000002E-2</v>
      </c>
      <c r="K48" s="86">
        <f>VLOOKUP($A48,'Data shares'!$C:$FA,94)</f>
        <v>4586125</v>
      </c>
      <c r="L48" s="86">
        <f>VLOOKUP($A48,'Data shares'!$C:$FA,96)</f>
        <v>150575</v>
      </c>
      <c r="M48" s="87">
        <f>VLOOKUP($A48,'Data shares'!$C:$FA,97)</f>
        <v>3.39E-2</v>
      </c>
      <c r="N48" s="86">
        <f>VLOOKUP($A48,'Data shares'!$C:$FA,78)</f>
        <v>7866475</v>
      </c>
      <c r="O48" s="87">
        <f>VLOOKUP($A48,'Data shares'!$C:$FA,81)</f>
        <v>2.4899999999999999E-2</v>
      </c>
    </row>
    <row r="49" spans="1:15" x14ac:dyDescent="0.25">
      <c r="A49" s="100" t="str">
        <f>'Data Vlaue (Cr)'!C44</f>
        <v>CGPOWER</v>
      </c>
      <c r="B49" s="82">
        <f>VLOOKUP(A49,'Data shares'!$C$2:$CV$220,98,0)</f>
        <v>29115050</v>
      </c>
      <c r="C49" s="82">
        <f>VLOOKUP(A49,'Data shares'!$C$2:$CX$220,100,0)</f>
        <v>2437800</v>
      </c>
      <c r="D49" s="141">
        <f>VLOOKUP(A49,'Data shares'!$C$2:$CY$543,101,0)</f>
        <v>9.1399999999999995E-2</v>
      </c>
      <c r="E49" s="86">
        <f>VLOOKUP($A49,'Data shares'!$C:$FA,74)</f>
        <v>20104200</v>
      </c>
      <c r="F49" s="86">
        <f>VLOOKUP($A49,'Data shares'!$C:$FA,76)</f>
        <v>217600</v>
      </c>
      <c r="G49" s="87">
        <f>VLOOKUP(A49,'Data shares'!$C$2:$CA$220,77,0)</f>
        <v>1.09E-2</v>
      </c>
      <c r="H49" s="86">
        <f>VLOOKUP($A49,'Data shares'!$C:$FA,90)</f>
        <v>5315900</v>
      </c>
      <c r="I49" s="86">
        <f>VLOOKUP($A49,'Data shares'!$C:$FA,92)</f>
        <v>1181500</v>
      </c>
      <c r="J49" s="87">
        <f>VLOOKUP($A49,'Data shares'!$C:$FA,93)</f>
        <v>0.2858</v>
      </c>
      <c r="K49" s="86">
        <f>VLOOKUP($A49,'Data shares'!$C:$FA,94)</f>
        <v>3694950</v>
      </c>
      <c r="L49" s="86">
        <f>VLOOKUP($A49,'Data shares'!$C:$FA,96)</f>
        <v>1038700</v>
      </c>
      <c r="M49" s="87">
        <f>VLOOKUP($A49,'Data shares'!$C:$FA,97)</f>
        <v>0.39100000000000001</v>
      </c>
      <c r="N49" s="86">
        <f>VLOOKUP($A49,'Data shares'!$C:$FA,78)</f>
        <v>18082900</v>
      </c>
      <c r="O49" s="87">
        <f>VLOOKUP($A49,'Data shares'!$C:$FA,81)</f>
        <v>8.0000000000000004E-4</v>
      </c>
    </row>
    <row r="50" spans="1:15" x14ac:dyDescent="0.25">
      <c r="A50" s="100" t="str">
        <f>'Data Vlaue (Cr)'!C45</f>
        <v>CHOLAFIN</v>
      </c>
      <c r="B50" s="82">
        <f>VLOOKUP(A50,'Data shares'!$C$2:$CV$220,98,0)</f>
        <v>29011250</v>
      </c>
      <c r="C50" s="82">
        <f>VLOOKUP(A50,'Data shares'!$C$2:$CX$220,100,0)</f>
        <v>300000</v>
      </c>
      <c r="D50" s="141">
        <f>VLOOKUP(A50,'Data shares'!$C$2:$CY$543,101,0)</f>
        <v>1.04E-2</v>
      </c>
      <c r="E50" s="86">
        <f>VLOOKUP($A50,'Data shares'!$C:$FA,74)</f>
        <v>19980000</v>
      </c>
      <c r="F50" s="86">
        <f>VLOOKUP($A50,'Data shares'!$C:$FA,76)</f>
        <v>65000</v>
      </c>
      <c r="G50" s="87">
        <f>VLOOKUP(A50,'Data shares'!$C$2:$CA$220,77,0)</f>
        <v>3.3E-3</v>
      </c>
      <c r="H50" s="86">
        <f>VLOOKUP($A50,'Data shares'!$C:$FA,90)</f>
        <v>4863125</v>
      </c>
      <c r="I50" s="86">
        <f>VLOOKUP($A50,'Data shares'!$C:$FA,92)</f>
        <v>122500</v>
      </c>
      <c r="J50" s="87">
        <f>VLOOKUP($A50,'Data shares'!$C:$FA,93)</f>
        <v>2.58E-2</v>
      </c>
      <c r="K50" s="86">
        <f>VLOOKUP($A50,'Data shares'!$C:$FA,94)</f>
        <v>4168125</v>
      </c>
      <c r="L50" s="86">
        <f>VLOOKUP($A50,'Data shares'!$C:$FA,96)</f>
        <v>112500</v>
      </c>
      <c r="M50" s="87">
        <f>VLOOKUP($A50,'Data shares'!$C:$FA,97)</f>
        <v>2.7699999999999999E-2</v>
      </c>
      <c r="N50" s="86">
        <f>VLOOKUP($A50,'Data shares'!$C:$FA,78)</f>
        <v>18525000</v>
      </c>
      <c r="O50" s="87">
        <f>VLOOKUP($A50,'Data shares'!$C:$FA,81)</f>
        <v>1.2999999999999999E-3</v>
      </c>
    </row>
    <row r="51" spans="1:15" x14ac:dyDescent="0.25">
      <c r="A51" s="100" t="str">
        <f>'Data Vlaue (Cr)'!C46</f>
        <v>CIPLA</v>
      </c>
      <c r="B51" s="82">
        <f>VLOOKUP(A51,'Data shares'!$C$2:$CV$220,98,0)</f>
        <v>24539250</v>
      </c>
      <c r="C51" s="82">
        <f>VLOOKUP(A51,'Data shares'!$C$2:$CX$220,100,0)</f>
        <v>739875</v>
      </c>
      <c r="D51" s="141">
        <f>VLOOKUP(A51,'Data shares'!$C$2:$CY$543,101,0)</f>
        <v>3.1099999999999999E-2</v>
      </c>
      <c r="E51" s="86">
        <f>VLOOKUP($A51,'Data shares'!$C:$FA,74)</f>
        <v>15757500</v>
      </c>
      <c r="F51" s="86">
        <f>VLOOKUP($A51,'Data shares'!$C:$FA,76)</f>
        <v>69375</v>
      </c>
      <c r="G51" s="87">
        <f>VLOOKUP(A51,'Data shares'!$C$2:$CA$220,77,0)</f>
        <v>4.4000000000000003E-3</v>
      </c>
      <c r="H51" s="86">
        <f>VLOOKUP($A51,'Data shares'!$C:$FA,90)</f>
        <v>4806750</v>
      </c>
      <c r="I51" s="86">
        <f>VLOOKUP($A51,'Data shares'!$C:$FA,92)</f>
        <v>522375</v>
      </c>
      <c r="J51" s="87">
        <f>VLOOKUP($A51,'Data shares'!$C:$FA,93)</f>
        <v>0.12189999999999999</v>
      </c>
      <c r="K51" s="86">
        <f>VLOOKUP($A51,'Data shares'!$C:$FA,94)</f>
        <v>3975000</v>
      </c>
      <c r="L51" s="86">
        <f>VLOOKUP($A51,'Data shares'!$C:$FA,96)</f>
        <v>148125</v>
      </c>
      <c r="M51" s="87">
        <f>VLOOKUP($A51,'Data shares'!$C:$FA,97)</f>
        <v>3.8699999999999998E-2</v>
      </c>
      <c r="N51" s="86">
        <f>VLOOKUP($A51,'Data shares'!$C:$FA,78)</f>
        <v>12848250</v>
      </c>
      <c r="O51" s="87">
        <f>VLOOKUP($A51,'Data shares'!$C:$FA,81)</f>
        <v>-8.4000000000000005E-2</v>
      </c>
    </row>
    <row r="52" spans="1:15" x14ac:dyDescent="0.25">
      <c r="A52" s="100" t="str">
        <f>'Data Vlaue (Cr)'!C47</f>
        <v>COALINDIA</v>
      </c>
      <c r="B52" s="82">
        <f>VLOOKUP(A52,'Data shares'!$C$2:$CV$220,98,0)</f>
        <v>139598100</v>
      </c>
      <c r="C52" s="82">
        <f>VLOOKUP(A52,'Data shares'!$C$2:$CX$220,100,0)</f>
        <v>-3199500</v>
      </c>
      <c r="D52" s="141">
        <f>VLOOKUP(A52,'Data shares'!$C$2:$CY$543,101,0)</f>
        <v>-2.24E-2</v>
      </c>
      <c r="E52" s="86">
        <f>VLOOKUP($A52,'Data shares'!$C:$FA,74)</f>
        <v>70513200</v>
      </c>
      <c r="F52" s="86">
        <f>VLOOKUP($A52,'Data shares'!$C:$FA,76)</f>
        <v>332100</v>
      </c>
      <c r="G52" s="87">
        <f>VLOOKUP(A52,'Data shares'!$C$2:$CA$220,77,0)</f>
        <v>4.7000000000000002E-3</v>
      </c>
      <c r="H52" s="86">
        <f>VLOOKUP($A52,'Data shares'!$C:$FA,90)</f>
        <v>42565500</v>
      </c>
      <c r="I52" s="86">
        <f>VLOOKUP($A52,'Data shares'!$C:$FA,92)</f>
        <v>-1680750</v>
      </c>
      <c r="J52" s="87">
        <f>VLOOKUP($A52,'Data shares'!$C:$FA,93)</f>
        <v>-3.7999999999999999E-2</v>
      </c>
      <c r="K52" s="86">
        <f>VLOOKUP($A52,'Data shares'!$C:$FA,94)</f>
        <v>26519400</v>
      </c>
      <c r="L52" s="86">
        <f>VLOOKUP($A52,'Data shares'!$C:$FA,96)</f>
        <v>-1850850</v>
      </c>
      <c r="M52" s="87">
        <f>VLOOKUP($A52,'Data shares'!$C:$FA,97)</f>
        <v>-6.5199999999999994E-2</v>
      </c>
      <c r="N52" s="86">
        <f>VLOOKUP($A52,'Data shares'!$C:$FA,78)</f>
        <v>61927200</v>
      </c>
      <c r="O52" s="87">
        <f>VLOOKUP($A52,'Data shares'!$C:$FA,81)</f>
        <v>-7.1999999999999998E-3</v>
      </c>
    </row>
    <row r="53" spans="1:15" x14ac:dyDescent="0.25">
      <c r="A53" s="100" t="str">
        <f>'Data Vlaue (Cr)'!C48</f>
        <v>COCHINSHIP</v>
      </c>
      <c r="B53" s="82">
        <f>VLOOKUP(A53,'Data shares'!$C$2:$CV$220,98,0)</f>
        <v>4054400</v>
      </c>
      <c r="C53" s="82">
        <f>VLOOKUP(A53,'Data shares'!$C$2:$CX$220,100,0)</f>
        <v>436800</v>
      </c>
      <c r="D53" s="141">
        <f>VLOOKUP(A53,'Data shares'!$C$2:$CY$543,101,0)</f>
        <v>0.1207</v>
      </c>
      <c r="E53" s="86">
        <f>VLOOKUP($A53,'Data shares'!$C:$FA,74)</f>
        <v>1938000</v>
      </c>
      <c r="F53" s="86">
        <f>VLOOKUP($A53,'Data shares'!$C:$FA,76)</f>
        <v>142800</v>
      </c>
      <c r="G53" s="87">
        <f>VLOOKUP(A53,'Data shares'!$C$2:$CA$220,77,0)</f>
        <v>7.9500000000000001E-2</v>
      </c>
      <c r="H53" s="86">
        <f>VLOOKUP($A53,'Data shares'!$C:$FA,90)</f>
        <v>1333600</v>
      </c>
      <c r="I53" s="86">
        <f>VLOOKUP($A53,'Data shares'!$C:$FA,92)</f>
        <v>250400</v>
      </c>
      <c r="J53" s="87">
        <f>VLOOKUP($A53,'Data shares'!$C:$FA,93)</f>
        <v>0.23119999999999999</v>
      </c>
      <c r="K53" s="86">
        <f>VLOOKUP($A53,'Data shares'!$C:$FA,94)</f>
        <v>782800</v>
      </c>
      <c r="L53" s="86">
        <f>VLOOKUP($A53,'Data shares'!$C:$FA,96)</f>
        <v>43600</v>
      </c>
      <c r="M53" s="87">
        <f>VLOOKUP($A53,'Data shares'!$C:$FA,97)</f>
        <v>5.8999999999999997E-2</v>
      </c>
      <c r="N53" s="86">
        <f>VLOOKUP($A53,'Data shares'!$C:$FA,78)</f>
        <v>1462000</v>
      </c>
      <c r="O53" s="87">
        <f>VLOOKUP($A53,'Data shares'!$C:$FA,81)</f>
        <v>4.3400000000000001E-2</v>
      </c>
    </row>
    <row r="54" spans="1:15" x14ac:dyDescent="0.25">
      <c r="A54" s="100" t="str">
        <f>'Data Vlaue (Cr)'!C49</f>
        <v>COFORGE</v>
      </c>
      <c r="B54" s="82">
        <f>VLOOKUP(A54,'Data shares'!$C$2:$CV$220,98,0)</f>
        <v>30865500</v>
      </c>
      <c r="C54" s="82">
        <f>VLOOKUP(A54,'Data shares'!$C$2:$CX$220,100,0)</f>
        <v>-7500</v>
      </c>
      <c r="D54" s="141">
        <f>VLOOKUP(A54,'Data shares'!$C$2:$CY$543,101,0)</f>
        <v>-2.0000000000000001E-4</v>
      </c>
      <c r="E54" s="86">
        <f>VLOOKUP($A54,'Data shares'!$C:$FA,74)</f>
        <v>17997750</v>
      </c>
      <c r="F54" s="86">
        <f>VLOOKUP($A54,'Data shares'!$C:$FA,76)</f>
        <v>-290250</v>
      </c>
      <c r="G54" s="87">
        <f>VLOOKUP(A54,'Data shares'!$C$2:$CA$220,77,0)</f>
        <v>-1.5900000000000001E-2</v>
      </c>
      <c r="H54" s="86">
        <f>VLOOKUP($A54,'Data shares'!$C:$FA,90)</f>
        <v>7961625</v>
      </c>
      <c r="I54" s="86">
        <f>VLOOKUP($A54,'Data shares'!$C:$FA,92)</f>
        <v>322125</v>
      </c>
      <c r="J54" s="87">
        <f>VLOOKUP($A54,'Data shares'!$C:$FA,93)</f>
        <v>4.2200000000000001E-2</v>
      </c>
      <c r="K54" s="86">
        <f>VLOOKUP($A54,'Data shares'!$C:$FA,94)</f>
        <v>4906125</v>
      </c>
      <c r="L54" s="86">
        <f>VLOOKUP($A54,'Data shares'!$C:$FA,96)</f>
        <v>-39375</v>
      </c>
      <c r="M54" s="87">
        <f>VLOOKUP($A54,'Data shares'!$C:$FA,97)</f>
        <v>-8.0000000000000002E-3</v>
      </c>
      <c r="N54" s="86">
        <f>VLOOKUP($A54,'Data shares'!$C:$FA,78)</f>
        <v>16662000</v>
      </c>
      <c r="O54" s="87">
        <f>VLOOKUP($A54,'Data shares'!$C:$FA,81)</f>
        <v>-3.0800000000000001E-2</v>
      </c>
    </row>
    <row r="55" spans="1:15" x14ac:dyDescent="0.25">
      <c r="A55" s="100" t="str">
        <f>'Data Vlaue (Cr)'!C50</f>
        <v>COLPAL</v>
      </c>
      <c r="B55" s="82">
        <f>VLOOKUP(A55,'Data shares'!$C$2:$CV$220,98,0)</f>
        <v>9892800</v>
      </c>
      <c r="C55" s="82">
        <f>VLOOKUP(A55,'Data shares'!$C$2:$CX$220,100,0)</f>
        <v>-607275</v>
      </c>
      <c r="D55" s="141">
        <f>VLOOKUP(A55,'Data shares'!$C$2:$CY$543,101,0)</f>
        <v>-5.7799999999999997E-2</v>
      </c>
      <c r="E55" s="86">
        <f>VLOOKUP($A55,'Data shares'!$C:$FA,74)</f>
        <v>5824350</v>
      </c>
      <c r="F55" s="86">
        <f>VLOOKUP($A55,'Data shares'!$C:$FA,76)</f>
        <v>-18225</v>
      </c>
      <c r="G55" s="87">
        <f>VLOOKUP(A55,'Data shares'!$C$2:$CA$220,77,0)</f>
        <v>-3.0999999999999999E-3</v>
      </c>
      <c r="H55" s="86">
        <f>VLOOKUP($A55,'Data shares'!$C:$FA,90)</f>
        <v>2301525</v>
      </c>
      <c r="I55" s="86">
        <f>VLOOKUP($A55,'Data shares'!$C:$FA,92)</f>
        <v>-384300</v>
      </c>
      <c r="J55" s="87">
        <f>VLOOKUP($A55,'Data shares'!$C:$FA,93)</f>
        <v>-0.1431</v>
      </c>
      <c r="K55" s="86">
        <f>VLOOKUP($A55,'Data shares'!$C:$FA,94)</f>
        <v>1766925</v>
      </c>
      <c r="L55" s="86">
        <f>VLOOKUP($A55,'Data shares'!$C:$FA,96)</f>
        <v>-204750</v>
      </c>
      <c r="M55" s="87">
        <f>VLOOKUP($A55,'Data shares'!$C:$FA,97)</f>
        <v>-0.1038</v>
      </c>
      <c r="N55" s="86">
        <f>VLOOKUP($A55,'Data shares'!$C:$FA,78)</f>
        <v>5445675</v>
      </c>
      <c r="O55" s="87">
        <f>VLOOKUP($A55,'Data shares'!$C:$FA,81)</f>
        <v>-9.1000000000000004E-3</v>
      </c>
    </row>
    <row r="56" spans="1:15" x14ac:dyDescent="0.25">
      <c r="A56" s="100" t="str">
        <f>'Data Vlaue (Cr)'!C51</f>
        <v>CONCOR</v>
      </c>
      <c r="B56" s="82">
        <f>VLOOKUP(A56,'Data shares'!$C$2:$CV$220,98,0)</f>
        <v>36837500</v>
      </c>
      <c r="C56" s="82">
        <f>VLOOKUP(A56,'Data shares'!$C$2:$CX$220,100,0)</f>
        <v>-172500</v>
      </c>
      <c r="D56" s="141">
        <f>VLOOKUP(A56,'Data shares'!$C$2:$CY$543,101,0)</f>
        <v>-4.7000000000000002E-3</v>
      </c>
      <c r="E56" s="86">
        <f>VLOOKUP($A56,'Data shares'!$C:$FA,74)</f>
        <v>25767500</v>
      </c>
      <c r="F56" s="86">
        <f>VLOOKUP($A56,'Data shares'!$C:$FA,76)</f>
        <v>-85000</v>
      </c>
      <c r="G56" s="87">
        <f>VLOOKUP(A56,'Data shares'!$C$2:$CA$220,77,0)</f>
        <v>-3.3E-3</v>
      </c>
      <c r="H56" s="86">
        <f>VLOOKUP($A56,'Data shares'!$C:$FA,90)</f>
        <v>6158750</v>
      </c>
      <c r="I56" s="86">
        <f>VLOOKUP($A56,'Data shares'!$C:$FA,92)</f>
        <v>7500</v>
      </c>
      <c r="J56" s="87">
        <f>VLOOKUP($A56,'Data shares'!$C:$FA,93)</f>
        <v>1.1999999999999999E-3</v>
      </c>
      <c r="K56" s="86">
        <f>VLOOKUP($A56,'Data shares'!$C:$FA,94)</f>
        <v>4911250</v>
      </c>
      <c r="L56" s="86">
        <f>VLOOKUP($A56,'Data shares'!$C:$FA,96)</f>
        <v>-95000</v>
      </c>
      <c r="M56" s="87">
        <f>VLOOKUP($A56,'Data shares'!$C:$FA,97)</f>
        <v>-1.9E-2</v>
      </c>
      <c r="N56" s="86">
        <f>VLOOKUP($A56,'Data shares'!$C:$FA,78)</f>
        <v>23606250</v>
      </c>
      <c r="O56" s="87">
        <f>VLOOKUP($A56,'Data shares'!$C:$FA,81)</f>
        <v>-2.4199999999999999E-2</v>
      </c>
    </row>
    <row r="57" spans="1:15" x14ac:dyDescent="0.25">
      <c r="A57" s="100" t="str">
        <f>'Data Vlaue (Cr)'!C52</f>
        <v>CROMPTON</v>
      </c>
      <c r="B57" s="82">
        <f>VLOOKUP(A57,'Data shares'!$C$2:$CV$220,98,0)</f>
        <v>65723400</v>
      </c>
      <c r="C57" s="82">
        <f>VLOOKUP(A57,'Data shares'!$C$2:$CX$220,100,0)</f>
        <v>126000</v>
      </c>
      <c r="D57" s="141">
        <f>VLOOKUP(A57,'Data shares'!$C$2:$CY$543,101,0)</f>
        <v>1.9E-3</v>
      </c>
      <c r="E57" s="86">
        <f>VLOOKUP($A57,'Data shares'!$C:$FA,74)</f>
        <v>45271800</v>
      </c>
      <c r="F57" s="86">
        <f>VLOOKUP($A57,'Data shares'!$C:$FA,76)</f>
        <v>336600</v>
      </c>
      <c r="G57" s="87">
        <f>VLOOKUP(A57,'Data shares'!$C$2:$CA$220,77,0)</f>
        <v>7.4999999999999997E-3</v>
      </c>
      <c r="H57" s="86">
        <f>VLOOKUP($A57,'Data shares'!$C:$FA,90)</f>
        <v>12213000</v>
      </c>
      <c r="I57" s="86">
        <f>VLOOKUP($A57,'Data shares'!$C:$FA,92)</f>
        <v>72000</v>
      </c>
      <c r="J57" s="87">
        <f>VLOOKUP($A57,'Data shares'!$C:$FA,93)</f>
        <v>5.8999999999999999E-3</v>
      </c>
      <c r="K57" s="86">
        <f>VLOOKUP($A57,'Data shares'!$C:$FA,94)</f>
        <v>8238600</v>
      </c>
      <c r="L57" s="86">
        <f>VLOOKUP($A57,'Data shares'!$C:$FA,96)</f>
        <v>-282600</v>
      </c>
      <c r="M57" s="87">
        <f>VLOOKUP($A57,'Data shares'!$C:$FA,97)</f>
        <v>-3.32E-2</v>
      </c>
      <c r="N57" s="86">
        <f>VLOOKUP($A57,'Data shares'!$C:$FA,78)</f>
        <v>43687800</v>
      </c>
      <c r="O57" s="87">
        <f>VLOOKUP($A57,'Data shares'!$C:$FA,81)</f>
        <v>1.2999999999999999E-3</v>
      </c>
    </row>
    <row r="58" spans="1:15" x14ac:dyDescent="0.25">
      <c r="A58" s="100" t="str">
        <f>'Data Vlaue (Cr)'!C53</f>
        <v>CUMMINSIND</v>
      </c>
      <c r="B58" s="82">
        <f>VLOOKUP(A58,'Data shares'!$C$2:$CV$220,98,0)</f>
        <v>6324600</v>
      </c>
      <c r="C58" s="82">
        <f>VLOOKUP(A58,'Data shares'!$C$2:$CX$220,100,0)</f>
        <v>92000</v>
      </c>
      <c r="D58" s="141">
        <f>VLOOKUP(A58,'Data shares'!$C$2:$CY$543,101,0)</f>
        <v>1.4800000000000001E-2</v>
      </c>
      <c r="E58" s="86">
        <f>VLOOKUP($A58,'Data shares'!$C:$FA,74)</f>
        <v>3994600</v>
      </c>
      <c r="F58" s="86">
        <f>VLOOKUP($A58,'Data shares'!$C:$FA,76)</f>
        <v>-65800</v>
      </c>
      <c r="G58" s="87">
        <f>VLOOKUP(A58,'Data shares'!$C$2:$CA$220,77,0)</f>
        <v>-1.6199999999999999E-2</v>
      </c>
      <c r="H58" s="86">
        <f>VLOOKUP($A58,'Data shares'!$C:$FA,90)</f>
        <v>1392200</v>
      </c>
      <c r="I58" s="86">
        <f>VLOOKUP($A58,'Data shares'!$C:$FA,92)</f>
        <v>110200</v>
      </c>
      <c r="J58" s="87">
        <f>VLOOKUP($A58,'Data shares'!$C:$FA,93)</f>
        <v>8.5999999999999993E-2</v>
      </c>
      <c r="K58" s="86">
        <f>VLOOKUP($A58,'Data shares'!$C:$FA,94)</f>
        <v>937800</v>
      </c>
      <c r="L58" s="86">
        <f>VLOOKUP($A58,'Data shares'!$C:$FA,96)</f>
        <v>47600</v>
      </c>
      <c r="M58" s="87">
        <f>VLOOKUP($A58,'Data shares'!$C:$FA,97)</f>
        <v>5.3499999999999999E-2</v>
      </c>
      <c r="N58" s="86">
        <f>VLOOKUP($A58,'Data shares'!$C:$FA,78)</f>
        <v>3597400</v>
      </c>
      <c r="O58" s="87">
        <f>VLOOKUP($A58,'Data shares'!$C:$FA,81)</f>
        <v>-2.3699999999999999E-2</v>
      </c>
    </row>
    <row r="59" spans="1:15" x14ac:dyDescent="0.25">
      <c r="A59" s="100" t="str">
        <f>'Data Vlaue (Cr)'!C54</f>
        <v>DABUR</v>
      </c>
      <c r="B59" s="82">
        <f>VLOOKUP(A59,'Data shares'!$C$2:$CV$220,98,0)</f>
        <v>49636250</v>
      </c>
      <c r="C59" s="82">
        <f>VLOOKUP(A59,'Data shares'!$C$2:$CX$220,100,0)</f>
        <v>-1021250</v>
      </c>
      <c r="D59" s="141">
        <f>VLOOKUP(A59,'Data shares'!$C$2:$CY$543,101,0)</f>
        <v>-2.0199999999999999E-2</v>
      </c>
      <c r="E59" s="86">
        <f>VLOOKUP($A59,'Data shares'!$C:$FA,74)</f>
        <v>29300000</v>
      </c>
      <c r="F59" s="86">
        <f>VLOOKUP($A59,'Data shares'!$C:$FA,76)</f>
        <v>102500</v>
      </c>
      <c r="G59" s="87">
        <f>VLOOKUP(A59,'Data shares'!$C$2:$CA$220,77,0)</f>
        <v>3.5000000000000001E-3</v>
      </c>
      <c r="H59" s="86">
        <f>VLOOKUP($A59,'Data shares'!$C:$FA,90)</f>
        <v>12823750</v>
      </c>
      <c r="I59" s="86">
        <f>VLOOKUP($A59,'Data shares'!$C:$FA,92)</f>
        <v>-265000</v>
      </c>
      <c r="J59" s="87">
        <f>VLOOKUP($A59,'Data shares'!$C:$FA,93)</f>
        <v>-2.0199999999999999E-2</v>
      </c>
      <c r="K59" s="86">
        <f>VLOOKUP($A59,'Data shares'!$C:$FA,94)</f>
        <v>7512500</v>
      </c>
      <c r="L59" s="86">
        <f>VLOOKUP($A59,'Data shares'!$C:$FA,96)</f>
        <v>-858750</v>
      </c>
      <c r="M59" s="87">
        <f>VLOOKUP($A59,'Data shares'!$C:$FA,97)</f>
        <v>-0.1026</v>
      </c>
      <c r="N59" s="86">
        <f>VLOOKUP($A59,'Data shares'!$C:$FA,78)</f>
        <v>27750000</v>
      </c>
      <c r="O59" s="87">
        <f>VLOOKUP($A59,'Data shares'!$C:$FA,81)</f>
        <v>-6.9999999999999999E-4</v>
      </c>
    </row>
    <row r="60" spans="1:15" x14ac:dyDescent="0.25">
      <c r="A60" s="100" t="str">
        <f>'Data Vlaue (Cr)'!C55</f>
        <v>DALBHARAT</v>
      </c>
      <c r="B60" s="82">
        <f>VLOOKUP(A60,'Data shares'!$C$2:$CV$220,98,0)</f>
        <v>4668950</v>
      </c>
      <c r="C60" s="82">
        <f>VLOOKUP(A60,'Data shares'!$C$2:$CX$220,100,0)</f>
        <v>73125</v>
      </c>
      <c r="D60" s="141">
        <f>VLOOKUP(A60,'Data shares'!$C$2:$CY$543,101,0)</f>
        <v>1.5900000000000001E-2</v>
      </c>
      <c r="E60" s="86">
        <f>VLOOKUP($A60,'Data shares'!$C:$FA,74)</f>
        <v>2590250</v>
      </c>
      <c r="F60" s="86">
        <f>VLOOKUP($A60,'Data shares'!$C:$FA,76)</f>
        <v>20475</v>
      </c>
      <c r="G60" s="87">
        <f>VLOOKUP(A60,'Data shares'!$C$2:$CA$220,77,0)</f>
        <v>8.0000000000000002E-3</v>
      </c>
      <c r="H60" s="86">
        <f>VLOOKUP($A60,'Data shares'!$C:$FA,90)</f>
        <v>1090375</v>
      </c>
      <c r="I60" s="86">
        <f>VLOOKUP($A60,'Data shares'!$C:$FA,92)</f>
        <v>70850</v>
      </c>
      <c r="J60" s="87">
        <f>VLOOKUP($A60,'Data shares'!$C:$FA,93)</f>
        <v>6.9500000000000006E-2</v>
      </c>
      <c r="K60" s="86">
        <f>VLOOKUP($A60,'Data shares'!$C:$FA,94)</f>
        <v>988325</v>
      </c>
      <c r="L60" s="86">
        <f>VLOOKUP($A60,'Data shares'!$C:$FA,96)</f>
        <v>-18200</v>
      </c>
      <c r="M60" s="87">
        <f>VLOOKUP($A60,'Data shares'!$C:$FA,97)</f>
        <v>-1.8100000000000002E-2</v>
      </c>
      <c r="N60" s="86">
        <f>VLOOKUP($A60,'Data shares'!$C:$FA,78)</f>
        <v>2506725</v>
      </c>
      <c r="O60" s="87">
        <f>VLOOKUP($A60,'Data shares'!$C:$FA,81)</f>
        <v>1.4E-3</v>
      </c>
    </row>
    <row r="61" spans="1:15" x14ac:dyDescent="0.25">
      <c r="A61" s="100" t="str">
        <f>'Data Vlaue (Cr)'!C56</f>
        <v>DELHIVERY</v>
      </c>
      <c r="B61" s="82">
        <f>VLOOKUP(A61,'Data shares'!$C$2:$CV$220,98,0)</f>
        <v>50019950</v>
      </c>
      <c r="C61" s="82">
        <f>VLOOKUP(A61,'Data shares'!$C$2:$CX$220,100,0)</f>
        <v>-1755450</v>
      </c>
      <c r="D61" s="141">
        <f>VLOOKUP(A61,'Data shares'!$C$2:$CY$543,101,0)</f>
        <v>-3.39E-2</v>
      </c>
      <c r="E61" s="86">
        <f>VLOOKUP($A61,'Data shares'!$C:$FA,74)</f>
        <v>31427950</v>
      </c>
      <c r="F61" s="86">
        <f>VLOOKUP($A61,'Data shares'!$C:$FA,76)</f>
        <v>-342375</v>
      </c>
      <c r="G61" s="87">
        <f>VLOOKUP(A61,'Data shares'!$C$2:$CA$220,77,0)</f>
        <v>-1.0800000000000001E-2</v>
      </c>
      <c r="H61" s="86">
        <f>VLOOKUP($A61,'Data shares'!$C:$FA,90)</f>
        <v>13267550</v>
      </c>
      <c r="I61" s="86">
        <f>VLOOKUP($A61,'Data shares'!$C:$FA,92)</f>
        <v>-1168225</v>
      </c>
      <c r="J61" s="87">
        <f>VLOOKUP($A61,'Data shares'!$C:$FA,93)</f>
        <v>-8.09E-2</v>
      </c>
      <c r="K61" s="86">
        <f>VLOOKUP($A61,'Data shares'!$C:$FA,94)</f>
        <v>5324450</v>
      </c>
      <c r="L61" s="86">
        <f>VLOOKUP($A61,'Data shares'!$C:$FA,96)</f>
        <v>-244850</v>
      </c>
      <c r="M61" s="87">
        <f>VLOOKUP($A61,'Data shares'!$C:$FA,97)</f>
        <v>-4.3999999999999997E-2</v>
      </c>
      <c r="N61" s="86">
        <f>VLOOKUP($A61,'Data shares'!$C:$FA,78)</f>
        <v>30008650</v>
      </c>
      <c r="O61" s="87">
        <f>VLOOKUP($A61,'Data shares'!$C:$FA,81)</f>
        <v>-2.6800000000000001E-2</v>
      </c>
    </row>
    <row r="62" spans="1:15" x14ac:dyDescent="0.25">
      <c r="A62" s="100" t="str">
        <f>'Data Vlaue (Cr)'!C57</f>
        <v>DIVISLAB</v>
      </c>
      <c r="B62" s="82">
        <f>VLOOKUP(A62,'Data shares'!$C$2:$CV$220,98,0)</f>
        <v>4284500</v>
      </c>
      <c r="C62" s="82">
        <f>VLOOKUP(A62,'Data shares'!$C$2:$CX$220,100,0)</f>
        <v>84700</v>
      </c>
      <c r="D62" s="141">
        <f>VLOOKUP(A62,'Data shares'!$C$2:$CY$543,101,0)</f>
        <v>2.0199999999999999E-2</v>
      </c>
      <c r="E62" s="86">
        <f>VLOOKUP($A62,'Data shares'!$C:$FA,74)</f>
        <v>2774900</v>
      </c>
      <c r="F62" s="86">
        <f>VLOOKUP($A62,'Data shares'!$C:$FA,76)</f>
        <v>19400</v>
      </c>
      <c r="G62" s="87">
        <f>VLOOKUP(A62,'Data shares'!$C$2:$CA$220,77,0)</f>
        <v>7.0000000000000001E-3</v>
      </c>
      <c r="H62" s="86">
        <f>VLOOKUP($A62,'Data shares'!$C:$FA,90)</f>
        <v>752000</v>
      </c>
      <c r="I62" s="86">
        <f>VLOOKUP($A62,'Data shares'!$C:$FA,92)</f>
        <v>47100</v>
      </c>
      <c r="J62" s="87">
        <f>VLOOKUP($A62,'Data shares'!$C:$FA,93)</f>
        <v>6.6799999999999998E-2</v>
      </c>
      <c r="K62" s="86">
        <f>VLOOKUP($A62,'Data shares'!$C:$FA,94)</f>
        <v>757600</v>
      </c>
      <c r="L62" s="86">
        <f>VLOOKUP($A62,'Data shares'!$C:$FA,96)</f>
        <v>18200</v>
      </c>
      <c r="M62" s="87">
        <f>VLOOKUP($A62,'Data shares'!$C:$FA,97)</f>
        <v>2.46E-2</v>
      </c>
      <c r="N62" s="86">
        <f>VLOOKUP($A62,'Data shares'!$C:$FA,78)</f>
        <v>2658100</v>
      </c>
      <c r="O62" s="87">
        <f>VLOOKUP($A62,'Data shares'!$C:$FA,81)</f>
        <v>-2.8999999999999998E-3</v>
      </c>
    </row>
    <row r="63" spans="1:15" x14ac:dyDescent="0.25">
      <c r="A63" s="100" t="str">
        <f>'Data Vlaue (Cr)'!C58</f>
        <v>DIXON</v>
      </c>
      <c r="B63" s="82">
        <f>VLOOKUP(A63,'Data shares'!$C$2:$CV$220,98,0)</f>
        <v>6737600</v>
      </c>
      <c r="C63" s="82">
        <f>VLOOKUP(A63,'Data shares'!$C$2:$CX$220,100,0)</f>
        <v>-11850</v>
      </c>
      <c r="D63" s="141">
        <f>VLOOKUP(A63,'Data shares'!$C$2:$CY$543,101,0)</f>
        <v>-1.8E-3</v>
      </c>
      <c r="E63" s="86">
        <f>VLOOKUP($A63,'Data shares'!$C:$FA,74)</f>
        <v>3110550</v>
      </c>
      <c r="F63" s="86">
        <f>VLOOKUP($A63,'Data shares'!$C:$FA,76)</f>
        <v>4300</v>
      </c>
      <c r="G63" s="87">
        <f>VLOOKUP(A63,'Data shares'!$C$2:$CA$220,77,0)</f>
        <v>1.4E-3</v>
      </c>
      <c r="H63" s="86">
        <f>VLOOKUP($A63,'Data shares'!$C:$FA,90)</f>
        <v>2126650</v>
      </c>
      <c r="I63" s="86">
        <f>VLOOKUP($A63,'Data shares'!$C:$FA,92)</f>
        <v>37050</v>
      </c>
      <c r="J63" s="87">
        <f>VLOOKUP($A63,'Data shares'!$C:$FA,93)</f>
        <v>1.77E-2</v>
      </c>
      <c r="K63" s="86">
        <f>VLOOKUP($A63,'Data shares'!$C:$FA,94)</f>
        <v>1500400</v>
      </c>
      <c r="L63" s="86">
        <f>VLOOKUP($A63,'Data shares'!$C:$FA,96)</f>
        <v>-53200</v>
      </c>
      <c r="M63" s="87">
        <f>VLOOKUP($A63,'Data shares'!$C:$FA,97)</f>
        <v>-3.4200000000000001E-2</v>
      </c>
      <c r="N63" s="86">
        <f>VLOOKUP($A63,'Data shares'!$C:$FA,78)</f>
        <v>2571750</v>
      </c>
      <c r="O63" s="87">
        <f>VLOOKUP($A63,'Data shares'!$C:$FA,81)</f>
        <v>-2.5000000000000001E-2</v>
      </c>
    </row>
    <row r="64" spans="1:15" x14ac:dyDescent="0.25">
      <c r="A64" s="100" t="str">
        <f>'Data Vlaue (Cr)'!C59</f>
        <v>DLF</v>
      </c>
      <c r="B64" s="82">
        <f>VLOOKUP(A64,'Data shares'!$C$2:$CV$220,98,0)</f>
        <v>72867300</v>
      </c>
      <c r="C64" s="82">
        <f>VLOOKUP(A64,'Data shares'!$C$2:$CX$220,100,0)</f>
        <v>-207075</v>
      </c>
      <c r="D64" s="141">
        <f>VLOOKUP(A64,'Data shares'!$C$2:$CY$543,101,0)</f>
        <v>-2.8E-3</v>
      </c>
      <c r="E64" s="86">
        <f>VLOOKUP($A64,'Data shares'!$C:$FA,74)</f>
        <v>50735025</v>
      </c>
      <c r="F64" s="86">
        <f>VLOOKUP($A64,'Data shares'!$C:$FA,76)</f>
        <v>-574200</v>
      </c>
      <c r="G64" s="87">
        <f>VLOOKUP(A64,'Data shares'!$C$2:$CA$220,77,0)</f>
        <v>-1.12E-2</v>
      </c>
      <c r="H64" s="86">
        <f>VLOOKUP($A64,'Data shares'!$C:$FA,90)</f>
        <v>10729950</v>
      </c>
      <c r="I64" s="86">
        <f>VLOOKUP($A64,'Data shares'!$C:$FA,92)</f>
        <v>249150</v>
      </c>
      <c r="J64" s="87">
        <f>VLOOKUP($A64,'Data shares'!$C:$FA,93)</f>
        <v>2.3800000000000002E-2</v>
      </c>
      <c r="K64" s="86">
        <f>VLOOKUP($A64,'Data shares'!$C:$FA,94)</f>
        <v>11402325</v>
      </c>
      <c r="L64" s="86">
        <f>VLOOKUP($A64,'Data shares'!$C:$FA,96)</f>
        <v>117975</v>
      </c>
      <c r="M64" s="87">
        <f>VLOOKUP($A64,'Data shares'!$C:$FA,97)</f>
        <v>1.0500000000000001E-2</v>
      </c>
      <c r="N64" s="86">
        <f>VLOOKUP($A64,'Data shares'!$C:$FA,78)</f>
        <v>44990550</v>
      </c>
      <c r="O64" s="87">
        <f>VLOOKUP($A64,'Data shares'!$C:$FA,81)</f>
        <v>-2.3199999999999998E-2</v>
      </c>
    </row>
    <row r="65" spans="1:15" x14ac:dyDescent="0.25">
      <c r="A65" s="100" t="str">
        <f>'Data Vlaue (Cr)'!C60</f>
        <v>DMART</v>
      </c>
      <c r="B65" s="82">
        <f>VLOOKUP(A65,'Data shares'!$C$2:$CV$220,98,0)</f>
        <v>7750500</v>
      </c>
      <c r="C65" s="82">
        <f>VLOOKUP(A65,'Data shares'!$C$2:$CX$220,100,0)</f>
        <v>-112050</v>
      </c>
      <c r="D65" s="141">
        <f>VLOOKUP(A65,'Data shares'!$C$2:$CY$543,101,0)</f>
        <v>-1.43E-2</v>
      </c>
      <c r="E65" s="86">
        <f>VLOOKUP($A65,'Data shares'!$C:$FA,74)</f>
        <v>4020450</v>
      </c>
      <c r="F65" s="86">
        <f>VLOOKUP($A65,'Data shares'!$C:$FA,76)</f>
        <v>-13650</v>
      </c>
      <c r="G65" s="87">
        <f>VLOOKUP(A65,'Data shares'!$C$2:$CA$220,77,0)</f>
        <v>-3.3999999999999998E-3</v>
      </c>
      <c r="H65" s="86">
        <f>VLOOKUP($A65,'Data shares'!$C:$FA,90)</f>
        <v>1919100</v>
      </c>
      <c r="I65" s="86">
        <f>VLOOKUP($A65,'Data shares'!$C:$FA,92)</f>
        <v>-30000</v>
      </c>
      <c r="J65" s="87">
        <f>VLOOKUP($A65,'Data shares'!$C:$FA,93)</f>
        <v>-1.54E-2</v>
      </c>
      <c r="K65" s="86">
        <f>VLOOKUP($A65,'Data shares'!$C:$FA,94)</f>
        <v>1810950</v>
      </c>
      <c r="L65" s="86">
        <f>VLOOKUP($A65,'Data shares'!$C:$FA,96)</f>
        <v>-68400</v>
      </c>
      <c r="M65" s="87">
        <f>VLOOKUP($A65,'Data shares'!$C:$FA,97)</f>
        <v>-3.6400000000000002E-2</v>
      </c>
      <c r="N65" s="86">
        <f>VLOOKUP($A65,'Data shares'!$C:$FA,78)</f>
        <v>3637950</v>
      </c>
      <c r="O65" s="87">
        <f>VLOOKUP($A65,'Data shares'!$C:$FA,81)</f>
        <v>-1.1299999999999999E-2</v>
      </c>
    </row>
    <row r="66" spans="1:15" x14ac:dyDescent="0.25">
      <c r="A66" s="100" t="str">
        <f>'Data Vlaue (Cr)'!C61</f>
        <v>DRREDDY</v>
      </c>
      <c r="B66" s="82">
        <f>VLOOKUP(A66,'Data shares'!$C$2:$CV$220,98,0)</f>
        <v>26352500</v>
      </c>
      <c r="C66" s="82">
        <f>VLOOKUP(A66,'Data shares'!$C$2:$CX$220,100,0)</f>
        <v>119375</v>
      </c>
      <c r="D66" s="141">
        <f>VLOOKUP(A66,'Data shares'!$C$2:$CY$543,101,0)</f>
        <v>4.5999999999999999E-3</v>
      </c>
      <c r="E66" s="86">
        <f>VLOOKUP($A66,'Data shares'!$C:$FA,74)</f>
        <v>14146875</v>
      </c>
      <c r="F66" s="86">
        <f>VLOOKUP($A66,'Data shares'!$C:$FA,76)</f>
        <v>333125</v>
      </c>
      <c r="G66" s="87">
        <f>VLOOKUP(A66,'Data shares'!$C$2:$CA$220,77,0)</f>
        <v>2.41E-2</v>
      </c>
      <c r="H66" s="86">
        <f>VLOOKUP($A66,'Data shares'!$C:$FA,90)</f>
        <v>7160000</v>
      </c>
      <c r="I66" s="86">
        <f>VLOOKUP($A66,'Data shares'!$C:$FA,92)</f>
        <v>-91250</v>
      </c>
      <c r="J66" s="87">
        <f>VLOOKUP($A66,'Data shares'!$C:$FA,93)</f>
        <v>-1.26E-2</v>
      </c>
      <c r="K66" s="86">
        <f>VLOOKUP($A66,'Data shares'!$C:$FA,94)</f>
        <v>5045625</v>
      </c>
      <c r="L66" s="86">
        <f>VLOOKUP($A66,'Data shares'!$C:$FA,96)</f>
        <v>-122500</v>
      </c>
      <c r="M66" s="87">
        <f>VLOOKUP($A66,'Data shares'!$C:$FA,97)</f>
        <v>-2.3699999999999999E-2</v>
      </c>
      <c r="N66" s="86">
        <f>VLOOKUP($A66,'Data shares'!$C:$FA,78)</f>
        <v>13010625</v>
      </c>
      <c r="O66" s="87">
        <f>VLOOKUP($A66,'Data shares'!$C:$FA,81)</f>
        <v>1.32E-2</v>
      </c>
    </row>
    <row r="67" spans="1:15" x14ac:dyDescent="0.25">
      <c r="A67" s="100" t="str">
        <f>'Data Vlaue (Cr)'!C62</f>
        <v>EICHERMOT</v>
      </c>
      <c r="B67" s="82">
        <f>VLOOKUP(A67,'Data shares'!$C$2:$CV$220,98,0)</f>
        <v>8014600</v>
      </c>
      <c r="C67" s="82">
        <f>VLOOKUP(A67,'Data shares'!$C$2:$CX$220,100,0)</f>
        <v>-180600</v>
      </c>
      <c r="D67" s="141">
        <f>VLOOKUP(A67,'Data shares'!$C$2:$CY$543,101,0)</f>
        <v>-2.1999999999999999E-2</v>
      </c>
      <c r="E67" s="86">
        <f>VLOOKUP($A67,'Data shares'!$C:$FA,74)</f>
        <v>4204900</v>
      </c>
      <c r="F67" s="86">
        <f>VLOOKUP($A67,'Data shares'!$C:$FA,76)</f>
        <v>-89300</v>
      </c>
      <c r="G67" s="87">
        <f>VLOOKUP(A67,'Data shares'!$C$2:$CA$220,77,0)</f>
        <v>-2.0799999999999999E-2</v>
      </c>
      <c r="H67" s="86">
        <f>VLOOKUP($A67,'Data shares'!$C:$FA,90)</f>
        <v>2150700</v>
      </c>
      <c r="I67" s="86">
        <f>VLOOKUP($A67,'Data shares'!$C:$FA,92)</f>
        <v>-170900</v>
      </c>
      <c r="J67" s="87">
        <f>VLOOKUP($A67,'Data shares'!$C:$FA,93)</f>
        <v>-7.3599999999999999E-2</v>
      </c>
      <c r="K67" s="86">
        <f>VLOOKUP($A67,'Data shares'!$C:$FA,94)</f>
        <v>1659000</v>
      </c>
      <c r="L67" s="86">
        <f>VLOOKUP($A67,'Data shares'!$C:$FA,96)</f>
        <v>79600</v>
      </c>
      <c r="M67" s="87">
        <f>VLOOKUP($A67,'Data shares'!$C:$FA,97)</f>
        <v>5.04E-2</v>
      </c>
      <c r="N67" s="86">
        <f>VLOOKUP($A67,'Data shares'!$C:$FA,78)</f>
        <v>3525600</v>
      </c>
      <c r="O67" s="87">
        <f>VLOOKUP($A67,'Data shares'!$C:$FA,81)</f>
        <v>-2.7900000000000001E-2</v>
      </c>
    </row>
    <row r="68" spans="1:15" x14ac:dyDescent="0.25">
      <c r="A68" s="100" t="str">
        <f>'Data Vlaue (Cr)'!C63</f>
        <v>ETERNAL</v>
      </c>
      <c r="B68" s="82">
        <f>VLOOKUP(A68,'Data shares'!$C$2:$CV$220,98,0)</f>
        <v>306798875</v>
      </c>
      <c r="C68" s="82">
        <f>VLOOKUP(A68,'Data shares'!$C$2:$CX$220,100,0)</f>
        <v>-3746625</v>
      </c>
      <c r="D68" s="141">
        <f>VLOOKUP(A68,'Data shares'!$C$2:$CY$543,101,0)</f>
        <v>-1.21E-2</v>
      </c>
      <c r="E68" s="86">
        <f>VLOOKUP($A68,'Data shares'!$C:$FA,74)</f>
        <v>193578050</v>
      </c>
      <c r="F68" s="86">
        <f>VLOOKUP($A68,'Data shares'!$C:$FA,76)</f>
        <v>-1493800</v>
      </c>
      <c r="G68" s="87">
        <f>VLOOKUP(A68,'Data shares'!$C$2:$CA$220,77,0)</f>
        <v>-7.7000000000000002E-3</v>
      </c>
      <c r="H68" s="86">
        <f>VLOOKUP($A68,'Data shares'!$C:$FA,90)</f>
        <v>62945725</v>
      </c>
      <c r="I68" s="86">
        <f>VLOOKUP($A68,'Data shares'!$C:$FA,92)</f>
        <v>-1874525</v>
      </c>
      <c r="J68" s="87">
        <f>VLOOKUP($A68,'Data shares'!$C:$FA,93)</f>
        <v>-2.8899999999999999E-2</v>
      </c>
      <c r="K68" s="86">
        <f>VLOOKUP($A68,'Data shares'!$C:$FA,94)</f>
        <v>50275100</v>
      </c>
      <c r="L68" s="86">
        <f>VLOOKUP($A68,'Data shares'!$C:$FA,96)</f>
        <v>-378300</v>
      </c>
      <c r="M68" s="87">
        <f>VLOOKUP($A68,'Data shares'!$C:$FA,97)</f>
        <v>-7.4999999999999997E-3</v>
      </c>
      <c r="N68" s="86">
        <f>VLOOKUP($A68,'Data shares'!$C:$FA,78)</f>
        <v>173249275</v>
      </c>
      <c r="O68" s="87">
        <f>VLOOKUP($A68,'Data shares'!$C:$FA,81)</f>
        <v>-2.0899999999999998E-2</v>
      </c>
    </row>
    <row r="69" spans="1:15" x14ac:dyDescent="0.25">
      <c r="A69" s="100" t="str">
        <f>'Data Vlaue (Cr)'!C64</f>
        <v>EXIDEIND</v>
      </c>
      <c r="B69" s="82">
        <f>VLOOKUP(A69,'Data shares'!$C$2:$CV$220,98,0)</f>
        <v>54208800</v>
      </c>
      <c r="C69" s="82">
        <f>VLOOKUP(A69,'Data shares'!$C$2:$CX$220,100,0)</f>
        <v>-120600</v>
      </c>
      <c r="D69" s="141">
        <f>VLOOKUP(A69,'Data shares'!$C$2:$CY$543,101,0)</f>
        <v>-2.2000000000000001E-3</v>
      </c>
      <c r="E69" s="86">
        <f>VLOOKUP($A69,'Data shares'!$C:$FA,74)</f>
        <v>28873800</v>
      </c>
      <c r="F69" s="86">
        <f>VLOOKUP($A69,'Data shares'!$C:$FA,76)</f>
        <v>129600</v>
      </c>
      <c r="G69" s="87">
        <f>VLOOKUP(A69,'Data shares'!$C$2:$CA$220,77,0)</f>
        <v>4.4999999999999997E-3</v>
      </c>
      <c r="H69" s="86">
        <f>VLOOKUP($A69,'Data shares'!$C:$FA,90)</f>
        <v>12893400</v>
      </c>
      <c r="I69" s="86">
        <f>VLOOKUP($A69,'Data shares'!$C:$FA,92)</f>
        <v>-70200</v>
      </c>
      <c r="J69" s="87">
        <f>VLOOKUP($A69,'Data shares'!$C:$FA,93)</f>
        <v>-5.4000000000000003E-3</v>
      </c>
      <c r="K69" s="86">
        <f>VLOOKUP($A69,'Data shares'!$C:$FA,94)</f>
        <v>12441600</v>
      </c>
      <c r="L69" s="86">
        <f>VLOOKUP($A69,'Data shares'!$C:$FA,96)</f>
        <v>-180000</v>
      </c>
      <c r="M69" s="87">
        <f>VLOOKUP($A69,'Data shares'!$C:$FA,97)</f>
        <v>-1.43E-2</v>
      </c>
      <c r="N69" s="86">
        <f>VLOOKUP($A69,'Data shares'!$C:$FA,78)</f>
        <v>26107200</v>
      </c>
      <c r="O69" s="87">
        <f>VLOOKUP($A69,'Data shares'!$C:$FA,81)</f>
        <v>-7.4999999999999997E-3</v>
      </c>
    </row>
    <row r="70" spans="1:15" x14ac:dyDescent="0.25">
      <c r="A70" s="100" t="str">
        <f>'Data Vlaue (Cr)'!C65</f>
        <v>FEDERALBNK</v>
      </c>
      <c r="B70" s="82">
        <f>VLOOKUP(A70,'Data shares'!$C$2:$CV$220,98,0)</f>
        <v>146970000</v>
      </c>
      <c r="C70" s="82">
        <f>VLOOKUP(A70,'Data shares'!$C$2:$CX$220,100,0)</f>
        <v>-775000</v>
      </c>
      <c r="D70" s="141">
        <f>VLOOKUP(A70,'Data shares'!$C$2:$CY$543,101,0)</f>
        <v>-5.1999999999999998E-3</v>
      </c>
      <c r="E70" s="86">
        <f>VLOOKUP($A70,'Data shares'!$C:$FA,74)</f>
        <v>78135000</v>
      </c>
      <c r="F70" s="86">
        <f>VLOOKUP($A70,'Data shares'!$C:$FA,76)</f>
        <v>-2320000</v>
      </c>
      <c r="G70" s="87">
        <f>VLOOKUP(A70,'Data shares'!$C$2:$CA$220,77,0)</f>
        <v>-2.8799999999999999E-2</v>
      </c>
      <c r="H70" s="86">
        <f>VLOOKUP($A70,'Data shares'!$C:$FA,90)</f>
        <v>36765000</v>
      </c>
      <c r="I70" s="86">
        <f>VLOOKUP($A70,'Data shares'!$C:$FA,92)</f>
        <v>185000</v>
      </c>
      <c r="J70" s="87">
        <f>VLOOKUP($A70,'Data shares'!$C:$FA,93)</f>
        <v>5.1000000000000004E-3</v>
      </c>
      <c r="K70" s="86">
        <f>VLOOKUP($A70,'Data shares'!$C:$FA,94)</f>
        <v>32070000</v>
      </c>
      <c r="L70" s="86">
        <f>VLOOKUP($A70,'Data shares'!$C:$FA,96)</f>
        <v>1360000</v>
      </c>
      <c r="M70" s="87">
        <f>VLOOKUP($A70,'Data shares'!$C:$FA,97)</f>
        <v>4.4299999999999999E-2</v>
      </c>
      <c r="N70" s="86">
        <f>VLOOKUP($A70,'Data shares'!$C:$FA,78)</f>
        <v>70365000</v>
      </c>
      <c r="O70" s="87">
        <f>VLOOKUP($A70,'Data shares'!$C:$FA,81)</f>
        <v>-4.7399999999999998E-2</v>
      </c>
    </row>
    <row r="71" spans="1:15" x14ac:dyDescent="0.25">
      <c r="A71" s="100" t="str">
        <f>'Data Vlaue (Cr)'!C66</f>
        <v>FINNIFTY</v>
      </c>
      <c r="B71" s="82">
        <f>VLOOKUP(A71,'Data shares'!$C$2:$CV$220,98,0)</f>
        <v>655200</v>
      </c>
      <c r="C71" s="82">
        <f>VLOOKUP(A71,'Data shares'!$C$2:$CX$220,100,0)</f>
        <v>-36840</v>
      </c>
      <c r="D71" s="141">
        <f>VLOOKUP(A71,'Data shares'!$C$2:$CY$543,101,0)</f>
        <v>-5.3199999999999997E-2</v>
      </c>
      <c r="E71" s="86">
        <f>VLOOKUP($A71,'Data shares'!$C:$FA,74)</f>
        <v>26160</v>
      </c>
      <c r="F71" s="86">
        <f>VLOOKUP($A71,'Data shares'!$C:$FA,76)</f>
        <v>-2760</v>
      </c>
      <c r="G71" s="87">
        <f>VLOOKUP(A71,'Data shares'!$C$2:$CA$220,77,0)</f>
        <v>-9.5399999999999999E-2</v>
      </c>
      <c r="H71" s="86">
        <f>VLOOKUP($A71,'Data shares'!$C:$FA,90)</f>
        <v>359040</v>
      </c>
      <c r="I71" s="86">
        <f>VLOOKUP($A71,'Data shares'!$C:$FA,92)</f>
        <v>-36060</v>
      </c>
      <c r="J71" s="87">
        <f>VLOOKUP($A71,'Data shares'!$C:$FA,93)</f>
        <v>-9.1300000000000006E-2</v>
      </c>
      <c r="K71" s="86">
        <f>VLOOKUP($A71,'Data shares'!$C:$FA,94)</f>
        <v>270000</v>
      </c>
      <c r="L71" s="86">
        <f>VLOOKUP($A71,'Data shares'!$C:$FA,96)</f>
        <v>1980</v>
      </c>
      <c r="M71" s="87">
        <f>VLOOKUP($A71,'Data shares'!$C:$FA,97)</f>
        <v>7.4000000000000003E-3</v>
      </c>
      <c r="N71" s="86">
        <f>VLOOKUP($A71,'Data shares'!$C:$FA,78)</f>
        <v>23460</v>
      </c>
      <c r="O71" s="87">
        <f>VLOOKUP($A71,'Data shares'!$C:$FA,81)</f>
        <v>-0.1134</v>
      </c>
    </row>
    <row r="72" spans="1:15" x14ac:dyDescent="0.25">
      <c r="A72" s="100" t="str">
        <f>'Data Vlaue (Cr)'!C67</f>
        <v>FORCEMOT</v>
      </c>
      <c r="B72" s="82">
        <f>VLOOKUP(A72,'Data shares'!$C$2:$CV$220,98,0)</f>
        <v>256500</v>
      </c>
      <c r="C72" s="82">
        <f>VLOOKUP(A72,'Data shares'!$C$2:$CX$220,100,0)</f>
        <v>20000</v>
      </c>
      <c r="D72" s="141">
        <f>VLOOKUP(A72,'Data shares'!$C$2:$CY$543,101,0)</f>
        <v>8.4599999999999995E-2</v>
      </c>
      <c r="E72" s="86">
        <f>VLOOKUP($A72,'Data shares'!$C:$FA,74)</f>
        <v>140775</v>
      </c>
      <c r="F72" s="86">
        <f>VLOOKUP($A72,'Data shares'!$C:$FA,76)</f>
        <v>9225</v>
      </c>
      <c r="G72" s="87">
        <f>VLOOKUP(A72,'Data shares'!$C$2:$CA$220,77,0)</f>
        <v>7.0099999999999996E-2</v>
      </c>
      <c r="H72" s="86">
        <f>VLOOKUP($A72,'Data shares'!$C:$FA,90)</f>
        <v>86475</v>
      </c>
      <c r="I72" s="86">
        <f>VLOOKUP($A72,'Data shares'!$C:$FA,92)</f>
        <v>7925</v>
      </c>
      <c r="J72" s="87">
        <f>VLOOKUP($A72,'Data shares'!$C:$FA,93)</f>
        <v>0.1009</v>
      </c>
      <c r="K72" s="86">
        <f>VLOOKUP($A72,'Data shares'!$C:$FA,94)</f>
        <v>29250</v>
      </c>
      <c r="L72" s="86">
        <f>VLOOKUP($A72,'Data shares'!$C:$FA,96)</f>
        <v>2850</v>
      </c>
      <c r="M72" s="87">
        <f>VLOOKUP($A72,'Data shares'!$C:$FA,97)</f>
        <v>0.108</v>
      </c>
      <c r="N72" s="86">
        <f>VLOOKUP($A72,'Data shares'!$C:$FA,78)</f>
        <v>104600</v>
      </c>
      <c r="O72" s="87">
        <f>VLOOKUP($A72,'Data shares'!$C:$FA,81)</f>
        <v>6.2700000000000006E-2</v>
      </c>
    </row>
    <row r="73" spans="1:15" x14ac:dyDescent="0.25">
      <c r="A73" s="100" t="str">
        <f>'Data Vlaue (Cr)'!C68</f>
        <v>FORTIS</v>
      </c>
      <c r="B73" s="82">
        <f>VLOOKUP(A73,'Data shares'!$C$2:$CV$220,98,0)</f>
        <v>15265950</v>
      </c>
      <c r="C73" s="82">
        <f>VLOOKUP(A73,'Data shares'!$C$2:$CX$220,100,0)</f>
        <v>70525</v>
      </c>
      <c r="D73" s="141">
        <f>VLOOKUP(A73,'Data shares'!$C$2:$CY$543,101,0)</f>
        <v>4.5999999999999999E-3</v>
      </c>
      <c r="E73" s="86">
        <f>VLOOKUP($A73,'Data shares'!$C:$FA,74)</f>
        <v>10997250</v>
      </c>
      <c r="F73" s="86">
        <f>VLOOKUP($A73,'Data shares'!$C:$FA,76)</f>
        <v>-123225</v>
      </c>
      <c r="G73" s="87">
        <f>VLOOKUP(A73,'Data shares'!$C$2:$CA$220,77,0)</f>
        <v>-1.11E-2</v>
      </c>
      <c r="H73" s="86">
        <f>VLOOKUP($A73,'Data shares'!$C:$FA,90)</f>
        <v>2729550</v>
      </c>
      <c r="I73" s="86">
        <f>VLOOKUP($A73,'Data shares'!$C:$FA,92)</f>
        <v>237150</v>
      </c>
      <c r="J73" s="87">
        <f>VLOOKUP($A73,'Data shares'!$C:$FA,93)</f>
        <v>9.5100000000000004E-2</v>
      </c>
      <c r="K73" s="86">
        <f>VLOOKUP($A73,'Data shares'!$C:$FA,94)</f>
        <v>1539150</v>
      </c>
      <c r="L73" s="86">
        <f>VLOOKUP($A73,'Data shares'!$C:$FA,96)</f>
        <v>-43400</v>
      </c>
      <c r="M73" s="87">
        <f>VLOOKUP($A73,'Data shares'!$C:$FA,97)</f>
        <v>-2.7400000000000001E-2</v>
      </c>
      <c r="N73" s="86">
        <f>VLOOKUP($A73,'Data shares'!$C:$FA,78)</f>
        <v>9881250</v>
      </c>
      <c r="O73" s="87">
        <f>VLOOKUP($A73,'Data shares'!$C:$FA,81)</f>
        <v>-1.6E-2</v>
      </c>
    </row>
    <row r="74" spans="1:15" x14ac:dyDescent="0.25">
      <c r="A74" s="100" t="str">
        <f>'Data Vlaue (Cr)'!C69</f>
        <v>GAIL</v>
      </c>
      <c r="B74" s="82">
        <f>VLOOKUP(A74,'Data shares'!$C$2:$CV$220,98,0)</f>
        <v>139648950</v>
      </c>
      <c r="C74" s="82">
        <f>VLOOKUP(A74,'Data shares'!$C$2:$CX$220,100,0)</f>
        <v>708750</v>
      </c>
      <c r="D74" s="141">
        <f>VLOOKUP(A74,'Data shares'!$C$2:$CY$543,101,0)</f>
        <v>5.1000000000000004E-3</v>
      </c>
      <c r="E74" s="86">
        <f>VLOOKUP($A74,'Data shares'!$C:$FA,74)</f>
        <v>78683850</v>
      </c>
      <c r="F74" s="86">
        <f>VLOOKUP($A74,'Data shares'!$C:$FA,76)</f>
        <v>-88200</v>
      </c>
      <c r="G74" s="87">
        <f>VLOOKUP(A74,'Data shares'!$C$2:$CA$220,77,0)</f>
        <v>-1.1000000000000001E-3</v>
      </c>
      <c r="H74" s="86">
        <f>VLOOKUP($A74,'Data shares'!$C:$FA,90)</f>
        <v>27931050</v>
      </c>
      <c r="I74" s="86">
        <f>VLOOKUP($A74,'Data shares'!$C:$FA,92)</f>
        <v>277200</v>
      </c>
      <c r="J74" s="87">
        <f>VLOOKUP($A74,'Data shares'!$C:$FA,93)</f>
        <v>0.01</v>
      </c>
      <c r="K74" s="86">
        <f>VLOOKUP($A74,'Data shares'!$C:$FA,94)</f>
        <v>33034050</v>
      </c>
      <c r="L74" s="86">
        <f>VLOOKUP($A74,'Data shares'!$C:$FA,96)</f>
        <v>519750</v>
      </c>
      <c r="M74" s="87">
        <f>VLOOKUP($A74,'Data shares'!$C:$FA,97)</f>
        <v>1.6E-2</v>
      </c>
      <c r="N74" s="86">
        <f>VLOOKUP($A74,'Data shares'!$C:$FA,78)</f>
        <v>69996150</v>
      </c>
      <c r="O74" s="87">
        <f>VLOOKUP($A74,'Data shares'!$C:$FA,81)</f>
        <v>-1.18E-2</v>
      </c>
    </row>
    <row r="75" spans="1:15" x14ac:dyDescent="0.25">
      <c r="A75" s="100" t="str">
        <f>'Data Vlaue (Cr)'!C70</f>
        <v>GLENMARK</v>
      </c>
      <c r="B75" s="82">
        <f>VLOOKUP(A75,'Data shares'!$C$2:$CV$220,98,0)</f>
        <v>13661625</v>
      </c>
      <c r="C75" s="82">
        <f>VLOOKUP(A75,'Data shares'!$C$2:$CX$220,100,0)</f>
        <v>-176625</v>
      </c>
      <c r="D75" s="141">
        <f>VLOOKUP(A75,'Data shares'!$C$2:$CY$543,101,0)</f>
        <v>-1.2800000000000001E-2</v>
      </c>
      <c r="E75" s="86">
        <f>VLOOKUP($A75,'Data shares'!$C:$FA,74)</f>
        <v>10115625</v>
      </c>
      <c r="F75" s="86">
        <f>VLOOKUP($A75,'Data shares'!$C:$FA,76)</f>
        <v>-120375</v>
      </c>
      <c r="G75" s="87">
        <f>VLOOKUP(A75,'Data shares'!$C$2:$CA$220,77,0)</f>
        <v>-1.18E-2</v>
      </c>
      <c r="H75" s="86">
        <f>VLOOKUP($A75,'Data shares'!$C:$FA,90)</f>
        <v>2337375</v>
      </c>
      <c r="I75" s="86">
        <f>VLOOKUP($A75,'Data shares'!$C:$FA,92)</f>
        <v>-53250</v>
      </c>
      <c r="J75" s="87">
        <f>VLOOKUP($A75,'Data shares'!$C:$FA,93)</f>
        <v>-2.23E-2</v>
      </c>
      <c r="K75" s="86">
        <f>VLOOKUP($A75,'Data shares'!$C:$FA,94)</f>
        <v>1208625</v>
      </c>
      <c r="L75" s="86">
        <f>VLOOKUP($A75,'Data shares'!$C:$FA,96)</f>
        <v>-3000</v>
      </c>
      <c r="M75" s="87">
        <f>VLOOKUP($A75,'Data shares'!$C:$FA,97)</f>
        <v>-2.5000000000000001E-3</v>
      </c>
      <c r="N75" s="86">
        <f>VLOOKUP($A75,'Data shares'!$C:$FA,78)</f>
        <v>9973125</v>
      </c>
      <c r="O75" s="87">
        <f>VLOOKUP($A75,'Data shares'!$C:$FA,81)</f>
        <v>-1.35E-2</v>
      </c>
    </row>
    <row r="76" spans="1:15" x14ac:dyDescent="0.25">
      <c r="A76" s="100" t="str">
        <f>'Data Vlaue (Cr)'!C71</f>
        <v>GMRAIRPORT</v>
      </c>
      <c r="B76" s="82">
        <f>VLOOKUP(A76,'Data shares'!$C$2:$CV$220,98,0)</f>
        <v>211879575</v>
      </c>
      <c r="C76" s="82">
        <f>VLOOKUP(A76,'Data shares'!$C$2:$CX$220,100,0)</f>
        <v>9179100</v>
      </c>
      <c r="D76" s="141">
        <f>VLOOKUP(A76,'Data shares'!$C$2:$CY$543,101,0)</f>
        <v>4.53E-2</v>
      </c>
      <c r="E76" s="86">
        <f>VLOOKUP($A76,'Data shares'!$C:$FA,74)</f>
        <v>134917425</v>
      </c>
      <c r="F76" s="86">
        <f>VLOOKUP($A76,'Data shares'!$C:$FA,76)</f>
        <v>390600</v>
      </c>
      <c r="G76" s="87">
        <f>VLOOKUP(A76,'Data shares'!$C$2:$CA$220,77,0)</f>
        <v>2.8999999999999998E-3</v>
      </c>
      <c r="H76" s="86">
        <f>VLOOKUP($A76,'Data shares'!$C:$FA,90)</f>
        <v>46181475</v>
      </c>
      <c r="I76" s="86">
        <f>VLOOKUP($A76,'Data shares'!$C:$FA,92)</f>
        <v>7170300</v>
      </c>
      <c r="J76" s="87">
        <f>VLOOKUP($A76,'Data shares'!$C:$FA,93)</f>
        <v>0.18379999999999999</v>
      </c>
      <c r="K76" s="86">
        <f>VLOOKUP($A76,'Data shares'!$C:$FA,94)</f>
        <v>30780675</v>
      </c>
      <c r="L76" s="86">
        <f>VLOOKUP($A76,'Data shares'!$C:$FA,96)</f>
        <v>1618200</v>
      </c>
      <c r="M76" s="87">
        <f>VLOOKUP($A76,'Data shares'!$C:$FA,97)</f>
        <v>5.5500000000000001E-2</v>
      </c>
      <c r="N76" s="86">
        <f>VLOOKUP($A76,'Data shares'!$C:$FA,78)</f>
        <v>121992750</v>
      </c>
      <c r="O76" s="87">
        <f>VLOOKUP($A76,'Data shares'!$C:$FA,81)</f>
        <v>-9.7000000000000003E-3</v>
      </c>
    </row>
    <row r="77" spans="1:15" x14ac:dyDescent="0.25">
      <c r="A77" s="100" t="str">
        <f>'Data Vlaue (Cr)'!C72</f>
        <v>GODFRYPHLP</v>
      </c>
      <c r="B77" s="82">
        <f>VLOOKUP(A77,'Data shares'!$C$2:$CV$220,98,0)</f>
        <v>2674100</v>
      </c>
      <c r="C77" s="82">
        <f>VLOOKUP(A77,'Data shares'!$C$2:$CX$220,100,0)</f>
        <v>59950</v>
      </c>
      <c r="D77" s="141">
        <f>VLOOKUP(A77,'Data shares'!$C$2:$CY$543,101,0)</f>
        <v>2.29E-2</v>
      </c>
      <c r="E77" s="86">
        <f>VLOOKUP($A77,'Data shares'!$C:$FA,74)</f>
        <v>1365650</v>
      </c>
      <c r="F77" s="86">
        <f>VLOOKUP($A77,'Data shares'!$C:$FA,76)</f>
        <v>67375</v>
      </c>
      <c r="G77" s="87">
        <f>VLOOKUP(A77,'Data shares'!$C$2:$CA$220,77,0)</f>
        <v>5.1900000000000002E-2</v>
      </c>
      <c r="H77" s="86">
        <f>VLOOKUP($A77,'Data shares'!$C:$FA,90)</f>
        <v>934450</v>
      </c>
      <c r="I77" s="86">
        <f>VLOOKUP($A77,'Data shares'!$C:$FA,92)</f>
        <v>13475</v>
      </c>
      <c r="J77" s="87">
        <f>VLOOKUP($A77,'Data shares'!$C:$FA,93)</f>
        <v>1.46E-2</v>
      </c>
      <c r="K77" s="86">
        <f>VLOOKUP($A77,'Data shares'!$C:$FA,94)</f>
        <v>374000</v>
      </c>
      <c r="L77" s="86">
        <f>VLOOKUP($A77,'Data shares'!$C:$FA,96)</f>
        <v>-20900</v>
      </c>
      <c r="M77" s="87">
        <f>VLOOKUP($A77,'Data shares'!$C:$FA,97)</f>
        <v>-5.2900000000000003E-2</v>
      </c>
      <c r="N77" s="86">
        <f>VLOOKUP($A77,'Data shares'!$C:$FA,78)</f>
        <v>1065075</v>
      </c>
      <c r="O77" s="87">
        <f>VLOOKUP($A77,'Data shares'!$C:$FA,81)</f>
        <v>-6.4000000000000003E-3</v>
      </c>
    </row>
    <row r="78" spans="1:15" x14ac:dyDescent="0.25">
      <c r="A78" s="100" t="str">
        <f>'Data Vlaue (Cr)'!C73</f>
        <v>GODREJCP</v>
      </c>
      <c r="B78" s="82">
        <f>VLOOKUP(A78,'Data shares'!$C$2:$CV$220,98,0)</f>
        <v>15301500</v>
      </c>
      <c r="C78" s="82">
        <f>VLOOKUP(A78,'Data shares'!$C$2:$CX$220,100,0)</f>
        <v>70000</v>
      </c>
      <c r="D78" s="141">
        <f>VLOOKUP(A78,'Data shares'!$C$2:$CY$543,101,0)</f>
        <v>4.5999999999999999E-3</v>
      </c>
      <c r="E78" s="86">
        <f>VLOOKUP($A78,'Data shares'!$C:$FA,74)</f>
        <v>12351000</v>
      </c>
      <c r="F78" s="86">
        <f>VLOOKUP($A78,'Data shares'!$C:$FA,76)</f>
        <v>90500</v>
      </c>
      <c r="G78" s="87">
        <f>VLOOKUP(A78,'Data shares'!$C$2:$CA$220,77,0)</f>
        <v>7.4000000000000003E-3</v>
      </c>
      <c r="H78" s="86">
        <f>VLOOKUP($A78,'Data shares'!$C:$FA,90)</f>
        <v>1680500</v>
      </c>
      <c r="I78" s="86">
        <f>VLOOKUP($A78,'Data shares'!$C:$FA,92)</f>
        <v>-4000</v>
      </c>
      <c r="J78" s="87">
        <f>VLOOKUP($A78,'Data shares'!$C:$FA,93)</f>
        <v>-2.3999999999999998E-3</v>
      </c>
      <c r="K78" s="86">
        <f>VLOOKUP($A78,'Data shares'!$C:$FA,94)</f>
        <v>1270000</v>
      </c>
      <c r="L78" s="86">
        <f>VLOOKUP($A78,'Data shares'!$C:$FA,96)</f>
        <v>-16500</v>
      </c>
      <c r="M78" s="87">
        <f>VLOOKUP($A78,'Data shares'!$C:$FA,97)</f>
        <v>-1.2800000000000001E-2</v>
      </c>
      <c r="N78" s="86">
        <f>VLOOKUP($A78,'Data shares'!$C:$FA,78)</f>
        <v>11508500</v>
      </c>
      <c r="O78" s="87">
        <f>VLOOKUP($A78,'Data shares'!$C:$FA,81)</f>
        <v>4.5999999999999999E-3</v>
      </c>
    </row>
    <row r="79" spans="1:15" x14ac:dyDescent="0.25">
      <c r="A79" s="100" t="str">
        <f>'Data Vlaue (Cr)'!C74</f>
        <v>GODREJPROP</v>
      </c>
      <c r="B79" s="82">
        <f>VLOOKUP(A79,'Data shares'!$C$2:$CV$220,98,0)</f>
        <v>13936450</v>
      </c>
      <c r="C79" s="82">
        <f>VLOOKUP(A79,'Data shares'!$C$2:$CX$220,100,0)</f>
        <v>256025</v>
      </c>
      <c r="D79" s="141">
        <f>VLOOKUP(A79,'Data shares'!$C$2:$CY$543,101,0)</f>
        <v>1.8700000000000001E-2</v>
      </c>
      <c r="E79" s="86">
        <f>VLOOKUP($A79,'Data shares'!$C:$FA,74)</f>
        <v>7994800</v>
      </c>
      <c r="F79" s="86">
        <f>VLOOKUP($A79,'Data shares'!$C:$FA,76)</f>
        <v>-81125</v>
      </c>
      <c r="G79" s="87">
        <f>VLOOKUP(A79,'Data shares'!$C$2:$CA$220,77,0)</f>
        <v>-0.01</v>
      </c>
      <c r="H79" s="86">
        <f>VLOOKUP($A79,'Data shares'!$C:$FA,90)</f>
        <v>2922425</v>
      </c>
      <c r="I79" s="86">
        <f>VLOOKUP($A79,'Data shares'!$C:$FA,92)</f>
        <v>29425</v>
      </c>
      <c r="J79" s="87">
        <f>VLOOKUP($A79,'Data shares'!$C:$FA,93)</f>
        <v>1.0200000000000001E-2</v>
      </c>
      <c r="K79" s="86">
        <f>VLOOKUP($A79,'Data shares'!$C:$FA,94)</f>
        <v>3019225</v>
      </c>
      <c r="L79" s="86">
        <f>VLOOKUP($A79,'Data shares'!$C:$FA,96)</f>
        <v>307725</v>
      </c>
      <c r="M79" s="87">
        <f>VLOOKUP($A79,'Data shares'!$C:$FA,97)</f>
        <v>0.1135</v>
      </c>
      <c r="N79" s="86">
        <f>VLOOKUP($A79,'Data shares'!$C:$FA,78)</f>
        <v>7539950</v>
      </c>
      <c r="O79" s="87">
        <f>VLOOKUP($A79,'Data shares'!$C:$FA,81)</f>
        <v>-2.3E-2</v>
      </c>
    </row>
    <row r="80" spans="1:15" x14ac:dyDescent="0.25">
      <c r="A80" s="100" t="str">
        <f>'Data Vlaue (Cr)'!C75</f>
        <v>GRASIM</v>
      </c>
      <c r="B80" s="82">
        <f>VLOOKUP(A80,'Data shares'!$C$2:$CV$220,98,0)</f>
        <v>16909750</v>
      </c>
      <c r="C80" s="82">
        <f>VLOOKUP(A80,'Data shares'!$C$2:$CX$220,100,0)</f>
        <v>-174000</v>
      </c>
      <c r="D80" s="141">
        <f>VLOOKUP(A80,'Data shares'!$C$2:$CY$543,101,0)</f>
        <v>-1.0200000000000001E-2</v>
      </c>
      <c r="E80" s="86">
        <f>VLOOKUP($A80,'Data shares'!$C:$FA,74)</f>
        <v>14128750</v>
      </c>
      <c r="F80" s="86">
        <f>VLOOKUP($A80,'Data shares'!$C:$FA,76)</f>
        <v>-19750</v>
      </c>
      <c r="G80" s="87">
        <f>VLOOKUP(A80,'Data shares'!$C$2:$CA$220,77,0)</f>
        <v>-1.4E-3</v>
      </c>
      <c r="H80" s="86">
        <f>VLOOKUP($A80,'Data shares'!$C:$FA,90)</f>
        <v>1570500</v>
      </c>
      <c r="I80" s="86">
        <f>VLOOKUP($A80,'Data shares'!$C:$FA,92)</f>
        <v>-130500</v>
      </c>
      <c r="J80" s="87">
        <f>VLOOKUP($A80,'Data shares'!$C:$FA,93)</f>
        <v>-7.6700000000000004E-2</v>
      </c>
      <c r="K80" s="86">
        <f>VLOOKUP($A80,'Data shares'!$C:$FA,94)</f>
        <v>1210500</v>
      </c>
      <c r="L80" s="86">
        <f>VLOOKUP($A80,'Data shares'!$C:$FA,96)</f>
        <v>-23750</v>
      </c>
      <c r="M80" s="87">
        <f>VLOOKUP($A80,'Data shares'!$C:$FA,97)</f>
        <v>-1.9199999999999998E-2</v>
      </c>
      <c r="N80" s="86">
        <f>VLOOKUP($A80,'Data shares'!$C:$FA,78)</f>
        <v>11164250</v>
      </c>
      <c r="O80" s="87">
        <f>VLOOKUP($A80,'Data shares'!$C:$FA,81)</f>
        <v>-8.6499999999999994E-2</v>
      </c>
    </row>
    <row r="81" spans="1:15" x14ac:dyDescent="0.25">
      <c r="A81" s="100" t="str">
        <f>'Data Vlaue (Cr)'!C76</f>
        <v>HAL</v>
      </c>
      <c r="B81" s="82">
        <f>VLOOKUP(A81,'Data shares'!$C$2:$CV$220,98,0)</f>
        <v>14318850</v>
      </c>
      <c r="C81" s="82">
        <f>VLOOKUP(A81,'Data shares'!$C$2:$CX$220,100,0)</f>
        <v>-65100</v>
      </c>
      <c r="D81" s="141">
        <f>VLOOKUP(A81,'Data shares'!$C$2:$CY$543,101,0)</f>
        <v>-4.4999999999999997E-3</v>
      </c>
      <c r="E81" s="86">
        <f>VLOOKUP($A81,'Data shares'!$C:$FA,74)</f>
        <v>7560150</v>
      </c>
      <c r="F81" s="86">
        <f>VLOOKUP($A81,'Data shares'!$C:$FA,76)</f>
        <v>8700</v>
      </c>
      <c r="G81" s="87">
        <f>VLOOKUP(A81,'Data shares'!$C$2:$CA$220,77,0)</f>
        <v>1.1999999999999999E-3</v>
      </c>
      <c r="H81" s="86">
        <f>VLOOKUP($A81,'Data shares'!$C:$FA,90)</f>
        <v>3496500</v>
      </c>
      <c r="I81" s="86">
        <f>VLOOKUP($A81,'Data shares'!$C:$FA,92)</f>
        <v>-8850</v>
      </c>
      <c r="J81" s="87">
        <f>VLOOKUP($A81,'Data shares'!$C:$FA,93)</f>
        <v>-2.5000000000000001E-3</v>
      </c>
      <c r="K81" s="86">
        <f>VLOOKUP($A81,'Data shares'!$C:$FA,94)</f>
        <v>3262200</v>
      </c>
      <c r="L81" s="86">
        <f>VLOOKUP($A81,'Data shares'!$C:$FA,96)</f>
        <v>-64950</v>
      </c>
      <c r="M81" s="87">
        <f>VLOOKUP($A81,'Data shares'!$C:$FA,97)</f>
        <v>-1.95E-2</v>
      </c>
      <c r="N81" s="86">
        <f>VLOOKUP($A81,'Data shares'!$C:$FA,78)</f>
        <v>6547950</v>
      </c>
      <c r="O81" s="87">
        <f>VLOOKUP($A81,'Data shares'!$C:$FA,81)</f>
        <v>-2.1600000000000001E-2</v>
      </c>
    </row>
    <row r="82" spans="1:15" x14ac:dyDescent="0.25">
      <c r="A82" s="100" t="str">
        <f>'Data Vlaue (Cr)'!C77</f>
        <v>HAVELLS</v>
      </c>
      <c r="B82" s="82">
        <f>VLOOKUP(A82,'Data shares'!$C$2:$CV$220,98,0)</f>
        <v>14633000</v>
      </c>
      <c r="C82" s="82">
        <f>VLOOKUP(A82,'Data shares'!$C$2:$CX$220,100,0)</f>
        <v>186500</v>
      </c>
      <c r="D82" s="141">
        <f>VLOOKUP(A82,'Data shares'!$C$2:$CY$543,101,0)</f>
        <v>1.29E-2</v>
      </c>
      <c r="E82" s="86">
        <f>VLOOKUP($A82,'Data shares'!$C:$FA,74)</f>
        <v>8929000</v>
      </c>
      <c r="F82" s="86">
        <f>VLOOKUP($A82,'Data shares'!$C:$FA,76)</f>
        <v>7500</v>
      </c>
      <c r="G82" s="87">
        <f>VLOOKUP(A82,'Data shares'!$C$2:$CA$220,77,0)</f>
        <v>8.0000000000000004E-4</v>
      </c>
      <c r="H82" s="86">
        <f>VLOOKUP($A82,'Data shares'!$C:$FA,90)</f>
        <v>3288000</v>
      </c>
      <c r="I82" s="86">
        <f>VLOOKUP($A82,'Data shares'!$C:$FA,92)</f>
        <v>112000</v>
      </c>
      <c r="J82" s="87">
        <f>VLOOKUP($A82,'Data shares'!$C:$FA,93)</f>
        <v>3.5299999999999998E-2</v>
      </c>
      <c r="K82" s="86">
        <f>VLOOKUP($A82,'Data shares'!$C:$FA,94)</f>
        <v>2416000</v>
      </c>
      <c r="L82" s="86">
        <f>VLOOKUP($A82,'Data shares'!$C:$FA,96)</f>
        <v>67000</v>
      </c>
      <c r="M82" s="87">
        <f>VLOOKUP($A82,'Data shares'!$C:$FA,97)</f>
        <v>2.8500000000000001E-2</v>
      </c>
      <c r="N82" s="86">
        <f>VLOOKUP($A82,'Data shares'!$C:$FA,78)</f>
        <v>8328500</v>
      </c>
      <c r="O82" s="87">
        <f>VLOOKUP($A82,'Data shares'!$C:$FA,81)</f>
        <v>-3.8E-3</v>
      </c>
    </row>
    <row r="83" spans="1:15" x14ac:dyDescent="0.25">
      <c r="A83" s="100" t="str">
        <f>'Data Vlaue (Cr)'!C78</f>
        <v>HCLTECH</v>
      </c>
      <c r="B83" s="82">
        <f>VLOOKUP(A83,'Data shares'!$C$2:$CV$220,98,0)</f>
        <v>58397850</v>
      </c>
      <c r="C83" s="82">
        <f>VLOOKUP(A83,'Data shares'!$C$2:$CX$220,100,0)</f>
        <v>2482900</v>
      </c>
      <c r="D83" s="141">
        <f>VLOOKUP(A83,'Data shares'!$C$2:$CY$543,101,0)</f>
        <v>4.4400000000000002E-2</v>
      </c>
      <c r="E83" s="86">
        <f>VLOOKUP($A83,'Data shares'!$C:$FA,74)</f>
        <v>44422700</v>
      </c>
      <c r="F83" s="86">
        <f>VLOOKUP($A83,'Data shares'!$C:$FA,76)</f>
        <v>1555400</v>
      </c>
      <c r="G83" s="87">
        <f>VLOOKUP(A83,'Data shares'!$C$2:$CA$220,77,0)</f>
        <v>3.6299999999999999E-2</v>
      </c>
      <c r="H83" s="86">
        <f>VLOOKUP($A83,'Data shares'!$C:$FA,90)</f>
        <v>7597800</v>
      </c>
      <c r="I83" s="86">
        <f>VLOOKUP($A83,'Data shares'!$C:$FA,92)</f>
        <v>474250</v>
      </c>
      <c r="J83" s="87">
        <f>VLOOKUP($A83,'Data shares'!$C:$FA,93)</f>
        <v>6.6600000000000006E-2</v>
      </c>
      <c r="K83" s="86">
        <f>VLOOKUP($A83,'Data shares'!$C:$FA,94)</f>
        <v>6377350</v>
      </c>
      <c r="L83" s="86">
        <f>VLOOKUP($A83,'Data shares'!$C:$FA,96)</f>
        <v>453250</v>
      </c>
      <c r="M83" s="87">
        <f>VLOOKUP($A83,'Data shares'!$C:$FA,97)</f>
        <v>7.6499999999999999E-2</v>
      </c>
      <c r="N83" s="86">
        <f>VLOOKUP($A83,'Data shares'!$C:$FA,78)</f>
        <v>37202900</v>
      </c>
      <c r="O83" s="87">
        <f>VLOOKUP($A83,'Data shares'!$C:$FA,81)</f>
        <v>1.35E-2</v>
      </c>
    </row>
    <row r="84" spans="1:15" x14ac:dyDescent="0.25">
      <c r="A84" s="100" t="str">
        <f>'Data Vlaue (Cr)'!C79</f>
        <v>HDFCAMC</v>
      </c>
      <c r="B84" s="82">
        <f>VLOOKUP(A84,'Data shares'!$C$2:$CV$220,98,0)</f>
        <v>10026000</v>
      </c>
      <c r="C84" s="82">
        <f>VLOOKUP(A84,'Data shares'!$C$2:$CX$220,100,0)</f>
        <v>-691500</v>
      </c>
      <c r="D84" s="141">
        <f>VLOOKUP(A84,'Data shares'!$C$2:$CY$543,101,0)</f>
        <v>-6.4500000000000002E-2</v>
      </c>
      <c r="E84" s="86">
        <f>VLOOKUP($A84,'Data shares'!$C:$FA,74)</f>
        <v>5461800</v>
      </c>
      <c r="F84" s="86">
        <f>VLOOKUP($A84,'Data shares'!$C:$FA,76)</f>
        <v>-265800</v>
      </c>
      <c r="G84" s="87">
        <f>VLOOKUP(A84,'Data shares'!$C$2:$CA$220,77,0)</f>
        <v>-4.6399999999999997E-2</v>
      </c>
      <c r="H84" s="86">
        <f>VLOOKUP($A84,'Data shares'!$C:$FA,90)</f>
        <v>2326200</v>
      </c>
      <c r="I84" s="86">
        <f>VLOOKUP($A84,'Data shares'!$C:$FA,92)</f>
        <v>-208200</v>
      </c>
      <c r="J84" s="87">
        <f>VLOOKUP($A84,'Data shares'!$C:$FA,93)</f>
        <v>-8.2100000000000006E-2</v>
      </c>
      <c r="K84" s="86">
        <f>VLOOKUP($A84,'Data shares'!$C:$FA,94)</f>
        <v>2238000</v>
      </c>
      <c r="L84" s="86">
        <f>VLOOKUP($A84,'Data shares'!$C:$FA,96)</f>
        <v>-217500</v>
      </c>
      <c r="M84" s="87">
        <f>VLOOKUP($A84,'Data shares'!$C:$FA,97)</f>
        <v>-8.8599999999999998E-2</v>
      </c>
      <c r="N84" s="86">
        <f>VLOOKUP($A84,'Data shares'!$C:$FA,78)</f>
        <v>5178900</v>
      </c>
      <c r="O84" s="87">
        <f>VLOOKUP($A84,'Data shares'!$C:$FA,81)</f>
        <v>-5.2400000000000002E-2</v>
      </c>
    </row>
    <row r="85" spans="1:15" x14ac:dyDescent="0.25">
      <c r="A85" s="100" t="str">
        <f>'Data Vlaue (Cr)'!C80</f>
        <v>HDFCBANK</v>
      </c>
      <c r="B85" s="82">
        <f>VLOOKUP(A85,'Data shares'!$C$2:$CV$220,98,0)</f>
        <v>488415950</v>
      </c>
      <c r="C85" s="82">
        <f>VLOOKUP(A85,'Data shares'!$C$2:$CX$220,100,0)</f>
        <v>4253150</v>
      </c>
      <c r="D85" s="141">
        <f>VLOOKUP(A85,'Data shares'!$C$2:$CY$543,101,0)</f>
        <v>8.8000000000000005E-3</v>
      </c>
      <c r="E85" s="86">
        <f>VLOOKUP($A85,'Data shares'!$C:$FA,74)</f>
        <v>328107450</v>
      </c>
      <c r="F85" s="86">
        <f>VLOOKUP($A85,'Data shares'!$C:$FA,76)</f>
        <v>-2432650</v>
      </c>
      <c r="G85" s="87">
        <f>VLOOKUP(A85,'Data shares'!$C$2:$CA$220,77,0)</f>
        <v>-7.4000000000000003E-3</v>
      </c>
      <c r="H85" s="86">
        <f>VLOOKUP($A85,'Data shares'!$C:$FA,90)</f>
        <v>104784350</v>
      </c>
      <c r="I85" s="86">
        <f>VLOOKUP($A85,'Data shares'!$C:$FA,92)</f>
        <v>6796900</v>
      </c>
      <c r="J85" s="87">
        <f>VLOOKUP($A85,'Data shares'!$C:$FA,93)</f>
        <v>6.9400000000000003E-2</v>
      </c>
      <c r="K85" s="86">
        <f>VLOOKUP($A85,'Data shares'!$C:$FA,94)</f>
        <v>55524150</v>
      </c>
      <c r="L85" s="86">
        <f>VLOOKUP($A85,'Data shares'!$C:$FA,96)</f>
        <v>-111100</v>
      </c>
      <c r="M85" s="87">
        <f>VLOOKUP($A85,'Data shares'!$C:$FA,97)</f>
        <v>-2E-3</v>
      </c>
      <c r="N85" s="86">
        <f>VLOOKUP($A85,'Data shares'!$C:$FA,78)</f>
        <v>269287700</v>
      </c>
      <c r="O85" s="87">
        <f>VLOOKUP($A85,'Data shares'!$C:$FA,81)</f>
        <v>-6.5000000000000002E-2</v>
      </c>
    </row>
    <row r="86" spans="1:15" x14ac:dyDescent="0.25">
      <c r="A86" s="100" t="str">
        <f>'Data Vlaue (Cr)'!C81</f>
        <v>HDFCLIFE</v>
      </c>
      <c r="B86" s="82">
        <f>VLOOKUP(A86,'Data shares'!$C$2:$CV$220,98,0)</f>
        <v>75318100</v>
      </c>
      <c r="C86" s="82">
        <f>VLOOKUP(A86,'Data shares'!$C$2:$CX$220,100,0)</f>
        <v>-1514700</v>
      </c>
      <c r="D86" s="141">
        <f>VLOOKUP(A86,'Data shares'!$C$2:$CY$543,101,0)</f>
        <v>-1.9699999999999999E-2</v>
      </c>
      <c r="E86" s="86">
        <f>VLOOKUP($A86,'Data shares'!$C:$FA,74)</f>
        <v>44033000</v>
      </c>
      <c r="F86" s="86">
        <f>VLOOKUP($A86,'Data shares'!$C:$FA,76)</f>
        <v>298100</v>
      </c>
      <c r="G86" s="87">
        <f>VLOOKUP(A86,'Data shares'!$C$2:$CA$220,77,0)</f>
        <v>6.7999999999999996E-3</v>
      </c>
      <c r="H86" s="86">
        <f>VLOOKUP($A86,'Data shares'!$C:$FA,90)</f>
        <v>19003600</v>
      </c>
      <c r="I86" s="86">
        <f>VLOOKUP($A86,'Data shares'!$C:$FA,92)</f>
        <v>-883300</v>
      </c>
      <c r="J86" s="87">
        <f>VLOOKUP($A86,'Data shares'!$C:$FA,93)</f>
        <v>-4.4400000000000002E-2</v>
      </c>
      <c r="K86" s="86">
        <f>VLOOKUP($A86,'Data shares'!$C:$FA,94)</f>
        <v>12281500</v>
      </c>
      <c r="L86" s="86">
        <f>VLOOKUP($A86,'Data shares'!$C:$FA,96)</f>
        <v>-929500</v>
      </c>
      <c r="M86" s="87">
        <f>VLOOKUP($A86,'Data shares'!$C:$FA,97)</f>
        <v>-7.0400000000000004E-2</v>
      </c>
      <c r="N86" s="86">
        <f>VLOOKUP($A86,'Data shares'!$C:$FA,78)</f>
        <v>40395300</v>
      </c>
      <c r="O86" s="87">
        <f>VLOOKUP($A86,'Data shares'!$C:$FA,81)</f>
        <v>-1.6199999999999999E-2</v>
      </c>
    </row>
    <row r="87" spans="1:15" x14ac:dyDescent="0.25">
      <c r="A87" s="100" t="str">
        <f>'Data Vlaue (Cr)'!C82</f>
        <v>HEROMOTOCO</v>
      </c>
      <c r="B87" s="82">
        <f>VLOOKUP(A87,'Data shares'!$C$2:$CV$220,98,0)</f>
        <v>7936500</v>
      </c>
      <c r="C87" s="82">
        <f>VLOOKUP(A87,'Data shares'!$C$2:$CX$220,100,0)</f>
        <v>-354600</v>
      </c>
      <c r="D87" s="141">
        <f>VLOOKUP(A87,'Data shares'!$C$2:$CY$543,101,0)</f>
        <v>-4.2799999999999998E-2</v>
      </c>
      <c r="E87" s="86">
        <f>VLOOKUP($A87,'Data shares'!$C:$FA,74)</f>
        <v>4295100</v>
      </c>
      <c r="F87" s="86">
        <f>VLOOKUP($A87,'Data shares'!$C:$FA,76)</f>
        <v>-81450</v>
      </c>
      <c r="G87" s="87">
        <f>VLOOKUP(A87,'Data shares'!$C$2:$CA$220,77,0)</f>
        <v>-1.8599999999999998E-2</v>
      </c>
      <c r="H87" s="86">
        <f>VLOOKUP($A87,'Data shares'!$C:$FA,90)</f>
        <v>2180550</v>
      </c>
      <c r="I87" s="86">
        <f>VLOOKUP($A87,'Data shares'!$C:$FA,92)</f>
        <v>-269700</v>
      </c>
      <c r="J87" s="87">
        <f>VLOOKUP($A87,'Data shares'!$C:$FA,93)</f>
        <v>-0.1101</v>
      </c>
      <c r="K87" s="86">
        <f>VLOOKUP($A87,'Data shares'!$C:$FA,94)</f>
        <v>1460850</v>
      </c>
      <c r="L87" s="86">
        <f>VLOOKUP($A87,'Data shares'!$C:$FA,96)</f>
        <v>-3450</v>
      </c>
      <c r="M87" s="87">
        <f>VLOOKUP($A87,'Data shares'!$C:$FA,97)</f>
        <v>-2.3999999999999998E-3</v>
      </c>
      <c r="N87" s="86">
        <f>VLOOKUP($A87,'Data shares'!$C:$FA,78)</f>
        <v>3954150</v>
      </c>
      <c r="O87" s="87">
        <f>VLOOKUP($A87,'Data shares'!$C:$FA,81)</f>
        <v>-2.81E-2</v>
      </c>
    </row>
    <row r="88" spans="1:15" x14ac:dyDescent="0.25">
      <c r="A88" s="100" t="str">
        <f>'Data Vlaue (Cr)'!C83</f>
        <v>HINDALCO</v>
      </c>
      <c r="B88" s="82">
        <f>VLOOKUP(A88,'Data shares'!$C$2:$CV$220,98,0)</f>
        <v>63278600</v>
      </c>
      <c r="C88" s="82">
        <f>VLOOKUP(A88,'Data shares'!$C$2:$CX$220,100,0)</f>
        <v>-536900</v>
      </c>
      <c r="D88" s="141">
        <f>VLOOKUP(A88,'Data shares'!$C$2:$CY$543,101,0)</f>
        <v>-8.3999999999999995E-3</v>
      </c>
      <c r="E88" s="86">
        <f>VLOOKUP($A88,'Data shares'!$C:$FA,74)</f>
        <v>36621900</v>
      </c>
      <c r="F88" s="86">
        <f>VLOOKUP($A88,'Data shares'!$C:$FA,76)</f>
        <v>-119700</v>
      </c>
      <c r="G88" s="87">
        <f>VLOOKUP(A88,'Data shares'!$C$2:$CA$220,77,0)</f>
        <v>-3.3E-3</v>
      </c>
      <c r="H88" s="86">
        <f>VLOOKUP($A88,'Data shares'!$C:$FA,90)</f>
        <v>15787800</v>
      </c>
      <c r="I88" s="86">
        <f>VLOOKUP($A88,'Data shares'!$C:$FA,92)</f>
        <v>667800</v>
      </c>
      <c r="J88" s="87">
        <f>VLOOKUP($A88,'Data shares'!$C:$FA,93)</f>
        <v>4.4200000000000003E-2</v>
      </c>
      <c r="K88" s="86">
        <f>VLOOKUP($A88,'Data shares'!$C:$FA,94)</f>
        <v>10868900</v>
      </c>
      <c r="L88" s="86">
        <f>VLOOKUP($A88,'Data shares'!$C:$FA,96)</f>
        <v>-1085000</v>
      </c>
      <c r="M88" s="87">
        <f>VLOOKUP($A88,'Data shares'!$C:$FA,97)</f>
        <v>-9.0800000000000006E-2</v>
      </c>
      <c r="N88" s="86">
        <f>VLOOKUP($A88,'Data shares'!$C:$FA,78)</f>
        <v>31355800</v>
      </c>
      <c r="O88" s="87">
        <f>VLOOKUP($A88,'Data shares'!$C:$FA,81)</f>
        <v>-2.0899999999999998E-2</v>
      </c>
    </row>
    <row r="89" spans="1:15" x14ac:dyDescent="0.25">
      <c r="A89" s="100" t="str">
        <f>'Data Vlaue (Cr)'!C84</f>
        <v>HINDPETRO</v>
      </c>
      <c r="B89" s="82">
        <f>VLOOKUP(A89,'Data shares'!$C$2:$CV$220,98,0)</f>
        <v>77496750</v>
      </c>
      <c r="C89" s="82">
        <f>VLOOKUP(A89,'Data shares'!$C$2:$CX$220,100,0)</f>
        <v>-402975</v>
      </c>
      <c r="D89" s="141">
        <f>VLOOKUP(A89,'Data shares'!$C$2:$CY$543,101,0)</f>
        <v>-5.1999999999999998E-3</v>
      </c>
      <c r="E89" s="86">
        <f>VLOOKUP($A89,'Data shares'!$C:$FA,74)</f>
        <v>40951575</v>
      </c>
      <c r="F89" s="86">
        <f>VLOOKUP($A89,'Data shares'!$C:$FA,76)</f>
        <v>-411075</v>
      </c>
      <c r="G89" s="87">
        <f>VLOOKUP(A89,'Data shares'!$C$2:$CA$220,77,0)</f>
        <v>-9.9000000000000008E-3</v>
      </c>
      <c r="H89" s="86">
        <f>VLOOKUP($A89,'Data shares'!$C:$FA,90)</f>
        <v>19156500</v>
      </c>
      <c r="I89" s="86">
        <f>VLOOKUP($A89,'Data shares'!$C:$FA,92)</f>
        <v>-656100</v>
      </c>
      <c r="J89" s="87">
        <f>VLOOKUP($A89,'Data shares'!$C:$FA,93)</f>
        <v>-3.3099999999999997E-2</v>
      </c>
      <c r="K89" s="86">
        <f>VLOOKUP($A89,'Data shares'!$C:$FA,94)</f>
        <v>17388675</v>
      </c>
      <c r="L89" s="86">
        <f>VLOOKUP($A89,'Data shares'!$C:$FA,96)</f>
        <v>664200</v>
      </c>
      <c r="M89" s="87">
        <f>VLOOKUP($A89,'Data shares'!$C:$FA,97)</f>
        <v>3.9699999999999999E-2</v>
      </c>
      <c r="N89" s="86">
        <f>VLOOKUP($A89,'Data shares'!$C:$FA,78)</f>
        <v>37980900</v>
      </c>
      <c r="O89" s="87">
        <f>VLOOKUP($A89,'Data shares'!$C:$FA,81)</f>
        <v>-2.9100000000000001E-2</v>
      </c>
    </row>
    <row r="90" spans="1:15" x14ac:dyDescent="0.25">
      <c r="A90" s="100" t="str">
        <f>'Data Vlaue (Cr)'!C85</f>
        <v>HINDUNILVR</v>
      </c>
      <c r="B90" s="82">
        <f>VLOOKUP(A90,'Data shares'!$C$2:$CV$220,98,0)</f>
        <v>29578500</v>
      </c>
      <c r="C90" s="82">
        <f>VLOOKUP(A90,'Data shares'!$C$2:$CX$220,100,0)</f>
        <v>-399300</v>
      </c>
      <c r="D90" s="141">
        <f>VLOOKUP(A90,'Data shares'!$C$2:$CY$543,101,0)</f>
        <v>-1.3299999999999999E-2</v>
      </c>
      <c r="E90" s="86">
        <f>VLOOKUP($A90,'Data shares'!$C:$FA,74)</f>
        <v>18036900</v>
      </c>
      <c r="F90" s="86">
        <f>VLOOKUP($A90,'Data shares'!$C:$FA,76)</f>
        <v>62100</v>
      </c>
      <c r="G90" s="87">
        <f>VLOOKUP(A90,'Data shares'!$C$2:$CA$220,77,0)</f>
        <v>3.5000000000000001E-3</v>
      </c>
      <c r="H90" s="86">
        <f>VLOOKUP($A90,'Data shares'!$C:$FA,90)</f>
        <v>6643800</v>
      </c>
      <c r="I90" s="86">
        <f>VLOOKUP($A90,'Data shares'!$C:$FA,92)</f>
        <v>-400200</v>
      </c>
      <c r="J90" s="87">
        <f>VLOOKUP($A90,'Data shares'!$C:$FA,93)</f>
        <v>-5.6800000000000003E-2</v>
      </c>
      <c r="K90" s="86">
        <f>VLOOKUP($A90,'Data shares'!$C:$FA,94)</f>
        <v>4897800</v>
      </c>
      <c r="L90" s="86">
        <f>VLOOKUP($A90,'Data shares'!$C:$FA,96)</f>
        <v>-61200</v>
      </c>
      <c r="M90" s="87">
        <f>VLOOKUP($A90,'Data shares'!$C:$FA,97)</f>
        <v>-1.23E-2</v>
      </c>
      <c r="N90" s="86">
        <f>VLOOKUP($A90,'Data shares'!$C:$FA,78)</f>
        <v>16918200</v>
      </c>
      <c r="O90" s="87">
        <f>VLOOKUP($A90,'Data shares'!$C:$FA,81)</f>
        <v>-2E-3</v>
      </c>
    </row>
    <row r="91" spans="1:15" x14ac:dyDescent="0.25">
      <c r="A91" s="100" t="str">
        <f>'Data Vlaue (Cr)'!C86</f>
        <v>HINDZINC</v>
      </c>
      <c r="B91" s="82">
        <f>VLOOKUP(A91,'Data shares'!$C$2:$CV$220,98,0)</f>
        <v>74807075</v>
      </c>
      <c r="C91" s="82">
        <f>VLOOKUP(A91,'Data shares'!$C$2:$CX$220,100,0)</f>
        <v>606375</v>
      </c>
      <c r="D91" s="141">
        <f>VLOOKUP(A91,'Data shares'!$C$2:$CY$543,101,0)</f>
        <v>8.2000000000000007E-3</v>
      </c>
      <c r="E91" s="86">
        <f>VLOOKUP($A91,'Data shares'!$C:$FA,74)</f>
        <v>37034200</v>
      </c>
      <c r="F91" s="86">
        <f>VLOOKUP($A91,'Data shares'!$C:$FA,76)</f>
        <v>428750</v>
      </c>
      <c r="G91" s="87">
        <f>VLOOKUP(A91,'Data shares'!$C$2:$CA$220,77,0)</f>
        <v>1.17E-2</v>
      </c>
      <c r="H91" s="86">
        <f>VLOOKUP($A91,'Data shares'!$C:$FA,90)</f>
        <v>21202300</v>
      </c>
      <c r="I91" s="86">
        <f>VLOOKUP($A91,'Data shares'!$C:$FA,92)</f>
        <v>298900</v>
      </c>
      <c r="J91" s="87">
        <f>VLOOKUP($A91,'Data shares'!$C:$FA,93)</f>
        <v>1.43E-2</v>
      </c>
      <c r="K91" s="86">
        <f>VLOOKUP($A91,'Data shares'!$C:$FA,94)</f>
        <v>16570575</v>
      </c>
      <c r="L91" s="86">
        <f>VLOOKUP($A91,'Data shares'!$C:$FA,96)</f>
        <v>-121275</v>
      </c>
      <c r="M91" s="87">
        <f>VLOOKUP($A91,'Data shares'!$C:$FA,97)</f>
        <v>-7.3000000000000001E-3</v>
      </c>
      <c r="N91" s="86">
        <f>VLOOKUP($A91,'Data shares'!$C:$FA,78)</f>
        <v>32128075</v>
      </c>
      <c r="O91" s="87">
        <f>VLOOKUP($A91,'Data shares'!$C:$FA,81)</f>
        <v>-1.32E-2</v>
      </c>
    </row>
    <row r="92" spans="1:15" x14ac:dyDescent="0.25">
      <c r="A92" s="100" t="str">
        <f>'Data Vlaue (Cr)'!C87</f>
        <v>HUDCO</v>
      </c>
      <c r="B92" s="82">
        <f>VLOOKUP(A92,'Data shares'!$C$2:$CV$220,98,0)</f>
        <v>48665175</v>
      </c>
      <c r="C92" s="82">
        <f>VLOOKUP(A92,'Data shares'!$C$2:$CX$220,100,0)</f>
        <v>-80475</v>
      </c>
      <c r="D92" s="141">
        <f>VLOOKUP(A92,'Data shares'!$C$2:$CY$543,101,0)</f>
        <v>-1.6999999999999999E-3</v>
      </c>
      <c r="E92" s="86">
        <f>VLOOKUP($A92,'Data shares'!$C:$FA,74)</f>
        <v>26021175</v>
      </c>
      <c r="F92" s="86">
        <f>VLOOKUP($A92,'Data shares'!$C:$FA,76)</f>
        <v>-1684425</v>
      </c>
      <c r="G92" s="87">
        <f>VLOOKUP(A92,'Data shares'!$C$2:$CA$220,77,0)</f>
        <v>-6.08E-2</v>
      </c>
      <c r="H92" s="86">
        <f>VLOOKUP($A92,'Data shares'!$C:$FA,90)</f>
        <v>11596725</v>
      </c>
      <c r="I92" s="86">
        <f>VLOOKUP($A92,'Data shares'!$C:$FA,92)</f>
        <v>435675</v>
      </c>
      <c r="J92" s="87">
        <f>VLOOKUP($A92,'Data shares'!$C:$FA,93)</f>
        <v>3.9E-2</v>
      </c>
      <c r="K92" s="86">
        <f>VLOOKUP($A92,'Data shares'!$C:$FA,94)</f>
        <v>11047275</v>
      </c>
      <c r="L92" s="86">
        <f>VLOOKUP($A92,'Data shares'!$C:$FA,96)</f>
        <v>1168275</v>
      </c>
      <c r="M92" s="87">
        <f>VLOOKUP($A92,'Data shares'!$C:$FA,97)</f>
        <v>0.1183</v>
      </c>
      <c r="N92" s="86">
        <f>VLOOKUP($A92,'Data shares'!$C:$FA,78)</f>
        <v>26021175</v>
      </c>
      <c r="O92" s="87">
        <f>VLOOKUP($A92,'Data shares'!$C:$FA,81)</f>
        <v>-6.08E-2</v>
      </c>
    </row>
    <row r="93" spans="1:15" x14ac:dyDescent="0.25">
      <c r="A93" s="100" t="str">
        <f>'Data Vlaue (Cr)'!C88</f>
        <v>HYUNDAI</v>
      </c>
      <c r="B93" s="82">
        <f>VLOOKUP(A93,'Data shares'!$C$2:$CV$220,98,0)</f>
        <v>10086725</v>
      </c>
      <c r="C93" s="82">
        <f>VLOOKUP(A93,'Data shares'!$C$2:$CX$220,100,0)</f>
        <v>181225</v>
      </c>
      <c r="D93" s="141">
        <f>VLOOKUP(A93,'Data shares'!$C$2:$CY$543,101,0)</f>
        <v>1.83E-2</v>
      </c>
      <c r="E93" s="86">
        <f>VLOOKUP($A93,'Data shares'!$C:$FA,74)</f>
        <v>8438100</v>
      </c>
      <c r="F93" s="86">
        <f>VLOOKUP($A93,'Data shares'!$C:$FA,76)</f>
        <v>268950</v>
      </c>
      <c r="G93" s="87">
        <f>VLOOKUP(A93,'Data shares'!$C$2:$CA$220,77,0)</f>
        <v>3.2899999999999999E-2</v>
      </c>
      <c r="H93" s="86">
        <f>VLOOKUP($A93,'Data shares'!$C:$FA,90)</f>
        <v>971025</v>
      </c>
      <c r="I93" s="86">
        <f>VLOOKUP($A93,'Data shares'!$C:$FA,92)</f>
        <v>-75900</v>
      </c>
      <c r="J93" s="87">
        <f>VLOOKUP($A93,'Data shares'!$C:$FA,93)</f>
        <v>-7.2499999999999995E-2</v>
      </c>
      <c r="K93" s="86">
        <f>VLOOKUP($A93,'Data shares'!$C:$FA,94)</f>
        <v>677600</v>
      </c>
      <c r="L93" s="86">
        <f>VLOOKUP($A93,'Data shares'!$C:$FA,96)</f>
        <v>-11825</v>
      </c>
      <c r="M93" s="87">
        <f>VLOOKUP($A93,'Data shares'!$C:$FA,97)</f>
        <v>-1.72E-2</v>
      </c>
      <c r="N93" s="86">
        <f>VLOOKUP($A93,'Data shares'!$C:$FA,78)</f>
        <v>6374225</v>
      </c>
      <c r="O93" s="87">
        <f>VLOOKUP($A93,'Data shares'!$C:$FA,81)</f>
        <v>1.06E-2</v>
      </c>
    </row>
    <row r="94" spans="1:15" x14ac:dyDescent="0.25">
      <c r="A94" s="100" t="str">
        <f>'Data Vlaue (Cr)'!C89</f>
        <v>ICICIBANK</v>
      </c>
      <c r="B94" s="82">
        <f>VLOOKUP(A94,'Data shares'!$C$2:$CV$220,98,0)</f>
        <v>173072900</v>
      </c>
      <c r="C94" s="82">
        <f>VLOOKUP(A94,'Data shares'!$C$2:$CX$220,100,0)</f>
        <v>1228500</v>
      </c>
      <c r="D94" s="141">
        <f>VLOOKUP(A94,'Data shares'!$C$2:$CY$543,101,0)</f>
        <v>7.1000000000000004E-3</v>
      </c>
      <c r="E94" s="86">
        <f>VLOOKUP($A94,'Data shares'!$C:$FA,74)</f>
        <v>112693700</v>
      </c>
      <c r="F94" s="86">
        <f>VLOOKUP($A94,'Data shares'!$C:$FA,76)</f>
        <v>-3166100</v>
      </c>
      <c r="G94" s="87">
        <f>VLOOKUP(A94,'Data shares'!$C$2:$CA$220,77,0)</f>
        <v>-2.7300000000000001E-2</v>
      </c>
      <c r="H94" s="86">
        <f>VLOOKUP($A94,'Data shares'!$C:$FA,90)</f>
        <v>36117900</v>
      </c>
      <c r="I94" s="86">
        <f>VLOOKUP($A94,'Data shares'!$C:$FA,92)</f>
        <v>5488700</v>
      </c>
      <c r="J94" s="87">
        <f>VLOOKUP($A94,'Data shares'!$C:$FA,93)</f>
        <v>0.1792</v>
      </c>
      <c r="K94" s="86">
        <f>VLOOKUP($A94,'Data shares'!$C:$FA,94)</f>
        <v>24261300</v>
      </c>
      <c r="L94" s="86">
        <f>VLOOKUP($A94,'Data shares'!$C:$FA,96)</f>
        <v>-1094100</v>
      </c>
      <c r="M94" s="87">
        <f>VLOOKUP($A94,'Data shares'!$C:$FA,97)</f>
        <v>-4.3200000000000002E-2</v>
      </c>
      <c r="N94" s="86">
        <f>VLOOKUP($A94,'Data shares'!$C:$FA,78)</f>
        <v>80756900</v>
      </c>
      <c r="O94" s="87">
        <f>VLOOKUP($A94,'Data shares'!$C:$FA,81)</f>
        <v>-5.8799999999999998E-2</v>
      </c>
    </row>
    <row r="95" spans="1:15" x14ac:dyDescent="0.25">
      <c r="A95" s="100" t="str">
        <f>'Data Vlaue (Cr)'!C90</f>
        <v>ICICIGI</v>
      </c>
      <c r="B95" s="82">
        <f>VLOOKUP(A95,'Data shares'!$C$2:$CV$220,98,0)</f>
        <v>8170175</v>
      </c>
      <c r="C95" s="82">
        <f>VLOOKUP(A95,'Data shares'!$C$2:$CX$220,100,0)</f>
        <v>-233025</v>
      </c>
      <c r="D95" s="141">
        <f>VLOOKUP(A95,'Data shares'!$C$2:$CY$543,101,0)</f>
        <v>-2.7699999999999999E-2</v>
      </c>
      <c r="E95" s="86">
        <f>VLOOKUP($A95,'Data shares'!$C:$FA,74)</f>
        <v>5506800</v>
      </c>
      <c r="F95" s="86">
        <f>VLOOKUP($A95,'Data shares'!$C:$FA,76)</f>
        <v>-67275</v>
      </c>
      <c r="G95" s="87">
        <f>VLOOKUP(A95,'Data shares'!$C$2:$CA$220,77,0)</f>
        <v>-1.21E-2</v>
      </c>
      <c r="H95" s="86">
        <f>VLOOKUP($A95,'Data shares'!$C:$FA,90)</f>
        <v>1461200</v>
      </c>
      <c r="I95" s="86">
        <f>VLOOKUP($A95,'Data shares'!$C:$FA,92)</f>
        <v>-39975</v>
      </c>
      <c r="J95" s="87">
        <f>VLOOKUP($A95,'Data shares'!$C:$FA,93)</f>
        <v>-2.6599999999999999E-2</v>
      </c>
      <c r="K95" s="86">
        <f>VLOOKUP($A95,'Data shares'!$C:$FA,94)</f>
        <v>1202175</v>
      </c>
      <c r="L95" s="86">
        <f>VLOOKUP($A95,'Data shares'!$C:$FA,96)</f>
        <v>-125775</v>
      </c>
      <c r="M95" s="87">
        <f>VLOOKUP($A95,'Data shares'!$C:$FA,97)</f>
        <v>-9.4700000000000006E-2</v>
      </c>
      <c r="N95" s="86">
        <f>VLOOKUP($A95,'Data shares'!$C:$FA,78)</f>
        <v>5423925</v>
      </c>
      <c r="O95" s="87">
        <f>VLOOKUP($A95,'Data shares'!$C:$FA,81)</f>
        <v>-1.2699999999999999E-2</v>
      </c>
    </row>
    <row r="96" spans="1:15" x14ac:dyDescent="0.25">
      <c r="A96" s="100" t="str">
        <f>'Data Vlaue (Cr)'!C91</f>
        <v>ICICIPRULI</v>
      </c>
      <c r="B96" s="82">
        <f>VLOOKUP(A96,'Data shares'!$C$2:$CV$220,98,0)</f>
        <v>32254750</v>
      </c>
      <c r="C96" s="82">
        <f>VLOOKUP(A96,'Data shares'!$C$2:$CX$220,100,0)</f>
        <v>-337625</v>
      </c>
      <c r="D96" s="141">
        <f>VLOOKUP(A96,'Data shares'!$C$2:$CY$543,101,0)</f>
        <v>-1.04E-2</v>
      </c>
      <c r="E96" s="86">
        <f>VLOOKUP($A96,'Data shares'!$C:$FA,74)</f>
        <v>20669125</v>
      </c>
      <c r="F96" s="86">
        <f>VLOOKUP($A96,'Data shares'!$C:$FA,76)</f>
        <v>423650</v>
      </c>
      <c r="G96" s="87">
        <f>VLOOKUP(A96,'Data shares'!$C$2:$CA$220,77,0)</f>
        <v>2.0899999999999998E-2</v>
      </c>
      <c r="H96" s="86">
        <f>VLOOKUP($A96,'Data shares'!$C:$FA,90)</f>
        <v>7001325</v>
      </c>
      <c r="I96" s="86">
        <f>VLOOKUP($A96,'Data shares'!$C:$FA,92)</f>
        <v>-216450</v>
      </c>
      <c r="J96" s="87">
        <f>VLOOKUP($A96,'Data shares'!$C:$FA,93)</f>
        <v>-0.03</v>
      </c>
      <c r="K96" s="86">
        <f>VLOOKUP($A96,'Data shares'!$C:$FA,94)</f>
        <v>4584300</v>
      </c>
      <c r="L96" s="86">
        <f>VLOOKUP($A96,'Data shares'!$C:$FA,96)</f>
        <v>-544825</v>
      </c>
      <c r="M96" s="87">
        <f>VLOOKUP($A96,'Data shares'!$C:$FA,97)</f>
        <v>-0.1062</v>
      </c>
      <c r="N96" s="86">
        <f>VLOOKUP($A96,'Data shares'!$C:$FA,78)</f>
        <v>19945775</v>
      </c>
      <c r="O96" s="87">
        <f>VLOOKUP($A96,'Data shares'!$C:$FA,81)</f>
        <v>9.2999999999999992E-3</v>
      </c>
    </row>
    <row r="97" spans="1:15" x14ac:dyDescent="0.25">
      <c r="A97" s="100" t="str">
        <f>'Data Vlaue (Cr)'!C92</f>
        <v>IDEA</v>
      </c>
      <c r="B97" s="82">
        <f>VLOOKUP(A97,'Data shares'!$C$2:$CV$220,98,0)</f>
        <v>8866259325</v>
      </c>
      <c r="C97" s="82">
        <f>VLOOKUP(A97,'Data shares'!$C$2:$CX$220,100,0)</f>
        <v>110214450</v>
      </c>
      <c r="D97" s="141">
        <f>VLOOKUP(A97,'Data shares'!$C$2:$CY$543,101,0)</f>
        <v>1.26E-2</v>
      </c>
      <c r="E97" s="86">
        <f>VLOOKUP($A97,'Data shares'!$C:$FA,74)</f>
        <v>6612366675</v>
      </c>
      <c r="F97" s="86">
        <f>VLOOKUP($A97,'Data shares'!$C:$FA,76)</f>
        <v>36809625</v>
      </c>
      <c r="G97" s="87">
        <f>VLOOKUP(A97,'Data shares'!$C$2:$CA$220,77,0)</f>
        <v>5.5999999999999999E-3</v>
      </c>
      <c r="H97" s="86">
        <f>VLOOKUP($A97,'Data shares'!$C:$FA,90)</f>
        <v>1483892475</v>
      </c>
      <c r="I97" s="86">
        <f>VLOOKUP($A97,'Data shares'!$C:$FA,92)</f>
        <v>53820675</v>
      </c>
      <c r="J97" s="87">
        <f>VLOOKUP($A97,'Data shares'!$C:$FA,93)</f>
        <v>3.7600000000000001E-2</v>
      </c>
      <c r="K97" s="86">
        <f>VLOOKUP($A97,'Data shares'!$C:$FA,94)</f>
        <v>770000175</v>
      </c>
      <c r="L97" s="86">
        <f>VLOOKUP($A97,'Data shares'!$C:$FA,96)</f>
        <v>19584150</v>
      </c>
      <c r="M97" s="87">
        <f>VLOOKUP($A97,'Data shares'!$C:$FA,97)</f>
        <v>2.6100000000000002E-2</v>
      </c>
      <c r="N97" s="86">
        <f>VLOOKUP($A97,'Data shares'!$C:$FA,78)</f>
        <v>5642879775</v>
      </c>
      <c r="O97" s="87">
        <f>VLOOKUP($A97,'Data shares'!$C:$FA,81)</f>
        <v>-4.9299999999999997E-2</v>
      </c>
    </row>
    <row r="98" spans="1:15" x14ac:dyDescent="0.25">
      <c r="A98" s="100" t="str">
        <f>'Data Vlaue (Cr)'!C93</f>
        <v>IDFCFIRSTB</v>
      </c>
      <c r="B98" s="82">
        <f>VLOOKUP(A98,'Data shares'!$C$2:$CV$220,98,0)</f>
        <v>648155550</v>
      </c>
      <c r="C98" s="82">
        <f>VLOOKUP(A98,'Data shares'!$C$2:$CX$220,100,0)</f>
        <v>-2847425</v>
      </c>
      <c r="D98" s="141">
        <f>VLOOKUP(A98,'Data shares'!$C$2:$CY$543,101,0)</f>
        <v>-4.4000000000000003E-3</v>
      </c>
      <c r="E98" s="86">
        <f>VLOOKUP($A98,'Data shares'!$C:$FA,74)</f>
        <v>407024100</v>
      </c>
      <c r="F98" s="86">
        <f>VLOOKUP($A98,'Data shares'!$C:$FA,76)</f>
        <v>-454475</v>
      </c>
      <c r="G98" s="87">
        <f>VLOOKUP(A98,'Data shares'!$C$2:$CA$220,77,0)</f>
        <v>-1.1000000000000001E-3</v>
      </c>
      <c r="H98" s="86">
        <f>VLOOKUP($A98,'Data shares'!$C:$FA,90)</f>
        <v>126344050</v>
      </c>
      <c r="I98" s="86">
        <f>VLOOKUP($A98,'Data shares'!$C:$FA,92)</f>
        <v>268975</v>
      </c>
      <c r="J98" s="87">
        <f>VLOOKUP($A98,'Data shares'!$C:$FA,93)</f>
        <v>2.0999999999999999E-3</v>
      </c>
      <c r="K98" s="86">
        <f>VLOOKUP($A98,'Data shares'!$C:$FA,94)</f>
        <v>114787400</v>
      </c>
      <c r="L98" s="86">
        <f>VLOOKUP($A98,'Data shares'!$C:$FA,96)</f>
        <v>-2661925</v>
      </c>
      <c r="M98" s="87">
        <f>VLOOKUP($A98,'Data shares'!$C:$FA,97)</f>
        <v>-2.2700000000000001E-2</v>
      </c>
      <c r="N98" s="86">
        <f>VLOOKUP($A98,'Data shares'!$C:$FA,78)</f>
        <v>311797675</v>
      </c>
      <c r="O98" s="87">
        <f>VLOOKUP($A98,'Data shares'!$C:$FA,81)</f>
        <v>-7.17E-2</v>
      </c>
    </row>
    <row r="99" spans="1:15" x14ac:dyDescent="0.25">
      <c r="A99" s="100" t="str">
        <f>'Data Vlaue (Cr)'!C94</f>
        <v>IEX</v>
      </c>
      <c r="B99" s="82">
        <f>VLOOKUP(A99,'Data shares'!$C$2:$CV$220,98,0)</f>
        <v>176636250</v>
      </c>
      <c r="C99" s="82">
        <f>VLOOKUP(A99,'Data shares'!$C$2:$CX$220,100,0)</f>
        <v>38182500</v>
      </c>
      <c r="D99" s="141">
        <f>VLOOKUP(A99,'Data shares'!$C$2:$CY$543,101,0)</f>
        <v>0.27579999999999999</v>
      </c>
      <c r="E99" s="86">
        <f>VLOOKUP($A99,'Data shares'!$C:$FA,74)</f>
        <v>81033750</v>
      </c>
      <c r="F99" s="86">
        <f>VLOOKUP($A99,'Data shares'!$C:$FA,76)</f>
        <v>10361250</v>
      </c>
      <c r="G99" s="87">
        <f>VLOOKUP(A99,'Data shares'!$C$2:$CA$220,77,0)</f>
        <v>0.14660000000000001</v>
      </c>
      <c r="H99" s="86">
        <f>VLOOKUP($A99,'Data shares'!$C:$FA,90)</f>
        <v>53426250</v>
      </c>
      <c r="I99" s="86">
        <f>VLOOKUP($A99,'Data shares'!$C:$FA,92)</f>
        <v>18322500</v>
      </c>
      <c r="J99" s="87">
        <f>VLOOKUP($A99,'Data shares'!$C:$FA,93)</f>
        <v>0.52200000000000002</v>
      </c>
      <c r="K99" s="86">
        <f>VLOOKUP($A99,'Data shares'!$C:$FA,94)</f>
        <v>42176250</v>
      </c>
      <c r="L99" s="86">
        <f>VLOOKUP($A99,'Data shares'!$C:$FA,96)</f>
        <v>9498750</v>
      </c>
      <c r="M99" s="87">
        <f>VLOOKUP($A99,'Data shares'!$C:$FA,97)</f>
        <v>0.29070000000000001</v>
      </c>
      <c r="N99" s="86">
        <f>VLOOKUP($A99,'Data shares'!$C:$FA,78)</f>
        <v>64440000</v>
      </c>
      <c r="O99" s="87">
        <f>VLOOKUP($A99,'Data shares'!$C:$FA,81)</f>
        <v>4.1000000000000002E-2</v>
      </c>
    </row>
    <row r="100" spans="1:15" x14ac:dyDescent="0.25">
      <c r="A100" s="100" t="str">
        <f>'Data Vlaue (Cr)'!C95</f>
        <v>INDHOTEL</v>
      </c>
      <c r="B100" s="82">
        <f>VLOOKUP(A100,'Data shares'!$C$2:$CV$220,98,0)</f>
        <v>33818000</v>
      </c>
      <c r="C100" s="82">
        <f>VLOOKUP(A100,'Data shares'!$C$2:$CX$220,100,0)</f>
        <v>-300000</v>
      </c>
      <c r="D100" s="141">
        <f>VLOOKUP(A100,'Data shares'!$C$2:$CY$543,101,0)</f>
        <v>-8.8000000000000005E-3</v>
      </c>
      <c r="E100" s="86">
        <f>VLOOKUP($A100,'Data shares'!$C:$FA,74)</f>
        <v>21784000</v>
      </c>
      <c r="F100" s="86">
        <f>VLOOKUP($A100,'Data shares'!$C:$FA,76)</f>
        <v>-369000</v>
      </c>
      <c r="G100" s="87">
        <f>VLOOKUP(A100,'Data shares'!$C$2:$CA$220,77,0)</f>
        <v>-1.67E-2</v>
      </c>
      <c r="H100" s="86">
        <f>VLOOKUP($A100,'Data shares'!$C:$FA,90)</f>
        <v>6077000</v>
      </c>
      <c r="I100" s="86">
        <f>VLOOKUP($A100,'Data shares'!$C:$FA,92)</f>
        <v>-3000</v>
      </c>
      <c r="J100" s="87">
        <f>VLOOKUP($A100,'Data shares'!$C:$FA,93)</f>
        <v>-5.0000000000000001E-4</v>
      </c>
      <c r="K100" s="86">
        <f>VLOOKUP($A100,'Data shares'!$C:$FA,94)</f>
        <v>5957000</v>
      </c>
      <c r="L100" s="86">
        <f>VLOOKUP($A100,'Data shares'!$C:$FA,96)</f>
        <v>72000</v>
      </c>
      <c r="M100" s="87">
        <f>VLOOKUP($A100,'Data shares'!$C:$FA,97)</f>
        <v>1.2200000000000001E-2</v>
      </c>
      <c r="N100" s="86">
        <f>VLOOKUP($A100,'Data shares'!$C:$FA,78)</f>
        <v>19398000</v>
      </c>
      <c r="O100" s="87">
        <f>VLOOKUP($A100,'Data shares'!$C:$FA,81)</f>
        <v>-2.6499999999999999E-2</v>
      </c>
    </row>
    <row r="101" spans="1:15" x14ac:dyDescent="0.25">
      <c r="A101" s="100" t="str">
        <f>'Data Vlaue (Cr)'!C96</f>
        <v>INDIANB</v>
      </c>
      <c r="B101" s="82">
        <f>VLOOKUP(A101,'Data shares'!$C$2:$CV$220,98,0)</f>
        <v>21334000</v>
      </c>
      <c r="C101" s="82">
        <f>VLOOKUP(A101,'Data shares'!$C$2:$CX$220,100,0)</f>
        <v>1720000</v>
      </c>
      <c r="D101" s="141">
        <f>VLOOKUP(A101,'Data shares'!$C$2:$CY$543,101,0)</f>
        <v>8.77E-2</v>
      </c>
      <c r="E101" s="86">
        <f>VLOOKUP($A101,'Data shares'!$C:$FA,74)</f>
        <v>10487000</v>
      </c>
      <c r="F101" s="86">
        <f>VLOOKUP($A101,'Data shares'!$C:$FA,76)</f>
        <v>624000</v>
      </c>
      <c r="G101" s="87">
        <f>VLOOKUP(A101,'Data shares'!$C$2:$CA$220,77,0)</f>
        <v>6.3299999999999995E-2</v>
      </c>
      <c r="H101" s="86">
        <f>VLOOKUP($A101,'Data shares'!$C:$FA,90)</f>
        <v>7230000</v>
      </c>
      <c r="I101" s="86">
        <f>VLOOKUP($A101,'Data shares'!$C:$FA,92)</f>
        <v>872000</v>
      </c>
      <c r="J101" s="87">
        <f>VLOOKUP($A101,'Data shares'!$C:$FA,93)</f>
        <v>0.13719999999999999</v>
      </c>
      <c r="K101" s="86">
        <f>VLOOKUP($A101,'Data shares'!$C:$FA,94)</f>
        <v>3617000</v>
      </c>
      <c r="L101" s="86">
        <f>VLOOKUP($A101,'Data shares'!$C:$FA,96)</f>
        <v>224000</v>
      </c>
      <c r="M101" s="87">
        <f>VLOOKUP($A101,'Data shares'!$C:$FA,97)</f>
        <v>6.6000000000000003E-2</v>
      </c>
      <c r="N101" s="86">
        <f>VLOOKUP($A101,'Data shares'!$C:$FA,78)</f>
        <v>9793000</v>
      </c>
      <c r="O101" s="87">
        <f>VLOOKUP($A101,'Data shares'!$C:$FA,81)</f>
        <v>4.5100000000000001E-2</v>
      </c>
    </row>
    <row r="102" spans="1:15" x14ac:dyDescent="0.25">
      <c r="A102" s="100" t="str">
        <f>'Data Vlaue (Cr)'!C97</f>
        <v>INDIAVIX</v>
      </c>
      <c r="B102" s="82">
        <f>VLOOKUP(A102,'Data shares'!$C$2:$CV$220,98,0)</f>
        <v>0</v>
      </c>
      <c r="C102" s="82">
        <f>VLOOKUP(A102,'Data shares'!$C$2:$CX$220,100,0)</f>
        <v>0</v>
      </c>
      <c r="D102" s="141">
        <f>VLOOKUP(A102,'Data shares'!$C$2:$CY$543,101,0)</f>
        <v>0</v>
      </c>
      <c r="E102" s="86">
        <f>VLOOKUP($A102,'Data shares'!$C:$FA,74)</f>
        <v>0</v>
      </c>
      <c r="F102" s="86">
        <f>VLOOKUP($A102,'Data shares'!$C:$FA,76)</f>
        <v>0</v>
      </c>
      <c r="G102" s="87">
        <f>VLOOKUP(A102,'Data shares'!$C$2:$CA$220,77,0)</f>
        <v>0</v>
      </c>
      <c r="H102" s="86">
        <f>VLOOKUP($A102,'Data shares'!$C:$FA,90)</f>
        <v>0</v>
      </c>
      <c r="I102" s="86">
        <f>VLOOKUP($A102,'Data shares'!$C:$FA,92)</f>
        <v>0</v>
      </c>
      <c r="J102" s="87">
        <f>VLOOKUP($A102,'Data shares'!$C:$FA,93)</f>
        <v>0</v>
      </c>
      <c r="K102" s="86">
        <f>VLOOKUP($A102,'Data shares'!$C:$FA,94)</f>
        <v>0</v>
      </c>
      <c r="L102" s="86">
        <f>VLOOKUP($A102,'Data shares'!$C:$FA,96)</f>
        <v>0</v>
      </c>
      <c r="M102" s="87">
        <f>VLOOKUP($A102,'Data shares'!$C:$FA,97)</f>
        <v>0</v>
      </c>
      <c r="N102" s="86">
        <f>VLOOKUP($A102,'Data shares'!$C:$FA,78)</f>
        <v>0</v>
      </c>
      <c r="O102" s="87">
        <f>VLOOKUP($A102,'Data shares'!$C:$FA,81)</f>
        <v>0</v>
      </c>
    </row>
    <row r="103" spans="1:15" x14ac:dyDescent="0.25">
      <c r="A103" s="100" t="str">
        <f>'Data Vlaue (Cr)'!C98</f>
        <v>INDIGO</v>
      </c>
      <c r="B103" s="82">
        <f>VLOOKUP(A103,'Data shares'!$C$2:$CV$220,98,0)</f>
        <v>17881950</v>
      </c>
      <c r="C103" s="82">
        <f>VLOOKUP(A103,'Data shares'!$C$2:$CX$220,100,0)</f>
        <v>209550</v>
      </c>
      <c r="D103" s="141">
        <f>VLOOKUP(A103,'Data shares'!$C$2:$CY$543,101,0)</f>
        <v>1.1900000000000001E-2</v>
      </c>
      <c r="E103" s="86">
        <f>VLOOKUP($A103,'Data shares'!$C:$FA,74)</f>
        <v>6962400</v>
      </c>
      <c r="F103" s="86">
        <f>VLOOKUP($A103,'Data shares'!$C:$FA,76)</f>
        <v>-50100</v>
      </c>
      <c r="G103" s="87">
        <f>VLOOKUP(A103,'Data shares'!$C$2:$CA$220,77,0)</f>
        <v>-7.1000000000000004E-3</v>
      </c>
      <c r="H103" s="86">
        <f>VLOOKUP($A103,'Data shares'!$C:$FA,90)</f>
        <v>6291300</v>
      </c>
      <c r="I103" s="86">
        <f>VLOOKUP($A103,'Data shares'!$C:$FA,92)</f>
        <v>-10800</v>
      </c>
      <c r="J103" s="87">
        <f>VLOOKUP($A103,'Data shares'!$C:$FA,93)</f>
        <v>-1.6999999999999999E-3</v>
      </c>
      <c r="K103" s="86">
        <f>VLOOKUP($A103,'Data shares'!$C:$FA,94)</f>
        <v>4628250</v>
      </c>
      <c r="L103" s="86">
        <f>VLOOKUP($A103,'Data shares'!$C:$FA,96)</f>
        <v>270450</v>
      </c>
      <c r="M103" s="87">
        <f>VLOOKUP($A103,'Data shares'!$C:$FA,97)</f>
        <v>6.2100000000000002E-2</v>
      </c>
      <c r="N103" s="86">
        <f>VLOOKUP($A103,'Data shares'!$C:$FA,78)</f>
        <v>6579750</v>
      </c>
      <c r="O103" s="87">
        <f>VLOOKUP($A103,'Data shares'!$C:$FA,81)</f>
        <v>-1.32E-2</v>
      </c>
    </row>
    <row r="104" spans="1:15" x14ac:dyDescent="0.25">
      <c r="A104" s="100" t="str">
        <f>'Data Vlaue (Cr)'!C99</f>
        <v>INDUSINDBK</v>
      </c>
      <c r="B104" s="82">
        <f>VLOOKUP(A104,'Data shares'!$C$2:$CV$220,98,0)</f>
        <v>51695000</v>
      </c>
      <c r="C104" s="82">
        <f>VLOOKUP(A104,'Data shares'!$C$2:$CX$220,100,0)</f>
        <v>-1008700</v>
      </c>
      <c r="D104" s="141">
        <f>VLOOKUP(A104,'Data shares'!$C$2:$CY$543,101,0)</f>
        <v>-1.9099999999999999E-2</v>
      </c>
      <c r="E104" s="86">
        <f>VLOOKUP($A104,'Data shares'!$C:$FA,74)</f>
        <v>37796500</v>
      </c>
      <c r="F104" s="86">
        <f>VLOOKUP($A104,'Data shares'!$C:$FA,76)</f>
        <v>-786800</v>
      </c>
      <c r="G104" s="87">
        <f>VLOOKUP(A104,'Data shares'!$C$2:$CA$220,77,0)</f>
        <v>-2.0400000000000001E-2</v>
      </c>
      <c r="H104" s="86">
        <f>VLOOKUP($A104,'Data shares'!$C:$FA,90)</f>
        <v>7840700</v>
      </c>
      <c r="I104" s="86">
        <f>VLOOKUP($A104,'Data shares'!$C:$FA,92)</f>
        <v>-155400</v>
      </c>
      <c r="J104" s="87">
        <f>VLOOKUP($A104,'Data shares'!$C:$FA,93)</f>
        <v>-1.9400000000000001E-2</v>
      </c>
      <c r="K104" s="86">
        <f>VLOOKUP($A104,'Data shares'!$C:$FA,94)</f>
        <v>6057800</v>
      </c>
      <c r="L104" s="86">
        <f>VLOOKUP($A104,'Data shares'!$C:$FA,96)</f>
        <v>-66500</v>
      </c>
      <c r="M104" s="87">
        <f>VLOOKUP($A104,'Data shares'!$C:$FA,97)</f>
        <v>-1.09E-2</v>
      </c>
      <c r="N104" s="86">
        <f>VLOOKUP($A104,'Data shares'!$C:$FA,78)</f>
        <v>34233500</v>
      </c>
      <c r="O104" s="87">
        <f>VLOOKUP($A104,'Data shares'!$C:$FA,81)</f>
        <v>-3.2899999999999999E-2</v>
      </c>
    </row>
    <row r="105" spans="1:15" x14ac:dyDescent="0.25">
      <c r="A105" s="100" t="str">
        <f>'Data Vlaue (Cr)'!C100</f>
        <v>INDUSTOWER</v>
      </c>
      <c r="B105" s="82">
        <f>VLOOKUP(A105,'Data shares'!$C$2:$CV$220,98,0)</f>
        <v>115941700</v>
      </c>
      <c r="C105" s="82">
        <f>VLOOKUP(A105,'Data shares'!$C$2:$CX$220,100,0)</f>
        <v>2864500</v>
      </c>
      <c r="D105" s="141">
        <f>VLOOKUP(A105,'Data shares'!$C$2:$CY$543,101,0)</f>
        <v>2.53E-2</v>
      </c>
      <c r="E105" s="86">
        <f>VLOOKUP($A105,'Data shares'!$C:$FA,74)</f>
        <v>75100900</v>
      </c>
      <c r="F105" s="86">
        <f>VLOOKUP($A105,'Data shares'!$C:$FA,76)</f>
        <v>2096100</v>
      </c>
      <c r="G105" s="87">
        <f>VLOOKUP(A105,'Data shares'!$C$2:$CA$220,77,0)</f>
        <v>2.87E-2</v>
      </c>
      <c r="H105" s="86">
        <f>VLOOKUP($A105,'Data shares'!$C:$FA,90)</f>
        <v>26644100</v>
      </c>
      <c r="I105" s="86">
        <f>VLOOKUP($A105,'Data shares'!$C:$FA,92)</f>
        <v>1275000</v>
      </c>
      <c r="J105" s="87">
        <f>VLOOKUP($A105,'Data shares'!$C:$FA,93)</f>
        <v>5.0299999999999997E-2</v>
      </c>
      <c r="K105" s="86">
        <f>VLOOKUP($A105,'Data shares'!$C:$FA,94)</f>
        <v>14196700</v>
      </c>
      <c r="L105" s="86">
        <f>VLOOKUP($A105,'Data shares'!$C:$FA,96)</f>
        <v>-506600</v>
      </c>
      <c r="M105" s="87">
        <f>VLOOKUP($A105,'Data shares'!$C:$FA,97)</f>
        <v>-3.4500000000000003E-2</v>
      </c>
      <c r="N105" s="86">
        <f>VLOOKUP($A105,'Data shares'!$C:$FA,78)</f>
        <v>64271900</v>
      </c>
      <c r="O105" s="87">
        <f>VLOOKUP($A105,'Data shares'!$C:$FA,81)</f>
        <v>-3.3399999999999999E-2</v>
      </c>
    </row>
    <row r="106" spans="1:15" x14ac:dyDescent="0.25">
      <c r="A106" s="100" t="str">
        <f>'Data Vlaue (Cr)'!C101</f>
        <v>INFY</v>
      </c>
      <c r="B106" s="82">
        <f>VLOOKUP(A106,'Data shares'!$C$2:$CV$220,98,0)</f>
        <v>129382000</v>
      </c>
      <c r="C106" s="82">
        <f>VLOOKUP(A106,'Data shares'!$C$2:$CX$220,100,0)</f>
        <v>1001600</v>
      </c>
      <c r="D106" s="141">
        <f>VLOOKUP(A106,'Data shares'!$C$2:$CY$543,101,0)</f>
        <v>7.7999999999999996E-3</v>
      </c>
      <c r="E106" s="86">
        <f>VLOOKUP($A106,'Data shares'!$C:$FA,74)</f>
        <v>80037600</v>
      </c>
      <c r="F106" s="86">
        <f>VLOOKUP($A106,'Data shares'!$C:$FA,76)</f>
        <v>418400</v>
      </c>
      <c r="G106" s="87">
        <f>VLOOKUP(A106,'Data shares'!$C$2:$CA$220,77,0)</f>
        <v>5.3E-3</v>
      </c>
      <c r="H106" s="86">
        <f>VLOOKUP($A106,'Data shares'!$C:$FA,90)</f>
        <v>28860400</v>
      </c>
      <c r="I106" s="86">
        <f>VLOOKUP($A106,'Data shares'!$C:$FA,92)</f>
        <v>394000</v>
      </c>
      <c r="J106" s="87">
        <f>VLOOKUP($A106,'Data shares'!$C:$FA,93)</f>
        <v>1.38E-2</v>
      </c>
      <c r="K106" s="86">
        <f>VLOOKUP($A106,'Data shares'!$C:$FA,94)</f>
        <v>20484000</v>
      </c>
      <c r="L106" s="86">
        <f>VLOOKUP($A106,'Data shares'!$C:$FA,96)</f>
        <v>189200</v>
      </c>
      <c r="M106" s="87">
        <f>VLOOKUP($A106,'Data shares'!$C:$FA,97)</f>
        <v>9.2999999999999992E-3</v>
      </c>
      <c r="N106" s="86">
        <f>VLOOKUP($A106,'Data shares'!$C:$FA,78)</f>
        <v>74802800</v>
      </c>
      <c r="O106" s="87">
        <f>VLOOKUP($A106,'Data shares'!$C:$FA,81)</f>
        <v>-3.0000000000000001E-3</v>
      </c>
    </row>
    <row r="107" spans="1:15" x14ac:dyDescent="0.25">
      <c r="A107" s="100" t="str">
        <f>'Data Vlaue (Cr)'!C102</f>
        <v>INOXWIND</v>
      </c>
      <c r="B107" s="82">
        <f>VLOOKUP(A107,'Data shares'!$C$2:$CV$220,98,0)</f>
        <v>150157150</v>
      </c>
      <c r="C107" s="82">
        <f>VLOOKUP(A107,'Data shares'!$C$2:$CX$220,100,0)</f>
        <v>-904475</v>
      </c>
      <c r="D107" s="141">
        <f>VLOOKUP(A107,'Data shares'!$C$2:$CY$543,101,0)</f>
        <v>-6.0000000000000001E-3</v>
      </c>
      <c r="E107" s="86">
        <f>VLOOKUP($A107,'Data shares'!$C:$FA,74)</f>
        <v>98580625</v>
      </c>
      <c r="F107" s="86">
        <f>VLOOKUP($A107,'Data shares'!$C:$FA,76)</f>
        <v>-1430000</v>
      </c>
      <c r="G107" s="87">
        <f>VLOOKUP(A107,'Data shares'!$C$2:$CA$220,77,0)</f>
        <v>-1.43E-2</v>
      </c>
      <c r="H107" s="86">
        <f>VLOOKUP($A107,'Data shares'!$C:$FA,90)</f>
        <v>28381925</v>
      </c>
      <c r="I107" s="86">
        <f>VLOOKUP($A107,'Data shares'!$C:$FA,92)</f>
        <v>403975</v>
      </c>
      <c r="J107" s="87">
        <f>VLOOKUP($A107,'Data shares'!$C:$FA,93)</f>
        <v>1.44E-2</v>
      </c>
      <c r="K107" s="86">
        <f>VLOOKUP($A107,'Data shares'!$C:$FA,94)</f>
        <v>23194600</v>
      </c>
      <c r="L107" s="86">
        <f>VLOOKUP($A107,'Data shares'!$C:$FA,96)</f>
        <v>121550</v>
      </c>
      <c r="M107" s="87">
        <f>VLOOKUP($A107,'Data shares'!$C:$FA,97)</f>
        <v>5.3E-3</v>
      </c>
      <c r="N107" s="86">
        <f>VLOOKUP($A107,'Data shares'!$C:$FA,78)</f>
        <v>86389875</v>
      </c>
      <c r="O107" s="87">
        <f>VLOOKUP($A107,'Data shares'!$C:$FA,81)</f>
        <v>-4.2000000000000003E-2</v>
      </c>
    </row>
    <row r="108" spans="1:15" x14ac:dyDescent="0.25">
      <c r="A108" s="100" t="str">
        <f>'Data Vlaue (Cr)'!C103</f>
        <v>IOC</v>
      </c>
      <c r="B108" s="82">
        <f>VLOOKUP(A108,'Data shares'!$C$2:$CV$220,98,0)</f>
        <v>223708875</v>
      </c>
      <c r="C108" s="82">
        <f>VLOOKUP(A108,'Data shares'!$C$2:$CX$220,100,0)</f>
        <v>9247875</v>
      </c>
      <c r="D108" s="141">
        <f>VLOOKUP(A108,'Data shares'!$C$2:$CY$543,101,0)</f>
        <v>4.3099999999999999E-2</v>
      </c>
      <c r="E108" s="86">
        <f>VLOOKUP($A108,'Data shares'!$C:$FA,74)</f>
        <v>103993500</v>
      </c>
      <c r="F108" s="86">
        <f>VLOOKUP($A108,'Data shares'!$C:$FA,76)</f>
        <v>1511250</v>
      </c>
      <c r="G108" s="87">
        <f>VLOOKUP(A108,'Data shares'!$C$2:$CA$220,77,0)</f>
        <v>1.47E-2</v>
      </c>
      <c r="H108" s="86">
        <f>VLOOKUP($A108,'Data shares'!$C:$FA,90)</f>
        <v>69917250</v>
      </c>
      <c r="I108" s="86">
        <f>VLOOKUP($A108,'Data shares'!$C:$FA,92)</f>
        <v>5265000</v>
      </c>
      <c r="J108" s="87">
        <f>VLOOKUP($A108,'Data shares'!$C:$FA,93)</f>
        <v>8.14E-2</v>
      </c>
      <c r="K108" s="86">
        <f>VLOOKUP($A108,'Data shares'!$C:$FA,94)</f>
        <v>49798125</v>
      </c>
      <c r="L108" s="86">
        <f>VLOOKUP($A108,'Data shares'!$C:$FA,96)</f>
        <v>2471625</v>
      </c>
      <c r="M108" s="87">
        <f>VLOOKUP($A108,'Data shares'!$C:$FA,97)</f>
        <v>5.2200000000000003E-2</v>
      </c>
      <c r="N108" s="86">
        <f>VLOOKUP($A108,'Data shares'!$C:$FA,78)</f>
        <v>90562875</v>
      </c>
      <c r="O108" s="87">
        <f>VLOOKUP($A108,'Data shares'!$C:$FA,81)</f>
        <v>-9.7999999999999997E-3</v>
      </c>
    </row>
    <row r="109" spans="1:15" x14ac:dyDescent="0.25">
      <c r="A109" s="100" t="str">
        <f>'Data Vlaue (Cr)'!C104</f>
        <v>IREDA</v>
      </c>
      <c r="B109" s="82">
        <f>VLOOKUP(A109,'Data shares'!$C$2:$CV$220,98,0)</f>
        <v>105028350</v>
      </c>
      <c r="C109" s="82">
        <f>VLOOKUP(A109,'Data shares'!$C$2:$CX$220,100,0)</f>
        <v>2387400</v>
      </c>
      <c r="D109" s="141">
        <f>VLOOKUP(A109,'Data shares'!$C$2:$CY$543,101,0)</f>
        <v>2.3300000000000001E-2</v>
      </c>
      <c r="E109" s="86">
        <f>VLOOKUP($A109,'Data shares'!$C:$FA,74)</f>
        <v>60171450</v>
      </c>
      <c r="F109" s="86">
        <f>VLOOKUP($A109,'Data shares'!$C:$FA,76)</f>
        <v>2197650</v>
      </c>
      <c r="G109" s="87">
        <f>VLOOKUP(A109,'Data shares'!$C$2:$CA$220,77,0)</f>
        <v>3.7900000000000003E-2</v>
      </c>
      <c r="H109" s="86">
        <f>VLOOKUP($A109,'Data shares'!$C:$FA,90)</f>
        <v>25240200</v>
      </c>
      <c r="I109" s="86">
        <f>VLOOKUP($A109,'Data shares'!$C:$FA,92)</f>
        <v>279450</v>
      </c>
      <c r="J109" s="87">
        <f>VLOOKUP($A109,'Data shares'!$C:$FA,93)</f>
        <v>1.12E-2</v>
      </c>
      <c r="K109" s="86">
        <f>VLOOKUP($A109,'Data shares'!$C:$FA,94)</f>
        <v>19616700</v>
      </c>
      <c r="L109" s="86">
        <f>VLOOKUP($A109,'Data shares'!$C:$FA,96)</f>
        <v>-89700</v>
      </c>
      <c r="M109" s="87">
        <f>VLOOKUP($A109,'Data shares'!$C:$FA,97)</f>
        <v>-4.5999999999999999E-3</v>
      </c>
      <c r="N109" s="86">
        <f>VLOOKUP($A109,'Data shares'!$C:$FA,78)</f>
        <v>42959400</v>
      </c>
      <c r="O109" s="87">
        <f>VLOOKUP($A109,'Data shares'!$C:$FA,81)</f>
        <v>1.23E-2</v>
      </c>
    </row>
    <row r="110" spans="1:15" x14ac:dyDescent="0.25">
      <c r="A110" s="100" t="str">
        <f>'Data Vlaue (Cr)'!C105</f>
        <v>IRFC</v>
      </c>
      <c r="B110" s="82">
        <f>VLOOKUP(A110,'Data shares'!$C$2:$CV$220,98,0)</f>
        <v>132893250</v>
      </c>
      <c r="C110" s="82">
        <f>VLOOKUP(A110,'Data shares'!$C$2:$CX$220,100,0)</f>
        <v>1011500</v>
      </c>
      <c r="D110" s="141">
        <f>VLOOKUP(A110,'Data shares'!$C$2:$CY$543,101,0)</f>
        <v>7.7000000000000002E-3</v>
      </c>
      <c r="E110" s="86">
        <f>VLOOKUP($A110,'Data shares'!$C:$FA,74)</f>
        <v>61166000</v>
      </c>
      <c r="F110" s="86">
        <f>VLOOKUP($A110,'Data shares'!$C:$FA,76)</f>
        <v>1904000</v>
      </c>
      <c r="G110" s="87">
        <f>VLOOKUP(A110,'Data shares'!$C$2:$CA$220,77,0)</f>
        <v>3.2099999999999997E-2</v>
      </c>
      <c r="H110" s="86">
        <f>VLOOKUP($A110,'Data shares'!$C:$FA,90)</f>
        <v>42300250</v>
      </c>
      <c r="I110" s="86">
        <f>VLOOKUP($A110,'Data shares'!$C:$FA,92)</f>
        <v>-34000</v>
      </c>
      <c r="J110" s="87">
        <f>VLOOKUP($A110,'Data shares'!$C:$FA,93)</f>
        <v>-8.0000000000000004E-4</v>
      </c>
      <c r="K110" s="86">
        <f>VLOOKUP($A110,'Data shares'!$C:$FA,94)</f>
        <v>29427000</v>
      </c>
      <c r="L110" s="86">
        <f>VLOOKUP($A110,'Data shares'!$C:$FA,96)</f>
        <v>-858500</v>
      </c>
      <c r="M110" s="87">
        <f>VLOOKUP($A110,'Data shares'!$C:$FA,97)</f>
        <v>-2.8299999999999999E-2</v>
      </c>
      <c r="N110" s="86">
        <f>VLOOKUP($A110,'Data shares'!$C:$FA,78)</f>
        <v>45445250</v>
      </c>
      <c r="O110" s="87">
        <f>VLOOKUP($A110,'Data shares'!$C:$FA,81)</f>
        <v>3.5999999999999999E-3</v>
      </c>
    </row>
    <row r="111" spans="1:15" x14ac:dyDescent="0.25">
      <c r="A111" s="100" t="str">
        <f>'Data Vlaue (Cr)'!C106</f>
        <v>ITC</v>
      </c>
      <c r="B111" s="82">
        <f>VLOOKUP(A111,'Data shares'!$C$2:$CV$220,98,0)</f>
        <v>339188800</v>
      </c>
      <c r="C111" s="82">
        <f>VLOOKUP(A111,'Data shares'!$C$2:$CX$220,100,0)</f>
        <v>2468800</v>
      </c>
      <c r="D111" s="141">
        <f>VLOOKUP(A111,'Data shares'!$C$2:$CY$543,101,0)</f>
        <v>7.3000000000000001E-3</v>
      </c>
      <c r="E111" s="86">
        <f>VLOOKUP($A111,'Data shares'!$C:$FA,74)</f>
        <v>166196800</v>
      </c>
      <c r="F111" s="86">
        <f>VLOOKUP($A111,'Data shares'!$C:$FA,76)</f>
        <v>1052800</v>
      </c>
      <c r="G111" s="87">
        <f>VLOOKUP(A111,'Data shares'!$C$2:$CA$220,77,0)</f>
        <v>6.4000000000000003E-3</v>
      </c>
      <c r="H111" s="86">
        <f>VLOOKUP($A111,'Data shares'!$C:$FA,90)</f>
        <v>116665600</v>
      </c>
      <c r="I111" s="86">
        <f>VLOOKUP($A111,'Data shares'!$C:$FA,92)</f>
        <v>2110400</v>
      </c>
      <c r="J111" s="87">
        <f>VLOOKUP($A111,'Data shares'!$C:$FA,93)</f>
        <v>1.84E-2</v>
      </c>
      <c r="K111" s="86">
        <f>VLOOKUP($A111,'Data shares'!$C:$FA,94)</f>
        <v>56326400</v>
      </c>
      <c r="L111" s="86">
        <f>VLOOKUP($A111,'Data shares'!$C:$FA,96)</f>
        <v>-694400</v>
      </c>
      <c r="M111" s="87">
        <f>VLOOKUP($A111,'Data shares'!$C:$FA,97)</f>
        <v>-1.2200000000000001E-2</v>
      </c>
      <c r="N111" s="86">
        <f>VLOOKUP($A111,'Data shares'!$C:$FA,78)</f>
        <v>142227200</v>
      </c>
      <c r="O111" s="87">
        <f>VLOOKUP($A111,'Data shares'!$C:$FA,81)</f>
        <v>-1.0500000000000001E-2</v>
      </c>
    </row>
    <row r="112" spans="1:15" x14ac:dyDescent="0.25">
      <c r="A112" s="100" t="str">
        <f>'Data Vlaue (Cr)'!C107</f>
        <v>JINDALSTEL</v>
      </c>
      <c r="B112" s="82">
        <f>VLOOKUP(A112,'Data shares'!$C$2:$CV$220,98,0)</f>
        <v>21345625</v>
      </c>
      <c r="C112" s="82">
        <f>VLOOKUP(A112,'Data shares'!$C$2:$CX$220,100,0)</f>
        <v>802500</v>
      </c>
      <c r="D112" s="141">
        <f>VLOOKUP(A112,'Data shares'!$C$2:$CY$543,101,0)</f>
        <v>3.9100000000000003E-2</v>
      </c>
      <c r="E112" s="86">
        <f>VLOOKUP($A112,'Data shares'!$C:$FA,74)</f>
        <v>12942500</v>
      </c>
      <c r="F112" s="86">
        <f>VLOOKUP($A112,'Data shares'!$C:$FA,76)</f>
        <v>307500</v>
      </c>
      <c r="G112" s="87">
        <f>VLOOKUP(A112,'Data shares'!$C$2:$CA$220,77,0)</f>
        <v>2.4299999999999999E-2</v>
      </c>
      <c r="H112" s="86">
        <f>VLOOKUP($A112,'Data shares'!$C:$FA,90)</f>
        <v>3879375</v>
      </c>
      <c r="I112" s="86">
        <f>VLOOKUP($A112,'Data shares'!$C:$FA,92)</f>
        <v>91250</v>
      </c>
      <c r="J112" s="87">
        <f>VLOOKUP($A112,'Data shares'!$C:$FA,93)</f>
        <v>2.41E-2</v>
      </c>
      <c r="K112" s="86">
        <f>VLOOKUP($A112,'Data shares'!$C:$FA,94)</f>
        <v>4523750</v>
      </c>
      <c r="L112" s="86">
        <f>VLOOKUP($A112,'Data shares'!$C:$FA,96)</f>
        <v>403750</v>
      </c>
      <c r="M112" s="87">
        <f>VLOOKUP($A112,'Data shares'!$C:$FA,97)</f>
        <v>9.8000000000000004E-2</v>
      </c>
      <c r="N112" s="86">
        <f>VLOOKUP($A112,'Data shares'!$C:$FA,78)</f>
        <v>11239375</v>
      </c>
      <c r="O112" s="87">
        <f>VLOOKUP($A112,'Data shares'!$C:$FA,81)</f>
        <v>1.4800000000000001E-2</v>
      </c>
    </row>
    <row r="113" spans="1:15" x14ac:dyDescent="0.25">
      <c r="A113" s="100" t="str">
        <f>'Data Vlaue (Cr)'!C108</f>
        <v>JIOFIN</v>
      </c>
      <c r="B113" s="82">
        <f>VLOOKUP(A113,'Data shares'!$C$2:$CV$220,98,0)</f>
        <v>290584550</v>
      </c>
      <c r="C113" s="82">
        <f>VLOOKUP(A113,'Data shares'!$C$2:$CX$220,100,0)</f>
        <v>5134750</v>
      </c>
      <c r="D113" s="141">
        <f>VLOOKUP(A113,'Data shares'!$C$2:$CY$543,101,0)</f>
        <v>1.7999999999999999E-2</v>
      </c>
      <c r="E113" s="86">
        <f>VLOOKUP($A113,'Data shares'!$C:$FA,74)</f>
        <v>169536050</v>
      </c>
      <c r="F113" s="86">
        <f>VLOOKUP($A113,'Data shares'!$C:$FA,76)</f>
        <v>-319600</v>
      </c>
      <c r="G113" s="87">
        <f>VLOOKUP(A113,'Data shares'!$C$2:$CA$220,77,0)</f>
        <v>-1.9E-3</v>
      </c>
      <c r="H113" s="86">
        <f>VLOOKUP($A113,'Data shares'!$C:$FA,90)</f>
        <v>73876950</v>
      </c>
      <c r="I113" s="86">
        <f>VLOOKUP($A113,'Data shares'!$C:$FA,92)</f>
        <v>4758750</v>
      </c>
      <c r="J113" s="87">
        <f>VLOOKUP($A113,'Data shares'!$C:$FA,93)</f>
        <v>6.88E-2</v>
      </c>
      <c r="K113" s="86">
        <f>VLOOKUP($A113,'Data shares'!$C:$FA,94)</f>
        <v>47171550</v>
      </c>
      <c r="L113" s="86">
        <f>VLOOKUP($A113,'Data shares'!$C:$FA,96)</f>
        <v>695600</v>
      </c>
      <c r="M113" s="87">
        <f>VLOOKUP($A113,'Data shares'!$C:$FA,97)</f>
        <v>1.4999999999999999E-2</v>
      </c>
      <c r="N113" s="86">
        <f>VLOOKUP($A113,'Data shares'!$C:$FA,78)</f>
        <v>126065750</v>
      </c>
      <c r="O113" s="87">
        <f>VLOOKUP($A113,'Data shares'!$C:$FA,81)</f>
        <v>-5.21E-2</v>
      </c>
    </row>
    <row r="114" spans="1:15" x14ac:dyDescent="0.25">
      <c r="A114" s="100" t="str">
        <f>'Data Vlaue (Cr)'!C109</f>
        <v>JSWENERGY</v>
      </c>
      <c r="B114" s="82">
        <f>VLOOKUP(A114,'Data shares'!$C$2:$CV$220,98,0)</f>
        <v>39237000</v>
      </c>
      <c r="C114" s="82">
        <f>VLOOKUP(A114,'Data shares'!$C$2:$CX$220,100,0)</f>
        <v>694000</v>
      </c>
      <c r="D114" s="141">
        <f>VLOOKUP(A114,'Data shares'!$C$2:$CY$543,101,0)</f>
        <v>1.7999999999999999E-2</v>
      </c>
      <c r="E114" s="86">
        <f>VLOOKUP($A114,'Data shares'!$C:$FA,74)</f>
        <v>27282000</v>
      </c>
      <c r="F114" s="86">
        <f>VLOOKUP($A114,'Data shares'!$C:$FA,76)</f>
        <v>398000</v>
      </c>
      <c r="G114" s="87">
        <f>VLOOKUP(A114,'Data shares'!$C$2:$CA$220,77,0)</f>
        <v>1.4800000000000001E-2</v>
      </c>
      <c r="H114" s="86">
        <f>VLOOKUP($A114,'Data shares'!$C:$FA,90)</f>
        <v>7257000</v>
      </c>
      <c r="I114" s="86">
        <f>VLOOKUP($A114,'Data shares'!$C:$FA,92)</f>
        <v>346000</v>
      </c>
      <c r="J114" s="87">
        <f>VLOOKUP($A114,'Data shares'!$C:$FA,93)</f>
        <v>5.0099999999999999E-2</v>
      </c>
      <c r="K114" s="86">
        <f>VLOOKUP($A114,'Data shares'!$C:$FA,94)</f>
        <v>4698000</v>
      </c>
      <c r="L114" s="86">
        <f>VLOOKUP($A114,'Data shares'!$C:$FA,96)</f>
        <v>-50000</v>
      </c>
      <c r="M114" s="87">
        <f>VLOOKUP($A114,'Data shares'!$C:$FA,97)</f>
        <v>-1.0500000000000001E-2</v>
      </c>
      <c r="N114" s="86">
        <f>VLOOKUP($A114,'Data shares'!$C:$FA,78)</f>
        <v>25965000</v>
      </c>
      <c r="O114" s="87">
        <f>VLOOKUP($A114,'Data shares'!$C:$FA,81)</f>
        <v>-4.4000000000000003E-3</v>
      </c>
    </row>
    <row r="115" spans="1:15" x14ac:dyDescent="0.25">
      <c r="A115" s="100" t="str">
        <f>'Data Vlaue (Cr)'!C110</f>
        <v>JSWSTEEL</v>
      </c>
      <c r="B115" s="82">
        <f>VLOOKUP(A115,'Data shares'!$C$2:$CV$220,98,0)</f>
        <v>61580250</v>
      </c>
      <c r="C115" s="82">
        <f>VLOOKUP(A115,'Data shares'!$C$2:$CX$220,100,0)</f>
        <v>282825</v>
      </c>
      <c r="D115" s="141">
        <f>VLOOKUP(A115,'Data shares'!$C$2:$CY$543,101,0)</f>
        <v>4.5999999999999999E-3</v>
      </c>
      <c r="E115" s="86">
        <f>VLOOKUP($A115,'Data shares'!$C:$FA,74)</f>
        <v>49087350</v>
      </c>
      <c r="F115" s="86">
        <f>VLOOKUP($A115,'Data shares'!$C:$FA,76)</f>
        <v>-878175</v>
      </c>
      <c r="G115" s="87">
        <f>VLOOKUP(A115,'Data shares'!$C$2:$CA$220,77,0)</f>
        <v>-1.7600000000000001E-2</v>
      </c>
      <c r="H115" s="86">
        <f>VLOOKUP($A115,'Data shares'!$C:$FA,90)</f>
        <v>6041925</v>
      </c>
      <c r="I115" s="86">
        <f>VLOOKUP($A115,'Data shares'!$C:$FA,92)</f>
        <v>266625</v>
      </c>
      <c r="J115" s="87">
        <f>VLOOKUP($A115,'Data shares'!$C:$FA,93)</f>
        <v>4.6199999999999998E-2</v>
      </c>
      <c r="K115" s="86">
        <f>VLOOKUP($A115,'Data shares'!$C:$FA,94)</f>
        <v>6450975</v>
      </c>
      <c r="L115" s="86">
        <f>VLOOKUP($A115,'Data shares'!$C:$FA,96)</f>
        <v>894375</v>
      </c>
      <c r="M115" s="87">
        <f>VLOOKUP($A115,'Data shares'!$C:$FA,97)</f>
        <v>0.161</v>
      </c>
      <c r="N115" s="86">
        <f>VLOOKUP($A115,'Data shares'!$C:$FA,78)</f>
        <v>42260400</v>
      </c>
      <c r="O115" s="87">
        <f>VLOOKUP($A115,'Data shares'!$C:$FA,81)</f>
        <v>-3.0099999999999998E-2</v>
      </c>
    </row>
    <row r="116" spans="1:15" x14ac:dyDescent="0.25">
      <c r="A116" s="100" t="str">
        <f>'Data Vlaue (Cr)'!C111</f>
        <v>JUBLFOOD</v>
      </c>
      <c r="B116" s="82">
        <f>VLOOKUP(A116,'Data shares'!$C$2:$CV$220,98,0)</f>
        <v>77575000</v>
      </c>
      <c r="C116" s="82">
        <f>VLOOKUP(A116,'Data shares'!$C$2:$CX$220,100,0)</f>
        <v>1402500</v>
      </c>
      <c r="D116" s="141">
        <f>VLOOKUP(A116,'Data shares'!$C$2:$CY$543,101,0)</f>
        <v>1.84E-2</v>
      </c>
      <c r="E116" s="86">
        <f>VLOOKUP($A116,'Data shares'!$C:$FA,74)</f>
        <v>52495000</v>
      </c>
      <c r="F116" s="86">
        <f>VLOOKUP($A116,'Data shares'!$C:$FA,76)</f>
        <v>1221250</v>
      </c>
      <c r="G116" s="87">
        <f>VLOOKUP(A116,'Data shares'!$C$2:$CA$220,77,0)</f>
        <v>2.3800000000000002E-2</v>
      </c>
      <c r="H116" s="86">
        <f>VLOOKUP($A116,'Data shares'!$C:$FA,90)</f>
        <v>15482500</v>
      </c>
      <c r="I116" s="86">
        <f>VLOOKUP($A116,'Data shares'!$C:$FA,92)</f>
        <v>335000</v>
      </c>
      <c r="J116" s="87">
        <f>VLOOKUP($A116,'Data shares'!$C:$FA,93)</f>
        <v>2.2100000000000002E-2</v>
      </c>
      <c r="K116" s="86">
        <f>VLOOKUP($A116,'Data shares'!$C:$FA,94)</f>
        <v>9597500</v>
      </c>
      <c r="L116" s="86">
        <f>VLOOKUP($A116,'Data shares'!$C:$FA,96)</f>
        <v>-153750</v>
      </c>
      <c r="M116" s="87">
        <f>VLOOKUP($A116,'Data shares'!$C:$FA,97)</f>
        <v>-1.5800000000000002E-2</v>
      </c>
      <c r="N116" s="86">
        <f>VLOOKUP($A116,'Data shares'!$C:$FA,78)</f>
        <v>36787500</v>
      </c>
      <c r="O116" s="87">
        <f>VLOOKUP($A116,'Data shares'!$C:$FA,81)</f>
        <v>-2.9999999999999997E-4</v>
      </c>
    </row>
    <row r="117" spans="1:15" x14ac:dyDescent="0.25">
      <c r="A117" s="100" t="str">
        <f>'Data Vlaue (Cr)'!C112</f>
        <v>KALYANKJIL</v>
      </c>
      <c r="B117" s="82">
        <f>VLOOKUP(A117,'Data shares'!$C$2:$CV$220,98,0)</f>
        <v>49736575</v>
      </c>
      <c r="C117" s="82">
        <f>VLOOKUP(A117,'Data shares'!$C$2:$CX$220,100,0)</f>
        <v>2032750</v>
      </c>
      <c r="D117" s="141">
        <f>VLOOKUP(A117,'Data shares'!$C$2:$CY$543,101,0)</f>
        <v>4.2599999999999999E-2</v>
      </c>
      <c r="E117" s="86">
        <f>VLOOKUP($A117,'Data shares'!$C:$FA,74)</f>
        <v>26706575</v>
      </c>
      <c r="F117" s="86">
        <f>VLOOKUP($A117,'Data shares'!$C:$FA,76)</f>
        <v>428875</v>
      </c>
      <c r="G117" s="87">
        <f>VLOOKUP(A117,'Data shares'!$C$2:$CA$220,77,0)</f>
        <v>1.6299999999999999E-2</v>
      </c>
      <c r="H117" s="86">
        <f>VLOOKUP($A117,'Data shares'!$C:$FA,90)</f>
        <v>15834300</v>
      </c>
      <c r="I117" s="86">
        <f>VLOOKUP($A117,'Data shares'!$C:$FA,92)</f>
        <v>1847100</v>
      </c>
      <c r="J117" s="87">
        <f>VLOOKUP($A117,'Data shares'!$C:$FA,93)</f>
        <v>0.1321</v>
      </c>
      <c r="K117" s="86">
        <f>VLOOKUP($A117,'Data shares'!$C:$FA,94)</f>
        <v>7195700</v>
      </c>
      <c r="L117" s="86">
        <f>VLOOKUP($A117,'Data shares'!$C:$FA,96)</f>
        <v>-243225</v>
      </c>
      <c r="M117" s="87">
        <f>VLOOKUP($A117,'Data shares'!$C:$FA,97)</f>
        <v>-3.27E-2</v>
      </c>
      <c r="N117" s="86">
        <f>VLOOKUP($A117,'Data shares'!$C:$FA,78)</f>
        <v>24651500</v>
      </c>
      <c r="O117" s="87">
        <f>VLOOKUP($A117,'Data shares'!$C:$FA,81)</f>
        <v>4.4999999999999997E-3</v>
      </c>
    </row>
    <row r="118" spans="1:15" x14ac:dyDescent="0.25">
      <c r="A118" s="100" t="str">
        <f>'Data Vlaue (Cr)'!C113</f>
        <v>KAYNES</v>
      </c>
      <c r="B118" s="82">
        <f>VLOOKUP(A118,'Data shares'!$C$2:$CV$220,98,0)</f>
        <v>6161900</v>
      </c>
      <c r="C118" s="82">
        <f>VLOOKUP(A118,'Data shares'!$C$2:$CX$220,100,0)</f>
        <v>20800</v>
      </c>
      <c r="D118" s="141">
        <f>VLOOKUP(A118,'Data shares'!$C$2:$CY$543,101,0)</f>
        <v>3.3999999999999998E-3</v>
      </c>
      <c r="E118" s="86">
        <f>VLOOKUP($A118,'Data shares'!$C:$FA,74)</f>
        <v>3455500</v>
      </c>
      <c r="F118" s="86">
        <f>VLOOKUP($A118,'Data shares'!$C:$FA,76)</f>
        <v>35700</v>
      </c>
      <c r="G118" s="87">
        <f>VLOOKUP(A118,'Data shares'!$C$2:$CA$220,77,0)</f>
        <v>1.04E-2</v>
      </c>
      <c r="H118" s="86">
        <f>VLOOKUP($A118,'Data shares'!$C:$FA,90)</f>
        <v>1479000</v>
      </c>
      <c r="I118" s="86">
        <f>VLOOKUP($A118,'Data shares'!$C:$FA,92)</f>
        <v>-34300</v>
      </c>
      <c r="J118" s="87">
        <f>VLOOKUP($A118,'Data shares'!$C:$FA,93)</f>
        <v>-2.2700000000000001E-2</v>
      </c>
      <c r="K118" s="86">
        <f>VLOOKUP($A118,'Data shares'!$C:$FA,94)</f>
        <v>1227400</v>
      </c>
      <c r="L118" s="86">
        <f>VLOOKUP($A118,'Data shares'!$C:$FA,96)</f>
        <v>19400</v>
      </c>
      <c r="M118" s="87">
        <f>VLOOKUP($A118,'Data shares'!$C:$FA,97)</f>
        <v>1.61E-2</v>
      </c>
      <c r="N118" s="86">
        <f>VLOOKUP($A118,'Data shares'!$C:$FA,78)</f>
        <v>2792000</v>
      </c>
      <c r="O118" s="87">
        <f>VLOOKUP($A118,'Data shares'!$C:$FA,81)</f>
        <v>-2.9100000000000001E-2</v>
      </c>
    </row>
    <row r="119" spans="1:15" x14ac:dyDescent="0.25">
      <c r="A119" s="100" t="str">
        <f>'Data Vlaue (Cr)'!C114</f>
        <v>KEI</v>
      </c>
      <c r="B119" s="82">
        <f>VLOOKUP(A119,'Data shares'!$C$2:$CV$220,98,0)</f>
        <v>3531675</v>
      </c>
      <c r="C119" s="82">
        <f>VLOOKUP(A119,'Data shares'!$C$2:$CX$220,100,0)</f>
        <v>22750</v>
      </c>
      <c r="D119" s="141">
        <f>VLOOKUP(A119,'Data shares'!$C$2:$CY$543,101,0)</f>
        <v>6.4999999999999997E-3</v>
      </c>
      <c r="E119" s="86">
        <f>VLOOKUP($A119,'Data shares'!$C:$FA,74)</f>
        <v>2365825</v>
      </c>
      <c r="F119" s="86">
        <f>VLOOKUP($A119,'Data shares'!$C:$FA,76)</f>
        <v>35350</v>
      </c>
      <c r="G119" s="87">
        <f>VLOOKUP(A119,'Data shares'!$C$2:$CA$220,77,0)</f>
        <v>1.52E-2</v>
      </c>
      <c r="H119" s="86">
        <f>VLOOKUP($A119,'Data shares'!$C:$FA,90)</f>
        <v>674625</v>
      </c>
      <c r="I119" s="86">
        <f>VLOOKUP($A119,'Data shares'!$C:$FA,92)</f>
        <v>-19950</v>
      </c>
      <c r="J119" s="87">
        <f>VLOOKUP($A119,'Data shares'!$C:$FA,93)</f>
        <v>-2.87E-2</v>
      </c>
      <c r="K119" s="86">
        <f>VLOOKUP($A119,'Data shares'!$C:$FA,94)</f>
        <v>491225</v>
      </c>
      <c r="L119" s="86">
        <f>VLOOKUP($A119,'Data shares'!$C:$FA,96)</f>
        <v>7350</v>
      </c>
      <c r="M119" s="87">
        <f>VLOOKUP($A119,'Data shares'!$C:$FA,97)</f>
        <v>1.52E-2</v>
      </c>
      <c r="N119" s="86">
        <f>VLOOKUP($A119,'Data shares'!$C:$FA,78)</f>
        <v>1741075</v>
      </c>
      <c r="O119" s="87">
        <f>VLOOKUP($A119,'Data shares'!$C:$FA,81)</f>
        <v>-5.2400000000000002E-2</v>
      </c>
    </row>
    <row r="120" spans="1:15" x14ac:dyDescent="0.25">
      <c r="A120" s="100" t="str">
        <f>'Data Vlaue (Cr)'!C115</f>
        <v>KFINTECH</v>
      </c>
      <c r="B120" s="82">
        <f>VLOOKUP(A120,'Data shares'!$C$2:$CV$220,98,0)</f>
        <v>7552000</v>
      </c>
      <c r="C120" s="82">
        <f>VLOOKUP(A120,'Data shares'!$C$2:$CX$220,100,0)</f>
        <v>159500</v>
      </c>
      <c r="D120" s="141">
        <f>VLOOKUP(A120,'Data shares'!$C$2:$CY$543,101,0)</f>
        <v>2.1600000000000001E-2</v>
      </c>
      <c r="E120" s="86">
        <f>VLOOKUP($A120,'Data shares'!$C:$FA,74)</f>
        <v>3971000</v>
      </c>
      <c r="F120" s="86">
        <f>VLOOKUP($A120,'Data shares'!$C:$FA,76)</f>
        <v>326500</v>
      </c>
      <c r="G120" s="87">
        <f>VLOOKUP(A120,'Data shares'!$C$2:$CA$220,77,0)</f>
        <v>8.9599999999999999E-2</v>
      </c>
      <c r="H120" s="86">
        <f>VLOOKUP($A120,'Data shares'!$C:$FA,90)</f>
        <v>2297500</v>
      </c>
      <c r="I120" s="86">
        <f>VLOOKUP($A120,'Data shares'!$C:$FA,92)</f>
        <v>-201500</v>
      </c>
      <c r="J120" s="87">
        <f>VLOOKUP($A120,'Data shares'!$C:$FA,93)</f>
        <v>-8.0600000000000005E-2</v>
      </c>
      <c r="K120" s="86">
        <f>VLOOKUP($A120,'Data shares'!$C:$FA,94)</f>
        <v>1283500</v>
      </c>
      <c r="L120" s="86">
        <f>VLOOKUP($A120,'Data shares'!$C:$FA,96)</f>
        <v>34500</v>
      </c>
      <c r="M120" s="87">
        <f>VLOOKUP($A120,'Data shares'!$C:$FA,97)</f>
        <v>2.76E-2</v>
      </c>
      <c r="N120" s="86">
        <f>VLOOKUP($A120,'Data shares'!$C:$FA,78)</f>
        <v>3093500</v>
      </c>
      <c r="O120" s="87">
        <f>VLOOKUP($A120,'Data shares'!$C:$FA,81)</f>
        <v>5.0999999999999997E-2</v>
      </c>
    </row>
    <row r="121" spans="1:15" x14ac:dyDescent="0.25">
      <c r="A121" s="100" t="str">
        <f>'Data Vlaue (Cr)'!C116</f>
        <v>KOTAKBANK</v>
      </c>
      <c r="B121" s="82">
        <f>VLOOKUP(A121,'Data shares'!$C$2:$CV$220,98,0)</f>
        <v>276082000</v>
      </c>
      <c r="C121" s="82">
        <f>VLOOKUP(A121,'Data shares'!$C$2:$CX$220,100,0)</f>
        <v>22000</v>
      </c>
      <c r="D121" s="141">
        <f>VLOOKUP(A121,'Data shares'!$C$2:$CY$543,101,0)</f>
        <v>1E-4</v>
      </c>
      <c r="E121" s="86">
        <f>VLOOKUP($A121,'Data shares'!$C:$FA,74)</f>
        <v>215510000</v>
      </c>
      <c r="F121" s="86">
        <f>VLOOKUP($A121,'Data shares'!$C:$FA,76)</f>
        <v>-2006000</v>
      </c>
      <c r="G121" s="87">
        <f>VLOOKUP(A121,'Data shares'!$C$2:$CA$220,77,0)</f>
        <v>-9.1999999999999998E-3</v>
      </c>
      <c r="H121" s="86">
        <f>VLOOKUP($A121,'Data shares'!$C:$FA,90)</f>
        <v>32790000</v>
      </c>
      <c r="I121" s="86">
        <f>VLOOKUP($A121,'Data shares'!$C:$FA,92)</f>
        <v>1966000</v>
      </c>
      <c r="J121" s="87">
        <f>VLOOKUP($A121,'Data shares'!$C:$FA,93)</f>
        <v>6.3799999999999996E-2</v>
      </c>
      <c r="K121" s="86">
        <f>VLOOKUP($A121,'Data shares'!$C:$FA,94)</f>
        <v>27782000</v>
      </c>
      <c r="L121" s="86">
        <f>VLOOKUP($A121,'Data shares'!$C:$FA,96)</f>
        <v>62000</v>
      </c>
      <c r="M121" s="87">
        <f>VLOOKUP($A121,'Data shares'!$C:$FA,97)</f>
        <v>2.2000000000000001E-3</v>
      </c>
      <c r="N121" s="86">
        <f>VLOOKUP($A121,'Data shares'!$C:$FA,78)</f>
        <v>164620000</v>
      </c>
      <c r="O121" s="87">
        <f>VLOOKUP($A121,'Data shares'!$C:$FA,81)</f>
        <v>-3.8600000000000002E-2</v>
      </c>
    </row>
    <row r="122" spans="1:15" x14ac:dyDescent="0.25">
      <c r="A122" s="100" t="str">
        <f>'Data Vlaue (Cr)'!C117</f>
        <v>KPITTECH</v>
      </c>
      <c r="B122" s="82">
        <f>VLOOKUP(A122,'Data shares'!$C$2:$CV$220,98,0)</f>
        <v>12996075</v>
      </c>
      <c r="C122" s="82">
        <f>VLOOKUP(A122,'Data shares'!$C$2:$CX$220,100,0)</f>
        <v>122825</v>
      </c>
      <c r="D122" s="141">
        <f>VLOOKUP(A122,'Data shares'!$C$2:$CY$543,101,0)</f>
        <v>9.4999999999999998E-3</v>
      </c>
      <c r="E122" s="86">
        <f>VLOOKUP($A122,'Data shares'!$C:$FA,74)</f>
        <v>7054575</v>
      </c>
      <c r="F122" s="86">
        <f>VLOOKUP($A122,'Data shares'!$C:$FA,76)</f>
        <v>133025</v>
      </c>
      <c r="G122" s="87">
        <f>VLOOKUP(A122,'Data shares'!$C$2:$CA$220,77,0)</f>
        <v>1.9199999999999998E-2</v>
      </c>
      <c r="H122" s="86">
        <f>VLOOKUP($A122,'Data shares'!$C:$FA,90)</f>
        <v>3582325</v>
      </c>
      <c r="I122" s="86">
        <f>VLOOKUP($A122,'Data shares'!$C:$FA,92)</f>
        <v>-57375</v>
      </c>
      <c r="J122" s="87">
        <f>VLOOKUP($A122,'Data shares'!$C:$FA,93)</f>
        <v>-1.5800000000000002E-2</v>
      </c>
      <c r="K122" s="86">
        <f>VLOOKUP($A122,'Data shares'!$C:$FA,94)</f>
        <v>2359175</v>
      </c>
      <c r="L122" s="86">
        <f>VLOOKUP($A122,'Data shares'!$C:$FA,96)</f>
        <v>47175</v>
      </c>
      <c r="M122" s="87">
        <f>VLOOKUP($A122,'Data shares'!$C:$FA,97)</f>
        <v>2.0400000000000001E-2</v>
      </c>
      <c r="N122" s="86">
        <f>VLOOKUP($A122,'Data shares'!$C:$FA,78)</f>
        <v>6495275</v>
      </c>
      <c r="O122" s="87">
        <f>VLOOKUP($A122,'Data shares'!$C:$FA,81)</f>
        <v>8.3999999999999995E-3</v>
      </c>
    </row>
    <row r="123" spans="1:15" x14ac:dyDescent="0.25">
      <c r="A123" s="100" t="str">
        <f>'Data Vlaue (Cr)'!C118</f>
        <v>LAURUSLABS</v>
      </c>
      <c r="B123" s="82">
        <f>VLOOKUP(A123,'Data shares'!$C$2:$CV$220,98,0)</f>
        <v>27566350</v>
      </c>
      <c r="C123" s="82">
        <f>VLOOKUP(A123,'Data shares'!$C$2:$CX$220,100,0)</f>
        <v>-409700</v>
      </c>
      <c r="D123" s="141">
        <f>VLOOKUP(A123,'Data shares'!$C$2:$CY$543,101,0)</f>
        <v>-1.46E-2</v>
      </c>
      <c r="E123" s="86">
        <f>VLOOKUP($A123,'Data shares'!$C:$FA,74)</f>
        <v>17626450</v>
      </c>
      <c r="F123" s="86">
        <f>VLOOKUP($A123,'Data shares'!$C:$FA,76)</f>
        <v>-159800</v>
      </c>
      <c r="G123" s="87">
        <f>VLOOKUP(A123,'Data shares'!$C$2:$CA$220,77,0)</f>
        <v>-8.9999999999999993E-3</v>
      </c>
      <c r="H123" s="86">
        <f>VLOOKUP($A123,'Data shares'!$C:$FA,90)</f>
        <v>5160350</v>
      </c>
      <c r="I123" s="86">
        <f>VLOOKUP($A123,'Data shares'!$C:$FA,92)</f>
        <v>-245650</v>
      </c>
      <c r="J123" s="87">
        <f>VLOOKUP($A123,'Data shares'!$C:$FA,93)</f>
        <v>-4.5400000000000003E-2</v>
      </c>
      <c r="K123" s="86">
        <f>VLOOKUP($A123,'Data shares'!$C:$FA,94)</f>
        <v>4779550</v>
      </c>
      <c r="L123" s="86">
        <f>VLOOKUP($A123,'Data shares'!$C:$FA,96)</f>
        <v>-4250</v>
      </c>
      <c r="M123" s="87">
        <f>VLOOKUP($A123,'Data shares'!$C:$FA,97)</f>
        <v>-8.9999999999999998E-4</v>
      </c>
      <c r="N123" s="86">
        <f>VLOOKUP($A123,'Data shares'!$C:$FA,78)</f>
        <v>16410950</v>
      </c>
      <c r="O123" s="87">
        <f>VLOOKUP($A123,'Data shares'!$C:$FA,81)</f>
        <v>-2.4500000000000001E-2</v>
      </c>
    </row>
    <row r="124" spans="1:15" x14ac:dyDescent="0.25">
      <c r="A124" s="100" t="str">
        <f>'Data Vlaue (Cr)'!C119</f>
        <v>LICHSGFIN</v>
      </c>
      <c r="B124" s="82">
        <f>VLOOKUP(A124,'Data shares'!$C$2:$CV$220,98,0)</f>
        <v>43284000</v>
      </c>
      <c r="C124" s="82">
        <f>VLOOKUP(A124,'Data shares'!$C$2:$CX$220,100,0)</f>
        <v>-449000</v>
      </c>
      <c r="D124" s="141">
        <f>VLOOKUP(A124,'Data shares'!$C$2:$CY$543,101,0)</f>
        <v>-1.03E-2</v>
      </c>
      <c r="E124" s="86">
        <f>VLOOKUP($A124,'Data shares'!$C:$FA,74)</f>
        <v>31671000</v>
      </c>
      <c r="F124" s="86">
        <f>VLOOKUP($A124,'Data shares'!$C:$FA,76)</f>
        <v>-496000</v>
      </c>
      <c r="G124" s="87">
        <f>VLOOKUP(A124,'Data shares'!$C$2:$CA$220,77,0)</f>
        <v>-1.54E-2</v>
      </c>
      <c r="H124" s="86">
        <f>VLOOKUP($A124,'Data shares'!$C:$FA,90)</f>
        <v>5911000</v>
      </c>
      <c r="I124" s="86">
        <f>VLOOKUP($A124,'Data shares'!$C:$FA,92)</f>
        <v>45000</v>
      </c>
      <c r="J124" s="87">
        <f>VLOOKUP($A124,'Data shares'!$C:$FA,93)</f>
        <v>7.7000000000000002E-3</v>
      </c>
      <c r="K124" s="86">
        <f>VLOOKUP($A124,'Data shares'!$C:$FA,94)</f>
        <v>5702000</v>
      </c>
      <c r="L124" s="86">
        <f>VLOOKUP($A124,'Data shares'!$C:$FA,96)</f>
        <v>2000</v>
      </c>
      <c r="M124" s="87">
        <f>VLOOKUP($A124,'Data shares'!$C:$FA,97)</f>
        <v>4.0000000000000002E-4</v>
      </c>
      <c r="N124" s="86">
        <f>VLOOKUP($A124,'Data shares'!$C:$FA,78)</f>
        <v>30336000</v>
      </c>
      <c r="O124" s="87">
        <f>VLOOKUP($A124,'Data shares'!$C:$FA,81)</f>
        <v>-2.4799999999999999E-2</v>
      </c>
    </row>
    <row r="125" spans="1:15" x14ac:dyDescent="0.25">
      <c r="A125" s="100" t="str">
        <f>'Data Vlaue (Cr)'!C120</f>
        <v>LICI</v>
      </c>
      <c r="B125" s="82">
        <f>VLOOKUP(A125,'Data shares'!$C$2:$CV$220,98,0)</f>
        <v>22267700</v>
      </c>
      <c r="C125" s="82">
        <f>VLOOKUP(A125,'Data shares'!$C$2:$CX$220,100,0)</f>
        <v>256900</v>
      </c>
      <c r="D125" s="141">
        <f>VLOOKUP(A125,'Data shares'!$C$2:$CY$543,101,0)</f>
        <v>1.17E-2</v>
      </c>
      <c r="E125" s="86">
        <f>VLOOKUP($A125,'Data shares'!$C:$FA,74)</f>
        <v>10677100</v>
      </c>
      <c r="F125" s="86">
        <f>VLOOKUP($A125,'Data shares'!$C:$FA,76)</f>
        <v>296800</v>
      </c>
      <c r="G125" s="87">
        <f>VLOOKUP(A125,'Data shares'!$C$2:$CA$220,77,0)</f>
        <v>2.86E-2</v>
      </c>
      <c r="H125" s="86">
        <f>VLOOKUP($A125,'Data shares'!$C:$FA,90)</f>
        <v>7030100</v>
      </c>
      <c r="I125" s="86">
        <f>VLOOKUP($A125,'Data shares'!$C:$FA,92)</f>
        <v>-284200</v>
      </c>
      <c r="J125" s="87">
        <f>VLOOKUP($A125,'Data shares'!$C:$FA,93)</f>
        <v>-3.8899999999999997E-2</v>
      </c>
      <c r="K125" s="86">
        <f>VLOOKUP($A125,'Data shares'!$C:$FA,94)</f>
        <v>4560500</v>
      </c>
      <c r="L125" s="86">
        <f>VLOOKUP($A125,'Data shares'!$C:$FA,96)</f>
        <v>244300</v>
      </c>
      <c r="M125" s="87">
        <f>VLOOKUP($A125,'Data shares'!$C:$FA,97)</f>
        <v>5.6599999999999998E-2</v>
      </c>
      <c r="N125" s="86">
        <f>VLOOKUP($A125,'Data shares'!$C:$FA,78)</f>
        <v>8379700</v>
      </c>
      <c r="O125" s="87">
        <f>VLOOKUP($A125,'Data shares'!$C:$FA,81)</f>
        <v>-4.4999999999999997E-3</v>
      </c>
    </row>
    <row r="126" spans="1:15" x14ac:dyDescent="0.25">
      <c r="A126" s="100" t="str">
        <f>'Data Vlaue (Cr)'!C121</f>
        <v>LODHA</v>
      </c>
      <c r="B126" s="82">
        <f>VLOOKUP(A126,'Data shares'!$C$2:$CV$220,98,0)</f>
        <v>30194550</v>
      </c>
      <c r="C126" s="82">
        <f>VLOOKUP(A126,'Data shares'!$C$2:$CX$220,100,0)</f>
        <v>-373950</v>
      </c>
      <c r="D126" s="141">
        <f>VLOOKUP(A126,'Data shares'!$C$2:$CY$543,101,0)</f>
        <v>-1.2200000000000001E-2</v>
      </c>
      <c r="E126" s="86">
        <f>VLOOKUP($A126,'Data shares'!$C:$FA,74)</f>
        <v>19126350</v>
      </c>
      <c r="F126" s="86">
        <f>VLOOKUP($A126,'Data shares'!$C:$FA,76)</f>
        <v>-141750</v>
      </c>
      <c r="G126" s="87">
        <f>VLOOKUP(A126,'Data shares'!$C$2:$CA$220,77,0)</f>
        <v>-7.4000000000000003E-3</v>
      </c>
      <c r="H126" s="86">
        <f>VLOOKUP($A126,'Data shares'!$C:$FA,90)</f>
        <v>6043050</v>
      </c>
      <c r="I126" s="86">
        <f>VLOOKUP($A126,'Data shares'!$C:$FA,92)</f>
        <v>-91800</v>
      </c>
      <c r="J126" s="87">
        <f>VLOOKUP($A126,'Data shares'!$C:$FA,93)</f>
        <v>-1.4999999999999999E-2</v>
      </c>
      <c r="K126" s="86">
        <f>VLOOKUP($A126,'Data shares'!$C:$FA,94)</f>
        <v>5025150</v>
      </c>
      <c r="L126" s="86">
        <f>VLOOKUP($A126,'Data shares'!$C:$FA,96)</f>
        <v>-140400</v>
      </c>
      <c r="M126" s="87">
        <f>VLOOKUP($A126,'Data shares'!$C:$FA,97)</f>
        <v>-2.7199999999999998E-2</v>
      </c>
      <c r="N126" s="86">
        <f>VLOOKUP($A126,'Data shares'!$C:$FA,78)</f>
        <v>17082900</v>
      </c>
      <c r="O126" s="87">
        <f>VLOOKUP($A126,'Data shares'!$C:$FA,81)</f>
        <v>-1.14E-2</v>
      </c>
    </row>
    <row r="127" spans="1:15" x14ac:dyDescent="0.25">
      <c r="A127" s="100" t="str">
        <f>'Data Vlaue (Cr)'!C122</f>
        <v>LT</v>
      </c>
      <c r="B127" s="82">
        <f>VLOOKUP(A127,'Data shares'!$C$2:$CV$220,98,0)</f>
        <v>32882675</v>
      </c>
      <c r="C127" s="82">
        <f>VLOOKUP(A127,'Data shares'!$C$2:$CX$220,100,0)</f>
        <v>569450</v>
      </c>
      <c r="D127" s="141">
        <f>VLOOKUP(A127,'Data shares'!$C$2:$CY$543,101,0)</f>
        <v>1.7600000000000001E-2</v>
      </c>
      <c r="E127" s="86">
        <f>VLOOKUP($A127,'Data shares'!$C:$FA,74)</f>
        <v>14904400</v>
      </c>
      <c r="F127" s="86">
        <f>VLOOKUP($A127,'Data shares'!$C:$FA,76)</f>
        <v>60550</v>
      </c>
      <c r="G127" s="87">
        <f>VLOOKUP(A127,'Data shares'!$C$2:$CA$220,77,0)</f>
        <v>4.1000000000000003E-3</v>
      </c>
      <c r="H127" s="86">
        <f>VLOOKUP($A127,'Data shares'!$C:$FA,90)</f>
        <v>9609600</v>
      </c>
      <c r="I127" s="86">
        <f>VLOOKUP($A127,'Data shares'!$C:$FA,92)</f>
        <v>361375</v>
      </c>
      <c r="J127" s="87">
        <f>VLOOKUP($A127,'Data shares'!$C:$FA,93)</f>
        <v>3.9100000000000003E-2</v>
      </c>
      <c r="K127" s="86">
        <f>VLOOKUP($A127,'Data shares'!$C:$FA,94)</f>
        <v>8368675</v>
      </c>
      <c r="L127" s="86">
        <f>VLOOKUP($A127,'Data shares'!$C:$FA,96)</f>
        <v>147525</v>
      </c>
      <c r="M127" s="87">
        <f>VLOOKUP($A127,'Data shares'!$C:$FA,97)</f>
        <v>1.7899999999999999E-2</v>
      </c>
      <c r="N127" s="86">
        <f>VLOOKUP($A127,'Data shares'!$C:$FA,78)</f>
        <v>11697350</v>
      </c>
      <c r="O127" s="87">
        <f>VLOOKUP($A127,'Data shares'!$C:$FA,81)</f>
        <v>-3.85E-2</v>
      </c>
    </row>
    <row r="128" spans="1:15" x14ac:dyDescent="0.25">
      <c r="A128" s="100" t="str">
        <f>'Data Vlaue (Cr)'!C123</f>
        <v>LTF</v>
      </c>
      <c r="B128" s="82">
        <f>VLOOKUP(A128,'Data shares'!$C$2:$CV$220,98,0)</f>
        <v>86357250</v>
      </c>
      <c r="C128" s="82">
        <f>VLOOKUP(A128,'Data shares'!$C$2:$CX$220,100,0)</f>
        <v>-1854000</v>
      </c>
      <c r="D128" s="141">
        <f>VLOOKUP(A128,'Data shares'!$C$2:$CY$543,101,0)</f>
        <v>-2.1000000000000001E-2</v>
      </c>
      <c r="E128" s="86">
        <f>VLOOKUP($A128,'Data shares'!$C:$FA,74)</f>
        <v>50465250</v>
      </c>
      <c r="F128" s="86">
        <f>VLOOKUP($A128,'Data shares'!$C:$FA,76)</f>
        <v>-2398500</v>
      </c>
      <c r="G128" s="87">
        <f>VLOOKUP(A128,'Data shares'!$C$2:$CA$220,77,0)</f>
        <v>-4.5400000000000003E-2</v>
      </c>
      <c r="H128" s="86">
        <f>VLOOKUP($A128,'Data shares'!$C:$FA,90)</f>
        <v>18342000</v>
      </c>
      <c r="I128" s="86">
        <f>VLOOKUP($A128,'Data shares'!$C:$FA,92)</f>
        <v>-569250</v>
      </c>
      <c r="J128" s="87">
        <f>VLOOKUP($A128,'Data shares'!$C:$FA,93)</f>
        <v>-3.0099999999999998E-2</v>
      </c>
      <c r="K128" s="86">
        <f>VLOOKUP($A128,'Data shares'!$C:$FA,94)</f>
        <v>17550000</v>
      </c>
      <c r="L128" s="86">
        <f>VLOOKUP($A128,'Data shares'!$C:$FA,96)</f>
        <v>1113750</v>
      </c>
      <c r="M128" s="87">
        <f>VLOOKUP($A128,'Data shares'!$C:$FA,97)</f>
        <v>6.7799999999999999E-2</v>
      </c>
      <c r="N128" s="86">
        <f>VLOOKUP($A128,'Data shares'!$C:$FA,78)</f>
        <v>45438750</v>
      </c>
      <c r="O128" s="87">
        <f>VLOOKUP($A128,'Data shares'!$C:$FA,81)</f>
        <v>-7.2800000000000004E-2</v>
      </c>
    </row>
    <row r="129" spans="1:15" x14ac:dyDescent="0.25">
      <c r="A129" s="100" t="str">
        <f>'Data Vlaue (Cr)'!C124</f>
        <v>LTM</v>
      </c>
      <c r="B129" s="82">
        <f>VLOOKUP(A129,'Data shares'!$C$2:$CV$220,98,0)</f>
        <v>6953850</v>
      </c>
      <c r="C129" s="82">
        <f>VLOOKUP(A129,'Data shares'!$C$2:$CX$220,100,0)</f>
        <v>-13650</v>
      </c>
      <c r="D129" s="141">
        <f>VLOOKUP(A129,'Data shares'!$C$2:$CY$543,101,0)</f>
        <v>-2E-3</v>
      </c>
      <c r="E129" s="86">
        <f>VLOOKUP($A129,'Data shares'!$C:$FA,74)</f>
        <v>5051550</v>
      </c>
      <c r="F129" s="86">
        <f>VLOOKUP($A129,'Data shares'!$C:$FA,76)</f>
        <v>44400</v>
      </c>
      <c r="G129" s="87">
        <f>VLOOKUP(A129,'Data shares'!$C$2:$CA$220,77,0)</f>
        <v>8.8999999999999999E-3</v>
      </c>
      <c r="H129" s="86">
        <f>VLOOKUP($A129,'Data shares'!$C:$FA,90)</f>
        <v>1051200</v>
      </c>
      <c r="I129" s="86">
        <f>VLOOKUP($A129,'Data shares'!$C:$FA,92)</f>
        <v>1650</v>
      </c>
      <c r="J129" s="87">
        <f>VLOOKUP($A129,'Data shares'!$C:$FA,93)</f>
        <v>1.6000000000000001E-3</v>
      </c>
      <c r="K129" s="86">
        <f>VLOOKUP($A129,'Data shares'!$C:$FA,94)</f>
        <v>851100</v>
      </c>
      <c r="L129" s="86">
        <f>VLOOKUP($A129,'Data shares'!$C:$FA,96)</f>
        <v>-59700</v>
      </c>
      <c r="M129" s="87">
        <f>VLOOKUP($A129,'Data shares'!$C:$FA,97)</f>
        <v>-6.5500000000000003E-2</v>
      </c>
      <c r="N129" s="86">
        <f>VLOOKUP($A129,'Data shares'!$C:$FA,78)</f>
        <v>4077150</v>
      </c>
      <c r="O129" s="87">
        <f>VLOOKUP($A129,'Data shares'!$C:$FA,81)</f>
        <v>-6.8999999999999999E-3</v>
      </c>
    </row>
    <row r="130" spans="1:15" x14ac:dyDescent="0.25">
      <c r="A130" s="100" t="str">
        <f>'Data Vlaue (Cr)'!C125</f>
        <v>LUPIN</v>
      </c>
      <c r="B130" s="82">
        <f>VLOOKUP(A130,'Data shares'!$C$2:$CV$220,98,0)</f>
        <v>10831125</v>
      </c>
      <c r="C130" s="82">
        <f>VLOOKUP(A130,'Data shares'!$C$2:$CX$220,100,0)</f>
        <v>-43775</v>
      </c>
      <c r="D130" s="141">
        <f>VLOOKUP(A130,'Data shares'!$C$2:$CY$543,101,0)</f>
        <v>-4.0000000000000001E-3</v>
      </c>
      <c r="E130" s="86">
        <f>VLOOKUP($A130,'Data shares'!$C:$FA,74)</f>
        <v>6718825</v>
      </c>
      <c r="F130" s="86">
        <f>VLOOKUP($A130,'Data shares'!$C:$FA,76)</f>
        <v>-87125</v>
      </c>
      <c r="G130" s="87">
        <f>VLOOKUP(A130,'Data shares'!$C$2:$CA$220,77,0)</f>
        <v>-1.2800000000000001E-2</v>
      </c>
      <c r="H130" s="86">
        <f>VLOOKUP($A130,'Data shares'!$C:$FA,90)</f>
        <v>2386375</v>
      </c>
      <c r="I130" s="86">
        <f>VLOOKUP($A130,'Data shares'!$C:$FA,92)</f>
        <v>-94775</v>
      </c>
      <c r="J130" s="87">
        <f>VLOOKUP($A130,'Data shares'!$C:$FA,93)</f>
        <v>-3.8199999999999998E-2</v>
      </c>
      <c r="K130" s="86">
        <f>VLOOKUP($A130,'Data shares'!$C:$FA,94)</f>
        <v>1725925</v>
      </c>
      <c r="L130" s="86">
        <f>VLOOKUP($A130,'Data shares'!$C:$FA,96)</f>
        <v>138125</v>
      </c>
      <c r="M130" s="87">
        <f>VLOOKUP($A130,'Data shares'!$C:$FA,97)</f>
        <v>8.6999999999999994E-2</v>
      </c>
      <c r="N130" s="86">
        <f>VLOOKUP($A130,'Data shares'!$C:$FA,78)</f>
        <v>6401775</v>
      </c>
      <c r="O130" s="87">
        <f>VLOOKUP($A130,'Data shares'!$C:$FA,81)</f>
        <v>-1.7999999999999999E-2</v>
      </c>
    </row>
    <row r="131" spans="1:15" x14ac:dyDescent="0.25">
      <c r="A131" s="100" t="str">
        <f>'Data Vlaue (Cr)'!C126</f>
        <v>M&amp;M</v>
      </c>
      <c r="B131" s="82">
        <f>VLOOKUP(A131,'Data shares'!$C$2:$CV$220,98,0)</f>
        <v>28771800</v>
      </c>
      <c r="C131" s="82">
        <f>VLOOKUP(A131,'Data shares'!$C$2:$CX$220,100,0)</f>
        <v>-115200</v>
      </c>
      <c r="D131" s="141">
        <f>VLOOKUP(A131,'Data shares'!$C$2:$CY$543,101,0)</f>
        <v>-4.0000000000000001E-3</v>
      </c>
      <c r="E131" s="86">
        <f>VLOOKUP($A131,'Data shares'!$C:$FA,74)</f>
        <v>19930400</v>
      </c>
      <c r="F131" s="86">
        <f>VLOOKUP($A131,'Data shares'!$C:$FA,76)</f>
        <v>147200</v>
      </c>
      <c r="G131" s="87">
        <f>VLOOKUP(A131,'Data shares'!$C$2:$CA$220,77,0)</f>
        <v>7.4000000000000003E-3</v>
      </c>
      <c r="H131" s="86">
        <f>VLOOKUP($A131,'Data shares'!$C:$FA,90)</f>
        <v>5164000</v>
      </c>
      <c r="I131" s="86">
        <f>VLOOKUP($A131,'Data shares'!$C:$FA,92)</f>
        <v>-358800</v>
      </c>
      <c r="J131" s="87">
        <f>VLOOKUP($A131,'Data shares'!$C:$FA,93)</f>
        <v>-6.5000000000000002E-2</v>
      </c>
      <c r="K131" s="86">
        <f>VLOOKUP($A131,'Data shares'!$C:$FA,94)</f>
        <v>3677400</v>
      </c>
      <c r="L131" s="86">
        <f>VLOOKUP($A131,'Data shares'!$C:$FA,96)</f>
        <v>96400</v>
      </c>
      <c r="M131" s="87">
        <f>VLOOKUP($A131,'Data shares'!$C:$FA,97)</f>
        <v>2.69E-2</v>
      </c>
      <c r="N131" s="86">
        <f>VLOOKUP($A131,'Data shares'!$C:$FA,78)</f>
        <v>15569800</v>
      </c>
      <c r="O131" s="87">
        <f>VLOOKUP($A131,'Data shares'!$C:$FA,81)</f>
        <v>-1.1999999999999999E-3</v>
      </c>
    </row>
    <row r="132" spans="1:15" x14ac:dyDescent="0.25">
      <c r="A132" s="100" t="str">
        <f>'Data Vlaue (Cr)'!C127</f>
        <v>MANAPPURAM</v>
      </c>
      <c r="B132" s="82">
        <f>VLOOKUP(A132,'Data shares'!$C$2:$CV$220,98,0)</f>
        <v>83631000</v>
      </c>
      <c r="C132" s="82">
        <f>VLOOKUP(A132,'Data shares'!$C$2:$CX$220,100,0)</f>
        <v>1383000</v>
      </c>
      <c r="D132" s="141">
        <f>VLOOKUP(A132,'Data shares'!$C$2:$CY$543,101,0)</f>
        <v>1.6799999999999999E-2</v>
      </c>
      <c r="E132" s="86">
        <f>VLOOKUP($A132,'Data shares'!$C:$FA,74)</f>
        <v>53778000</v>
      </c>
      <c r="F132" s="86">
        <f>VLOOKUP($A132,'Data shares'!$C:$FA,76)</f>
        <v>243000</v>
      </c>
      <c r="G132" s="87">
        <f>VLOOKUP(A132,'Data shares'!$C$2:$CA$220,77,0)</f>
        <v>4.4999999999999997E-3</v>
      </c>
      <c r="H132" s="86">
        <f>VLOOKUP($A132,'Data shares'!$C:$FA,90)</f>
        <v>18333000</v>
      </c>
      <c r="I132" s="86">
        <f>VLOOKUP($A132,'Data shares'!$C:$FA,92)</f>
        <v>897000</v>
      </c>
      <c r="J132" s="87">
        <f>VLOOKUP($A132,'Data shares'!$C:$FA,93)</f>
        <v>5.1400000000000001E-2</v>
      </c>
      <c r="K132" s="86">
        <f>VLOOKUP($A132,'Data shares'!$C:$FA,94)</f>
        <v>11520000</v>
      </c>
      <c r="L132" s="86">
        <f>VLOOKUP($A132,'Data shares'!$C:$FA,96)</f>
        <v>243000</v>
      </c>
      <c r="M132" s="87">
        <f>VLOOKUP($A132,'Data shares'!$C:$FA,97)</f>
        <v>2.1499999999999998E-2</v>
      </c>
      <c r="N132" s="86">
        <f>VLOOKUP($A132,'Data shares'!$C:$FA,78)</f>
        <v>50502000</v>
      </c>
      <c r="O132" s="87">
        <f>VLOOKUP($A132,'Data shares'!$C:$FA,81)</f>
        <v>-2.3900000000000001E-2</v>
      </c>
    </row>
    <row r="133" spans="1:15" x14ac:dyDescent="0.25">
      <c r="A133" s="100" t="str">
        <f>'Data Vlaue (Cr)'!C128</f>
        <v>MANKIND</v>
      </c>
      <c r="B133" s="82">
        <f>VLOOKUP(A133,'Data shares'!$C$2:$CV$220,98,0)</f>
        <v>4056075</v>
      </c>
      <c r="C133" s="82">
        <f>VLOOKUP(A133,'Data shares'!$C$2:$CX$220,100,0)</f>
        <v>84150</v>
      </c>
      <c r="D133" s="141">
        <f>VLOOKUP(A133,'Data shares'!$C$2:$CY$543,101,0)</f>
        <v>2.12E-2</v>
      </c>
      <c r="E133" s="86">
        <f>VLOOKUP($A133,'Data shares'!$C:$FA,74)</f>
        <v>3054150</v>
      </c>
      <c r="F133" s="86">
        <f>VLOOKUP($A133,'Data shares'!$C:$FA,76)</f>
        <v>150300</v>
      </c>
      <c r="G133" s="87">
        <f>VLOOKUP(A133,'Data shares'!$C$2:$CA$220,77,0)</f>
        <v>5.1799999999999999E-2</v>
      </c>
      <c r="H133" s="86">
        <f>VLOOKUP($A133,'Data shares'!$C:$FA,90)</f>
        <v>735750</v>
      </c>
      <c r="I133" s="86">
        <f>VLOOKUP($A133,'Data shares'!$C:$FA,92)</f>
        <v>-65475</v>
      </c>
      <c r="J133" s="87">
        <f>VLOOKUP($A133,'Data shares'!$C:$FA,93)</f>
        <v>-8.1699999999999995E-2</v>
      </c>
      <c r="K133" s="86">
        <f>VLOOKUP($A133,'Data shares'!$C:$FA,94)</f>
        <v>266175</v>
      </c>
      <c r="L133" s="86">
        <f>VLOOKUP($A133,'Data shares'!$C:$FA,96)</f>
        <v>-675</v>
      </c>
      <c r="M133" s="87">
        <f>VLOOKUP($A133,'Data shares'!$C:$FA,97)</f>
        <v>-2.5000000000000001E-3</v>
      </c>
      <c r="N133" s="86">
        <f>VLOOKUP($A133,'Data shares'!$C:$FA,78)</f>
        <v>2770875</v>
      </c>
      <c r="O133" s="87">
        <f>VLOOKUP($A133,'Data shares'!$C:$FA,81)</f>
        <v>2.2200000000000001E-2</v>
      </c>
    </row>
    <row r="134" spans="1:15" x14ac:dyDescent="0.25">
      <c r="A134" s="100" t="str">
        <f>'Data Vlaue (Cr)'!C129</f>
        <v>MARICO</v>
      </c>
      <c r="B134" s="82">
        <f>VLOOKUP(A134,'Data shares'!$C$2:$CV$220,98,0)</f>
        <v>33421200</v>
      </c>
      <c r="C134" s="82">
        <f>VLOOKUP(A134,'Data shares'!$C$2:$CX$220,100,0)</f>
        <v>-81600</v>
      </c>
      <c r="D134" s="141">
        <f>VLOOKUP(A134,'Data shares'!$C$2:$CY$543,101,0)</f>
        <v>-2.3999999999999998E-3</v>
      </c>
      <c r="E134" s="86">
        <f>VLOOKUP($A134,'Data shares'!$C:$FA,74)</f>
        <v>24572400</v>
      </c>
      <c r="F134" s="86">
        <f>VLOOKUP($A134,'Data shares'!$C:$FA,76)</f>
        <v>-206400</v>
      </c>
      <c r="G134" s="87">
        <f>VLOOKUP(A134,'Data shares'!$C$2:$CA$220,77,0)</f>
        <v>-8.3000000000000001E-3</v>
      </c>
      <c r="H134" s="86">
        <f>VLOOKUP($A134,'Data shares'!$C:$FA,90)</f>
        <v>4861200</v>
      </c>
      <c r="I134" s="86">
        <f>VLOOKUP($A134,'Data shares'!$C:$FA,92)</f>
        <v>160800</v>
      </c>
      <c r="J134" s="87">
        <f>VLOOKUP($A134,'Data shares'!$C:$FA,93)</f>
        <v>3.4200000000000001E-2</v>
      </c>
      <c r="K134" s="86">
        <f>VLOOKUP($A134,'Data shares'!$C:$FA,94)</f>
        <v>3987600</v>
      </c>
      <c r="L134" s="86">
        <f>VLOOKUP($A134,'Data shares'!$C:$FA,96)</f>
        <v>-36000</v>
      </c>
      <c r="M134" s="87">
        <f>VLOOKUP($A134,'Data shares'!$C:$FA,97)</f>
        <v>-8.8999999999999999E-3</v>
      </c>
      <c r="N134" s="86">
        <f>VLOOKUP($A134,'Data shares'!$C:$FA,78)</f>
        <v>22951200</v>
      </c>
      <c r="O134" s="87">
        <f>VLOOKUP($A134,'Data shares'!$C:$FA,81)</f>
        <v>-1.4200000000000001E-2</v>
      </c>
    </row>
    <row r="135" spans="1:15" x14ac:dyDescent="0.25">
      <c r="A135" s="100" t="str">
        <f>'Data Vlaue (Cr)'!C130</f>
        <v>MARUTI</v>
      </c>
      <c r="B135" s="82">
        <f>VLOOKUP(A135,'Data shares'!$C$2:$CV$220,98,0)</f>
        <v>6852750</v>
      </c>
      <c r="C135" s="82">
        <f>VLOOKUP(A135,'Data shares'!$C$2:$CX$220,100,0)</f>
        <v>10150</v>
      </c>
      <c r="D135" s="141">
        <f>VLOOKUP(A135,'Data shares'!$C$2:$CY$543,101,0)</f>
        <v>1.5E-3</v>
      </c>
      <c r="E135" s="86">
        <f>VLOOKUP($A135,'Data shares'!$C:$FA,74)</f>
        <v>3537050</v>
      </c>
      <c r="F135" s="86">
        <f>VLOOKUP($A135,'Data shares'!$C:$FA,76)</f>
        <v>43400</v>
      </c>
      <c r="G135" s="87">
        <f>VLOOKUP(A135,'Data shares'!$C$2:$CA$220,77,0)</f>
        <v>1.24E-2</v>
      </c>
      <c r="H135" s="86">
        <f>VLOOKUP($A135,'Data shares'!$C:$FA,90)</f>
        <v>2063350</v>
      </c>
      <c r="I135" s="86">
        <f>VLOOKUP($A135,'Data shares'!$C:$FA,92)</f>
        <v>-39850</v>
      </c>
      <c r="J135" s="87">
        <f>VLOOKUP($A135,'Data shares'!$C:$FA,93)</f>
        <v>-1.89E-2</v>
      </c>
      <c r="K135" s="86">
        <f>VLOOKUP($A135,'Data shares'!$C:$FA,94)</f>
        <v>1252350</v>
      </c>
      <c r="L135" s="86">
        <f>VLOOKUP($A135,'Data shares'!$C:$FA,96)</f>
        <v>6600</v>
      </c>
      <c r="M135" s="87">
        <f>VLOOKUP($A135,'Data shares'!$C:$FA,97)</f>
        <v>5.3E-3</v>
      </c>
      <c r="N135" s="86">
        <f>VLOOKUP($A135,'Data shares'!$C:$FA,78)</f>
        <v>2973650</v>
      </c>
      <c r="O135" s="87">
        <f>VLOOKUP($A135,'Data shares'!$C:$FA,81)</f>
        <v>3.7000000000000002E-3</v>
      </c>
    </row>
    <row r="136" spans="1:15" x14ac:dyDescent="0.25">
      <c r="A136" s="100" t="str">
        <f>'Data Vlaue (Cr)'!C131</f>
        <v>MAXHEALTH</v>
      </c>
      <c r="B136" s="82">
        <f>VLOOKUP(A136,'Data shares'!$C$2:$CV$220,98,0)</f>
        <v>20984775</v>
      </c>
      <c r="C136" s="82">
        <f>VLOOKUP(A136,'Data shares'!$C$2:$CX$220,100,0)</f>
        <v>-377475</v>
      </c>
      <c r="D136" s="141">
        <f>VLOOKUP(A136,'Data shares'!$C$2:$CY$543,101,0)</f>
        <v>-1.77E-2</v>
      </c>
      <c r="E136" s="86">
        <f>VLOOKUP($A136,'Data shares'!$C:$FA,74)</f>
        <v>14344050</v>
      </c>
      <c r="F136" s="86">
        <f>VLOOKUP($A136,'Data shares'!$C:$FA,76)</f>
        <v>-197925</v>
      </c>
      <c r="G136" s="87">
        <f>VLOOKUP(A136,'Data shares'!$C$2:$CA$220,77,0)</f>
        <v>-1.3599999999999999E-2</v>
      </c>
      <c r="H136" s="86">
        <f>VLOOKUP($A136,'Data shares'!$C:$FA,90)</f>
        <v>4200525</v>
      </c>
      <c r="I136" s="86">
        <f>VLOOKUP($A136,'Data shares'!$C:$FA,92)</f>
        <v>-179025</v>
      </c>
      <c r="J136" s="87">
        <f>VLOOKUP($A136,'Data shares'!$C:$FA,93)</f>
        <v>-4.0899999999999999E-2</v>
      </c>
      <c r="K136" s="86">
        <f>VLOOKUP($A136,'Data shares'!$C:$FA,94)</f>
        <v>2440200</v>
      </c>
      <c r="L136" s="86">
        <f>VLOOKUP($A136,'Data shares'!$C:$FA,96)</f>
        <v>-525</v>
      </c>
      <c r="M136" s="87">
        <f>VLOOKUP($A136,'Data shares'!$C:$FA,97)</f>
        <v>-2.0000000000000001E-4</v>
      </c>
      <c r="N136" s="86">
        <f>VLOOKUP($A136,'Data shares'!$C:$FA,78)</f>
        <v>13494075</v>
      </c>
      <c r="O136" s="87">
        <f>VLOOKUP($A136,'Data shares'!$C:$FA,81)</f>
        <v>-1.7299999999999999E-2</v>
      </c>
    </row>
    <row r="137" spans="1:15" x14ac:dyDescent="0.25">
      <c r="A137" s="100" t="str">
        <f>'Data Vlaue (Cr)'!C132</f>
        <v>MAZDOCK</v>
      </c>
      <c r="B137" s="82">
        <f>VLOOKUP(A137,'Data shares'!$C$2:$CV$220,98,0)</f>
        <v>11763400</v>
      </c>
      <c r="C137" s="82">
        <f>VLOOKUP(A137,'Data shares'!$C$2:$CX$220,100,0)</f>
        <v>752400</v>
      </c>
      <c r="D137" s="141">
        <f>VLOOKUP(A137,'Data shares'!$C$2:$CY$543,101,0)</f>
        <v>6.83E-2</v>
      </c>
      <c r="E137" s="86">
        <f>VLOOKUP($A137,'Data shares'!$C:$FA,74)</f>
        <v>5032000</v>
      </c>
      <c r="F137" s="86">
        <f>VLOOKUP($A137,'Data shares'!$C:$FA,76)</f>
        <v>201200</v>
      </c>
      <c r="G137" s="87">
        <f>VLOOKUP(A137,'Data shares'!$C$2:$CA$220,77,0)</f>
        <v>4.1599999999999998E-2</v>
      </c>
      <c r="H137" s="86">
        <f>VLOOKUP($A137,'Data shares'!$C:$FA,90)</f>
        <v>3737400</v>
      </c>
      <c r="I137" s="86">
        <f>VLOOKUP($A137,'Data shares'!$C:$FA,92)</f>
        <v>171200</v>
      </c>
      <c r="J137" s="87">
        <f>VLOOKUP($A137,'Data shares'!$C:$FA,93)</f>
        <v>4.8000000000000001E-2</v>
      </c>
      <c r="K137" s="86">
        <f>VLOOKUP($A137,'Data shares'!$C:$FA,94)</f>
        <v>2994000</v>
      </c>
      <c r="L137" s="86">
        <f>VLOOKUP($A137,'Data shares'!$C:$FA,96)</f>
        <v>380000</v>
      </c>
      <c r="M137" s="87">
        <f>VLOOKUP($A137,'Data shares'!$C:$FA,97)</f>
        <v>0.1454</v>
      </c>
      <c r="N137" s="86">
        <f>VLOOKUP($A137,'Data shares'!$C:$FA,78)</f>
        <v>4496800</v>
      </c>
      <c r="O137" s="87">
        <f>VLOOKUP($A137,'Data shares'!$C:$FA,81)</f>
        <v>2.1000000000000001E-2</v>
      </c>
    </row>
    <row r="138" spans="1:15" x14ac:dyDescent="0.25">
      <c r="A138" s="100" t="str">
        <f>'Data Vlaue (Cr)'!C133</f>
        <v>MCX</v>
      </c>
      <c r="B138" s="82">
        <f>VLOOKUP(A138,'Data shares'!$C$2:$CV$220,98,0)</f>
        <v>30113750</v>
      </c>
      <c r="C138" s="82">
        <f>VLOOKUP(A138,'Data shares'!$C$2:$CX$220,100,0)</f>
        <v>260000</v>
      </c>
      <c r="D138" s="141">
        <f>VLOOKUP(A138,'Data shares'!$C$2:$CY$543,101,0)</f>
        <v>8.6999999999999994E-3</v>
      </c>
      <c r="E138" s="86">
        <f>VLOOKUP($A138,'Data shares'!$C:$FA,74)</f>
        <v>13043125</v>
      </c>
      <c r="F138" s="86">
        <f>VLOOKUP($A138,'Data shares'!$C:$FA,76)</f>
        <v>-77500</v>
      </c>
      <c r="G138" s="87">
        <f>VLOOKUP(A138,'Data shares'!$C$2:$CA$220,77,0)</f>
        <v>-5.8999999999999999E-3</v>
      </c>
      <c r="H138" s="86">
        <f>VLOOKUP($A138,'Data shares'!$C:$FA,90)</f>
        <v>8927500</v>
      </c>
      <c r="I138" s="86">
        <f>VLOOKUP($A138,'Data shares'!$C:$FA,92)</f>
        <v>165625</v>
      </c>
      <c r="J138" s="87">
        <f>VLOOKUP($A138,'Data shares'!$C:$FA,93)</f>
        <v>1.89E-2</v>
      </c>
      <c r="K138" s="86">
        <f>VLOOKUP($A138,'Data shares'!$C:$FA,94)</f>
        <v>8143125</v>
      </c>
      <c r="L138" s="86">
        <f>VLOOKUP($A138,'Data shares'!$C:$FA,96)</f>
        <v>171875</v>
      </c>
      <c r="M138" s="87">
        <f>VLOOKUP($A138,'Data shares'!$C:$FA,97)</f>
        <v>2.1600000000000001E-2</v>
      </c>
      <c r="N138" s="86">
        <f>VLOOKUP($A138,'Data shares'!$C:$FA,78)</f>
        <v>12388750</v>
      </c>
      <c r="O138" s="87">
        <f>VLOOKUP($A138,'Data shares'!$C:$FA,81)</f>
        <v>-1.18E-2</v>
      </c>
    </row>
    <row r="139" spans="1:15" x14ac:dyDescent="0.25">
      <c r="A139" s="100" t="str">
        <f>'Data Vlaue (Cr)'!C134</f>
        <v>MFSL</v>
      </c>
      <c r="B139" s="82">
        <f>VLOOKUP(A139,'Data shares'!$C$2:$CV$220,98,0)</f>
        <v>10757200</v>
      </c>
      <c r="C139" s="82">
        <f>VLOOKUP(A139,'Data shares'!$C$2:$CX$220,100,0)</f>
        <v>-419600</v>
      </c>
      <c r="D139" s="141">
        <f>VLOOKUP(A139,'Data shares'!$C$2:$CY$543,101,0)</f>
        <v>-3.7499999999999999E-2</v>
      </c>
      <c r="E139" s="86">
        <f>VLOOKUP($A139,'Data shares'!$C:$FA,74)</f>
        <v>9111200</v>
      </c>
      <c r="F139" s="86">
        <f>VLOOKUP($A139,'Data shares'!$C:$FA,76)</f>
        <v>-446000</v>
      </c>
      <c r="G139" s="87">
        <f>VLOOKUP(A139,'Data shares'!$C$2:$CA$220,77,0)</f>
        <v>-4.6699999999999998E-2</v>
      </c>
      <c r="H139" s="86">
        <f>VLOOKUP($A139,'Data shares'!$C:$FA,90)</f>
        <v>1020800</v>
      </c>
      <c r="I139" s="86">
        <f>VLOOKUP($A139,'Data shares'!$C:$FA,92)</f>
        <v>15200</v>
      </c>
      <c r="J139" s="87">
        <f>VLOOKUP($A139,'Data shares'!$C:$FA,93)</f>
        <v>1.5100000000000001E-2</v>
      </c>
      <c r="K139" s="86">
        <f>VLOOKUP($A139,'Data shares'!$C:$FA,94)</f>
        <v>625200</v>
      </c>
      <c r="L139" s="86">
        <f>VLOOKUP($A139,'Data shares'!$C:$FA,96)</f>
        <v>11200</v>
      </c>
      <c r="M139" s="87">
        <f>VLOOKUP($A139,'Data shares'!$C:$FA,97)</f>
        <v>1.8200000000000001E-2</v>
      </c>
      <c r="N139" s="86">
        <f>VLOOKUP($A139,'Data shares'!$C:$FA,78)</f>
        <v>9058400</v>
      </c>
      <c r="O139" s="87">
        <f>VLOOKUP($A139,'Data shares'!$C:$FA,81)</f>
        <v>-4.8500000000000001E-2</v>
      </c>
    </row>
    <row r="140" spans="1:15" x14ac:dyDescent="0.25">
      <c r="A140" s="100" t="str">
        <f>'Data Vlaue (Cr)'!C135</f>
        <v>MIDCPNIFTY</v>
      </c>
      <c r="B140" s="82">
        <f>VLOOKUP(A140,'Data shares'!$C$2:$CV$220,98,0)</f>
        <v>15644160</v>
      </c>
      <c r="C140" s="82">
        <f>VLOOKUP(A140,'Data shares'!$C$2:$CX$220,100,0)</f>
        <v>-50520</v>
      </c>
      <c r="D140" s="141">
        <f>VLOOKUP(A140,'Data shares'!$C$2:$CY$543,101,0)</f>
        <v>-3.2000000000000002E-3</v>
      </c>
      <c r="E140" s="86">
        <f>VLOOKUP($A140,'Data shares'!$C:$FA,74)</f>
        <v>2439000</v>
      </c>
      <c r="F140" s="86">
        <f>VLOOKUP($A140,'Data shares'!$C:$FA,76)</f>
        <v>-71880</v>
      </c>
      <c r="G140" s="87">
        <f>VLOOKUP(A140,'Data shares'!$C$2:$CA$220,77,0)</f>
        <v>-2.86E-2</v>
      </c>
      <c r="H140" s="86">
        <f>VLOOKUP($A140,'Data shares'!$C:$FA,90)</f>
        <v>5916240</v>
      </c>
      <c r="I140" s="86">
        <f>VLOOKUP($A140,'Data shares'!$C:$FA,92)</f>
        <v>-38520</v>
      </c>
      <c r="J140" s="87">
        <f>VLOOKUP($A140,'Data shares'!$C:$FA,93)</f>
        <v>-6.4999999999999997E-3</v>
      </c>
      <c r="K140" s="86">
        <f>VLOOKUP($A140,'Data shares'!$C:$FA,94)</f>
        <v>7288920</v>
      </c>
      <c r="L140" s="86">
        <f>VLOOKUP($A140,'Data shares'!$C:$FA,96)</f>
        <v>59880</v>
      </c>
      <c r="M140" s="87">
        <f>VLOOKUP($A140,'Data shares'!$C:$FA,97)</f>
        <v>8.3000000000000001E-3</v>
      </c>
      <c r="N140" s="86">
        <f>VLOOKUP($A140,'Data shares'!$C:$FA,78)</f>
        <v>2289000</v>
      </c>
      <c r="O140" s="87">
        <f>VLOOKUP($A140,'Data shares'!$C:$FA,81)</f>
        <v>-3.8899999999999997E-2</v>
      </c>
    </row>
    <row r="141" spans="1:15" x14ac:dyDescent="0.25">
      <c r="A141" s="100" t="str">
        <f>'Data Vlaue (Cr)'!C136</f>
        <v>MOTHERSON</v>
      </c>
      <c r="B141" s="82">
        <f>VLOOKUP(A141,'Data shares'!$C$2:$CV$220,98,0)</f>
        <v>206467800</v>
      </c>
      <c r="C141" s="82">
        <f>VLOOKUP(A141,'Data shares'!$C$2:$CX$220,100,0)</f>
        <v>2103300</v>
      </c>
      <c r="D141" s="141">
        <f>VLOOKUP(A141,'Data shares'!$C$2:$CY$543,101,0)</f>
        <v>1.03E-2</v>
      </c>
      <c r="E141" s="86">
        <f>VLOOKUP($A141,'Data shares'!$C:$FA,74)</f>
        <v>130533750</v>
      </c>
      <c r="F141" s="86">
        <f>VLOOKUP($A141,'Data shares'!$C:$FA,76)</f>
        <v>-1309950</v>
      </c>
      <c r="G141" s="87">
        <f>VLOOKUP(A141,'Data shares'!$C$2:$CA$220,77,0)</f>
        <v>-9.9000000000000008E-3</v>
      </c>
      <c r="H141" s="86">
        <f>VLOOKUP($A141,'Data shares'!$C:$FA,90)</f>
        <v>39458400</v>
      </c>
      <c r="I141" s="86">
        <f>VLOOKUP($A141,'Data shares'!$C:$FA,92)</f>
        <v>996300</v>
      </c>
      <c r="J141" s="87">
        <f>VLOOKUP($A141,'Data shares'!$C:$FA,93)</f>
        <v>2.5899999999999999E-2</v>
      </c>
      <c r="K141" s="86">
        <f>VLOOKUP($A141,'Data shares'!$C:$FA,94)</f>
        <v>36475650</v>
      </c>
      <c r="L141" s="86">
        <f>VLOOKUP($A141,'Data shares'!$C:$FA,96)</f>
        <v>2416950</v>
      </c>
      <c r="M141" s="87">
        <f>VLOOKUP($A141,'Data shares'!$C:$FA,97)</f>
        <v>7.0999999999999994E-2</v>
      </c>
      <c r="N141" s="86">
        <f>VLOOKUP($A141,'Data shares'!$C:$FA,78)</f>
        <v>117403500</v>
      </c>
      <c r="O141" s="87">
        <f>VLOOKUP($A141,'Data shares'!$C:$FA,81)</f>
        <v>-2.1600000000000001E-2</v>
      </c>
    </row>
    <row r="142" spans="1:15" x14ac:dyDescent="0.25">
      <c r="A142" s="100" t="str">
        <f>'Data Vlaue (Cr)'!C137</f>
        <v>MOTILALOFS</v>
      </c>
      <c r="B142" s="82">
        <f>VLOOKUP(A142,'Data shares'!$C$2:$CV$220,98,0)</f>
        <v>6275175</v>
      </c>
      <c r="C142" s="82">
        <f>VLOOKUP(A142,'Data shares'!$C$2:$CX$220,100,0)</f>
        <v>597525</v>
      </c>
      <c r="D142" s="141">
        <f>VLOOKUP(A142,'Data shares'!$C$2:$CY$543,101,0)</f>
        <v>0.1052</v>
      </c>
      <c r="E142" s="86">
        <f>VLOOKUP($A142,'Data shares'!$C:$FA,74)</f>
        <v>2938800</v>
      </c>
      <c r="F142" s="86">
        <f>VLOOKUP($A142,'Data shares'!$C:$FA,76)</f>
        <v>74400</v>
      </c>
      <c r="G142" s="87">
        <f>VLOOKUP(A142,'Data shares'!$C$2:$CA$220,77,0)</f>
        <v>2.5999999999999999E-2</v>
      </c>
      <c r="H142" s="86">
        <f>VLOOKUP($A142,'Data shares'!$C:$FA,90)</f>
        <v>1937500</v>
      </c>
      <c r="I142" s="86">
        <f>VLOOKUP($A142,'Data shares'!$C:$FA,92)</f>
        <v>358825</v>
      </c>
      <c r="J142" s="87">
        <f>VLOOKUP($A142,'Data shares'!$C:$FA,93)</f>
        <v>0.2273</v>
      </c>
      <c r="K142" s="86">
        <f>VLOOKUP($A142,'Data shares'!$C:$FA,94)</f>
        <v>1398875</v>
      </c>
      <c r="L142" s="86">
        <f>VLOOKUP($A142,'Data shares'!$C:$FA,96)</f>
        <v>164300</v>
      </c>
      <c r="M142" s="87">
        <f>VLOOKUP($A142,'Data shares'!$C:$FA,97)</f>
        <v>0.1331</v>
      </c>
      <c r="N142" s="86">
        <f>VLOOKUP($A142,'Data shares'!$C:$FA,78)</f>
        <v>2764425</v>
      </c>
      <c r="O142" s="87">
        <f>VLOOKUP($A142,'Data shares'!$C:$FA,81)</f>
        <v>2.5000000000000001E-3</v>
      </c>
    </row>
    <row r="143" spans="1:15" x14ac:dyDescent="0.25">
      <c r="A143" s="100" t="str">
        <f>'Data Vlaue (Cr)'!C138</f>
        <v>MPHASIS</v>
      </c>
      <c r="B143" s="82">
        <f>VLOOKUP(A143,'Data shares'!$C$2:$CV$220,98,0)</f>
        <v>6776000</v>
      </c>
      <c r="C143" s="82">
        <f>VLOOKUP(A143,'Data shares'!$C$2:$CX$220,100,0)</f>
        <v>-53625</v>
      </c>
      <c r="D143" s="141">
        <f>VLOOKUP(A143,'Data shares'!$C$2:$CY$543,101,0)</f>
        <v>-7.9000000000000008E-3</v>
      </c>
      <c r="E143" s="86">
        <f>VLOOKUP($A143,'Data shares'!$C:$FA,74)</f>
        <v>4735775</v>
      </c>
      <c r="F143" s="86">
        <f>VLOOKUP($A143,'Data shares'!$C:$FA,76)</f>
        <v>17325</v>
      </c>
      <c r="G143" s="87">
        <f>VLOOKUP(A143,'Data shares'!$C$2:$CA$220,77,0)</f>
        <v>3.7000000000000002E-3</v>
      </c>
      <c r="H143" s="86">
        <f>VLOOKUP($A143,'Data shares'!$C:$FA,90)</f>
        <v>1162150</v>
      </c>
      <c r="I143" s="86">
        <f>VLOOKUP($A143,'Data shares'!$C:$FA,92)</f>
        <v>-25025</v>
      </c>
      <c r="J143" s="87">
        <f>VLOOKUP($A143,'Data shares'!$C:$FA,93)</f>
        <v>-2.1100000000000001E-2</v>
      </c>
      <c r="K143" s="86">
        <f>VLOOKUP($A143,'Data shares'!$C:$FA,94)</f>
        <v>878075</v>
      </c>
      <c r="L143" s="86">
        <f>VLOOKUP($A143,'Data shares'!$C:$FA,96)</f>
        <v>-45925</v>
      </c>
      <c r="M143" s="87">
        <f>VLOOKUP($A143,'Data shares'!$C:$FA,97)</f>
        <v>-4.9700000000000001E-2</v>
      </c>
      <c r="N143" s="86">
        <f>VLOOKUP($A143,'Data shares'!$C:$FA,78)</f>
        <v>4458300</v>
      </c>
      <c r="O143" s="87">
        <f>VLOOKUP($A143,'Data shares'!$C:$FA,81)</f>
        <v>1.2999999999999999E-3</v>
      </c>
    </row>
    <row r="144" spans="1:15" x14ac:dyDescent="0.25">
      <c r="A144" s="100" t="str">
        <f>'Data Vlaue (Cr)'!C139</f>
        <v>MUTHOOTFIN</v>
      </c>
      <c r="B144" s="82">
        <f>VLOOKUP(A144,'Data shares'!$C$2:$CV$220,98,0)</f>
        <v>7654350</v>
      </c>
      <c r="C144" s="82">
        <f>VLOOKUP(A144,'Data shares'!$C$2:$CX$220,100,0)</f>
        <v>-50600</v>
      </c>
      <c r="D144" s="141">
        <f>VLOOKUP(A144,'Data shares'!$C$2:$CY$543,101,0)</f>
        <v>-6.6E-3</v>
      </c>
      <c r="E144" s="86">
        <f>VLOOKUP($A144,'Data shares'!$C:$FA,74)</f>
        <v>3863475</v>
      </c>
      <c r="F144" s="86">
        <f>VLOOKUP($A144,'Data shares'!$C:$FA,76)</f>
        <v>-44000</v>
      </c>
      <c r="G144" s="87">
        <f>VLOOKUP(A144,'Data shares'!$C$2:$CA$220,77,0)</f>
        <v>-1.1299999999999999E-2</v>
      </c>
      <c r="H144" s="86">
        <f>VLOOKUP($A144,'Data shares'!$C:$FA,90)</f>
        <v>2406250</v>
      </c>
      <c r="I144" s="86">
        <f>VLOOKUP($A144,'Data shares'!$C:$FA,92)</f>
        <v>47300</v>
      </c>
      <c r="J144" s="87">
        <f>VLOOKUP($A144,'Data shares'!$C:$FA,93)</f>
        <v>2.01E-2</v>
      </c>
      <c r="K144" s="86">
        <f>VLOOKUP($A144,'Data shares'!$C:$FA,94)</f>
        <v>1384625</v>
      </c>
      <c r="L144" s="86">
        <f>VLOOKUP($A144,'Data shares'!$C:$FA,96)</f>
        <v>-53900</v>
      </c>
      <c r="M144" s="87">
        <f>VLOOKUP($A144,'Data shares'!$C:$FA,97)</f>
        <v>-3.7499999999999999E-2</v>
      </c>
      <c r="N144" s="86">
        <f>VLOOKUP($A144,'Data shares'!$C:$FA,78)</f>
        <v>3625050</v>
      </c>
      <c r="O144" s="87">
        <f>VLOOKUP($A144,'Data shares'!$C:$FA,81)</f>
        <v>-1.38E-2</v>
      </c>
    </row>
    <row r="145" spans="1:15" x14ac:dyDescent="0.25">
      <c r="A145" s="100" t="str">
        <f>'Data Vlaue (Cr)'!C140</f>
        <v>NAM-INDIA</v>
      </c>
      <c r="B145" s="82">
        <f>VLOOKUP(A145,'Data shares'!$C$2:$CV$220,98,0)</f>
        <v>4593125</v>
      </c>
      <c r="C145" s="82">
        <f>VLOOKUP(A145,'Data shares'!$C$2:$CX$220,100,0)</f>
        <v>148750</v>
      </c>
      <c r="D145" s="141">
        <f>VLOOKUP(A145,'Data shares'!$C$2:$CY$543,101,0)</f>
        <v>3.3500000000000002E-2</v>
      </c>
      <c r="E145" s="86">
        <f>VLOOKUP($A145,'Data shares'!$C:$FA,74)</f>
        <v>3328750</v>
      </c>
      <c r="F145" s="86">
        <f>VLOOKUP($A145,'Data shares'!$C:$FA,76)</f>
        <v>143750</v>
      </c>
      <c r="G145" s="87">
        <f>VLOOKUP(A145,'Data shares'!$C$2:$CA$220,77,0)</f>
        <v>4.5100000000000001E-2</v>
      </c>
      <c r="H145" s="86">
        <f>VLOOKUP($A145,'Data shares'!$C:$FA,90)</f>
        <v>764375</v>
      </c>
      <c r="I145" s="86">
        <f>VLOOKUP($A145,'Data shares'!$C:$FA,92)</f>
        <v>34375</v>
      </c>
      <c r="J145" s="87">
        <f>VLOOKUP($A145,'Data shares'!$C:$FA,93)</f>
        <v>4.7100000000000003E-2</v>
      </c>
      <c r="K145" s="86">
        <f>VLOOKUP($A145,'Data shares'!$C:$FA,94)</f>
        <v>500000</v>
      </c>
      <c r="L145" s="86">
        <f>VLOOKUP($A145,'Data shares'!$C:$FA,96)</f>
        <v>-29375</v>
      </c>
      <c r="M145" s="87">
        <f>VLOOKUP($A145,'Data shares'!$C:$FA,97)</f>
        <v>-5.5500000000000001E-2</v>
      </c>
      <c r="N145" s="86">
        <f>VLOOKUP($A145,'Data shares'!$C:$FA,78)</f>
        <v>2978125</v>
      </c>
      <c r="O145" s="87">
        <f>VLOOKUP($A145,'Data shares'!$C:$FA,81)</f>
        <v>2.2100000000000002E-2</v>
      </c>
    </row>
    <row r="146" spans="1:15" x14ac:dyDescent="0.25">
      <c r="A146" s="100" t="str">
        <f>'Data Vlaue (Cr)'!C141</f>
        <v>NATIONALUM</v>
      </c>
      <c r="B146" s="82">
        <f>VLOOKUP(A146,'Data shares'!$C$2:$CV$220,98,0)</f>
        <v>124342500</v>
      </c>
      <c r="C146" s="82">
        <f>VLOOKUP(A146,'Data shares'!$C$2:$CX$220,100,0)</f>
        <v>2077500</v>
      </c>
      <c r="D146" s="141">
        <f>VLOOKUP(A146,'Data shares'!$C$2:$CY$543,101,0)</f>
        <v>1.7000000000000001E-2</v>
      </c>
      <c r="E146" s="86">
        <f>VLOOKUP($A146,'Data shares'!$C:$FA,74)</f>
        <v>54956250</v>
      </c>
      <c r="F146" s="86">
        <f>VLOOKUP($A146,'Data shares'!$C:$FA,76)</f>
        <v>836250</v>
      </c>
      <c r="G146" s="87">
        <f>VLOOKUP(A146,'Data shares'!$C$2:$CA$220,77,0)</f>
        <v>1.55E-2</v>
      </c>
      <c r="H146" s="86">
        <f>VLOOKUP($A146,'Data shares'!$C:$FA,90)</f>
        <v>36273750</v>
      </c>
      <c r="I146" s="86">
        <f>VLOOKUP($A146,'Data shares'!$C:$FA,92)</f>
        <v>2175000</v>
      </c>
      <c r="J146" s="87">
        <f>VLOOKUP($A146,'Data shares'!$C:$FA,93)</f>
        <v>6.3799999999999996E-2</v>
      </c>
      <c r="K146" s="86">
        <f>VLOOKUP($A146,'Data shares'!$C:$FA,94)</f>
        <v>33112500</v>
      </c>
      <c r="L146" s="86">
        <f>VLOOKUP($A146,'Data shares'!$C:$FA,96)</f>
        <v>-933750</v>
      </c>
      <c r="M146" s="87">
        <f>VLOOKUP($A146,'Data shares'!$C:$FA,97)</f>
        <v>-2.7400000000000001E-2</v>
      </c>
      <c r="N146" s="86">
        <f>VLOOKUP($A146,'Data shares'!$C:$FA,78)</f>
        <v>50542500</v>
      </c>
      <c r="O146" s="87">
        <f>VLOOKUP($A146,'Data shares'!$C:$FA,81)</f>
        <v>-1.15E-2</v>
      </c>
    </row>
    <row r="147" spans="1:15" x14ac:dyDescent="0.25">
      <c r="A147" s="100" t="str">
        <f>'Data Vlaue (Cr)'!C142</f>
        <v>NAUKRI</v>
      </c>
      <c r="B147" s="82">
        <f>VLOOKUP(A147,'Data shares'!$C$2:$CV$220,98,0)</f>
        <v>15151125</v>
      </c>
      <c r="C147" s="82">
        <f>VLOOKUP(A147,'Data shares'!$C$2:$CX$220,100,0)</f>
        <v>733125</v>
      </c>
      <c r="D147" s="141">
        <f>VLOOKUP(A147,'Data shares'!$C$2:$CY$543,101,0)</f>
        <v>5.0799999999999998E-2</v>
      </c>
      <c r="E147" s="86">
        <f>VLOOKUP($A147,'Data shares'!$C:$FA,74)</f>
        <v>9804750</v>
      </c>
      <c r="F147" s="86">
        <f>VLOOKUP($A147,'Data shares'!$C:$FA,76)</f>
        <v>-156750</v>
      </c>
      <c r="G147" s="87">
        <f>VLOOKUP(A147,'Data shares'!$C$2:$CA$220,77,0)</f>
        <v>-1.5699999999999999E-2</v>
      </c>
      <c r="H147" s="86">
        <f>VLOOKUP($A147,'Data shares'!$C:$FA,90)</f>
        <v>3708375</v>
      </c>
      <c r="I147" s="86">
        <f>VLOOKUP($A147,'Data shares'!$C:$FA,92)</f>
        <v>598875</v>
      </c>
      <c r="J147" s="87">
        <f>VLOOKUP($A147,'Data shares'!$C:$FA,93)</f>
        <v>0.19259999999999999</v>
      </c>
      <c r="K147" s="86">
        <f>VLOOKUP($A147,'Data shares'!$C:$FA,94)</f>
        <v>1638000</v>
      </c>
      <c r="L147" s="86">
        <f>VLOOKUP($A147,'Data shares'!$C:$FA,96)</f>
        <v>291000</v>
      </c>
      <c r="M147" s="87">
        <f>VLOOKUP($A147,'Data shares'!$C:$FA,97)</f>
        <v>0.216</v>
      </c>
      <c r="N147" s="86">
        <f>VLOOKUP($A147,'Data shares'!$C:$FA,78)</f>
        <v>8822250</v>
      </c>
      <c r="O147" s="87">
        <f>VLOOKUP($A147,'Data shares'!$C:$FA,81)</f>
        <v>-9.4399999999999998E-2</v>
      </c>
    </row>
    <row r="148" spans="1:15" x14ac:dyDescent="0.25">
      <c r="A148" s="100" t="str">
        <f>'Data Vlaue (Cr)'!C143</f>
        <v>NBCC</v>
      </c>
      <c r="B148" s="82">
        <f>VLOOKUP(A148,'Data shares'!$C$2:$CV$220,98,0)</f>
        <v>113308000</v>
      </c>
      <c r="C148" s="82">
        <f>VLOOKUP(A148,'Data shares'!$C$2:$CX$220,100,0)</f>
        <v>630500</v>
      </c>
      <c r="D148" s="141">
        <f>VLOOKUP(A148,'Data shares'!$C$2:$CY$543,101,0)</f>
        <v>5.5999999999999999E-3</v>
      </c>
      <c r="E148" s="86">
        <f>VLOOKUP($A148,'Data shares'!$C:$FA,74)</f>
        <v>80255500</v>
      </c>
      <c r="F148" s="86">
        <f>VLOOKUP($A148,'Data shares'!$C:$FA,76)</f>
        <v>1085500</v>
      </c>
      <c r="G148" s="87">
        <f>VLOOKUP(A148,'Data shares'!$C$2:$CA$220,77,0)</f>
        <v>1.37E-2</v>
      </c>
      <c r="H148" s="86">
        <f>VLOOKUP($A148,'Data shares'!$C:$FA,90)</f>
        <v>19844500</v>
      </c>
      <c r="I148" s="86">
        <f>VLOOKUP($A148,'Data shares'!$C:$FA,92)</f>
        <v>-162500</v>
      </c>
      <c r="J148" s="87">
        <f>VLOOKUP($A148,'Data shares'!$C:$FA,93)</f>
        <v>-8.0999999999999996E-3</v>
      </c>
      <c r="K148" s="86">
        <f>VLOOKUP($A148,'Data shares'!$C:$FA,94)</f>
        <v>13208000</v>
      </c>
      <c r="L148" s="86">
        <f>VLOOKUP($A148,'Data shares'!$C:$FA,96)</f>
        <v>-292500</v>
      </c>
      <c r="M148" s="87">
        <f>VLOOKUP($A148,'Data shares'!$C:$FA,97)</f>
        <v>-2.1700000000000001E-2</v>
      </c>
      <c r="N148" s="86">
        <f>VLOOKUP($A148,'Data shares'!$C:$FA,78)</f>
        <v>72644000</v>
      </c>
      <c r="O148" s="87">
        <f>VLOOKUP($A148,'Data shares'!$C:$FA,81)</f>
        <v>-9.7999999999999997E-3</v>
      </c>
    </row>
    <row r="149" spans="1:15" x14ac:dyDescent="0.25">
      <c r="A149" s="100" t="str">
        <f>'Data Vlaue (Cr)'!C144</f>
        <v>NESTLEIND</v>
      </c>
      <c r="B149" s="82">
        <f>VLOOKUP(A149,'Data shares'!$C$2:$CV$220,98,0)</f>
        <v>26499500</v>
      </c>
      <c r="C149" s="82">
        <f>VLOOKUP(A149,'Data shares'!$C$2:$CX$220,100,0)</f>
        <v>1027000</v>
      </c>
      <c r="D149" s="141">
        <f>VLOOKUP(A149,'Data shares'!$C$2:$CY$543,101,0)</f>
        <v>4.0300000000000002E-2</v>
      </c>
      <c r="E149" s="86">
        <f>VLOOKUP($A149,'Data shares'!$C:$FA,74)</f>
        <v>18992000</v>
      </c>
      <c r="F149" s="86">
        <f>VLOOKUP($A149,'Data shares'!$C:$FA,76)</f>
        <v>54000</v>
      </c>
      <c r="G149" s="87">
        <f>VLOOKUP(A149,'Data shares'!$C$2:$CA$220,77,0)</f>
        <v>2.8999999999999998E-3</v>
      </c>
      <c r="H149" s="86">
        <f>VLOOKUP($A149,'Data shares'!$C:$FA,90)</f>
        <v>4878000</v>
      </c>
      <c r="I149" s="86">
        <f>VLOOKUP($A149,'Data shares'!$C:$FA,92)</f>
        <v>694500</v>
      </c>
      <c r="J149" s="87">
        <f>VLOOKUP($A149,'Data shares'!$C:$FA,93)</f>
        <v>0.16600000000000001</v>
      </c>
      <c r="K149" s="86">
        <f>VLOOKUP($A149,'Data shares'!$C:$FA,94)</f>
        <v>2629500</v>
      </c>
      <c r="L149" s="86">
        <f>VLOOKUP($A149,'Data shares'!$C:$FA,96)</f>
        <v>278500</v>
      </c>
      <c r="M149" s="87">
        <f>VLOOKUP($A149,'Data shares'!$C:$FA,97)</f>
        <v>0.11849999999999999</v>
      </c>
      <c r="N149" s="86">
        <f>VLOOKUP($A149,'Data shares'!$C:$FA,78)</f>
        <v>17656000</v>
      </c>
      <c r="O149" s="87">
        <f>VLOOKUP($A149,'Data shares'!$C:$FA,81)</f>
        <v>1.8E-3</v>
      </c>
    </row>
    <row r="150" spans="1:15" x14ac:dyDescent="0.25">
      <c r="A150" s="100" t="str">
        <f>'Data Vlaue (Cr)'!C145</f>
        <v>NHPC</v>
      </c>
      <c r="B150" s="82">
        <f>VLOOKUP(A150,'Data shares'!$C$2:$CV$220,98,0)</f>
        <v>153049600</v>
      </c>
      <c r="C150" s="82">
        <f>VLOOKUP(A150,'Data shares'!$C$2:$CX$220,100,0)</f>
        <v>-281600</v>
      </c>
      <c r="D150" s="141">
        <f>VLOOKUP(A150,'Data shares'!$C$2:$CY$543,101,0)</f>
        <v>-1.8E-3</v>
      </c>
      <c r="E150" s="86">
        <f>VLOOKUP($A150,'Data shares'!$C:$FA,74)</f>
        <v>87091200</v>
      </c>
      <c r="F150" s="86">
        <f>VLOOKUP($A150,'Data shares'!$C:$FA,76)</f>
        <v>1811200</v>
      </c>
      <c r="G150" s="87">
        <f>VLOOKUP(A150,'Data shares'!$C$2:$CA$220,77,0)</f>
        <v>2.12E-2</v>
      </c>
      <c r="H150" s="86">
        <f>VLOOKUP($A150,'Data shares'!$C:$FA,90)</f>
        <v>35776000</v>
      </c>
      <c r="I150" s="86">
        <f>VLOOKUP($A150,'Data shares'!$C:$FA,92)</f>
        <v>-1952000</v>
      </c>
      <c r="J150" s="87">
        <f>VLOOKUP($A150,'Data shares'!$C:$FA,93)</f>
        <v>-5.1700000000000003E-2</v>
      </c>
      <c r="K150" s="86">
        <f>VLOOKUP($A150,'Data shares'!$C:$FA,94)</f>
        <v>30182400</v>
      </c>
      <c r="L150" s="86">
        <f>VLOOKUP($A150,'Data shares'!$C:$FA,96)</f>
        <v>-140800</v>
      </c>
      <c r="M150" s="87">
        <f>VLOOKUP($A150,'Data shares'!$C:$FA,97)</f>
        <v>-4.5999999999999999E-3</v>
      </c>
      <c r="N150" s="86">
        <f>VLOOKUP($A150,'Data shares'!$C:$FA,78)</f>
        <v>79488000</v>
      </c>
      <c r="O150" s="87">
        <f>VLOOKUP($A150,'Data shares'!$C:$FA,81)</f>
        <v>-2.5000000000000001E-3</v>
      </c>
    </row>
    <row r="151" spans="1:15" x14ac:dyDescent="0.25">
      <c r="A151" s="100" t="str">
        <f>'Data Vlaue (Cr)'!C146</f>
        <v>NIFTY</v>
      </c>
      <c r="B151" s="82">
        <f>VLOOKUP(A151,'Data shares'!$C$2:$CV$220,98,0)</f>
        <v>520518060</v>
      </c>
      <c r="C151" s="82">
        <f>VLOOKUP(A151,'Data shares'!$C$2:$CX$220,100,0)</f>
        <v>1643940</v>
      </c>
      <c r="D151" s="141">
        <f>VLOOKUP(A151,'Data shares'!$C$2:$CY$543,101,0)</f>
        <v>3.2000000000000002E-3</v>
      </c>
      <c r="E151" s="86">
        <f>VLOOKUP($A151,'Data shares'!$C:$FA,74)</f>
        <v>20196280</v>
      </c>
      <c r="F151" s="86">
        <f>VLOOKUP($A151,'Data shares'!$C:$FA,76)</f>
        <v>-347815</v>
      </c>
      <c r="G151" s="87">
        <f>VLOOKUP(A151,'Data shares'!$C$2:$CA$220,77,0)</f>
        <v>-1.6899999999999998E-2</v>
      </c>
      <c r="H151" s="86">
        <f>VLOOKUP($A151,'Data shares'!$C:$FA,90)</f>
        <v>234479125</v>
      </c>
      <c r="I151" s="86">
        <f>VLOOKUP($A151,'Data shares'!$C:$FA,92)</f>
        <v>-3414370</v>
      </c>
      <c r="J151" s="87">
        <f>VLOOKUP($A151,'Data shares'!$C:$FA,93)</f>
        <v>-1.44E-2</v>
      </c>
      <c r="K151" s="86">
        <f>VLOOKUP($A151,'Data shares'!$C:$FA,94)</f>
        <v>265842655</v>
      </c>
      <c r="L151" s="86">
        <f>VLOOKUP($A151,'Data shares'!$C:$FA,96)</f>
        <v>5406125</v>
      </c>
      <c r="M151" s="87">
        <f>VLOOKUP($A151,'Data shares'!$C:$FA,97)</f>
        <v>2.0799999999999999E-2</v>
      </c>
      <c r="N151" s="86">
        <f>VLOOKUP($A151,'Data shares'!$C:$FA,78)</f>
        <v>16736265</v>
      </c>
      <c r="O151" s="87">
        <f>VLOOKUP($A151,'Data shares'!$C:$FA,81)</f>
        <v>-2.7099999999999999E-2</v>
      </c>
    </row>
    <row r="152" spans="1:15" x14ac:dyDescent="0.25">
      <c r="A152" s="100" t="str">
        <f>'Data Vlaue (Cr)'!C147</f>
        <v>NIFTYNXT50</v>
      </c>
      <c r="B152" s="82">
        <f>VLOOKUP(A152,'Data shares'!$C$2:$CV$220,98,0)</f>
        <v>41125</v>
      </c>
      <c r="C152" s="82">
        <f>VLOOKUP(A152,'Data shares'!$C$2:$CX$220,100,0)</f>
        <v>1800</v>
      </c>
      <c r="D152" s="141">
        <f>VLOOKUP(A152,'Data shares'!$C$2:$CY$543,101,0)</f>
        <v>4.58E-2</v>
      </c>
      <c r="E152" s="86">
        <f>VLOOKUP($A152,'Data shares'!$C:$FA,74)</f>
        <v>22100</v>
      </c>
      <c r="F152" s="86">
        <f>VLOOKUP($A152,'Data shares'!$C:$FA,76)</f>
        <v>1325</v>
      </c>
      <c r="G152" s="87">
        <f>VLOOKUP(A152,'Data shares'!$C$2:$CA$220,77,0)</f>
        <v>6.3799999999999996E-2</v>
      </c>
      <c r="H152" s="86">
        <f>VLOOKUP($A152,'Data shares'!$C:$FA,90)</f>
        <v>13650</v>
      </c>
      <c r="I152" s="86">
        <f>VLOOKUP($A152,'Data shares'!$C:$FA,92)</f>
        <v>0</v>
      </c>
      <c r="J152" s="87">
        <f>VLOOKUP($A152,'Data shares'!$C:$FA,93)</f>
        <v>0</v>
      </c>
      <c r="K152" s="86">
        <f>VLOOKUP($A152,'Data shares'!$C:$FA,94)</f>
        <v>5375</v>
      </c>
      <c r="L152" s="86">
        <f>VLOOKUP($A152,'Data shares'!$C:$FA,96)</f>
        <v>475</v>
      </c>
      <c r="M152" s="87">
        <f>VLOOKUP($A152,'Data shares'!$C:$FA,97)</f>
        <v>9.69E-2</v>
      </c>
      <c r="N152" s="86">
        <f>VLOOKUP($A152,'Data shares'!$C:$FA,78)</f>
        <v>19050</v>
      </c>
      <c r="O152" s="87">
        <f>VLOOKUP($A152,'Data shares'!$C:$FA,81)</f>
        <v>2.7E-2</v>
      </c>
    </row>
    <row r="153" spans="1:15" x14ac:dyDescent="0.25">
      <c r="A153" s="100" t="str">
        <f>'Data Vlaue (Cr)'!C148</f>
        <v>NMDC</v>
      </c>
      <c r="B153" s="82">
        <f>VLOOKUP(A153,'Data shares'!$C$2:$CV$220,98,0)</f>
        <v>455314500</v>
      </c>
      <c r="C153" s="82">
        <f>VLOOKUP(A153,'Data shares'!$C$2:$CX$220,100,0)</f>
        <v>-6257250</v>
      </c>
      <c r="D153" s="141">
        <f>VLOOKUP(A153,'Data shares'!$C$2:$CY$543,101,0)</f>
        <v>-1.3599999999999999E-2</v>
      </c>
      <c r="E153" s="86">
        <f>VLOOKUP($A153,'Data shares'!$C:$FA,74)</f>
        <v>321441750</v>
      </c>
      <c r="F153" s="86">
        <f>VLOOKUP($A153,'Data shares'!$C:$FA,76)</f>
        <v>-5015250</v>
      </c>
      <c r="G153" s="87">
        <f>VLOOKUP(A153,'Data shares'!$C$2:$CA$220,77,0)</f>
        <v>-1.54E-2</v>
      </c>
      <c r="H153" s="86">
        <f>VLOOKUP($A153,'Data shares'!$C:$FA,90)</f>
        <v>81189000</v>
      </c>
      <c r="I153" s="86">
        <f>VLOOKUP($A153,'Data shares'!$C:$FA,92)</f>
        <v>1073250</v>
      </c>
      <c r="J153" s="87">
        <f>VLOOKUP($A153,'Data shares'!$C:$FA,93)</f>
        <v>1.34E-2</v>
      </c>
      <c r="K153" s="86">
        <f>VLOOKUP($A153,'Data shares'!$C:$FA,94)</f>
        <v>52683750</v>
      </c>
      <c r="L153" s="86">
        <f>VLOOKUP($A153,'Data shares'!$C:$FA,96)</f>
        <v>-2315250</v>
      </c>
      <c r="M153" s="87">
        <f>VLOOKUP($A153,'Data shares'!$C:$FA,97)</f>
        <v>-4.2099999999999999E-2</v>
      </c>
      <c r="N153" s="86">
        <f>VLOOKUP($A153,'Data shares'!$C:$FA,78)</f>
        <v>297864000</v>
      </c>
      <c r="O153" s="87">
        <f>VLOOKUP($A153,'Data shares'!$C:$FA,81)</f>
        <v>-2.87E-2</v>
      </c>
    </row>
    <row r="154" spans="1:15" x14ac:dyDescent="0.25">
      <c r="A154" s="100" t="str">
        <f>'Data Vlaue (Cr)'!C149</f>
        <v>NTPC</v>
      </c>
      <c r="B154" s="82">
        <f>VLOOKUP(A154,'Data shares'!$C$2:$CV$220,98,0)</f>
        <v>209124000</v>
      </c>
      <c r="C154" s="82">
        <f>VLOOKUP(A154,'Data shares'!$C$2:$CX$220,100,0)</f>
        <v>20419500</v>
      </c>
      <c r="D154" s="141">
        <f>VLOOKUP(A154,'Data shares'!$C$2:$CY$543,101,0)</f>
        <v>0.1082</v>
      </c>
      <c r="E154" s="86">
        <f>VLOOKUP($A154,'Data shares'!$C:$FA,74)</f>
        <v>104403000</v>
      </c>
      <c r="F154" s="86">
        <f>VLOOKUP($A154,'Data shares'!$C:$FA,76)</f>
        <v>6367500</v>
      </c>
      <c r="G154" s="87">
        <f>VLOOKUP(A154,'Data shares'!$C$2:$CA$220,77,0)</f>
        <v>6.5000000000000002E-2</v>
      </c>
      <c r="H154" s="86">
        <f>VLOOKUP($A154,'Data shares'!$C:$FA,90)</f>
        <v>68433000</v>
      </c>
      <c r="I154" s="86">
        <f>VLOOKUP($A154,'Data shares'!$C:$FA,92)</f>
        <v>9091500</v>
      </c>
      <c r="J154" s="87">
        <f>VLOOKUP($A154,'Data shares'!$C:$FA,93)</f>
        <v>0.1532</v>
      </c>
      <c r="K154" s="86">
        <f>VLOOKUP($A154,'Data shares'!$C:$FA,94)</f>
        <v>36288000</v>
      </c>
      <c r="L154" s="86">
        <f>VLOOKUP($A154,'Data shares'!$C:$FA,96)</f>
        <v>4960500</v>
      </c>
      <c r="M154" s="87">
        <f>VLOOKUP($A154,'Data shares'!$C:$FA,97)</f>
        <v>0.1583</v>
      </c>
      <c r="N154" s="86">
        <f>VLOOKUP($A154,'Data shares'!$C:$FA,78)</f>
        <v>86224500</v>
      </c>
      <c r="O154" s="87">
        <f>VLOOKUP($A154,'Data shares'!$C:$FA,81)</f>
        <v>4.36E-2</v>
      </c>
    </row>
    <row r="155" spans="1:15" x14ac:dyDescent="0.25">
      <c r="A155" s="100" t="str">
        <f>'Data Vlaue (Cr)'!C150</f>
        <v>NUVAMA</v>
      </c>
      <c r="B155" s="82">
        <f>VLOOKUP(A155,'Data shares'!$C$2:$CV$220,98,0)</f>
        <v>3842000</v>
      </c>
      <c r="C155" s="82">
        <f>VLOOKUP(A155,'Data shares'!$C$2:$CX$220,100,0)</f>
        <v>24500</v>
      </c>
      <c r="D155" s="141">
        <f>VLOOKUP(A155,'Data shares'!$C$2:$CY$543,101,0)</f>
        <v>6.4000000000000003E-3</v>
      </c>
      <c r="E155" s="86">
        <f>VLOOKUP($A155,'Data shares'!$C:$FA,74)</f>
        <v>2026000</v>
      </c>
      <c r="F155" s="86">
        <f>VLOOKUP($A155,'Data shares'!$C:$FA,76)</f>
        <v>-12000</v>
      </c>
      <c r="G155" s="87">
        <f>VLOOKUP(A155,'Data shares'!$C$2:$CA$220,77,0)</f>
        <v>-5.8999999999999999E-3</v>
      </c>
      <c r="H155" s="86">
        <f>VLOOKUP($A155,'Data shares'!$C:$FA,90)</f>
        <v>1010500</v>
      </c>
      <c r="I155" s="86">
        <f>VLOOKUP($A155,'Data shares'!$C:$FA,92)</f>
        <v>46500</v>
      </c>
      <c r="J155" s="87">
        <f>VLOOKUP($A155,'Data shares'!$C:$FA,93)</f>
        <v>4.82E-2</v>
      </c>
      <c r="K155" s="86">
        <f>VLOOKUP($A155,'Data shares'!$C:$FA,94)</f>
        <v>805500</v>
      </c>
      <c r="L155" s="86">
        <f>VLOOKUP($A155,'Data shares'!$C:$FA,96)</f>
        <v>-10000</v>
      </c>
      <c r="M155" s="87">
        <f>VLOOKUP($A155,'Data shares'!$C:$FA,97)</f>
        <v>-1.23E-2</v>
      </c>
      <c r="N155" s="86">
        <f>VLOOKUP($A155,'Data shares'!$C:$FA,78)</f>
        <v>1833500</v>
      </c>
      <c r="O155" s="87">
        <f>VLOOKUP($A155,'Data shares'!$C:$FA,81)</f>
        <v>-2.3400000000000001E-2</v>
      </c>
    </row>
    <row r="156" spans="1:15" x14ac:dyDescent="0.25">
      <c r="A156" s="100" t="str">
        <f>'Data Vlaue (Cr)'!C151</f>
        <v>NYKAA</v>
      </c>
      <c r="B156" s="82">
        <f>VLOOKUP(A156,'Data shares'!$C$2:$CV$220,98,0)</f>
        <v>61637500</v>
      </c>
      <c r="C156" s="82">
        <f>VLOOKUP(A156,'Data shares'!$C$2:$CX$220,100,0)</f>
        <v>3006250</v>
      </c>
      <c r="D156" s="141">
        <f>VLOOKUP(A156,'Data shares'!$C$2:$CY$543,101,0)</f>
        <v>5.1299999999999998E-2</v>
      </c>
      <c r="E156" s="86">
        <f>VLOOKUP($A156,'Data shares'!$C:$FA,74)</f>
        <v>45584375</v>
      </c>
      <c r="F156" s="86">
        <f>VLOOKUP($A156,'Data shares'!$C:$FA,76)</f>
        <v>25000</v>
      </c>
      <c r="G156" s="87">
        <f>VLOOKUP(A156,'Data shares'!$C$2:$CA$220,77,0)</f>
        <v>5.0000000000000001E-4</v>
      </c>
      <c r="H156" s="86">
        <f>VLOOKUP($A156,'Data shares'!$C:$FA,90)</f>
        <v>11025000</v>
      </c>
      <c r="I156" s="86">
        <f>VLOOKUP($A156,'Data shares'!$C:$FA,92)</f>
        <v>3362500</v>
      </c>
      <c r="J156" s="87">
        <f>VLOOKUP($A156,'Data shares'!$C:$FA,93)</f>
        <v>0.43880000000000002</v>
      </c>
      <c r="K156" s="86">
        <f>VLOOKUP($A156,'Data shares'!$C:$FA,94)</f>
        <v>5028125</v>
      </c>
      <c r="L156" s="86">
        <f>VLOOKUP($A156,'Data shares'!$C:$FA,96)</f>
        <v>-381250</v>
      </c>
      <c r="M156" s="87">
        <f>VLOOKUP($A156,'Data shares'!$C:$FA,97)</f>
        <v>-7.0499999999999993E-2</v>
      </c>
      <c r="N156" s="86">
        <f>VLOOKUP($A156,'Data shares'!$C:$FA,78)</f>
        <v>43962500</v>
      </c>
      <c r="O156" s="87">
        <f>VLOOKUP($A156,'Data shares'!$C:$FA,81)</f>
        <v>-7.7000000000000002E-3</v>
      </c>
    </row>
    <row r="157" spans="1:15" x14ac:dyDescent="0.25">
      <c r="A157" s="100" t="str">
        <f>'Data Vlaue (Cr)'!C152</f>
        <v>OBEROIRLTY</v>
      </c>
      <c r="B157" s="82">
        <f>VLOOKUP(A157,'Data shares'!$C$2:$CV$220,98,0)</f>
        <v>12092500</v>
      </c>
      <c r="C157" s="82">
        <f>VLOOKUP(A157,'Data shares'!$C$2:$CX$220,100,0)</f>
        <v>-163100</v>
      </c>
      <c r="D157" s="141">
        <f>VLOOKUP(A157,'Data shares'!$C$2:$CY$543,101,0)</f>
        <v>-1.3299999999999999E-2</v>
      </c>
      <c r="E157" s="86">
        <f>VLOOKUP($A157,'Data shares'!$C:$FA,74)</f>
        <v>9753100</v>
      </c>
      <c r="F157" s="86">
        <f>VLOOKUP($A157,'Data shares'!$C:$FA,76)</f>
        <v>-208250</v>
      </c>
      <c r="G157" s="87">
        <f>VLOOKUP(A157,'Data shares'!$C$2:$CA$220,77,0)</f>
        <v>-2.0899999999999998E-2</v>
      </c>
      <c r="H157" s="86">
        <f>VLOOKUP($A157,'Data shares'!$C:$FA,90)</f>
        <v>1206100</v>
      </c>
      <c r="I157" s="86">
        <f>VLOOKUP($A157,'Data shares'!$C:$FA,92)</f>
        <v>17150</v>
      </c>
      <c r="J157" s="87">
        <f>VLOOKUP($A157,'Data shares'!$C:$FA,93)</f>
        <v>1.44E-2</v>
      </c>
      <c r="K157" s="86">
        <f>VLOOKUP($A157,'Data shares'!$C:$FA,94)</f>
        <v>1133300</v>
      </c>
      <c r="L157" s="86">
        <f>VLOOKUP($A157,'Data shares'!$C:$FA,96)</f>
        <v>28000</v>
      </c>
      <c r="M157" s="87">
        <f>VLOOKUP($A157,'Data shares'!$C:$FA,97)</f>
        <v>2.53E-2</v>
      </c>
      <c r="N157" s="86">
        <f>VLOOKUP($A157,'Data shares'!$C:$FA,78)</f>
        <v>8491700</v>
      </c>
      <c r="O157" s="87">
        <f>VLOOKUP($A157,'Data shares'!$C:$FA,81)</f>
        <v>-2.46E-2</v>
      </c>
    </row>
    <row r="158" spans="1:15" x14ac:dyDescent="0.25">
      <c r="A158" s="100" t="str">
        <f>'Data Vlaue (Cr)'!C153</f>
        <v>OFSS</v>
      </c>
      <c r="B158" s="82">
        <f>VLOOKUP(A158,'Data shares'!$C$2:$CV$220,98,0)</f>
        <v>2753175</v>
      </c>
      <c r="C158" s="82">
        <f>VLOOKUP(A158,'Data shares'!$C$2:$CX$220,100,0)</f>
        <v>186450</v>
      </c>
      <c r="D158" s="141">
        <f>VLOOKUP(A158,'Data shares'!$C$2:$CY$543,101,0)</f>
        <v>7.2599999999999998E-2</v>
      </c>
      <c r="E158" s="86">
        <f>VLOOKUP($A158,'Data shares'!$C:$FA,74)</f>
        <v>1541550</v>
      </c>
      <c r="F158" s="86">
        <f>VLOOKUP($A158,'Data shares'!$C:$FA,76)</f>
        <v>105825</v>
      </c>
      <c r="G158" s="87">
        <f>VLOOKUP(A158,'Data shares'!$C$2:$CA$220,77,0)</f>
        <v>7.3700000000000002E-2</v>
      </c>
      <c r="H158" s="86">
        <f>VLOOKUP($A158,'Data shares'!$C:$FA,90)</f>
        <v>597750</v>
      </c>
      <c r="I158" s="86">
        <f>VLOOKUP($A158,'Data shares'!$C:$FA,92)</f>
        <v>66675</v>
      </c>
      <c r="J158" s="87">
        <f>VLOOKUP($A158,'Data shares'!$C:$FA,93)</f>
        <v>0.1255</v>
      </c>
      <c r="K158" s="86">
        <f>VLOOKUP($A158,'Data shares'!$C:$FA,94)</f>
        <v>613875</v>
      </c>
      <c r="L158" s="86">
        <f>VLOOKUP($A158,'Data shares'!$C:$FA,96)</f>
        <v>13950</v>
      </c>
      <c r="M158" s="87">
        <f>VLOOKUP($A158,'Data shares'!$C:$FA,97)</f>
        <v>2.3300000000000001E-2</v>
      </c>
      <c r="N158" s="86">
        <f>VLOOKUP($A158,'Data shares'!$C:$FA,78)</f>
        <v>1420500</v>
      </c>
      <c r="O158" s="87">
        <f>VLOOKUP($A158,'Data shares'!$C:$FA,81)</f>
        <v>5.5100000000000003E-2</v>
      </c>
    </row>
    <row r="159" spans="1:15" x14ac:dyDescent="0.25">
      <c r="A159" s="100" t="str">
        <f>'Data Vlaue (Cr)'!C154</f>
        <v>OIL</v>
      </c>
      <c r="B159" s="82">
        <f>VLOOKUP(A159,'Data shares'!$C$2:$CV$220,98,0)</f>
        <v>35393400</v>
      </c>
      <c r="C159" s="82">
        <f>VLOOKUP(A159,'Data shares'!$C$2:$CX$220,100,0)</f>
        <v>-2136400</v>
      </c>
      <c r="D159" s="141">
        <f>VLOOKUP(A159,'Data shares'!$C$2:$CY$543,101,0)</f>
        <v>-5.6899999999999999E-2</v>
      </c>
      <c r="E159" s="86">
        <f>VLOOKUP($A159,'Data shares'!$C:$FA,74)</f>
        <v>20356000</v>
      </c>
      <c r="F159" s="86">
        <f>VLOOKUP($A159,'Data shares'!$C:$FA,76)</f>
        <v>-1106000</v>
      </c>
      <c r="G159" s="87">
        <f>VLOOKUP(A159,'Data shares'!$C$2:$CA$220,77,0)</f>
        <v>-5.1499999999999997E-2</v>
      </c>
      <c r="H159" s="86">
        <f>VLOOKUP($A159,'Data shares'!$C:$FA,90)</f>
        <v>10378200</v>
      </c>
      <c r="I159" s="86">
        <f>VLOOKUP($A159,'Data shares'!$C:$FA,92)</f>
        <v>-800800</v>
      </c>
      <c r="J159" s="87">
        <f>VLOOKUP($A159,'Data shares'!$C:$FA,93)</f>
        <v>-7.1599999999999997E-2</v>
      </c>
      <c r="K159" s="86">
        <f>VLOOKUP($A159,'Data shares'!$C:$FA,94)</f>
        <v>4659200</v>
      </c>
      <c r="L159" s="86">
        <f>VLOOKUP($A159,'Data shares'!$C:$FA,96)</f>
        <v>-229600</v>
      </c>
      <c r="M159" s="87">
        <f>VLOOKUP($A159,'Data shares'!$C:$FA,97)</f>
        <v>-4.7E-2</v>
      </c>
      <c r="N159" s="86">
        <f>VLOOKUP($A159,'Data shares'!$C:$FA,78)</f>
        <v>19202400</v>
      </c>
      <c r="O159" s="87">
        <f>VLOOKUP($A159,'Data shares'!$C:$FA,81)</f>
        <v>-0.06</v>
      </c>
    </row>
    <row r="160" spans="1:15" x14ac:dyDescent="0.25">
      <c r="A160" s="100" t="str">
        <f>'Data Vlaue (Cr)'!C155</f>
        <v>ONGC</v>
      </c>
      <c r="B160" s="82">
        <f>VLOOKUP(A160,'Data shares'!$C$2:$CV$220,98,0)</f>
        <v>229290750</v>
      </c>
      <c r="C160" s="82">
        <f>VLOOKUP(A160,'Data shares'!$C$2:$CX$220,100,0)</f>
        <v>-585000</v>
      </c>
      <c r="D160" s="141">
        <f>VLOOKUP(A160,'Data shares'!$C$2:$CY$543,101,0)</f>
        <v>-2.5000000000000001E-3</v>
      </c>
      <c r="E160" s="86">
        <f>VLOOKUP($A160,'Data shares'!$C:$FA,74)</f>
        <v>98196750</v>
      </c>
      <c r="F160" s="86">
        <f>VLOOKUP($A160,'Data shares'!$C:$FA,76)</f>
        <v>1669500</v>
      </c>
      <c r="G160" s="87">
        <f>VLOOKUP(A160,'Data shares'!$C$2:$CA$220,77,0)</f>
        <v>1.7299999999999999E-2</v>
      </c>
      <c r="H160" s="86">
        <f>VLOOKUP($A160,'Data shares'!$C:$FA,90)</f>
        <v>95305500</v>
      </c>
      <c r="I160" s="86">
        <f>VLOOKUP($A160,'Data shares'!$C:$FA,92)</f>
        <v>-1860750</v>
      </c>
      <c r="J160" s="87">
        <f>VLOOKUP($A160,'Data shares'!$C:$FA,93)</f>
        <v>-1.9199999999999998E-2</v>
      </c>
      <c r="K160" s="86">
        <f>VLOOKUP($A160,'Data shares'!$C:$FA,94)</f>
        <v>35788500</v>
      </c>
      <c r="L160" s="86">
        <f>VLOOKUP($A160,'Data shares'!$C:$FA,96)</f>
        <v>-393750</v>
      </c>
      <c r="M160" s="87">
        <f>VLOOKUP($A160,'Data shares'!$C:$FA,97)</f>
        <v>-1.09E-2</v>
      </c>
      <c r="N160" s="86">
        <f>VLOOKUP($A160,'Data shares'!$C:$FA,78)</f>
        <v>86658750</v>
      </c>
      <c r="O160" s="87">
        <f>VLOOKUP($A160,'Data shares'!$C:$FA,81)</f>
        <v>3.2000000000000002E-3</v>
      </c>
    </row>
    <row r="161" spans="1:15" x14ac:dyDescent="0.25">
      <c r="A161" s="100" t="str">
        <f>'Data Vlaue (Cr)'!C156</f>
        <v>PAGEIND</v>
      </c>
      <c r="B161" s="82">
        <f>VLOOKUP(A161,'Data shares'!$C$2:$CV$220,98,0)</f>
        <v>507165</v>
      </c>
      <c r="C161" s="82">
        <f>VLOOKUP(A161,'Data shares'!$C$2:$CX$220,100,0)</f>
        <v>3840</v>
      </c>
      <c r="D161" s="141">
        <f>VLOOKUP(A161,'Data shares'!$C$2:$CY$543,101,0)</f>
        <v>7.6E-3</v>
      </c>
      <c r="E161" s="86">
        <f>VLOOKUP($A161,'Data shares'!$C:$FA,74)</f>
        <v>361005</v>
      </c>
      <c r="F161" s="86">
        <f>VLOOKUP($A161,'Data shares'!$C:$FA,76)</f>
        <v>-885</v>
      </c>
      <c r="G161" s="87">
        <f>VLOOKUP(A161,'Data shares'!$C$2:$CA$220,77,0)</f>
        <v>-2.3999999999999998E-3</v>
      </c>
      <c r="H161" s="86">
        <f>VLOOKUP($A161,'Data shares'!$C:$FA,90)</f>
        <v>64680</v>
      </c>
      <c r="I161" s="86">
        <f>VLOOKUP($A161,'Data shares'!$C:$FA,92)</f>
        <v>-2940</v>
      </c>
      <c r="J161" s="87">
        <f>VLOOKUP($A161,'Data shares'!$C:$FA,93)</f>
        <v>-4.3499999999999997E-2</v>
      </c>
      <c r="K161" s="86">
        <f>VLOOKUP($A161,'Data shares'!$C:$FA,94)</f>
        <v>81480</v>
      </c>
      <c r="L161" s="86">
        <f>VLOOKUP($A161,'Data shares'!$C:$FA,96)</f>
        <v>7665</v>
      </c>
      <c r="M161" s="87">
        <f>VLOOKUP($A161,'Data shares'!$C:$FA,97)</f>
        <v>0.1038</v>
      </c>
      <c r="N161" s="86">
        <f>VLOOKUP($A161,'Data shares'!$C:$FA,78)</f>
        <v>345045</v>
      </c>
      <c r="O161" s="87">
        <f>VLOOKUP($A161,'Data shares'!$C:$FA,81)</f>
        <v>-1.26E-2</v>
      </c>
    </row>
    <row r="162" spans="1:15" x14ac:dyDescent="0.25">
      <c r="A162" s="100" t="str">
        <f>'Data Vlaue (Cr)'!C157</f>
        <v>PATANJALI</v>
      </c>
      <c r="B162" s="82">
        <f>VLOOKUP(A162,'Data shares'!$C$2:$CV$220,98,0)</f>
        <v>43816500</v>
      </c>
      <c r="C162" s="82">
        <f>VLOOKUP(A162,'Data shares'!$C$2:$CX$220,100,0)</f>
        <v>1116900</v>
      </c>
      <c r="D162" s="141">
        <f>VLOOKUP(A162,'Data shares'!$C$2:$CY$543,101,0)</f>
        <v>2.6200000000000001E-2</v>
      </c>
      <c r="E162" s="86">
        <f>VLOOKUP($A162,'Data shares'!$C:$FA,74)</f>
        <v>35001900</v>
      </c>
      <c r="F162" s="86">
        <f>VLOOKUP($A162,'Data shares'!$C:$FA,76)</f>
        <v>514800</v>
      </c>
      <c r="G162" s="87">
        <f>VLOOKUP(A162,'Data shares'!$C$2:$CA$220,77,0)</f>
        <v>1.49E-2</v>
      </c>
      <c r="H162" s="86">
        <f>VLOOKUP($A162,'Data shares'!$C:$FA,90)</f>
        <v>5737500</v>
      </c>
      <c r="I162" s="86">
        <f>VLOOKUP($A162,'Data shares'!$C:$FA,92)</f>
        <v>556200</v>
      </c>
      <c r="J162" s="87">
        <f>VLOOKUP($A162,'Data shares'!$C:$FA,93)</f>
        <v>0.10730000000000001</v>
      </c>
      <c r="K162" s="86">
        <f>VLOOKUP($A162,'Data shares'!$C:$FA,94)</f>
        <v>3077100</v>
      </c>
      <c r="L162" s="86">
        <f>VLOOKUP($A162,'Data shares'!$C:$FA,96)</f>
        <v>45900</v>
      </c>
      <c r="M162" s="87">
        <f>VLOOKUP($A162,'Data shares'!$C:$FA,97)</f>
        <v>1.5100000000000001E-2</v>
      </c>
      <c r="N162" s="86">
        <f>VLOOKUP($A162,'Data shares'!$C:$FA,78)</f>
        <v>34274700</v>
      </c>
      <c r="O162" s="87">
        <f>VLOOKUP($A162,'Data shares'!$C:$FA,81)</f>
        <v>7.6E-3</v>
      </c>
    </row>
    <row r="163" spans="1:15" x14ac:dyDescent="0.25">
      <c r="A163" s="100" t="str">
        <f>'Data Vlaue (Cr)'!C158</f>
        <v>PAYTM</v>
      </c>
      <c r="B163" s="82">
        <f>VLOOKUP(A163,'Data shares'!$C$2:$CV$220,98,0)</f>
        <v>28277900</v>
      </c>
      <c r="C163" s="82">
        <f>VLOOKUP(A163,'Data shares'!$C$2:$CX$220,100,0)</f>
        <v>192125</v>
      </c>
      <c r="D163" s="141">
        <f>VLOOKUP(A163,'Data shares'!$C$2:$CY$543,101,0)</f>
        <v>6.7999999999999996E-3</v>
      </c>
      <c r="E163" s="86">
        <f>VLOOKUP($A163,'Data shares'!$C:$FA,74)</f>
        <v>15347525</v>
      </c>
      <c r="F163" s="86">
        <f>VLOOKUP($A163,'Data shares'!$C:$FA,76)</f>
        <v>-271150</v>
      </c>
      <c r="G163" s="87">
        <f>VLOOKUP(A163,'Data shares'!$C$2:$CA$220,77,0)</f>
        <v>-1.7399999999999999E-2</v>
      </c>
      <c r="H163" s="86">
        <f>VLOOKUP($A163,'Data shares'!$C:$FA,90)</f>
        <v>6540225</v>
      </c>
      <c r="I163" s="86">
        <f>VLOOKUP($A163,'Data shares'!$C:$FA,92)</f>
        <v>179800</v>
      </c>
      <c r="J163" s="87">
        <f>VLOOKUP($A163,'Data shares'!$C:$FA,93)</f>
        <v>2.8299999999999999E-2</v>
      </c>
      <c r="K163" s="86">
        <f>VLOOKUP($A163,'Data shares'!$C:$FA,94)</f>
        <v>6390150</v>
      </c>
      <c r="L163" s="86">
        <f>VLOOKUP($A163,'Data shares'!$C:$FA,96)</f>
        <v>283475</v>
      </c>
      <c r="M163" s="87">
        <f>VLOOKUP($A163,'Data shares'!$C:$FA,97)</f>
        <v>4.6399999999999997E-2</v>
      </c>
      <c r="N163" s="86">
        <f>VLOOKUP($A163,'Data shares'!$C:$FA,78)</f>
        <v>14555825</v>
      </c>
      <c r="O163" s="87">
        <f>VLOOKUP($A163,'Data shares'!$C:$FA,81)</f>
        <v>-2.2100000000000002E-2</v>
      </c>
    </row>
    <row r="164" spans="1:15" x14ac:dyDescent="0.25">
      <c r="A164" s="100" t="str">
        <f>'Data Vlaue (Cr)'!C159</f>
        <v>PERSISTENT</v>
      </c>
      <c r="B164" s="82">
        <f>VLOOKUP(A164,'Data shares'!$C$2:$CV$220,98,0)</f>
        <v>8558100</v>
      </c>
      <c r="C164" s="82">
        <f>VLOOKUP(A164,'Data shares'!$C$2:$CX$220,100,0)</f>
        <v>200400</v>
      </c>
      <c r="D164" s="141">
        <f>VLOOKUP(A164,'Data shares'!$C$2:$CY$543,101,0)</f>
        <v>2.4E-2</v>
      </c>
      <c r="E164" s="86">
        <f>VLOOKUP($A164,'Data shares'!$C:$FA,74)</f>
        <v>6028400</v>
      </c>
      <c r="F164" s="86">
        <f>VLOOKUP($A164,'Data shares'!$C:$FA,76)</f>
        <v>32500</v>
      </c>
      <c r="G164" s="87">
        <f>VLOOKUP(A164,'Data shares'!$C$2:$CA$220,77,0)</f>
        <v>5.4000000000000003E-3</v>
      </c>
      <c r="H164" s="86">
        <f>VLOOKUP($A164,'Data shares'!$C:$FA,90)</f>
        <v>1412000</v>
      </c>
      <c r="I164" s="86">
        <f>VLOOKUP($A164,'Data shares'!$C:$FA,92)</f>
        <v>204400</v>
      </c>
      <c r="J164" s="87">
        <f>VLOOKUP($A164,'Data shares'!$C:$FA,93)</f>
        <v>0.16930000000000001</v>
      </c>
      <c r="K164" s="86">
        <f>VLOOKUP($A164,'Data shares'!$C:$FA,94)</f>
        <v>1117700</v>
      </c>
      <c r="L164" s="86">
        <f>VLOOKUP($A164,'Data shares'!$C:$FA,96)</f>
        <v>-36500</v>
      </c>
      <c r="M164" s="87">
        <f>VLOOKUP($A164,'Data shares'!$C:$FA,97)</f>
        <v>-3.1600000000000003E-2</v>
      </c>
      <c r="N164" s="86">
        <f>VLOOKUP($A164,'Data shares'!$C:$FA,78)</f>
        <v>5066200</v>
      </c>
      <c r="O164" s="87">
        <f>VLOOKUP($A164,'Data shares'!$C:$FA,81)</f>
        <v>-2.52E-2</v>
      </c>
    </row>
    <row r="165" spans="1:15" x14ac:dyDescent="0.25">
      <c r="A165" s="100" t="str">
        <f>'Data Vlaue (Cr)'!C160</f>
        <v>PETRONET</v>
      </c>
      <c r="B165" s="82">
        <f>VLOOKUP(A165,'Data shares'!$C$2:$CV$220,98,0)</f>
        <v>60657500</v>
      </c>
      <c r="C165" s="82">
        <f>VLOOKUP(A165,'Data shares'!$C$2:$CX$220,100,0)</f>
        <v>-1126700</v>
      </c>
      <c r="D165" s="141">
        <f>VLOOKUP(A165,'Data shares'!$C$2:$CY$543,101,0)</f>
        <v>-1.8200000000000001E-2</v>
      </c>
      <c r="E165" s="86">
        <f>VLOOKUP($A165,'Data shares'!$C:$FA,74)</f>
        <v>35379900</v>
      </c>
      <c r="F165" s="86">
        <f>VLOOKUP($A165,'Data shares'!$C:$FA,76)</f>
        <v>-402800</v>
      </c>
      <c r="G165" s="87">
        <f>VLOOKUP(A165,'Data shares'!$C$2:$CA$220,77,0)</f>
        <v>-1.1299999999999999E-2</v>
      </c>
      <c r="H165" s="86">
        <f>VLOOKUP($A165,'Data shares'!$C:$FA,90)</f>
        <v>15298800</v>
      </c>
      <c r="I165" s="86">
        <f>VLOOKUP($A165,'Data shares'!$C:$FA,92)</f>
        <v>-522500</v>
      </c>
      <c r="J165" s="87">
        <f>VLOOKUP($A165,'Data shares'!$C:$FA,93)</f>
        <v>-3.3000000000000002E-2</v>
      </c>
      <c r="K165" s="86">
        <f>VLOOKUP($A165,'Data shares'!$C:$FA,94)</f>
        <v>9978800</v>
      </c>
      <c r="L165" s="86">
        <f>VLOOKUP($A165,'Data shares'!$C:$FA,96)</f>
        <v>-201400</v>
      </c>
      <c r="M165" s="87">
        <f>VLOOKUP($A165,'Data shares'!$C:$FA,97)</f>
        <v>-1.9800000000000002E-2</v>
      </c>
      <c r="N165" s="86">
        <f>VLOOKUP($A165,'Data shares'!$C:$FA,78)</f>
        <v>33920700</v>
      </c>
      <c r="O165" s="87">
        <f>VLOOKUP($A165,'Data shares'!$C:$FA,81)</f>
        <v>-1.52E-2</v>
      </c>
    </row>
    <row r="166" spans="1:15" x14ac:dyDescent="0.25">
      <c r="A166" s="100" t="str">
        <f>'Data Vlaue (Cr)'!C161</f>
        <v>PFC</v>
      </c>
      <c r="B166" s="82">
        <f>VLOOKUP(A166,'Data shares'!$C$2:$CV$220,98,0)</f>
        <v>109497700</v>
      </c>
      <c r="C166" s="82">
        <f>VLOOKUP(A166,'Data shares'!$C$2:$CX$220,100,0)</f>
        <v>4410900</v>
      </c>
      <c r="D166" s="141">
        <f>VLOOKUP(A166,'Data shares'!$C$2:$CY$543,101,0)</f>
        <v>4.2000000000000003E-2</v>
      </c>
      <c r="E166" s="86">
        <f>VLOOKUP($A166,'Data shares'!$C:$FA,74)</f>
        <v>61058400</v>
      </c>
      <c r="F166" s="86">
        <f>VLOOKUP($A166,'Data shares'!$C:$FA,76)</f>
        <v>2967900</v>
      </c>
      <c r="G166" s="87">
        <f>VLOOKUP(A166,'Data shares'!$C$2:$CA$220,77,0)</f>
        <v>5.11E-2</v>
      </c>
      <c r="H166" s="86">
        <f>VLOOKUP($A166,'Data shares'!$C:$FA,90)</f>
        <v>26360100</v>
      </c>
      <c r="I166" s="86">
        <f>VLOOKUP($A166,'Data shares'!$C:$FA,92)</f>
        <v>-781300</v>
      </c>
      <c r="J166" s="87">
        <f>VLOOKUP($A166,'Data shares'!$C:$FA,93)</f>
        <v>-2.8799999999999999E-2</v>
      </c>
      <c r="K166" s="86">
        <f>VLOOKUP($A166,'Data shares'!$C:$FA,94)</f>
        <v>22079200</v>
      </c>
      <c r="L166" s="86">
        <f>VLOOKUP($A166,'Data shares'!$C:$FA,96)</f>
        <v>2224300</v>
      </c>
      <c r="M166" s="87">
        <f>VLOOKUP($A166,'Data shares'!$C:$FA,97)</f>
        <v>0.112</v>
      </c>
      <c r="N166" s="86">
        <f>VLOOKUP($A166,'Data shares'!$C:$FA,78)</f>
        <v>50753300</v>
      </c>
      <c r="O166" s="87">
        <f>VLOOKUP($A166,'Data shares'!$C:$FA,81)</f>
        <v>1.5299999999999999E-2</v>
      </c>
    </row>
    <row r="167" spans="1:15" x14ac:dyDescent="0.25">
      <c r="A167" s="100" t="str">
        <f>'Data Vlaue (Cr)'!C162</f>
        <v>PGEL</v>
      </c>
      <c r="B167" s="82">
        <f>VLOOKUP(A167,'Data shares'!$C$2:$CV$220,98,0)</f>
        <v>34186700</v>
      </c>
      <c r="C167" s="82">
        <f>VLOOKUP(A167,'Data shares'!$C$2:$CX$220,100,0)</f>
        <v>-389500</v>
      </c>
      <c r="D167" s="141">
        <f>VLOOKUP(A167,'Data shares'!$C$2:$CY$543,101,0)</f>
        <v>-1.1299999999999999E-2</v>
      </c>
      <c r="E167" s="86">
        <f>VLOOKUP($A167,'Data shares'!$C:$FA,74)</f>
        <v>16036000</v>
      </c>
      <c r="F167" s="86">
        <f>VLOOKUP($A167,'Data shares'!$C:$FA,76)</f>
        <v>86450</v>
      </c>
      <c r="G167" s="87">
        <f>VLOOKUP(A167,'Data shares'!$C$2:$CA$220,77,0)</f>
        <v>5.4000000000000003E-3</v>
      </c>
      <c r="H167" s="86">
        <f>VLOOKUP($A167,'Data shares'!$C:$FA,90)</f>
        <v>8378050</v>
      </c>
      <c r="I167" s="86">
        <f>VLOOKUP($A167,'Data shares'!$C:$FA,92)</f>
        <v>-158650</v>
      </c>
      <c r="J167" s="87">
        <f>VLOOKUP($A167,'Data shares'!$C:$FA,93)</f>
        <v>-1.8599999999999998E-2</v>
      </c>
      <c r="K167" s="86">
        <f>VLOOKUP($A167,'Data shares'!$C:$FA,94)</f>
        <v>9772650</v>
      </c>
      <c r="L167" s="86">
        <f>VLOOKUP($A167,'Data shares'!$C:$FA,96)</f>
        <v>-317300</v>
      </c>
      <c r="M167" s="87">
        <f>VLOOKUP($A167,'Data shares'!$C:$FA,97)</f>
        <v>-3.1399999999999997E-2</v>
      </c>
      <c r="N167" s="86">
        <f>VLOOKUP($A167,'Data shares'!$C:$FA,78)</f>
        <v>13397850</v>
      </c>
      <c r="O167" s="87">
        <f>VLOOKUP($A167,'Data shares'!$C:$FA,81)</f>
        <v>-2.9999999999999997E-4</v>
      </c>
    </row>
    <row r="168" spans="1:15" x14ac:dyDescent="0.25">
      <c r="A168" s="100" t="str">
        <f>'Data Vlaue (Cr)'!C163</f>
        <v>PHOENIXLTD</v>
      </c>
      <c r="B168" s="82">
        <f>VLOOKUP(A168,'Data shares'!$C$2:$CV$220,98,0)</f>
        <v>5234600</v>
      </c>
      <c r="C168" s="82">
        <f>VLOOKUP(A168,'Data shares'!$C$2:$CX$220,100,0)</f>
        <v>80150</v>
      </c>
      <c r="D168" s="141">
        <f>VLOOKUP(A168,'Data shares'!$C$2:$CY$543,101,0)</f>
        <v>1.55E-2</v>
      </c>
      <c r="E168" s="86">
        <f>VLOOKUP($A168,'Data shares'!$C:$FA,74)</f>
        <v>3846850</v>
      </c>
      <c r="F168" s="86">
        <f>VLOOKUP($A168,'Data shares'!$C:$FA,76)</f>
        <v>60550</v>
      </c>
      <c r="G168" s="87">
        <f>VLOOKUP(A168,'Data shares'!$C$2:$CA$220,77,0)</f>
        <v>1.6E-2</v>
      </c>
      <c r="H168" s="86">
        <f>VLOOKUP($A168,'Data shares'!$C:$FA,90)</f>
        <v>770700</v>
      </c>
      <c r="I168" s="86">
        <f>VLOOKUP($A168,'Data shares'!$C:$FA,92)</f>
        <v>33250</v>
      </c>
      <c r="J168" s="87">
        <f>VLOOKUP($A168,'Data shares'!$C:$FA,93)</f>
        <v>4.5100000000000001E-2</v>
      </c>
      <c r="K168" s="86">
        <f>VLOOKUP($A168,'Data shares'!$C:$FA,94)</f>
        <v>617050</v>
      </c>
      <c r="L168" s="86">
        <f>VLOOKUP($A168,'Data shares'!$C:$FA,96)</f>
        <v>-13650</v>
      </c>
      <c r="M168" s="87">
        <f>VLOOKUP($A168,'Data shares'!$C:$FA,97)</f>
        <v>-2.1600000000000001E-2</v>
      </c>
      <c r="N168" s="86">
        <f>VLOOKUP($A168,'Data shares'!$C:$FA,78)</f>
        <v>3451000</v>
      </c>
      <c r="O168" s="87">
        <f>VLOOKUP($A168,'Data shares'!$C:$FA,81)</f>
        <v>1.1599999999999999E-2</v>
      </c>
    </row>
    <row r="169" spans="1:15" x14ac:dyDescent="0.25">
      <c r="A169" s="100" t="str">
        <f>'Data Vlaue (Cr)'!C164</f>
        <v>PIDILITIND</v>
      </c>
      <c r="B169" s="82">
        <f>VLOOKUP(A169,'Data shares'!$C$2:$CV$220,98,0)</f>
        <v>11378500</v>
      </c>
      <c r="C169" s="82">
        <f>VLOOKUP(A169,'Data shares'!$C$2:$CX$220,100,0)</f>
        <v>-227500</v>
      </c>
      <c r="D169" s="141">
        <f>VLOOKUP(A169,'Data shares'!$C$2:$CY$543,101,0)</f>
        <v>-1.9599999999999999E-2</v>
      </c>
      <c r="E169" s="86">
        <f>VLOOKUP($A169,'Data shares'!$C:$FA,74)</f>
        <v>8634500</v>
      </c>
      <c r="F169" s="86">
        <f>VLOOKUP($A169,'Data shares'!$C:$FA,76)</f>
        <v>-56500</v>
      </c>
      <c r="G169" s="87">
        <f>VLOOKUP(A169,'Data shares'!$C$2:$CA$220,77,0)</f>
        <v>-6.4999999999999997E-3</v>
      </c>
      <c r="H169" s="86">
        <f>VLOOKUP($A169,'Data shares'!$C:$FA,90)</f>
        <v>1650500</v>
      </c>
      <c r="I169" s="86">
        <f>VLOOKUP($A169,'Data shares'!$C:$FA,92)</f>
        <v>-110500</v>
      </c>
      <c r="J169" s="87">
        <f>VLOOKUP($A169,'Data shares'!$C:$FA,93)</f>
        <v>-6.2700000000000006E-2</v>
      </c>
      <c r="K169" s="86">
        <f>VLOOKUP($A169,'Data shares'!$C:$FA,94)</f>
        <v>1093500</v>
      </c>
      <c r="L169" s="86">
        <f>VLOOKUP($A169,'Data shares'!$C:$FA,96)</f>
        <v>-60500</v>
      </c>
      <c r="M169" s="87">
        <f>VLOOKUP($A169,'Data shares'!$C:$FA,97)</f>
        <v>-5.2400000000000002E-2</v>
      </c>
      <c r="N169" s="86">
        <f>VLOOKUP($A169,'Data shares'!$C:$FA,78)</f>
        <v>8339500</v>
      </c>
      <c r="O169" s="87">
        <f>VLOOKUP($A169,'Data shares'!$C:$FA,81)</f>
        <v>-9.4999999999999998E-3</v>
      </c>
    </row>
    <row r="170" spans="1:15" x14ac:dyDescent="0.25">
      <c r="A170" s="100" t="str">
        <f>'Data Vlaue (Cr)'!C165</f>
        <v>PIIND</v>
      </c>
      <c r="B170" s="82">
        <f>VLOOKUP(A170,'Data shares'!$C$2:$CV$220,98,0)</f>
        <v>4150125</v>
      </c>
      <c r="C170" s="82">
        <f>VLOOKUP(A170,'Data shares'!$C$2:$CX$220,100,0)</f>
        <v>134925</v>
      </c>
      <c r="D170" s="141">
        <f>VLOOKUP(A170,'Data shares'!$C$2:$CY$543,101,0)</f>
        <v>3.3599999999999998E-2</v>
      </c>
      <c r="E170" s="86">
        <f>VLOOKUP($A170,'Data shares'!$C:$FA,74)</f>
        <v>2776550</v>
      </c>
      <c r="F170" s="86">
        <f>VLOOKUP($A170,'Data shares'!$C:$FA,76)</f>
        <v>103425</v>
      </c>
      <c r="G170" s="87">
        <f>VLOOKUP(A170,'Data shares'!$C$2:$CA$220,77,0)</f>
        <v>3.8699999999999998E-2</v>
      </c>
      <c r="H170" s="86">
        <f>VLOOKUP($A170,'Data shares'!$C:$FA,90)</f>
        <v>743050</v>
      </c>
      <c r="I170" s="86">
        <f>VLOOKUP($A170,'Data shares'!$C:$FA,92)</f>
        <v>74550</v>
      </c>
      <c r="J170" s="87">
        <f>VLOOKUP($A170,'Data shares'!$C:$FA,93)</f>
        <v>0.1115</v>
      </c>
      <c r="K170" s="86">
        <f>VLOOKUP($A170,'Data shares'!$C:$FA,94)</f>
        <v>630525</v>
      </c>
      <c r="L170" s="86">
        <f>VLOOKUP($A170,'Data shares'!$C:$FA,96)</f>
        <v>-43050</v>
      </c>
      <c r="M170" s="87">
        <f>VLOOKUP($A170,'Data shares'!$C:$FA,97)</f>
        <v>-6.3899999999999998E-2</v>
      </c>
      <c r="N170" s="86">
        <f>VLOOKUP($A170,'Data shares'!$C:$FA,78)</f>
        <v>2545025</v>
      </c>
      <c r="O170" s="87">
        <f>VLOOKUP($A170,'Data shares'!$C:$FA,81)</f>
        <v>1.9099999999999999E-2</v>
      </c>
    </row>
    <row r="171" spans="1:15" x14ac:dyDescent="0.25">
      <c r="A171" s="100" t="str">
        <f>'Data Vlaue (Cr)'!C166</f>
        <v>PNB</v>
      </c>
      <c r="B171" s="82">
        <f>VLOOKUP(A171,'Data shares'!$C$2:$CV$220,98,0)</f>
        <v>421976000</v>
      </c>
      <c r="C171" s="82">
        <f>VLOOKUP(A171,'Data shares'!$C$2:$CX$220,100,0)</f>
        <v>-2768000</v>
      </c>
      <c r="D171" s="141">
        <f>VLOOKUP(A171,'Data shares'!$C$2:$CY$543,101,0)</f>
        <v>-6.4999999999999997E-3</v>
      </c>
      <c r="E171" s="86">
        <f>VLOOKUP($A171,'Data shares'!$C:$FA,74)</f>
        <v>264080000</v>
      </c>
      <c r="F171" s="86">
        <f>VLOOKUP($A171,'Data shares'!$C:$FA,76)</f>
        <v>-5400000</v>
      </c>
      <c r="G171" s="87">
        <f>VLOOKUP(A171,'Data shares'!$C$2:$CA$220,77,0)</f>
        <v>-0.02</v>
      </c>
      <c r="H171" s="86">
        <f>VLOOKUP($A171,'Data shares'!$C:$FA,90)</f>
        <v>84496000</v>
      </c>
      <c r="I171" s="86">
        <f>VLOOKUP($A171,'Data shares'!$C:$FA,92)</f>
        <v>1840000</v>
      </c>
      <c r="J171" s="87">
        <f>VLOOKUP($A171,'Data shares'!$C:$FA,93)</f>
        <v>2.23E-2</v>
      </c>
      <c r="K171" s="86">
        <f>VLOOKUP($A171,'Data shares'!$C:$FA,94)</f>
        <v>73400000</v>
      </c>
      <c r="L171" s="86">
        <f>VLOOKUP($A171,'Data shares'!$C:$FA,96)</f>
        <v>792000</v>
      </c>
      <c r="M171" s="87">
        <f>VLOOKUP($A171,'Data shares'!$C:$FA,97)</f>
        <v>1.09E-2</v>
      </c>
      <c r="N171" s="86">
        <f>VLOOKUP($A171,'Data shares'!$C:$FA,78)</f>
        <v>221464000</v>
      </c>
      <c r="O171" s="87">
        <f>VLOOKUP($A171,'Data shares'!$C:$FA,81)</f>
        <v>-4.7199999999999999E-2</v>
      </c>
    </row>
    <row r="172" spans="1:15" x14ac:dyDescent="0.25">
      <c r="A172" s="100" t="str">
        <f>'Data Vlaue (Cr)'!C167</f>
        <v>PNBHOUSING</v>
      </c>
      <c r="B172" s="82">
        <f>VLOOKUP(A172,'Data shares'!$C$2:$CV$220,98,0)</f>
        <v>22999600</v>
      </c>
      <c r="C172" s="82">
        <f>VLOOKUP(A172,'Data shares'!$C$2:$CX$220,100,0)</f>
        <v>4093700</v>
      </c>
      <c r="D172" s="141">
        <f>VLOOKUP(A172,'Data shares'!$C$2:$CY$543,101,0)</f>
        <v>0.2165</v>
      </c>
      <c r="E172" s="86">
        <f>VLOOKUP($A172,'Data shares'!$C:$FA,74)</f>
        <v>14056250</v>
      </c>
      <c r="F172" s="86">
        <f>VLOOKUP($A172,'Data shares'!$C:$FA,76)</f>
        <v>276900</v>
      </c>
      <c r="G172" s="87">
        <f>VLOOKUP(A172,'Data shares'!$C$2:$CA$220,77,0)</f>
        <v>2.01E-2</v>
      </c>
      <c r="H172" s="86">
        <f>VLOOKUP($A172,'Data shares'!$C:$FA,90)</f>
        <v>4781400</v>
      </c>
      <c r="I172" s="86">
        <f>VLOOKUP($A172,'Data shares'!$C:$FA,92)</f>
        <v>2215850</v>
      </c>
      <c r="J172" s="87">
        <f>VLOOKUP($A172,'Data shares'!$C:$FA,93)</f>
        <v>0.86370000000000002</v>
      </c>
      <c r="K172" s="86">
        <f>VLOOKUP($A172,'Data shares'!$C:$FA,94)</f>
        <v>4161950</v>
      </c>
      <c r="L172" s="86">
        <f>VLOOKUP($A172,'Data shares'!$C:$FA,96)</f>
        <v>1600950</v>
      </c>
      <c r="M172" s="87">
        <f>VLOOKUP($A172,'Data shares'!$C:$FA,97)</f>
        <v>0.62509999999999999</v>
      </c>
      <c r="N172" s="86">
        <f>VLOOKUP($A172,'Data shares'!$C:$FA,78)</f>
        <v>13594100</v>
      </c>
      <c r="O172" s="87">
        <f>VLOOKUP($A172,'Data shares'!$C:$FA,81)</f>
        <v>1.3100000000000001E-2</v>
      </c>
    </row>
    <row r="173" spans="1:15" x14ac:dyDescent="0.25">
      <c r="A173" s="100" t="str">
        <f>'Data Vlaue (Cr)'!C168</f>
        <v>POLICYBZR</v>
      </c>
      <c r="B173" s="82">
        <f>VLOOKUP(A173,'Data shares'!$C$2:$CV$220,98,0)</f>
        <v>11460400</v>
      </c>
      <c r="C173" s="82">
        <f>VLOOKUP(A173,'Data shares'!$C$2:$CX$220,100,0)</f>
        <v>-587300</v>
      </c>
      <c r="D173" s="141">
        <f>VLOOKUP(A173,'Data shares'!$C$2:$CY$543,101,0)</f>
        <v>-4.87E-2</v>
      </c>
      <c r="E173" s="86">
        <f>VLOOKUP($A173,'Data shares'!$C:$FA,74)</f>
        <v>7592200</v>
      </c>
      <c r="F173" s="86">
        <f>VLOOKUP($A173,'Data shares'!$C:$FA,76)</f>
        <v>-459200</v>
      </c>
      <c r="G173" s="87">
        <f>VLOOKUP(A173,'Data shares'!$C$2:$CA$220,77,0)</f>
        <v>-5.7000000000000002E-2</v>
      </c>
      <c r="H173" s="86">
        <f>VLOOKUP($A173,'Data shares'!$C:$FA,90)</f>
        <v>2223550</v>
      </c>
      <c r="I173" s="86">
        <f>VLOOKUP($A173,'Data shares'!$C:$FA,92)</f>
        <v>-180600</v>
      </c>
      <c r="J173" s="87">
        <f>VLOOKUP($A173,'Data shares'!$C:$FA,93)</f>
        <v>-7.51E-2</v>
      </c>
      <c r="K173" s="86">
        <f>VLOOKUP($A173,'Data shares'!$C:$FA,94)</f>
        <v>1644650</v>
      </c>
      <c r="L173" s="86">
        <f>VLOOKUP($A173,'Data shares'!$C:$FA,96)</f>
        <v>52500</v>
      </c>
      <c r="M173" s="87">
        <f>VLOOKUP($A173,'Data shares'!$C:$FA,97)</f>
        <v>3.3000000000000002E-2</v>
      </c>
      <c r="N173" s="86">
        <f>VLOOKUP($A173,'Data shares'!$C:$FA,78)</f>
        <v>7424550</v>
      </c>
      <c r="O173" s="87">
        <f>VLOOKUP($A173,'Data shares'!$C:$FA,81)</f>
        <v>-5.9700000000000003E-2</v>
      </c>
    </row>
    <row r="174" spans="1:15" x14ac:dyDescent="0.25">
      <c r="A174" s="100" t="str">
        <f>'Data Vlaue (Cr)'!C169</f>
        <v>POLYCAB</v>
      </c>
      <c r="B174" s="82">
        <f>VLOOKUP(A174,'Data shares'!$C$2:$CV$220,98,0)</f>
        <v>4146375</v>
      </c>
      <c r="C174" s="82">
        <f>VLOOKUP(A174,'Data shares'!$C$2:$CX$220,100,0)</f>
        <v>-310750</v>
      </c>
      <c r="D174" s="141">
        <f>VLOOKUP(A174,'Data shares'!$C$2:$CY$543,101,0)</f>
        <v>-6.9699999999999998E-2</v>
      </c>
      <c r="E174" s="86">
        <f>VLOOKUP($A174,'Data shares'!$C:$FA,74)</f>
        <v>1821625</v>
      </c>
      <c r="F174" s="86">
        <f>VLOOKUP($A174,'Data shares'!$C:$FA,76)</f>
        <v>-45125</v>
      </c>
      <c r="G174" s="87">
        <f>VLOOKUP(A174,'Data shares'!$C$2:$CA$220,77,0)</f>
        <v>-2.4199999999999999E-2</v>
      </c>
      <c r="H174" s="86">
        <f>VLOOKUP($A174,'Data shares'!$C:$FA,90)</f>
        <v>1130375</v>
      </c>
      <c r="I174" s="86">
        <f>VLOOKUP($A174,'Data shares'!$C:$FA,92)</f>
        <v>-24750</v>
      </c>
      <c r="J174" s="87">
        <f>VLOOKUP($A174,'Data shares'!$C:$FA,93)</f>
        <v>-2.1399999999999999E-2</v>
      </c>
      <c r="K174" s="86">
        <f>VLOOKUP($A174,'Data shares'!$C:$FA,94)</f>
        <v>1194375</v>
      </c>
      <c r="L174" s="86">
        <f>VLOOKUP($A174,'Data shares'!$C:$FA,96)</f>
        <v>-240875</v>
      </c>
      <c r="M174" s="87">
        <f>VLOOKUP($A174,'Data shares'!$C:$FA,97)</f>
        <v>-0.1678</v>
      </c>
      <c r="N174" s="86">
        <f>VLOOKUP($A174,'Data shares'!$C:$FA,78)</f>
        <v>1715000</v>
      </c>
      <c r="O174" s="87">
        <f>VLOOKUP($A174,'Data shares'!$C:$FA,81)</f>
        <v>-2.92E-2</v>
      </c>
    </row>
    <row r="175" spans="1:15" x14ac:dyDescent="0.25">
      <c r="A175" s="100" t="str">
        <f>'Data Vlaue (Cr)'!C170</f>
        <v>POWERGRID</v>
      </c>
      <c r="B175" s="82">
        <f>VLOOKUP(A175,'Data shares'!$C$2:$CV$220,98,0)</f>
        <v>143828100</v>
      </c>
      <c r="C175" s="82">
        <f>VLOOKUP(A175,'Data shares'!$C$2:$CX$220,100,0)</f>
        <v>3558700</v>
      </c>
      <c r="D175" s="141">
        <f>VLOOKUP(A175,'Data shares'!$C$2:$CY$543,101,0)</f>
        <v>2.5399999999999999E-2</v>
      </c>
      <c r="E175" s="86">
        <f>VLOOKUP($A175,'Data shares'!$C:$FA,74)</f>
        <v>78952600</v>
      </c>
      <c r="F175" s="86">
        <f>VLOOKUP($A175,'Data shares'!$C:$FA,76)</f>
        <v>-262200</v>
      </c>
      <c r="G175" s="87">
        <f>VLOOKUP(A175,'Data shares'!$C$2:$CA$220,77,0)</f>
        <v>-3.3E-3</v>
      </c>
      <c r="H175" s="86">
        <f>VLOOKUP($A175,'Data shares'!$C:$FA,90)</f>
        <v>40154600</v>
      </c>
      <c r="I175" s="86">
        <f>VLOOKUP($A175,'Data shares'!$C:$FA,92)</f>
        <v>2720800</v>
      </c>
      <c r="J175" s="87">
        <f>VLOOKUP($A175,'Data shares'!$C:$FA,93)</f>
        <v>7.2700000000000001E-2</v>
      </c>
      <c r="K175" s="86">
        <f>VLOOKUP($A175,'Data shares'!$C:$FA,94)</f>
        <v>24720900</v>
      </c>
      <c r="L175" s="86">
        <f>VLOOKUP($A175,'Data shares'!$C:$FA,96)</f>
        <v>1100100</v>
      </c>
      <c r="M175" s="87">
        <f>VLOOKUP($A175,'Data shares'!$C:$FA,97)</f>
        <v>4.6600000000000003E-2</v>
      </c>
      <c r="N175" s="86">
        <f>VLOOKUP($A175,'Data shares'!$C:$FA,78)</f>
        <v>65240300</v>
      </c>
      <c r="O175" s="87">
        <f>VLOOKUP($A175,'Data shares'!$C:$FA,81)</f>
        <v>-7.4999999999999997E-2</v>
      </c>
    </row>
    <row r="176" spans="1:15" x14ac:dyDescent="0.25">
      <c r="A176" s="100" t="str">
        <f>'Data Vlaue (Cr)'!C171</f>
        <v>POWERINDIA</v>
      </c>
      <c r="B176" s="82">
        <f>VLOOKUP(A176,'Data shares'!$C$2:$CV$220,98,0)</f>
        <v>990850</v>
      </c>
      <c r="C176" s="82">
        <f>VLOOKUP(A176,'Data shares'!$C$2:$CX$220,100,0)</f>
        <v>88250</v>
      </c>
      <c r="D176" s="141">
        <f>VLOOKUP(A176,'Data shares'!$C$2:$CY$543,101,0)</f>
        <v>9.7799999999999998E-2</v>
      </c>
      <c r="E176" s="86">
        <f>VLOOKUP($A176,'Data shares'!$C:$FA,74)</f>
        <v>393500</v>
      </c>
      <c r="F176" s="86">
        <f>VLOOKUP($A176,'Data shares'!$C:$FA,76)</f>
        <v>4550</v>
      </c>
      <c r="G176" s="87">
        <f>VLOOKUP(A176,'Data shares'!$C$2:$CA$220,77,0)</f>
        <v>1.17E-2</v>
      </c>
      <c r="H176" s="86">
        <f>VLOOKUP($A176,'Data shares'!$C:$FA,90)</f>
        <v>274450</v>
      </c>
      <c r="I176" s="86">
        <f>VLOOKUP($A176,'Data shares'!$C:$FA,92)</f>
        <v>24200</v>
      </c>
      <c r="J176" s="87">
        <f>VLOOKUP($A176,'Data shares'!$C:$FA,93)</f>
        <v>9.6699999999999994E-2</v>
      </c>
      <c r="K176" s="86">
        <f>VLOOKUP($A176,'Data shares'!$C:$FA,94)</f>
        <v>322900</v>
      </c>
      <c r="L176" s="86">
        <f>VLOOKUP($A176,'Data shares'!$C:$FA,96)</f>
        <v>59500</v>
      </c>
      <c r="M176" s="87">
        <f>VLOOKUP($A176,'Data shares'!$C:$FA,97)</f>
        <v>0.22589999999999999</v>
      </c>
      <c r="N176" s="86">
        <f>VLOOKUP($A176,'Data shares'!$C:$FA,78)</f>
        <v>363700</v>
      </c>
      <c r="O176" s="87">
        <f>VLOOKUP($A176,'Data shares'!$C:$FA,81)</f>
        <v>2.3E-3</v>
      </c>
    </row>
    <row r="177" spans="1:15" x14ac:dyDescent="0.25">
      <c r="A177" s="100" t="str">
        <f>'Data Vlaue (Cr)'!C172</f>
        <v>PPLPHARMA</v>
      </c>
      <c r="B177" s="82">
        <f>VLOOKUP(A177,'Data shares'!$C$2:$CV$220,98,0)</f>
        <v>19758375</v>
      </c>
      <c r="C177" s="82">
        <f>VLOOKUP(A177,'Data shares'!$C$2:$CX$220,100,0)</f>
        <v>-931875</v>
      </c>
      <c r="D177" s="141">
        <f>VLOOKUP(A177,'Data shares'!$C$2:$CY$543,101,0)</f>
        <v>-4.4999999999999998E-2</v>
      </c>
      <c r="E177" s="86">
        <f>VLOOKUP($A177,'Data shares'!$C:$FA,74)</f>
        <v>11269125</v>
      </c>
      <c r="F177" s="86">
        <f>VLOOKUP($A177,'Data shares'!$C:$FA,76)</f>
        <v>-574875</v>
      </c>
      <c r="G177" s="87">
        <f>VLOOKUP(A177,'Data shares'!$C$2:$CA$220,77,0)</f>
        <v>-4.8500000000000001E-2</v>
      </c>
      <c r="H177" s="86">
        <f>VLOOKUP($A177,'Data shares'!$C:$FA,90)</f>
        <v>5271000</v>
      </c>
      <c r="I177" s="86">
        <f>VLOOKUP($A177,'Data shares'!$C:$FA,92)</f>
        <v>-254625</v>
      </c>
      <c r="J177" s="87">
        <f>VLOOKUP($A177,'Data shares'!$C:$FA,93)</f>
        <v>-4.6100000000000002E-2</v>
      </c>
      <c r="K177" s="86">
        <f>VLOOKUP($A177,'Data shares'!$C:$FA,94)</f>
        <v>3218250</v>
      </c>
      <c r="L177" s="86">
        <f>VLOOKUP($A177,'Data shares'!$C:$FA,96)</f>
        <v>-102375</v>
      </c>
      <c r="M177" s="87">
        <f>VLOOKUP($A177,'Data shares'!$C:$FA,97)</f>
        <v>-3.0800000000000001E-2</v>
      </c>
      <c r="N177" s="86">
        <f>VLOOKUP($A177,'Data shares'!$C:$FA,78)</f>
        <v>11269125</v>
      </c>
      <c r="O177" s="87">
        <f>VLOOKUP($A177,'Data shares'!$C:$FA,81)</f>
        <v>-4.8500000000000001E-2</v>
      </c>
    </row>
    <row r="178" spans="1:15" x14ac:dyDescent="0.25">
      <c r="A178" s="100" t="str">
        <f>'Data Vlaue (Cr)'!C173</f>
        <v>PREMIERENE</v>
      </c>
      <c r="B178" s="82">
        <f>VLOOKUP(A178,'Data shares'!$C$2:$CV$220,98,0)</f>
        <v>18155625</v>
      </c>
      <c r="C178" s="82">
        <f>VLOOKUP(A178,'Data shares'!$C$2:$CX$220,100,0)</f>
        <v>972900</v>
      </c>
      <c r="D178" s="141">
        <f>VLOOKUP(A178,'Data shares'!$C$2:$CY$543,101,0)</f>
        <v>5.6599999999999998E-2</v>
      </c>
      <c r="E178" s="86">
        <f>VLOOKUP($A178,'Data shares'!$C:$FA,74)</f>
        <v>13441200</v>
      </c>
      <c r="F178" s="86">
        <f>VLOOKUP($A178,'Data shares'!$C:$FA,76)</f>
        <v>269675</v>
      </c>
      <c r="G178" s="87">
        <f>VLOOKUP(A178,'Data shares'!$C$2:$CA$220,77,0)</f>
        <v>2.0500000000000001E-2</v>
      </c>
      <c r="H178" s="86">
        <f>VLOOKUP($A178,'Data shares'!$C:$FA,90)</f>
        <v>2670875</v>
      </c>
      <c r="I178" s="86">
        <f>VLOOKUP($A178,'Data shares'!$C:$FA,92)</f>
        <v>458850</v>
      </c>
      <c r="J178" s="87">
        <f>VLOOKUP($A178,'Data shares'!$C:$FA,93)</f>
        <v>0.2074</v>
      </c>
      <c r="K178" s="86">
        <f>VLOOKUP($A178,'Data shares'!$C:$FA,94)</f>
        <v>2043550</v>
      </c>
      <c r="L178" s="86">
        <f>VLOOKUP($A178,'Data shares'!$C:$FA,96)</f>
        <v>244375</v>
      </c>
      <c r="M178" s="87">
        <f>VLOOKUP($A178,'Data shares'!$C:$FA,97)</f>
        <v>0.1358</v>
      </c>
      <c r="N178" s="86">
        <f>VLOOKUP($A178,'Data shares'!$C:$FA,78)</f>
        <v>11002050</v>
      </c>
      <c r="O178" s="87">
        <f>VLOOKUP($A178,'Data shares'!$C:$FA,81)</f>
        <v>-1.77E-2</v>
      </c>
    </row>
    <row r="179" spans="1:15" x14ac:dyDescent="0.25">
      <c r="A179" s="100" t="str">
        <f>'Data Vlaue (Cr)'!C174</f>
        <v>PRESTIGE</v>
      </c>
      <c r="B179" s="82">
        <f>VLOOKUP(A179,'Data shares'!$C$2:$CV$220,98,0)</f>
        <v>10229850</v>
      </c>
      <c r="C179" s="82">
        <f>VLOOKUP(A179,'Data shares'!$C$2:$CX$220,100,0)</f>
        <v>-558000</v>
      </c>
      <c r="D179" s="141">
        <f>VLOOKUP(A179,'Data shares'!$C$2:$CY$543,101,0)</f>
        <v>-5.1700000000000003E-2</v>
      </c>
      <c r="E179" s="86">
        <f>VLOOKUP($A179,'Data shares'!$C:$FA,74)</f>
        <v>6693750</v>
      </c>
      <c r="F179" s="86">
        <f>VLOOKUP($A179,'Data shares'!$C:$FA,76)</f>
        <v>-240750</v>
      </c>
      <c r="G179" s="87">
        <f>VLOOKUP(A179,'Data shares'!$C$2:$CA$220,77,0)</f>
        <v>-3.4700000000000002E-2</v>
      </c>
      <c r="H179" s="86">
        <f>VLOOKUP($A179,'Data shares'!$C:$FA,90)</f>
        <v>2157750</v>
      </c>
      <c r="I179" s="86">
        <f>VLOOKUP($A179,'Data shares'!$C:$FA,92)</f>
        <v>-51300</v>
      </c>
      <c r="J179" s="87">
        <f>VLOOKUP($A179,'Data shares'!$C:$FA,93)</f>
        <v>-2.3199999999999998E-2</v>
      </c>
      <c r="K179" s="86">
        <f>VLOOKUP($A179,'Data shares'!$C:$FA,94)</f>
        <v>1378350</v>
      </c>
      <c r="L179" s="86">
        <f>VLOOKUP($A179,'Data shares'!$C:$FA,96)</f>
        <v>-265950</v>
      </c>
      <c r="M179" s="87">
        <f>VLOOKUP($A179,'Data shares'!$C:$FA,97)</f>
        <v>-0.16170000000000001</v>
      </c>
      <c r="N179" s="86">
        <f>VLOOKUP($A179,'Data shares'!$C:$FA,78)</f>
        <v>6582150</v>
      </c>
      <c r="O179" s="87">
        <f>VLOOKUP($A179,'Data shares'!$C:$FA,81)</f>
        <v>-3.8800000000000001E-2</v>
      </c>
    </row>
    <row r="180" spans="1:15" x14ac:dyDescent="0.25">
      <c r="A180" s="100" t="str">
        <f>'Data Vlaue (Cr)'!C175</f>
        <v>RBLBANK</v>
      </c>
      <c r="B180" s="82">
        <f>VLOOKUP(A180,'Data shares'!$C$2:$CV$220,98,0)</f>
        <v>115608100</v>
      </c>
      <c r="C180" s="82">
        <f>VLOOKUP(A180,'Data shares'!$C$2:$CX$220,100,0)</f>
        <v>-4340225</v>
      </c>
      <c r="D180" s="141">
        <f>VLOOKUP(A180,'Data shares'!$C$2:$CY$543,101,0)</f>
        <v>-3.6200000000000003E-2</v>
      </c>
      <c r="E180" s="86">
        <f>VLOOKUP($A180,'Data shares'!$C:$FA,74)</f>
        <v>59690000</v>
      </c>
      <c r="F180" s="86">
        <f>VLOOKUP($A180,'Data shares'!$C:$FA,76)</f>
        <v>-1828800</v>
      </c>
      <c r="G180" s="87">
        <f>VLOOKUP(A180,'Data shares'!$C$2:$CA$220,77,0)</f>
        <v>-2.9700000000000001E-2</v>
      </c>
      <c r="H180" s="86">
        <f>VLOOKUP($A180,'Data shares'!$C:$FA,90)</f>
        <v>29311600</v>
      </c>
      <c r="I180" s="86">
        <f>VLOOKUP($A180,'Data shares'!$C:$FA,92)</f>
        <v>-1428750</v>
      </c>
      <c r="J180" s="87">
        <f>VLOOKUP($A180,'Data shares'!$C:$FA,93)</f>
        <v>-4.65E-2</v>
      </c>
      <c r="K180" s="86">
        <f>VLOOKUP($A180,'Data shares'!$C:$FA,94)</f>
        <v>26606500</v>
      </c>
      <c r="L180" s="86">
        <f>VLOOKUP($A180,'Data shares'!$C:$FA,96)</f>
        <v>-1082675</v>
      </c>
      <c r="M180" s="87">
        <f>VLOOKUP($A180,'Data shares'!$C:$FA,97)</f>
        <v>-3.9100000000000003E-2</v>
      </c>
      <c r="N180" s="86">
        <f>VLOOKUP($A180,'Data shares'!$C:$FA,78)</f>
        <v>56502300</v>
      </c>
      <c r="O180" s="87">
        <f>VLOOKUP($A180,'Data shares'!$C:$FA,81)</f>
        <v>-6.1100000000000002E-2</v>
      </c>
    </row>
    <row r="181" spans="1:15" x14ac:dyDescent="0.25">
      <c r="A181" s="100" t="str">
        <f>'Data Vlaue (Cr)'!C176</f>
        <v>RECLTD</v>
      </c>
      <c r="B181" s="82">
        <f>VLOOKUP(A181,'Data shares'!$C$2:$CV$220,98,0)</f>
        <v>120162000</v>
      </c>
      <c r="C181" s="82">
        <f>VLOOKUP(A181,'Data shares'!$C$2:$CX$220,100,0)</f>
        <v>561400</v>
      </c>
      <c r="D181" s="141">
        <f>VLOOKUP(A181,'Data shares'!$C$2:$CY$543,101,0)</f>
        <v>4.7000000000000002E-3</v>
      </c>
      <c r="E181" s="86">
        <f>VLOOKUP($A181,'Data shares'!$C:$FA,74)</f>
        <v>66381000</v>
      </c>
      <c r="F181" s="86">
        <f>VLOOKUP($A181,'Data shares'!$C:$FA,76)</f>
        <v>-968800</v>
      </c>
      <c r="G181" s="87">
        <f>VLOOKUP(A181,'Data shares'!$C$2:$CA$220,77,0)</f>
        <v>-1.44E-2</v>
      </c>
      <c r="H181" s="86">
        <f>VLOOKUP($A181,'Data shares'!$C:$FA,90)</f>
        <v>28225400</v>
      </c>
      <c r="I181" s="86">
        <f>VLOOKUP($A181,'Data shares'!$C:$FA,92)</f>
        <v>996800</v>
      </c>
      <c r="J181" s="87">
        <f>VLOOKUP($A181,'Data shares'!$C:$FA,93)</f>
        <v>3.6600000000000001E-2</v>
      </c>
      <c r="K181" s="86">
        <f>VLOOKUP($A181,'Data shares'!$C:$FA,94)</f>
        <v>25555600</v>
      </c>
      <c r="L181" s="86">
        <f>VLOOKUP($A181,'Data shares'!$C:$FA,96)</f>
        <v>533400</v>
      </c>
      <c r="M181" s="87">
        <f>VLOOKUP($A181,'Data shares'!$C:$FA,97)</f>
        <v>2.1299999999999999E-2</v>
      </c>
      <c r="N181" s="86">
        <f>VLOOKUP($A181,'Data shares'!$C:$FA,78)</f>
        <v>54300400</v>
      </c>
      <c r="O181" s="87">
        <f>VLOOKUP($A181,'Data shares'!$C:$FA,81)</f>
        <v>-7.4099999999999999E-2</v>
      </c>
    </row>
    <row r="182" spans="1:15" x14ac:dyDescent="0.25">
      <c r="A182" s="100" t="str">
        <f>'Data Vlaue (Cr)'!C177</f>
        <v>RELIANCE</v>
      </c>
      <c r="B182" s="82">
        <f>VLOOKUP(A182,'Data shares'!$C$2:$CV$220,98,0)</f>
        <v>212150500</v>
      </c>
      <c r="C182" s="82">
        <f>VLOOKUP(A182,'Data shares'!$C$2:$CX$220,100,0)</f>
        <v>-2421000</v>
      </c>
      <c r="D182" s="141">
        <f>VLOOKUP(A182,'Data shares'!$C$2:$CY$543,101,0)</f>
        <v>-1.1299999999999999E-2</v>
      </c>
      <c r="E182" s="86">
        <f>VLOOKUP($A182,'Data shares'!$C:$FA,74)</f>
        <v>95601000</v>
      </c>
      <c r="F182" s="86">
        <f>VLOOKUP($A182,'Data shares'!$C:$FA,76)</f>
        <v>-655500</v>
      </c>
      <c r="G182" s="87">
        <f>VLOOKUP(A182,'Data shares'!$C$2:$CA$220,77,0)</f>
        <v>-6.7999999999999996E-3</v>
      </c>
      <c r="H182" s="86">
        <f>VLOOKUP($A182,'Data shares'!$C:$FA,90)</f>
        <v>78316000</v>
      </c>
      <c r="I182" s="86">
        <f>VLOOKUP($A182,'Data shares'!$C:$FA,92)</f>
        <v>-1434000</v>
      </c>
      <c r="J182" s="87">
        <f>VLOOKUP($A182,'Data shares'!$C:$FA,93)</f>
        <v>-1.7999999999999999E-2</v>
      </c>
      <c r="K182" s="86">
        <f>VLOOKUP($A182,'Data shares'!$C:$FA,94)</f>
        <v>38233500</v>
      </c>
      <c r="L182" s="86">
        <f>VLOOKUP($A182,'Data shares'!$C:$FA,96)</f>
        <v>-331500</v>
      </c>
      <c r="M182" s="87">
        <f>VLOOKUP($A182,'Data shares'!$C:$FA,97)</f>
        <v>-8.6E-3</v>
      </c>
      <c r="N182" s="86">
        <f>VLOOKUP($A182,'Data shares'!$C:$FA,78)</f>
        <v>74045500</v>
      </c>
      <c r="O182" s="87">
        <f>VLOOKUP($A182,'Data shares'!$C:$FA,81)</f>
        <v>-2.8199999999999999E-2</v>
      </c>
    </row>
    <row r="183" spans="1:15" x14ac:dyDescent="0.25">
      <c r="A183" s="100" t="str">
        <f>'Data Vlaue (Cr)'!C178</f>
        <v>RVNL</v>
      </c>
      <c r="B183" s="82">
        <f>VLOOKUP(A183,'Data shares'!$C$2:$CV$220,98,0)</f>
        <v>108791975</v>
      </c>
      <c r="C183" s="82">
        <f>VLOOKUP(A183,'Data shares'!$C$2:$CX$220,100,0)</f>
        <v>2145675</v>
      </c>
      <c r="D183" s="141">
        <f>VLOOKUP(A183,'Data shares'!$C$2:$CY$543,101,0)</f>
        <v>2.01E-2</v>
      </c>
      <c r="E183" s="86">
        <f>VLOOKUP($A183,'Data shares'!$C:$FA,74)</f>
        <v>68001275</v>
      </c>
      <c r="F183" s="86">
        <f>VLOOKUP($A183,'Data shares'!$C:$FA,76)</f>
        <v>2241750</v>
      </c>
      <c r="G183" s="87">
        <f>VLOOKUP(A183,'Data shares'!$C$2:$CA$220,77,0)</f>
        <v>3.4099999999999998E-2</v>
      </c>
      <c r="H183" s="86">
        <f>VLOOKUP($A183,'Data shares'!$C:$FA,90)</f>
        <v>24602825</v>
      </c>
      <c r="I183" s="86">
        <f>VLOOKUP($A183,'Data shares'!$C:$FA,92)</f>
        <v>-18300</v>
      </c>
      <c r="J183" s="87">
        <f>VLOOKUP($A183,'Data shares'!$C:$FA,93)</f>
        <v>-6.9999999999999999E-4</v>
      </c>
      <c r="K183" s="86">
        <f>VLOOKUP($A183,'Data shares'!$C:$FA,94)</f>
        <v>16187875</v>
      </c>
      <c r="L183" s="86">
        <f>VLOOKUP($A183,'Data shares'!$C:$FA,96)</f>
        <v>-77775</v>
      </c>
      <c r="M183" s="87">
        <f>VLOOKUP($A183,'Data shares'!$C:$FA,97)</f>
        <v>-4.7999999999999996E-3</v>
      </c>
      <c r="N183" s="86">
        <f>VLOOKUP($A183,'Data shares'!$C:$FA,78)</f>
        <v>50186225</v>
      </c>
      <c r="O183" s="87">
        <f>VLOOKUP($A183,'Data shares'!$C:$FA,81)</f>
        <v>6.0000000000000001E-3</v>
      </c>
    </row>
    <row r="184" spans="1:15" x14ac:dyDescent="0.25">
      <c r="A184" s="100" t="str">
        <f>'Data Vlaue (Cr)'!C179</f>
        <v>SAIL</v>
      </c>
      <c r="B184" s="82">
        <f>VLOOKUP(A184,'Data shares'!$C$2:$CV$220,98,0)</f>
        <v>218089400</v>
      </c>
      <c r="C184" s="82">
        <f>VLOOKUP(A184,'Data shares'!$C$2:$CX$220,100,0)</f>
        <v>-1494600</v>
      </c>
      <c r="D184" s="141">
        <f>VLOOKUP(A184,'Data shares'!$C$2:$CY$543,101,0)</f>
        <v>-6.7999999999999996E-3</v>
      </c>
      <c r="E184" s="86">
        <f>VLOOKUP($A184,'Data shares'!$C:$FA,74)</f>
        <v>199693600</v>
      </c>
      <c r="F184" s="86">
        <f>VLOOKUP($A184,'Data shares'!$C:$FA,76)</f>
        <v>-1348900</v>
      </c>
      <c r="G184" s="87">
        <f>VLOOKUP(A184,'Data shares'!$C$2:$CA$220,77,0)</f>
        <v>-6.7000000000000002E-3</v>
      </c>
      <c r="H184" s="86">
        <f>VLOOKUP($A184,'Data shares'!$C:$FA,90)</f>
        <v>10560900</v>
      </c>
      <c r="I184" s="86">
        <f>VLOOKUP($A184,'Data shares'!$C:$FA,92)</f>
        <v>-70500</v>
      </c>
      <c r="J184" s="87">
        <f>VLOOKUP($A184,'Data shares'!$C:$FA,93)</f>
        <v>-6.6E-3</v>
      </c>
      <c r="K184" s="86">
        <f>VLOOKUP($A184,'Data shares'!$C:$FA,94)</f>
        <v>7834900</v>
      </c>
      <c r="L184" s="86">
        <f>VLOOKUP($A184,'Data shares'!$C:$FA,96)</f>
        <v>-75200</v>
      </c>
      <c r="M184" s="87">
        <f>VLOOKUP($A184,'Data shares'!$C:$FA,97)</f>
        <v>-9.4999999999999998E-3</v>
      </c>
      <c r="N184" s="86">
        <f>VLOOKUP($A184,'Data shares'!$C:$FA,78)</f>
        <v>164133400</v>
      </c>
      <c r="O184" s="87">
        <f>VLOOKUP($A184,'Data shares'!$C:$FA,81)</f>
        <v>-5.8999999999999999E-3</v>
      </c>
    </row>
    <row r="185" spans="1:15" x14ac:dyDescent="0.25">
      <c r="A185" s="100" t="str">
        <f>'Data Vlaue (Cr)'!C180</f>
        <v>SAMMAANCAP</v>
      </c>
      <c r="B185" s="82">
        <f>VLOOKUP(A185,'Data shares'!$C$2:$CV$220,98,0)</f>
        <v>133553700</v>
      </c>
      <c r="C185" s="82">
        <f>VLOOKUP(A185,'Data shares'!$C$2:$CX$220,100,0)</f>
        <v>-1229800</v>
      </c>
      <c r="D185" s="141">
        <f>VLOOKUP(A185,'Data shares'!$C$2:$CY$543,101,0)</f>
        <v>-9.1000000000000004E-3</v>
      </c>
      <c r="E185" s="86">
        <f>VLOOKUP($A185,'Data shares'!$C:$FA,74)</f>
        <v>97218700</v>
      </c>
      <c r="F185" s="86">
        <f>VLOOKUP($A185,'Data shares'!$C:$FA,76)</f>
        <v>-1152400</v>
      </c>
      <c r="G185" s="87">
        <f>VLOOKUP(A185,'Data shares'!$C$2:$CA$220,77,0)</f>
        <v>-1.17E-2</v>
      </c>
      <c r="H185" s="86">
        <f>VLOOKUP($A185,'Data shares'!$C:$FA,90)</f>
        <v>17466600</v>
      </c>
      <c r="I185" s="86">
        <f>VLOOKUP($A185,'Data shares'!$C:$FA,92)</f>
        <v>-38700</v>
      </c>
      <c r="J185" s="87">
        <f>VLOOKUP($A185,'Data shares'!$C:$FA,93)</f>
        <v>-2.2000000000000001E-3</v>
      </c>
      <c r="K185" s="86">
        <f>VLOOKUP($A185,'Data shares'!$C:$FA,94)</f>
        <v>18868400</v>
      </c>
      <c r="L185" s="86">
        <f>VLOOKUP($A185,'Data shares'!$C:$FA,96)</f>
        <v>-38700</v>
      </c>
      <c r="M185" s="87">
        <f>VLOOKUP($A185,'Data shares'!$C:$FA,97)</f>
        <v>-2E-3</v>
      </c>
      <c r="N185" s="86">
        <f>VLOOKUP($A185,'Data shares'!$C:$FA,78)</f>
        <v>93112200</v>
      </c>
      <c r="O185" s="87">
        <f>VLOOKUP($A185,'Data shares'!$C:$FA,81)</f>
        <v>-1.2500000000000001E-2</v>
      </c>
    </row>
    <row r="186" spans="1:15" x14ac:dyDescent="0.25">
      <c r="A186" s="100" t="str">
        <f>'Data Vlaue (Cr)'!C181</f>
        <v>SBICARD</v>
      </c>
      <c r="B186" s="82">
        <f>VLOOKUP(A186,'Data shares'!$C$2:$CV$220,98,0)</f>
        <v>44878400</v>
      </c>
      <c r="C186" s="82">
        <f>VLOOKUP(A186,'Data shares'!$C$2:$CX$220,100,0)</f>
        <v>3868800</v>
      </c>
      <c r="D186" s="141">
        <f>VLOOKUP(A186,'Data shares'!$C$2:$CY$543,101,0)</f>
        <v>9.4299999999999995E-2</v>
      </c>
      <c r="E186" s="86">
        <f>VLOOKUP($A186,'Data shares'!$C:$FA,74)</f>
        <v>29908800</v>
      </c>
      <c r="F186" s="86">
        <f>VLOOKUP($A186,'Data shares'!$C:$FA,76)</f>
        <v>2247200</v>
      </c>
      <c r="G186" s="87">
        <f>VLOOKUP(A186,'Data shares'!$C$2:$CA$220,77,0)</f>
        <v>8.1199999999999994E-2</v>
      </c>
      <c r="H186" s="86">
        <f>VLOOKUP($A186,'Data shares'!$C:$FA,90)</f>
        <v>8350400</v>
      </c>
      <c r="I186" s="86">
        <f>VLOOKUP($A186,'Data shares'!$C:$FA,92)</f>
        <v>697600</v>
      </c>
      <c r="J186" s="87">
        <f>VLOOKUP($A186,'Data shares'!$C:$FA,93)</f>
        <v>9.1200000000000003E-2</v>
      </c>
      <c r="K186" s="86">
        <f>VLOOKUP($A186,'Data shares'!$C:$FA,94)</f>
        <v>6619200</v>
      </c>
      <c r="L186" s="86">
        <f>VLOOKUP($A186,'Data shares'!$C:$FA,96)</f>
        <v>924000</v>
      </c>
      <c r="M186" s="87">
        <f>VLOOKUP($A186,'Data shares'!$C:$FA,97)</f>
        <v>0.16220000000000001</v>
      </c>
      <c r="N186" s="86">
        <f>VLOOKUP($A186,'Data shares'!$C:$FA,78)</f>
        <v>24398400</v>
      </c>
      <c r="O186" s="87">
        <f>VLOOKUP($A186,'Data shares'!$C:$FA,81)</f>
        <v>4.8099999999999997E-2</v>
      </c>
    </row>
    <row r="187" spans="1:15" x14ac:dyDescent="0.25">
      <c r="A187" s="100" t="str">
        <f>'Data Vlaue (Cr)'!C182</f>
        <v>SBILIFE</v>
      </c>
      <c r="B187" s="82">
        <f>VLOOKUP(A187,'Data shares'!$C$2:$CV$220,98,0)</f>
        <v>16702125</v>
      </c>
      <c r="C187" s="82">
        <f>VLOOKUP(A187,'Data shares'!$C$2:$CX$220,100,0)</f>
        <v>165750</v>
      </c>
      <c r="D187" s="141">
        <f>VLOOKUP(A187,'Data shares'!$C$2:$CY$543,101,0)</f>
        <v>0.01</v>
      </c>
      <c r="E187" s="86">
        <f>VLOOKUP($A187,'Data shares'!$C:$FA,74)</f>
        <v>10657125</v>
      </c>
      <c r="F187" s="86">
        <f>VLOOKUP($A187,'Data shares'!$C:$FA,76)</f>
        <v>76125</v>
      </c>
      <c r="G187" s="87">
        <f>VLOOKUP(A187,'Data shares'!$C$2:$CA$220,77,0)</f>
        <v>7.1999999999999998E-3</v>
      </c>
      <c r="H187" s="86">
        <f>VLOOKUP($A187,'Data shares'!$C:$FA,90)</f>
        <v>3738375</v>
      </c>
      <c r="I187" s="86">
        <f>VLOOKUP($A187,'Data shares'!$C:$FA,92)</f>
        <v>30000</v>
      </c>
      <c r="J187" s="87">
        <f>VLOOKUP($A187,'Data shares'!$C:$FA,93)</f>
        <v>8.0999999999999996E-3</v>
      </c>
      <c r="K187" s="86">
        <f>VLOOKUP($A187,'Data shares'!$C:$FA,94)</f>
        <v>2306625</v>
      </c>
      <c r="L187" s="86">
        <f>VLOOKUP($A187,'Data shares'!$C:$FA,96)</f>
        <v>59625</v>
      </c>
      <c r="M187" s="87">
        <f>VLOOKUP($A187,'Data shares'!$C:$FA,97)</f>
        <v>2.6499999999999999E-2</v>
      </c>
      <c r="N187" s="86">
        <f>VLOOKUP($A187,'Data shares'!$C:$FA,78)</f>
        <v>9595500</v>
      </c>
      <c r="O187" s="87">
        <f>VLOOKUP($A187,'Data shares'!$C:$FA,81)</f>
        <v>-0.03</v>
      </c>
    </row>
    <row r="188" spans="1:15" x14ac:dyDescent="0.25">
      <c r="A188" s="100" t="str">
        <f>'Data Vlaue (Cr)'!C183</f>
        <v>SBIN</v>
      </c>
      <c r="B188" s="82">
        <f>VLOOKUP(A188,'Data shares'!$C$2:$CV$220,98,0)</f>
        <v>163468500</v>
      </c>
      <c r="C188" s="82">
        <f>VLOOKUP(A188,'Data shares'!$C$2:$CX$220,100,0)</f>
        <v>1904250</v>
      </c>
      <c r="D188" s="141">
        <f>VLOOKUP(A188,'Data shares'!$C$2:$CY$543,101,0)</f>
        <v>1.18E-2</v>
      </c>
      <c r="E188" s="86">
        <f>VLOOKUP($A188,'Data shares'!$C:$FA,74)</f>
        <v>78059250</v>
      </c>
      <c r="F188" s="86">
        <f>VLOOKUP($A188,'Data shares'!$C:$FA,76)</f>
        <v>-2530500</v>
      </c>
      <c r="G188" s="87">
        <f>VLOOKUP(A188,'Data shares'!$C$2:$CA$220,77,0)</f>
        <v>-3.1399999999999997E-2</v>
      </c>
      <c r="H188" s="86">
        <f>VLOOKUP($A188,'Data shares'!$C:$FA,90)</f>
        <v>45209250</v>
      </c>
      <c r="I188" s="86">
        <f>VLOOKUP($A188,'Data shares'!$C:$FA,92)</f>
        <v>363750</v>
      </c>
      <c r="J188" s="87">
        <f>VLOOKUP($A188,'Data shares'!$C:$FA,93)</f>
        <v>8.0999999999999996E-3</v>
      </c>
      <c r="K188" s="86">
        <f>VLOOKUP($A188,'Data shares'!$C:$FA,94)</f>
        <v>40200000</v>
      </c>
      <c r="L188" s="86">
        <f>VLOOKUP($A188,'Data shares'!$C:$FA,96)</f>
        <v>4071000</v>
      </c>
      <c r="M188" s="87">
        <f>VLOOKUP($A188,'Data shares'!$C:$FA,97)</f>
        <v>0.11269999999999999</v>
      </c>
      <c r="N188" s="86">
        <f>VLOOKUP($A188,'Data shares'!$C:$FA,78)</f>
        <v>66411750</v>
      </c>
      <c r="O188" s="87">
        <f>VLOOKUP($A188,'Data shares'!$C:$FA,81)</f>
        <v>-7.4800000000000005E-2</v>
      </c>
    </row>
    <row r="189" spans="1:15" x14ac:dyDescent="0.25">
      <c r="A189" s="100" t="str">
        <f>'Data Vlaue (Cr)'!C184</f>
        <v>SHREECEM</v>
      </c>
      <c r="B189" s="82">
        <f>VLOOKUP(A189,'Data shares'!$C$2:$CV$220,98,0)</f>
        <v>509150</v>
      </c>
      <c r="C189" s="82">
        <f>VLOOKUP(A189,'Data shares'!$C$2:$CX$220,100,0)</f>
        <v>26250</v>
      </c>
      <c r="D189" s="141">
        <f>VLOOKUP(A189,'Data shares'!$C$2:$CY$543,101,0)</f>
        <v>5.4399999999999997E-2</v>
      </c>
      <c r="E189" s="86">
        <f>VLOOKUP($A189,'Data shares'!$C:$FA,74)</f>
        <v>399250</v>
      </c>
      <c r="F189" s="86">
        <f>VLOOKUP($A189,'Data shares'!$C:$FA,76)</f>
        <v>20450</v>
      </c>
      <c r="G189" s="87">
        <f>VLOOKUP(A189,'Data shares'!$C$2:$CA$220,77,0)</f>
        <v>5.3999999999999999E-2</v>
      </c>
      <c r="H189" s="86">
        <f>VLOOKUP($A189,'Data shares'!$C:$FA,90)</f>
        <v>58175</v>
      </c>
      <c r="I189" s="86">
        <f>VLOOKUP($A189,'Data shares'!$C:$FA,92)</f>
        <v>1900</v>
      </c>
      <c r="J189" s="87">
        <f>VLOOKUP($A189,'Data shares'!$C:$FA,93)</f>
        <v>3.3799999999999997E-2</v>
      </c>
      <c r="K189" s="86">
        <f>VLOOKUP($A189,'Data shares'!$C:$FA,94)</f>
        <v>51725</v>
      </c>
      <c r="L189" s="86">
        <f>VLOOKUP($A189,'Data shares'!$C:$FA,96)</f>
        <v>3900</v>
      </c>
      <c r="M189" s="87">
        <f>VLOOKUP($A189,'Data shares'!$C:$FA,97)</f>
        <v>8.1500000000000003E-2</v>
      </c>
      <c r="N189" s="86">
        <f>VLOOKUP($A189,'Data shares'!$C:$FA,78)</f>
        <v>380450</v>
      </c>
      <c r="O189" s="87">
        <f>VLOOKUP($A189,'Data shares'!$C:$FA,81)</f>
        <v>5.1400000000000001E-2</v>
      </c>
    </row>
    <row r="190" spans="1:15" x14ac:dyDescent="0.25">
      <c r="A190" s="100" t="str">
        <f>'Data Vlaue (Cr)'!C185</f>
        <v>SHRIRAMFIN</v>
      </c>
      <c r="B190" s="82">
        <f>VLOOKUP(A190,'Data shares'!$C$2:$CV$220,98,0)</f>
        <v>64325250</v>
      </c>
      <c r="C190" s="82">
        <f>VLOOKUP(A190,'Data shares'!$C$2:$CX$220,100,0)</f>
        <v>-541200</v>
      </c>
      <c r="D190" s="141">
        <f>VLOOKUP(A190,'Data shares'!$C$2:$CY$543,101,0)</f>
        <v>-8.3000000000000001E-3</v>
      </c>
      <c r="E190" s="86">
        <f>VLOOKUP($A190,'Data shares'!$C:$FA,74)</f>
        <v>40288050</v>
      </c>
      <c r="F190" s="86">
        <f>VLOOKUP($A190,'Data shares'!$C:$FA,76)</f>
        <v>-414150</v>
      </c>
      <c r="G190" s="87">
        <f>VLOOKUP(A190,'Data shares'!$C$2:$CA$220,77,0)</f>
        <v>-1.0200000000000001E-2</v>
      </c>
      <c r="H190" s="86">
        <f>VLOOKUP($A190,'Data shares'!$C:$FA,90)</f>
        <v>13866600</v>
      </c>
      <c r="I190" s="86">
        <f>VLOOKUP($A190,'Data shares'!$C:$FA,92)</f>
        <v>-140250</v>
      </c>
      <c r="J190" s="87">
        <f>VLOOKUP($A190,'Data shares'!$C:$FA,93)</f>
        <v>-0.01</v>
      </c>
      <c r="K190" s="86">
        <f>VLOOKUP($A190,'Data shares'!$C:$FA,94)</f>
        <v>10170600</v>
      </c>
      <c r="L190" s="86">
        <f>VLOOKUP($A190,'Data shares'!$C:$FA,96)</f>
        <v>13200</v>
      </c>
      <c r="M190" s="87">
        <f>VLOOKUP($A190,'Data shares'!$C:$FA,97)</f>
        <v>1.2999999999999999E-3</v>
      </c>
      <c r="N190" s="86">
        <f>VLOOKUP($A190,'Data shares'!$C:$FA,78)</f>
        <v>34145100</v>
      </c>
      <c r="O190" s="87">
        <f>VLOOKUP($A190,'Data shares'!$C:$FA,81)</f>
        <v>-4.8800000000000003E-2</v>
      </c>
    </row>
    <row r="191" spans="1:15" x14ac:dyDescent="0.25">
      <c r="A191" s="100" t="str">
        <f>'Data Vlaue (Cr)'!C186</f>
        <v>SIEMENS</v>
      </c>
      <c r="B191" s="82">
        <f>VLOOKUP(A191,'Data shares'!$C$2:$CV$220,98,0)</f>
        <v>6333950</v>
      </c>
      <c r="C191" s="82">
        <f>VLOOKUP(A191,'Data shares'!$C$2:$CX$220,100,0)</f>
        <v>149450</v>
      </c>
      <c r="D191" s="141">
        <f>VLOOKUP(A191,'Data shares'!$C$2:$CY$543,101,0)</f>
        <v>2.4199999999999999E-2</v>
      </c>
      <c r="E191" s="86">
        <f>VLOOKUP($A191,'Data shares'!$C:$FA,74)</f>
        <v>3465175</v>
      </c>
      <c r="F191" s="86">
        <f>VLOOKUP($A191,'Data shares'!$C:$FA,76)</f>
        <v>8400</v>
      </c>
      <c r="G191" s="87">
        <f>VLOOKUP(A191,'Data shares'!$C$2:$CA$220,77,0)</f>
        <v>2.3999999999999998E-3</v>
      </c>
      <c r="H191" s="86">
        <f>VLOOKUP($A191,'Data shares'!$C:$FA,90)</f>
        <v>1519875</v>
      </c>
      <c r="I191" s="86">
        <f>VLOOKUP($A191,'Data shares'!$C:$FA,92)</f>
        <v>123375</v>
      </c>
      <c r="J191" s="87">
        <f>VLOOKUP($A191,'Data shares'!$C:$FA,93)</f>
        <v>8.8300000000000003E-2</v>
      </c>
      <c r="K191" s="86">
        <f>VLOOKUP($A191,'Data shares'!$C:$FA,94)</f>
        <v>1348900</v>
      </c>
      <c r="L191" s="86">
        <f>VLOOKUP($A191,'Data shares'!$C:$FA,96)</f>
        <v>17675</v>
      </c>
      <c r="M191" s="87">
        <f>VLOOKUP($A191,'Data shares'!$C:$FA,97)</f>
        <v>1.3299999999999999E-2</v>
      </c>
      <c r="N191" s="86">
        <f>VLOOKUP($A191,'Data shares'!$C:$FA,78)</f>
        <v>3133550</v>
      </c>
      <c r="O191" s="87">
        <f>VLOOKUP($A191,'Data shares'!$C:$FA,81)</f>
        <v>-1.8599999999999998E-2</v>
      </c>
    </row>
    <row r="192" spans="1:15" x14ac:dyDescent="0.25">
      <c r="A192" s="100" t="str">
        <f>'Data Vlaue (Cr)'!C187</f>
        <v>SOLARINDS</v>
      </c>
      <c r="B192" s="82">
        <f>VLOOKUP(A192,'Data shares'!$C$2:$CV$220,98,0)</f>
        <v>1311950</v>
      </c>
      <c r="C192" s="82">
        <f>VLOOKUP(A192,'Data shares'!$C$2:$CX$220,100,0)</f>
        <v>-5200</v>
      </c>
      <c r="D192" s="141">
        <f>VLOOKUP(A192,'Data shares'!$C$2:$CY$543,101,0)</f>
        <v>-3.8999999999999998E-3</v>
      </c>
      <c r="E192" s="86">
        <f>VLOOKUP($A192,'Data shares'!$C:$FA,74)</f>
        <v>791850</v>
      </c>
      <c r="F192" s="86">
        <f>VLOOKUP($A192,'Data shares'!$C:$FA,76)</f>
        <v>7550</v>
      </c>
      <c r="G192" s="87">
        <f>VLOOKUP(A192,'Data shares'!$C$2:$CA$220,77,0)</f>
        <v>9.5999999999999992E-3</v>
      </c>
      <c r="H192" s="86">
        <f>VLOOKUP($A192,'Data shares'!$C:$FA,90)</f>
        <v>308100</v>
      </c>
      <c r="I192" s="86">
        <f>VLOOKUP($A192,'Data shares'!$C:$FA,92)</f>
        <v>6100</v>
      </c>
      <c r="J192" s="87">
        <f>VLOOKUP($A192,'Data shares'!$C:$FA,93)</f>
        <v>2.0199999999999999E-2</v>
      </c>
      <c r="K192" s="86">
        <f>VLOOKUP($A192,'Data shares'!$C:$FA,94)</f>
        <v>212000</v>
      </c>
      <c r="L192" s="86">
        <f>VLOOKUP($A192,'Data shares'!$C:$FA,96)</f>
        <v>-18850</v>
      </c>
      <c r="M192" s="87">
        <f>VLOOKUP($A192,'Data shares'!$C:$FA,97)</f>
        <v>-8.1699999999999995E-2</v>
      </c>
      <c r="N192" s="86">
        <f>VLOOKUP($A192,'Data shares'!$C:$FA,78)</f>
        <v>658050</v>
      </c>
      <c r="O192" s="87">
        <f>VLOOKUP($A192,'Data shares'!$C:$FA,81)</f>
        <v>-8.0000000000000004E-4</v>
      </c>
    </row>
    <row r="193" spans="1:15" x14ac:dyDescent="0.25">
      <c r="A193" s="100" t="str">
        <f>'Data Vlaue (Cr)'!C188</f>
        <v>SONACOMS</v>
      </c>
      <c r="B193" s="82">
        <f>VLOOKUP(A193,'Data shares'!$C$2:$CV$220,98,0)</f>
        <v>22061025</v>
      </c>
      <c r="C193" s="82">
        <f>VLOOKUP(A193,'Data shares'!$C$2:$CX$220,100,0)</f>
        <v>-290325</v>
      </c>
      <c r="D193" s="141">
        <f>VLOOKUP(A193,'Data shares'!$C$2:$CY$543,101,0)</f>
        <v>-1.2999999999999999E-2</v>
      </c>
      <c r="E193" s="86">
        <f>VLOOKUP($A193,'Data shares'!$C:$FA,74)</f>
        <v>14357000</v>
      </c>
      <c r="F193" s="86">
        <f>VLOOKUP($A193,'Data shares'!$C:$FA,76)</f>
        <v>82075</v>
      </c>
      <c r="G193" s="87">
        <f>VLOOKUP(A193,'Data shares'!$C$2:$CA$220,77,0)</f>
        <v>5.7000000000000002E-3</v>
      </c>
      <c r="H193" s="86">
        <f>VLOOKUP($A193,'Data shares'!$C:$FA,90)</f>
        <v>4327925</v>
      </c>
      <c r="I193" s="86">
        <f>VLOOKUP($A193,'Data shares'!$C:$FA,92)</f>
        <v>-196000</v>
      </c>
      <c r="J193" s="87">
        <f>VLOOKUP($A193,'Data shares'!$C:$FA,93)</f>
        <v>-4.3299999999999998E-2</v>
      </c>
      <c r="K193" s="86">
        <f>VLOOKUP($A193,'Data shares'!$C:$FA,94)</f>
        <v>3376100</v>
      </c>
      <c r="L193" s="86">
        <f>VLOOKUP($A193,'Data shares'!$C:$FA,96)</f>
        <v>-176400</v>
      </c>
      <c r="M193" s="87">
        <f>VLOOKUP($A193,'Data shares'!$C:$FA,97)</f>
        <v>-4.9700000000000001E-2</v>
      </c>
      <c r="N193" s="86">
        <f>VLOOKUP($A193,'Data shares'!$C:$FA,78)</f>
        <v>13745725</v>
      </c>
      <c r="O193" s="87">
        <f>VLOOKUP($A193,'Data shares'!$C:$FA,81)</f>
        <v>-5.4000000000000003E-3</v>
      </c>
    </row>
    <row r="194" spans="1:15" x14ac:dyDescent="0.25">
      <c r="A194" s="100" t="str">
        <f>'Data Vlaue (Cr)'!C189</f>
        <v>SRF</v>
      </c>
      <c r="B194" s="82">
        <f>VLOOKUP(A194,'Data shares'!$C$2:$CV$220,98,0)</f>
        <v>7515400</v>
      </c>
      <c r="C194" s="82">
        <f>VLOOKUP(A194,'Data shares'!$C$2:$CX$220,100,0)</f>
        <v>26600</v>
      </c>
      <c r="D194" s="141">
        <f>VLOOKUP(A194,'Data shares'!$C$2:$CY$543,101,0)</f>
        <v>3.5999999999999999E-3</v>
      </c>
      <c r="E194" s="86">
        <f>VLOOKUP($A194,'Data shares'!$C:$FA,74)</f>
        <v>4253600</v>
      </c>
      <c r="F194" s="86">
        <f>VLOOKUP($A194,'Data shares'!$C:$FA,76)</f>
        <v>23400</v>
      </c>
      <c r="G194" s="87">
        <f>VLOOKUP(A194,'Data shares'!$C$2:$CA$220,77,0)</f>
        <v>5.4999999999999997E-3</v>
      </c>
      <c r="H194" s="86">
        <f>VLOOKUP($A194,'Data shares'!$C:$FA,90)</f>
        <v>2104000</v>
      </c>
      <c r="I194" s="86">
        <f>VLOOKUP($A194,'Data shares'!$C:$FA,92)</f>
        <v>48400</v>
      </c>
      <c r="J194" s="87">
        <f>VLOOKUP($A194,'Data shares'!$C:$FA,93)</f>
        <v>2.35E-2</v>
      </c>
      <c r="K194" s="86">
        <f>VLOOKUP($A194,'Data shares'!$C:$FA,94)</f>
        <v>1157800</v>
      </c>
      <c r="L194" s="86">
        <f>VLOOKUP($A194,'Data shares'!$C:$FA,96)</f>
        <v>-45200</v>
      </c>
      <c r="M194" s="87">
        <f>VLOOKUP($A194,'Data shares'!$C:$FA,97)</f>
        <v>-3.7600000000000001E-2</v>
      </c>
      <c r="N194" s="86">
        <f>VLOOKUP($A194,'Data shares'!$C:$FA,78)</f>
        <v>4016200</v>
      </c>
      <c r="O194" s="87">
        <f>VLOOKUP($A194,'Data shares'!$C:$FA,81)</f>
        <v>-5.8999999999999999E-3</v>
      </c>
    </row>
    <row r="195" spans="1:15" x14ac:dyDescent="0.25">
      <c r="A195" s="100" t="str">
        <f>'Data Vlaue (Cr)'!C190</f>
        <v>SUNPHARMA</v>
      </c>
      <c r="B195" s="82">
        <f>VLOOKUP(A195,'Data shares'!$C$2:$CV$220,98,0)</f>
        <v>32531800</v>
      </c>
      <c r="C195" s="82">
        <f>VLOOKUP(A195,'Data shares'!$C$2:$CX$220,100,0)</f>
        <v>-210000</v>
      </c>
      <c r="D195" s="141">
        <f>VLOOKUP(A195,'Data shares'!$C$2:$CY$543,101,0)</f>
        <v>-6.4000000000000003E-3</v>
      </c>
      <c r="E195" s="86">
        <f>VLOOKUP($A195,'Data shares'!$C:$FA,74)</f>
        <v>18735150</v>
      </c>
      <c r="F195" s="86">
        <f>VLOOKUP($A195,'Data shares'!$C:$FA,76)</f>
        <v>34650</v>
      </c>
      <c r="G195" s="87">
        <f>VLOOKUP(A195,'Data shares'!$C$2:$CA$220,77,0)</f>
        <v>1.9E-3</v>
      </c>
      <c r="H195" s="86">
        <f>VLOOKUP($A195,'Data shares'!$C:$FA,90)</f>
        <v>8292200</v>
      </c>
      <c r="I195" s="86">
        <f>VLOOKUP($A195,'Data shares'!$C:$FA,92)</f>
        <v>91700</v>
      </c>
      <c r="J195" s="87">
        <f>VLOOKUP($A195,'Data shares'!$C:$FA,93)</f>
        <v>1.12E-2</v>
      </c>
      <c r="K195" s="86">
        <f>VLOOKUP($A195,'Data shares'!$C:$FA,94)</f>
        <v>5504450</v>
      </c>
      <c r="L195" s="86">
        <f>VLOOKUP($A195,'Data shares'!$C:$FA,96)</f>
        <v>-336350</v>
      </c>
      <c r="M195" s="87">
        <f>VLOOKUP($A195,'Data shares'!$C:$FA,97)</f>
        <v>-5.7599999999999998E-2</v>
      </c>
      <c r="N195" s="86">
        <f>VLOOKUP($A195,'Data shares'!$C:$FA,78)</f>
        <v>14505750</v>
      </c>
      <c r="O195" s="87">
        <f>VLOOKUP($A195,'Data shares'!$C:$FA,81)</f>
        <v>-2.6700000000000002E-2</v>
      </c>
    </row>
    <row r="196" spans="1:15" x14ac:dyDescent="0.25">
      <c r="A196" s="100" t="str">
        <f>'Data Vlaue (Cr)'!C191</f>
        <v>SUPREMEIND</v>
      </c>
      <c r="B196" s="82">
        <f>VLOOKUP(A196,'Data shares'!$C$2:$CV$220,98,0)</f>
        <v>3478650</v>
      </c>
      <c r="C196" s="82">
        <f>VLOOKUP(A196,'Data shares'!$C$2:$CX$220,100,0)</f>
        <v>120575</v>
      </c>
      <c r="D196" s="141">
        <f>VLOOKUP(A196,'Data shares'!$C$2:$CY$543,101,0)</f>
        <v>3.5900000000000001E-2</v>
      </c>
      <c r="E196" s="86">
        <f>VLOOKUP($A196,'Data shares'!$C:$FA,74)</f>
        <v>2184175</v>
      </c>
      <c r="F196" s="86">
        <f>VLOOKUP($A196,'Data shares'!$C:$FA,76)</f>
        <v>22400</v>
      </c>
      <c r="G196" s="87">
        <f>VLOOKUP(A196,'Data shares'!$C$2:$CA$220,77,0)</f>
        <v>1.04E-2</v>
      </c>
      <c r="H196" s="86">
        <f>VLOOKUP($A196,'Data shares'!$C:$FA,90)</f>
        <v>862225</v>
      </c>
      <c r="I196" s="86">
        <f>VLOOKUP($A196,'Data shares'!$C:$FA,92)</f>
        <v>76475</v>
      </c>
      <c r="J196" s="87">
        <f>VLOOKUP($A196,'Data shares'!$C:$FA,93)</f>
        <v>9.7299999999999998E-2</v>
      </c>
      <c r="K196" s="86">
        <f>VLOOKUP($A196,'Data shares'!$C:$FA,94)</f>
        <v>432250</v>
      </c>
      <c r="L196" s="86">
        <f>VLOOKUP($A196,'Data shares'!$C:$FA,96)</f>
        <v>21700</v>
      </c>
      <c r="M196" s="87">
        <f>VLOOKUP($A196,'Data shares'!$C:$FA,97)</f>
        <v>5.2900000000000003E-2</v>
      </c>
      <c r="N196" s="86">
        <f>VLOOKUP($A196,'Data shares'!$C:$FA,78)</f>
        <v>2105075</v>
      </c>
      <c r="O196" s="87">
        <f>VLOOKUP($A196,'Data shares'!$C:$FA,81)</f>
        <v>6.8999999999999999E-3</v>
      </c>
    </row>
    <row r="197" spans="1:15" x14ac:dyDescent="0.25">
      <c r="A197" s="100" t="str">
        <f>'Data Vlaue (Cr)'!C192</f>
        <v>SUZLON</v>
      </c>
      <c r="B197" s="82">
        <f>VLOOKUP(A197,'Data shares'!$C$2:$CV$220,98,0)</f>
        <v>746367500</v>
      </c>
      <c r="C197" s="82">
        <f>VLOOKUP(A197,'Data shares'!$C$2:$CX$220,100,0)</f>
        <v>36758825</v>
      </c>
      <c r="D197" s="141">
        <f>VLOOKUP(A197,'Data shares'!$C$2:$CY$543,101,0)</f>
        <v>5.1799999999999999E-2</v>
      </c>
      <c r="E197" s="86">
        <f>VLOOKUP($A197,'Data shares'!$C:$FA,74)</f>
        <v>369510575</v>
      </c>
      <c r="F197" s="86">
        <f>VLOOKUP($A197,'Data shares'!$C:$FA,76)</f>
        <v>9692850</v>
      </c>
      <c r="G197" s="87">
        <f>VLOOKUP(A197,'Data shares'!$C$2:$CA$220,77,0)</f>
        <v>2.69E-2</v>
      </c>
      <c r="H197" s="86">
        <f>VLOOKUP($A197,'Data shares'!$C:$FA,90)</f>
        <v>207141800</v>
      </c>
      <c r="I197" s="86">
        <f>VLOOKUP($A197,'Data shares'!$C:$FA,92)</f>
        <v>29800550</v>
      </c>
      <c r="J197" s="87">
        <f>VLOOKUP($A197,'Data shares'!$C:$FA,93)</f>
        <v>0.16800000000000001</v>
      </c>
      <c r="K197" s="86">
        <f>VLOOKUP($A197,'Data shares'!$C:$FA,94)</f>
        <v>169715125</v>
      </c>
      <c r="L197" s="86">
        <f>VLOOKUP($A197,'Data shares'!$C:$FA,96)</f>
        <v>-2734575</v>
      </c>
      <c r="M197" s="87">
        <f>VLOOKUP($A197,'Data shares'!$C:$FA,97)</f>
        <v>-1.5900000000000001E-2</v>
      </c>
      <c r="N197" s="86">
        <f>VLOOKUP($A197,'Data shares'!$C:$FA,78)</f>
        <v>305333800</v>
      </c>
      <c r="O197" s="87">
        <f>VLOOKUP($A197,'Data shares'!$C:$FA,81)</f>
        <v>-1.3899999999999999E-2</v>
      </c>
    </row>
    <row r="198" spans="1:15" x14ac:dyDescent="0.25">
      <c r="A198" s="100" t="str">
        <f>'Data Vlaue (Cr)'!C193</f>
        <v>SWIGGY</v>
      </c>
      <c r="B198" s="82">
        <f>VLOOKUP(A198,'Data shares'!$C$2:$CV$220,98,0)</f>
        <v>69763200</v>
      </c>
      <c r="C198" s="82">
        <f>VLOOKUP(A198,'Data shares'!$C$2:$CX$220,100,0)</f>
        <v>-148200</v>
      </c>
      <c r="D198" s="141">
        <f>VLOOKUP(A198,'Data shares'!$C$2:$CY$543,101,0)</f>
        <v>-2.0999999999999999E-3</v>
      </c>
      <c r="E198" s="86">
        <f>VLOOKUP($A198,'Data shares'!$C:$FA,74)</f>
        <v>52107900</v>
      </c>
      <c r="F198" s="86">
        <f>VLOOKUP($A198,'Data shares'!$C:$FA,76)</f>
        <v>624000</v>
      </c>
      <c r="G198" s="87">
        <f>VLOOKUP(A198,'Data shares'!$C$2:$CA$220,77,0)</f>
        <v>1.21E-2</v>
      </c>
      <c r="H198" s="86">
        <f>VLOOKUP($A198,'Data shares'!$C:$FA,90)</f>
        <v>11285300</v>
      </c>
      <c r="I198" s="86">
        <f>VLOOKUP($A198,'Data shares'!$C:$FA,92)</f>
        <v>-564200</v>
      </c>
      <c r="J198" s="87">
        <f>VLOOKUP($A198,'Data shares'!$C:$FA,93)</f>
        <v>-4.7600000000000003E-2</v>
      </c>
      <c r="K198" s="86">
        <f>VLOOKUP($A198,'Data shares'!$C:$FA,94)</f>
        <v>6370000</v>
      </c>
      <c r="L198" s="86">
        <f>VLOOKUP($A198,'Data shares'!$C:$FA,96)</f>
        <v>-208000</v>
      </c>
      <c r="M198" s="87">
        <f>VLOOKUP($A198,'Data shares'!$C:$FA,97)</f>
        <v>-3.1600000000000003E-2</v>
      </c>
      <c r="N198" s="86">
        <f>VLOOKUP($A198,'Data shares'!$C:$FA,78)</f>
        <v>49331100</v>
      </c>
      <c r="O198" s="87">
        <f>VLOOKUP($A198,'Data shares'!$C:$FA,81)</f>
        <v>-5.4000000000000003E-3</v>
      </c>
    </row>
    <row r="199" spans="1:15" x14ac:dyDescent="0.25">
      <c r="A199" s="100" t="str">
        <f>'Data Vlaue (Cr)'!C194</f>
        <v>TATACONSUM</v>
      </c>
      <c r="B199" s="82">
        <f>VLOOKUP(A199,'Data shares'!$C$2:$CV$220,98,0)</f>
        <v>18013050</v>
      </c>
      <c r="C199" s="82">
        <f>VLOOKUP(A199,'Data shares'!$C$2:$CX$220,100,0)</f>
        <v>-147950</v>
      </c>
      <c r="D199" s="141">
        <f>VLOOKUP(A199,'Data shares'!$C$2:$CY$543,101,0)</f>
        <v>-8.0999999999999996E-3</v>
      </c>
      <c r="E199" s="86">
        <f>VLOOKUP($A199,'Data shares'!$C:$FA,74)</f>
        <v>13081750</v>
      </c>
      <c r="F199" s="86">
        <f>VLOOKUP($A199,'Data shares'!$C:$FA,76)</f>
        <v>-170500</v>
      </c>
      <c r="G199" s="87">
        <f>VLOOKUP(A199,'Data shares'!$C$2:$CA$220,77,0)</f>
        <v>-1.29E-2</v>
      </c>
      <c r="H199" s="86">
        <f>VLOOKUP($A199,'Data shares'!$C:$FA,90)</f>
        <v>2314400</v>
      </c>
      <c r="I199" s="86">
        <f>VLOOKUP($A199,'Data shares'!$C:$FA,92)</f>
        <v>-136950</v>
      </c>
      <c r="J199" s="87">
        <f>VLOOKUP($A199,'Data shares'!$C:$FA,93)</f>
        <v>-5.5899999999999998E-2</v>
      </c>
      <c r="K199" s="86">
        <f>VLOOKUP($A199,'Data shares'!$C:$FA,94)</f>
        <v>2616900</v>
      </c>
      <c r="L199" s="86">
        <f>VLOOKUP($A199,'Data shares'!$C:$FA,96)</f>
        <v>159500</v>
      </c>
      <c r="M199" s="87">
        <f>VLOOKUP($A199,'Data shares'!$C:$FA,97)</f>
        <v>6.4899999999999999E-2</v>
      </c>
      <c r="N199" s="86">
        <f>VLOOKUP($A199,'Data shares'!$C:$FA,78)</f>
        <v>12154450</v>
      </c>
      <c r="O199" s="87">
        <f>VLOOKUP($A199,'Data shares'!$C:$FA,81)</f>
        <v>-1.7600000000000001E-2</v>
      </c>
    </row>
    <row r="200" spans="1:15" x14ac:dyDescent="0.25">
      <c r="A200" s="100" t="str">
        <f>'Data Vlaue (Cr)'!C195</f>
        <v>TATAELXSI</v>
      </c>
      <c r="B200" s="82">
        <f>VLOOKUP(A200,'Data shares'!$C$2:$CV$220,98,0)</f>
        <v>3411800</v>
      </c>
      <c r="C200" s="82">
        <f>VLOOKUP(A200,'Data shares'!$C$2:$CX$220,100,0)</f>
        <v>190300</v>
      </c>
      <c r="D200" s="141">
        <f>VLOOKUP(A200,'Data shares'!$C$2:$CY$543,101,0)</f>
        <v>5.91E-2</v>
      </c>
      <c r="E200" s="86">
        <f>VLOOKUP($A200,'Data shares'!$C:$FA,74)</f>
        <v>1828000</v>
      </c>
      <c r="F200" s="86">
        <f>VLOOKUP($A200,'Data shares'!$C:$FA,76)</f>
        <v>24700</v>
      </c>
      <c r="G200" s="87">
        <f>VLOOKUP(A200,'Data shares'!$C$2:$CA$220,77,0)</f>
        <v>1.37E-2</v>
      </c>
      <c r="H200" s="86">
        <f>VLOOKUP($A200,'Data shares'!$C:$FA,90)</f>
        <v>1049300</v>
      </c>
      <c r="I200" s="86">
        <f>VLOOKUP($A200,'Data shares'!$C:$FA,92)</f>
        <v>134100</v>
      </c>
      <c r="J200" s="87">
        <f>VLOOKUP($A200,'Data shares'!$C:$FA,93)</f>
        <v>0.14649999999999999</v>
      </c>
      <c r="K200" s="86">
        <f>VLOOKUP($A200,'Data shares'!$C:$FA,94)</f>
        <v>534500</v>
      </c>
      <c r="L200" s="86">
        <f>VLOOKUP($A200,'Data shares'!$C:$FA,96)</f>
        <v>31500</v>
      </c>
      <c r="M200" s="87">
        <f>VLOOKUP($A200,'Data shares'!$C:$FA,97)</f>
        <v>6.2600000000000003E-2</v>
      </c>
      <c r="N200" s="86">
        <f>VLOOKUP($A200,'Data shares'!$C:$FA,78)</f>
        <v>1427300</v>
      </c>
      <c r="O200" s="87">
        <f>VLOOKUP($A200,'Data shares'!$C:$FA,81)</f>
        <v>-1.3599999999999999E-2</v>
      </c>
    </row>
    <row r="201" spans="1:15" x14ac:dyDescent="0.25">
      <c r="A201" s="100" t="str">
        <f>'Data Vlaue (Cr)'!C196</f>
        <v>TATAPOWER</v>
      </c>
      <c r="B201" s="82">
        <f>VLOOKUP(A201,'Data shares'!$C$2:$CV$220,98,0)</f>
        <v>124672450</v>
      </c>
      <c r="C201" s="82">
        <f>VLOOKUP(A201,'Data shares'!$C$2:$CX$220,100,0)</f>
        <v>-474150</v>
      </c>
      <c r="D201" s="141">
        <f>VLOOKUP(A201,'Data shares'!$C$2:$CY$543,101,0)</f>
        <v>-3.8E-3</v>
      </c>
      <c r="E201" s="86">
        <f>VLOOKUP($A201,'Data shares'!$C:$FA,74)</f>
        <v>58635100</v>
      </c>
      <c r="F201" s="86">
        <f>VLOOKUP($A201,'Data shares'!$C:$FA,76)</f>
        <v>1532650</v>
      </c>
      <c r="G201" s="87">
        <f>VLOOKUP(A201,'Data shares'!$C$2:$CA$220,77,0)</f>
        <v>2.6800000000000001E-2</v>
      </c>
      <c r="H201" s="86">
        <f>VLOOKUP($A201,'Data shares'!$C:$FA,90)</f>
        <v>35801950</v>
      </c>
      <c r="I201" s="86">
        <f>VLOOKUP($A201,'Data shares'!$C:$FA,92)</f>
        <v>-867100</v>
      </c>
      <c r="J201" s="87">
        <f>VLOOKUP($A201,'Data shares'!$C:$FA,93)</f>
        <v>-2.3599999999999999E-2</v>
      </c>
      <c r="K201" s="86">
        <f>VLOOKUP($A201,'Data shares'!$C:$FA,94)</f>
        <v>30235400</v>
      </c>
      <c r="L201" s="86">
        <f>VLOOKUP($A201,'Data shares'!$C:$FA,96)</f>
        <v>-1139700</v>
      </c>
      <c r="M201" s="87">
        <f>VLOOKUP($A201,'Data shares'!$C:$FA,97)</f>
        <v>-3.6299999999999999E-2</v>
      </c>
      <c r="N201" s="86">
        <f>VLOOKUP($A201,'Data shares'!$C:$FA,78)</f>
        <v>51447450</v>
      </c>
      <c r="O201" s="87">
        <f>VLOOKUP($A201,'Data shares'!$C:$FA,81)</f>
        <v>6.0000000000000001E-3</v>
      </c>
    </row>
    <row r="202" spans="1:15" x14ac:dyDescent="0.25">
      <c r="A202" s="100" t="str">
        <f>'Data Vlaue (Cr)'!C197</f>
        <v>TATASTEEL</v>
      </c>
      <c r="B202" s="82">
        <f>VLOOKUP(A202,'Data shares'!$C$2:$CV$220,98,0)</f>
        <v>399443000</v>
      </c>
      <c r="C202" s="82">
        <f>VLOOKUP(A202,'Data shares'!$C$2:$CX$220,100,0)</f>
        <v>4790500</v>
      </c>
      <c r="D202" s="141">
        <f>VLOOKUP(A202,'Data shares'!$C$2:$CY$543,101,0)</f>
        <v>1.21E-2</v>
      </c>
      <c r="E202" s="86">
        <f>VLOOKUP($A202,'Data shares'!$C:$FA,74)</f>
        <v>179333000</v>
      </c>
      <c r="F202" s="86">
        <f>VLOOKUP($A202,'Data shares'!$C:$FA,76)</f>
        <v>995500</v>
      </c>
      <c r="G202" s="87">
        <f>VLOOKUP(A202,'Data shares'!$C$2:$CA$220,77,0)</f>
        <v>5.5999999999999999E-3</v>
      </c>
      <c r="H202" s="86">
        <f>VLOOKUP($A202,'Data shares'!$C:$FA,90)</f>
        <v>119295000</v>
      </c>
      <c r="I202" s="86">
        <f>VLOOKUP($A202,'Data shares'!$C:$FA,92)</f>
        <v>2860000</v>
      </c>
      <c r="J202" s="87">
        <f>VLOOKUP($A202,'Data shares'!$C:$FA,93)</f>
        <v>2.46E-2</v>
      </c>
      <c r="K202" s="86">
        <f>VLOOKUP($A202,'Data shares'!$C:$FA,94)</f>
        <v>100815000</v>
      </c>
      <c r="L202" s="86">
        <f>VLOOKUP($A202,'Data shares'!$C:$FA,96)</f>
        <v>935000</v>
      </c>
      <c r="M202" s="87">
        <f>VLOOKUP($A202,'Data shares'!$C:$FA,97)</f>
        <v>9.4000000000000004E-3</v>
      </c>
      <c r="N202" s="86">
        <f>VLOOKUP($A202,'Data shares'!$C:$FA,78)</f>
        <v>150826500</v>
      </c>
      <c r="O202" s="87">
        <f>VLOOKUP($A202,'Data shares'!$C:$FA,81)</f>
        <v>-1.83E-2</v>
      </c>
    </row>
    <row r="203" spans="1:15" x14ac:dyDescent="0.25">
      <c r="A203" s="100" t="str">
        <f>'Data Vlaue (Cr)'!C198</f>
        <v>TATATECH</v>
      </c>
      <c r="B203" s="82">
        <f>VLOOKUP(A203,'Data shares'!$C$2:$CV$220,98,0)</f>
        <v>10565600</v>
      </c>
      <c r="C203" s="82">
        <f>VLOOKUP(A203,'Data shares'!$C$2:$CX$220,100,0)</f>
        <v>-98400</v>
      </c>
      <c r="D203" s="141">
        <f>VLOOKUP(A203,'Data shares'!$C$2:$CY$543,101,0)</f>
        <v>-9.1999999999999998E-3</v>
      </c>
      <c r="E203" s="86">
        <f>VLOOKUP($A203,'Data shares'!$C:$FA,74)</f>
        <v>5898400</v>
      </c>
      <c r="F203" s="86">
        <f>VLOOKUP($A203,'Data shares'!$C:$FA,76)</f>
        <v>-211200</v>
      </c>
      <c r="G203" s="87">
        <f>VLOOKUP(A203,'Data shares'!$C$2:$CA$220,77,0)</f>
        <v>-3.4599999999999999E-2</v>
      </c>
      <c r="H203" s="86">
        <f>VLOOKUP($A203,'Data shares'!$C:$FA,90)</f>
        <v>2841600</v>
      </c>
      <c r="I203" s="86">
        <f>VLOOKUP($A203,'Data shares'!$C:$FA,92)</f>
        <v>104800</v>
      </c>
      <c r="J203" s="87">
        <f>VLOOKUP($A203,'Data shares'!$C:$FA,93)</f>
        <v>3.8300000000000001E-2</v>
      </c>
      <c r="K203" s="86">
        <f>VLOOKUP($A203,'Data shares'!$C:$FA,94)</f>
        <v>1825600</v>
      </c>
      <c r="L203" s="86">
        <f>VLOOKUP($A203,'Data shares'!$C:$FA,96)</f>
        <v>8000</v>
      </c>
      <c r="M203" s="87">
        <f>VLOOKUP($A203,'Data shares'!$C:$FA,97)</f>
        <v>4.4000000000000003E-3</v>
      </c>
      <c r="N203" s="86">
        <f>VLOOKUP($A203,'Data shares'!$C:$FA,78)</f>
        <v>5898400</v>
      </c>
      <c r="O203" s="87">
        <f>VLOOKUP($A203,'Data shares'!$C:$FA,81)</f>
        <v>-3.4599999999999999E-2</v>
      </c>
    </row>
    <row r="204" spans="1:15" x14ac:dyDescent="0.25">
      <c r="A204" s="100" t="str">
        <f>'Data Vlaue (Cr)'!C199</f>
        <v>TCS</v>
      </c>
      <c r="B204" s="82">
        <f>VLOOKUP(A204,'Data shares'!$C$2:$CV$220,98,0)</f>
        <v>64308825</v>
      </c>
      <c r="C204" s="82">
        <f>VLOOKUP(A204,'Data shares'!$C$2:$CX$220,100,0)</f>
        <v>-1174250</v>
      </c>
      <c r="D204" s="141">
        <f>VLOOKUP(A204,'Data shares'!$C$2:$CY$543,101,0)</f>
        <v>-1.7899999999999999E-2</v>
      </c>
      <c r="E204" s="86">
        <f>VLOOKUP($A204,'Data shares'!$C:$FA,74)</f>
        <v>35568750</v>
      </c>
      <c r="F204" s="86">
        <f>VLOOKUP($A204,'Data shares'!$C:$FA,76)</f>
        <v>7525</v>
      </c>
      <c r="G204" s="87">
        <f>VLOOKUP(A204,'Data shares'!$C$2:$CA$220,77,0)</f>
        <v>2.0000000000000001E-4</v>
      </c>
      <c r="H204" s="86">
        <f>VLOOKUP($A204,'Data shares'!$C:$FA,90)</f>
        <v>17157350</v>
      </c>
      <c r="I204" s="86">
        <f>VLOOKUP($A204,'Data shares'!$C:$FA,92)</f>
        <v>-930825</v>
      </c>
      <c r="J204" s="87">
        <f>VLOOKUP($A204,'Data shares'!$C:$FA,93)</f>
        <v>-5.1499999999999997E-2</v>
      </c>
      <c r="K204" s="86">
        <f>VLOOKUP($A204,'Data shares'!$C:$FA,94)</f>
        <v>11582725</v>
      </c>
      <c r="L204" s="86">
        <f>VLOOKUP($A204,'Data shares'!$C:$FA,96)</f>
        <v>-250950</v>
      </c>
      <c r="M204" s="87">
        <f>VLOOKUP($A204,'Data shares'!$C:$FA,97)</f>
        <v>-2.12E-2</v>
      </c>
      <c r="N204" s="86">
        <f>VLOOKUP($A204,'Data shares'!$C:$FA,78)</f>
        <v>31798025</v>
      </c>
      <c r="O204" s="87">
        <f>VLOOKUP($A204,'Data shares'!$C:$FA,81)</f>
        <v>-9.2999999999999992E-3</v>
      </c>
    </row>
    <row r="205" spans="1:15" x14ac:dyDescent="0.25">
      <c r="A205" s="100" t="str">
        <f>'Data Vlaue (Cr)'!C200</f>
        <v>TECHM</v>
      </c>
      <c r="B205" s="82">
        <f>VLOOKUP(A205,'Data shares'!$C$2:$CV$220,98,0)</f>
        <v>27295200</v>
      </c>
      <c r="C205" s="82">
        <f>VLOOKUP(A205,'Data shares'!$C$2:$CX$220,100,0)</f>
        <v>-492600</v>
      </c>
      <c r="D205" s="141">
        <f>VLOOKUP(A205,'Data shares'!$C$2:$CY$543,101,0)</f>
        <v>-1.77E-2</v>
      </c>
      <c r="E205" s="86">
        <f>VLOOKUP($A205,'Data shares'!$C:$FA,74)</f>
        <v>18578400</v>
      </c>
      <c r="F205" s="86">
        <f>VLOOKUP($A205,'Data shares'!$C:$FA,76)</f>
        <v>-46800</v>
      </c>
      <c r="G205" s="87">
        <f>VLOOKUP(A205,'Data shares'!$C$2:$CA$220,77,0)</f>
        <v>-2.5000000000000001E-3</v>
      </c>
      <c r="H205" s="86">
        <f>VLOOKUP($A205,'Data shares'!$C:$FA,90)</f>
        <v>4807200</v>
      </c>
      <c r="I205" s="86">
        <f>VLOOKUP($A205,'Data shares'!$C:$FA,92)</f>
        <v>-169800</v>
      </c>
      <c r="J205" s="87">
        <f>VLOOKUP($A205,'Data shares'!$C:$FA,93)</f>
        <v>-3.4099999999999998E-2</v>
      </c>
      <c r="K205" s="86">
        <f>VLOOKUP($A205,'Data shares'!$C:$FA,94)</f>
        <v>3909600</v>
      </c>
      <c r="L205" s="86">
        <f>VLOOKUP($A205,'Data shares'!$C:$FA,96)</f>
        <v>-276000</v>
      </c>
      <c r="M205" s="87">
        <f>VLOOKUP($A205,'Data shares'!$C:$FA,97)</f>
        <v>-6.59E-2</v>
      </c>
      <c r="N205" s="86">
        <f>VLOOKUP($A205,'Data shares'!$C:$FA,78)</f>
        <v>17670600</v>
      </c>
      <c r="O205" s="87">
        <f>VLOOKUP($A205,'Data shares'!$C:$FA,81)</f>
        <v>-7.0000000000000001E-3</v>
      </c>
    </row>
    <row r="206" spans="1:15" x14ac:dyDescent="0.25">
      <c r="A206" s="100" t="str">
        <f>'Data Vlaue (Cr)'!C201</f>
        <v>TIINDIA</v>
      </c>
      <c r="B206" s="82">
        <f>VLOOKUP(A206,'Data shares'!$C$2:$CV$220,98,0)</f>
        <v>3722600</v>
      </c>
      <c r="C206" s="82">
        <f>VLOOKUP(A206,'Data shares'!$C$2:$CX$220,100,0)</f>
        <v>275800</v>
      </c>
      <c r="D206" s="141">
        <f>VLOOKUP(A206,'Data shares'!$C$2:$CY$543,101,0)</f>
        <v>0.08</v>
      </c>
      <c r="E206" s="86">
        <f>VLOOKUP($A206,'Data shares'!$C:$FA,74)</f>
        <v>2642200</v>
      </c>
      <c r="F206" s="86">
        <f>VLOOKUP($A206,'Data shares'!$C:$FA,76)</f>
        <v>-11400</v>
      </c>
      <c r="G206" s="87">
        <f>VLOOKUP(A206,'Data shares'!$C$2:$CA$220,77,0)</f>
        <v>-4.3E-3</v>
      </c>
      <c r="H206" s="86">
        <f>VLOOKUP($A206,'Data shares'!$C:$FA,90)</f>
        <v>730800</v>
      </c>
      <c r="I206" s="86">
        <f>VLOOKUP($A206,'Data shares'!$C:$FA,92)</f>
        <v>178200</v>
      </c>
      <c r="J206" s="87">
        <f>VLOOKUP($A206,'Data shares'!$C:$FA,93)</f>
        <v>0.32250000000000001</v>
      </c>
      <c r="K206" s="86">
        <f>VLOOKUP($A206,'Data shares'!$C:$FA,94)</f>
        <v>349600</v>
      </c>
      <c r="L206" s="86">
        <f>VLOOKUP($A206,'Data shares'!$C:$FA,96)</f>
        <v>109000</v>
      </c>
      <c r="M206" s="87">
        <f>VLOOKUP($A206,'Data shares'!$C:$FA,97)</f>
        <v>0.45300000000000001</v>
      </c>
      <c r="N206" s="86">
        <f>VLOOKUP($A206,'Data shares'!$C:$FA,78)</f>
        <v>2575400</v>
      </c>
      <c r="O206" s="87">
        <f>VLOOKUP($A206,'Data shares'!$C:$FA,81)</f>
        <v>-1.4800000000000001E-2</v>
      </c>
    </row>
    <row r="207" spans="1:15" x14ac:dyDescent="0.25">
      <c r="A207" s="100" t="str">
        <f>'Data Vlaue (Cr)'!C202</f>
        <v>TITAN</v>
      </c>
      <c r="B207" s="82">
        <f>VLOOKUP(A207,'Data shares'!$C$2:$CV$220,98,0)</f>
        <v>15980475</v>
      </c>
      <c r="C207" s="82">
        <f>VLOOKUP(A207,'Data shares'!$C$2:$CX$220,100,0)</f>
        <v>-134750</v>
      </c>
      <c r="D207" s="141">
        <f>VLOOKUP(A207,'Data shares'!$C$2:$CY$543,101,0)</f>
        <v>-8.3999999999999995E-3</v>
      </c>
      <c r="E207" s="86">
        <f>VLOOKUP($A207,'Data shares'!$C:$FA,74)</f>
        <v>8856925</v>
      </c>
      <c r="F207" s="86">
        <f>VLOOKUP($A207,'Data shares'!$C:$FA,76)</f>
        <v>-119350</v>
      </c>
      <c r="G207" s="87">
        <f>VLOOKUP(A207,'Data shares'!$C$2:$CA$220,77,0)</f>
        <v>-1.3299999999999999E-2</v>
      </c>
      <c r="H207" s="86">
        <f>VLOOKUP($A207,'Data shares'!$C:$FA,90)</f>
        <v>3971275</v>
      </c>
      <c r="I207" s="86">
        <f>VLOOKUP($A207,'Data shares'!$C:$FA,92)</f>
        <v>35350</v>
      </c>
      <c r="J207" s="87">
        <f>VLOOKUP($A207,'Data shares'!$C:$FA,93)</f>
        <v>8.9999999999999993E-3</v>
      </c>
      <c r="K207" s="86">
        <f>VLOOKUP($A207,'Data shares'!$C:$FA,94)</f>
        <v>3152275</v>
      </c>
      <c r="L207" s="86">
        <f>VLOOKUP($A207,'Data shares'!$C:$FA,96)</f>
        <v>-50750</v>
      </c>
      <c r="M207" s="87">
        <f>VLOOKUP($A207,'Data shares'!$C:$FA,97)</f>
        <v>-1.5800000000000002E-2</v>
      </c>
      <c r="N207" s="86">
        <f>VLOOKUP($A207,'Data shares'!$C:$FA,78)</f>
        <v>7881825</v>
      </c>
      <c r="O207" s="87">
        <f>VLOOKUP($A207,'Data shares'!$C:$FA,81)</f>
        <v>-2.0199999999999999E-2</v>
      </c>
    </row>
    <row r="208" spans="1:15" x14ac:dyDescent="0.25">
      <c r="A208" s="100" t="str">
        <f>'Data Vlaue (Cr)'!C203</f>
        <v>TMPV</v>
      </c>
      <c r="B208" s="82">
        <f>VLOOKUP(A208,'Data shares'!$C$2:$CV$220,98,0)</f>
        <v>125559200</v>
      </c>
      <c r="C208" s="82">
        <f>VLOOKUP(A208,'Data shares'!$C$2:$CX$220,100,0)</f>
        <v>2183200</v>
      </c>
      <c r="D208" s="141">
        <f>VLOOKUP(A208,'Data shares'!$C$2:$CY$543,101,0)</f>
        <v>1.77E-2</v>
      </c>
      <c r="E208" s="86">
        <f>VLOOKUP($A208,'Data shares'!$C:$FA,74)</f>
        <v>59936000</v>
      </c>
      <c r="F208" s="86">
        <f>VLOOKUP($A208,'Data shares'!$C:$FA,76)</f>
        <v>1348800</v>
      </c>
      <c r="G208" s="87">
        <f>VLOOKUP(A208,'Data shares'!$C$2:$CA$220,77,0)</f>
        <v>2.3E-2</v>
      </c>
      <c r="H208" s="86">
        <f>VLOOKUP($A208,'Data shares'!$C:$FA,90)</f>
        <v>36602400</v>
      </c>
      <c r="I208" s="86">
        <f>VLOOKUP($A208,'Data shares'!$C:$FA,92)</f>
        <v>698400</v>
      </c>
      <c r="J208" s="87">
        <f>VLOOKUP($A208,'Data shares'!$C:$FA,93)</f>
        <v>1.95E-2</v>
      </c>
      <c r="K208" s="86">
        <f>VLOOKUP($A208,'Data shares'!$C:$FA,94)</f>
        <v>29020800</v>
      </c>
      <c r="L208" s="86">
        <f>VLOOKUP($A208,'Data shares'!$C:$FA,96)</f>
        <v>136000</v>
      </c>
      <c r="M208" s="87">
        <f>VLOOKUP($A208,'Data shares'!$C:$FA,97)</f>
        <v>4.7000000000000002E-3</v>
      </c>
      <c r="N208" s="86">
        <f>VLOOKUP($A208,'Data shares'!$C:$FA,78)</f>
        <v>51692000</v>
      </c>
      <c r="O208" s="87">
        <f>VLOOKUP($A208,'Data shares'!$C:$FA,81)</f>
        <v>3.2000000000000002E-3</v>
      </c>
    </row>
    <row r="209" spans="1:15" x14ac:dyDescent="0.25">
      <c r="A209" s="100" t="str">
        <f>'Data Vlaue (Cr)'!C204</f>
        <v>TORNTPHARM</v>
      </c>
      <c r="B209" s="82">
        <f>VLOOKUP(A209,'Data shares'!$C$2:$CV$220,98,0)</f>
        <v>4360250</v>
      </c>
      <c r="C209" s="82">
        <f>VLOOKUP(A209,'Data shares'!$C$2:$CX$220,100,0)</f>
        <v>40250</v>
      </c>
      <c r="D209" s="141">
        <f>VLOOKUP(A209,'Data shares'!$C$2:$CY$543,101,0)</f>
        <v>9.2999999999999992E-3</v>
      </c>
      <c r="E209" s="86">
        <f>VLOOKUP($A209,'Data shares'!$C:$FA,74)</f>
        <v>3252750</v>
      </c>
      <c r="F209" s="86">
        <f>VLOOKUP($A209,'Data shares'!$C:$FA,76)</f>
        <v>71250</v>
      </c>
      <c r="G209" s="87">
        <f>VLOOKUP(A209,'Data shares'!$C$2:$CA$220,77,0)</f>
        <v>2.24E-2</v>
      </c>
      <c r="H209" s="86">
        <f>VLOOKUP($A209,'Data shares'!$C:$FA,90)</f>
        <v>648750</v>
      </c>
      <c r="I209" s="86">
        <f>VLOOKUP($A209,'Data shares'!$C:$FA,92)</f>
        <v>-20000</v>
      </c>
      <c r="J209" s="87">
        <f>VLOOKUP($A209,'Data shares'!$C:$FA,93)</f>
        <v>-2.9899999999999999E-2</v>
      </c>
      <c r="K209" s="86">
        <f>VLOOKUP($A209,'Data shares'!$C:$FA,94)</f>
        <v>458750</v>
      </c>
      <c r="L209" s="86">
        <f>VLOOKUP($A209,'Data shares'!$C:$FA,96)</f>
        <v>-11000</v>
      </c>
      <c r="M209" s="87">
        <f>VLOOKUP($A209,'Data shares'!$C:$FA,97)</f>
        <v>-2.3400000000000001E-2</v>
      </c>
      <c r="N209" s="86">
        <f>VLOOKUP($A209,'Data shares'!$C:$FA,78)</f>
        <v>3100500</v>
      </c>
      <c r="O209" s="87">
        <f>VLOOKUP($A209,'Data shares'!$C:$FA,81)</f>
        <v>-9.2999999999999992E-3</v>
      </c>
    </row>
    <row r="210" spans="1:15" x14ac:dyDescent="0.25">
      <c r="A210" s="100" t="str">
        <f>'Data Vlaue (Cr)'!C205</f>
        <v>TORNTPOWER</v>
      </c>
      <c r="B210" s="82">
        <f>VLOOKUP(A210,'Data shares'!$C$2:$CV$220,98,0)</f>
        <v>6272150</v>
      </c>
      <c r="C210" s="82">
        <f>VLOOKUP(A210,'Data shares'!$C$2:$CX$220,100,0)</f>
        <v>1178100</v>
      </c>
      <c r="D210" s="141">
        <f>VLOOKUP(A210,'Data shares'!$C$2:$CY$543,101,0)</f>
        <v>0.23130000000000001</v>
      </c>
      <c r="E210" s="86">
        <f>VLOOKUP($A210,'Data shares'!$C:$FA,74)</f>
        <v>3134375</v>
      </c>
      <c r="F210" s="86">
        <f>VLOOKUP($A210,'Data shares'!$C:$FA,76)</f>
        <v>-13600</v>
      </c>
      <c r="G210" s="87">
        <f>VLOOKUP(A210,'Data shares'!$C$2:$CA$220,77,0)</f>
        <v>-4.3E-3</v>
      </c>
      <c r="H210" s="86">
        <f>VLOOKUP($A210,'Data shares'!$C:$FA,90)</f>
        <v>1770125</v>
      </c>
      <c r="I210" s="86">
        <f>VLOOKUP($A210,'Data shares'!$C:$FA,92)</f>
        <v>643450</v>
      </c>
      <c r="J210" s="87">
        <f>VLOOKUP($A210,'Data shares'!$C:$FA,93)</f>
        <v>0.57110000000000005</v>
      </c>
      <c r="K210" s="86">
        <f>VLOOKUP($A210,'Data shares'!$C:$FA,94)</f>
        <v>1367650</v>
      </c>
      <c r="L210" s="86">
        <f>VLOOKUP($A210,'Data shares'!$C:$FA,96)</f>
        <v>548250</v>
      </c>
      <c r="M210" s="87">
        <f>VLOOKUP($A210,'Data shares'!$C:$FA,97)</f>
        <v>0.66910000000000003</v>
      </c>
      <c r="N210" s="86">
        <f>VLOOKUP($A210,'Data shares'!$C:$FA,78)</f>
        <v>3134375</v>
      </c>
      <c r="O210" s="87">
        <f>VLOOKUP($A210,'Data shares'!$C:$FA,81)</f>
        <v>-4.3E-3</v>
      </c>
    </row>
    <row r="211" spans="1:15" x14ac:dyDescent="0.25">
      <c r="A211" s="100" t="str">
        <f>'Data Vlaue (Cr)'!C206</f>
        <v>TRENT</v>
      </c>
      <c r="B211" s="82">
        <f>VLOOKUP(A211,'Data shares'!$C$2:$CV$220,98,0)</f>
        <v>14247400</v>
      </c>
      <c r="C211" s="82">
        <f>VLOOKUP(A211,'Data shares'!$C$2:$CX$220,100,0)</f>
        <v>646600</v>
      </c>
      <c r="D211" s="141">
        <f>VLOOKUP(A211,'Data shares'!$C$2:$CY$543,101,0)</f>
        <v>4.7500000000000001E-2</v>
      </c>
      <c r="E211" s="86">
        <f>VLOOKUP($A211,'Data shares'!$C:$FA,74)</f>
        <v>8094400</v>
      </c>
      <c r="F211" s="86">
        <f>VLOOKUP($A211,'Data shares'!$C:$FA,76)</f>
        <v>-71800</v>
      </c>
      <c r="G211" s="87">
        <f>VLOOKUP(A211,'Data shares'!$C$2:$CA$220,77,0)</f>
        <v>-8.8000000000000005E-3</v>
      </c>
      <c r="H211" s="86">
        <f>VLOOKUP($A211,'Data shares'!$C:$FA,90)</f>
        <v>3336200</v>
      </c>
      <c r="I211" s="86">
        <f>VLOOKUP($A211,'Data shares'!$C:$FA,92)</f>
        <v>412600</v>
      </c>
      <c r="J211" s="87">
        <f>VLOOKUP($A211,'Data shares'!$C:$FA,93)</f>
        <v>0.1411</v>
      </c>
      <c r="K211" s="86">
        <f>VLOOKUP($A211,'Data shares'!$C:$FA,94)</f>
        <v>2816800</v>
      </c>
      <c r="L211" s="86">
        <f>VLOOKUP($A211,'Data shares'!$C:$FA,96)</f>
        <v>305800</v>
      </c>
      <c r="M211" s="87">
        <f>VLOOKUP($A211,'Data shares'!$C:$FA,97)</f>
        <v>0.12180000000000001</v>
      </c>
      <c r="N211" s="86">
        <f>VLOOKUP($A211,'Data shares'!$C:$FA,78)</f>
        <v>6818100</v>
      </c>
      <c r="O211" s="87">
        <f>VLOOKUP($A211,'Data shares'!$C:$FA,81)</f>
        <v>-2.64E-2</v>
      </c>
    </row>
    <row r="212" spans="1:15" x14ac:dyDescent="0.25">
      <c r="A212" s="100" t="str">
        <f>'Data Vlaue (Cr)'!C207</f>
        <v>TVSMOTOR</v>
      </c>
      <c r="B212" s="82">
        <f>VLOOKUP(A212,'Data shares'!$C$2:$CV$220,98,0)</f>
        <v>10911775</v>
      </c>
      <c r="C212" s="82">
        <f>VLOOKUP(A212,'Data shares'!$C$2:$CX$220,100,0)</f>
        <v>-121800</v>
      </c>
      <c r="D212" s="141">
        <f>VLOOKUP(A212,'Data shares'!$C$2:$CY$543,101,0)</f>
        <v>-1.0999999999999999E-2</v>
      </c>
      <c r="E212" s="86">
        <f>VLOOKUP($A212,'Data shares'!$C:$FA,74)</f>
        <v>8163750</v>
      </c>
      <c r="F212" s="86">
        <f>VLOOKUP($A212,'Data shares'!$C:$FA,76)</f>
        <v>-86275</v>
      </c>
      <c r="G212" s="87">
        <f>VLOOKUP(A212,'Data shares'!$C$2:$CA$220,77,0)</f>
        <v>-1.0500000000000001E-2</v>
      </c>
      <c r="H212" s="86">
        <f>VLOOKUP($A212,'Data shares'!$C:$FA,90)</f>
        <v>1559950</v>
      </c>
      <c r="I212" s="86">
        <f>VLOOKUP($A212,'Data shares'!$C:$FA,92)</f>
        <v>-76650</v>
      </c>
      <c r="J212" s="87">
        <f>VLOOKUP($A212,'Data shares'!$C:$FA,93)</f>
        <v>-4.6800000000000001E-2</v>
      </c>
      <c r="K212" s="86">
        <f>VLOOKUP($A212,'Data shares'!$C:$FA,94)</f>
        <v>1188075</v>
      </c>
      <c r="L212" s="86">
        <f>VLOOKUP($A212,'Data shares'!$C:$FA,96)</f>
        <v>41125</v>
      </c>
      <c r="M212" s="87">
        <f>VLOOKUP($A212,'Data shares'!$C:$FA,97)</f>
        <v>3.5900000000000001E-2</v>
      </c>
      <c r="N212" s="86">
        <f>VLOOKUP($A212,'Data shares'!$C:$FA,78)</f>
        <v>7545475</v>
      </c>
      <c r="O212" s="87">
        <f>VLOOKUP($A212,'Data shares'!$C:$FA,81)</f>
        <v>-1.46E-2</v>
      </c>
    </row>
    <row r="213" spans="1:15" x14ac:dyDescent="0.25">
      <c r="A213" s="100" t="str">
        <f>'Data Vlaue (Cr)'!C208</f>
        <v>ULTRACEMCO</v>
      </c>
      <c r="B213" s="82">
        <f>VLOOKUP(A213,'Data shares'!$C$2:$CV$220,98,0)</f>
        <v>3597300</v>
      </c>
      <c r="C213" s="82">
        <f>VLOOKUP(A213,'Data shares'!$C$2:$CX$220,100,0)</f>
        <v>62650</v>
      </c>
      <c r="D213" s="141">
        <f>VLOOKUP(A213,'Data shares'!$C$2:$CY$543,101,0)</f>
        <v>1.77E-2</v>
      </c>
      <c r="E213" s="86">
        <f>VLOOKUP($A213,'Data shares'!$C:$FA,74)</f>
        <v>2433300</v>
      </c>
      <c r="F213" s="86">
        <f>VLOOKUP($A213,'Data shares'!$C:$FA,76)</f>
        <v>24450</v>
      </c>
      <c r="G213" s="87">
        <f>VLOOKUP(A213,'Data shares'!$C$2:$CA$220,77,0)</f>
        <v>1.0200000000000001E-2</v>
      </c>
      <c r="H213" s="86">
        <f>VLOOKUP($A213,'Data shares'!$C:$FA,90)</f>
        <v>716300</v>
      </c>
      <c r="I213" s="86">
        <f>VLOOKUP($A213,'Data shares'!$C:$FA,92)</f>
        <v>19800</v>
      </c>
      <c r="J213" s="87">
        <f>VLOOKUP($A213,'Data shares'!$C:$FA,93)</f>
        <v>2.8400000000000002E-2</v>
      </c>
      <c r="K213" s="86">
        <f>VLOOKUP($A213,'Data shares'!$C:$FA,94)</f>
        <v>447700</v>
      </c>
      <c r="L213" s="86">
        <f>VLOOKUP($A213,'Data shares'!$C:$FA,96)</f>
        <v>18400</v>
      </c>
      <c r="M213" s="87">
        <f>VLOOKUP($A213,'Data shares'!$C:$FA,97)</f>
        <v>4.2900000000000001E-2</v>
      </c>
      <c r="N213" s="86">
        <f>VLOOKUP($A213,'Data shares'!$C:$FA,78)</f>
        <v>1947000</v>
      </c>
      <c r="O213" s="87">
        <f>VLOOKUP($A213,'Data shares'!$C:$FA,81)</f>
        <v>-7.4000000000000003E-3</v>
      </c>
    </row>
    <row r="214" spans="1:15" x14ac:dyDescent="0.25">
      <c r="A214" s="100" t="str">
        <f>'Data Vlaue (Cr)'!C209</f>
        <v>UNIONBANK</v>
      </c>
      <c r="B214" s="82">
        <f>VLOOKUP(A214,'Data shares'!$C$2:$CV$220,98,0)</f>
        <v>178486800</v>
      </c>
      <c r="C214" s="82">
        <f>VLOOKUP(A214,'Data shares'!$C$2:$CX$220,100,0)</f>
        <v>-628350</v>
      </c>
      <c r="D214" s="141">
        <f>VLOOKUP(A214,'Data shares'!$C$2:$CY$543,101,0)</f>
        <v>-3.5000000000000001E-3</v>
      </c>
      <c r="E214" s="86">
        <f>VLOOKUP($A214,'Data shares'!$C:$FA,74)</f>
        <v>114603075</v>
      </c>
      <c r="F214" s="86">
        <f>VLOOKUP($A214,'Data shares'!$C:$FA,76)</f>
        <v>-57525</v>
      </c>
      <c r="G214" s="87">
        <f>VLOOKUP(A214,'Data shares'!$C$2:$CA$220,77,0)</f>
        <v>-5.0000000000000001E-4</v>
      </c>
      <c r="H214" s="86">
        <f>VLOOKUP($A214,'Data shares'!$C:$FA,90)</f>
        <v>36324825</v>
      </c>
      <c r="I214" s="86">
        <f>VLOOKUP($A214,'Data shares'!$C:$FA,92)</f>
        <v>296475</v>
      </c>
      <c r="J214" s="87">
        <f>VLOOKUP($A214,'Data shares'!$C:$FA,93)</f>
        <v>8.2000000000000007E-3</v>
      </c>
      <c r="K214" s="86">
        <f>VLOOKUP($A214,'Data shares'!$C:$FA,94)</f>
        <v>27558900</v>
      </c>
      <c r="L214" s="86">
        <f>VLOOKUP($A214,'Data shares'!$C:$FA,96)</f>
        <v>-867300</v>
      </c>
      <c r="M214" s="87">
        <f>VLOOKUP($A214,'Data shares'!$C:$FA,97)</f>
        <v>-3.0499999999999999E-2</v>
      </c>
      <c r="N214" s="86">
        <f>VLOOKUP($A214,'Data shares'!$C:$FA,78)</f>
        <v>95040150</v>
      </c>
      <c r="O214" s="87">
        <f>VLOOKUP($A214,'Data shares'!$C:$FA,81)</f>
        <v>-2.0299999999999999E-2</v>
      </c>
    </row>
    <row r="215" spans="1:15" x14ac:dyDescent="0.25">
      <c r="A215" s="100" t="str">
        <f>'Data Vlaue (Cr)'!C210</f>
        <v>UNITDSPR</v>
      </c>
      <c r="B215" s="82">
        <f>VLOOKUP(A215,'Data shares'!$C$2:$CV$220,98,0)</f>
        <v>20832800</v>
      </c>
      <c r="C215" s="82">
        <f>VLOOKUP(A215,'Data shares'!$C$2:$CX$220,100,0)</f>
        <v>238400</v>
      </c>
      <c r="D215" s="141">
        <f>VLOOKUP(A215,'Data shares'!$C$2:$CY$543,101,0)</f>
        <v>1.1599999999999999E-2</v>
      </c>
      <c r="E215" s="86">
        <f>VLOOKUP($A215,'Data shares'!$C:$FA,74)</f>
        <v>12927600</v>
      </c>
      <c r="F215" s="86">
        <f>VLOOKUP($A215,'Data shares'!$C:$FA,76)</f>
        <v>-19200</v>
      </c>
      <c r="G215" s="87">
        <f>VLOOKUP(A215,'Data shares'!$C$2:$CA$220,77,0)</f>
        <v>-1.5E-3</v>
      </c>
      <c r="H215" s="86">
        <f>VLOOKUP($A215,'Data shares'!$C:$FA,90)</f>
        <v>4674400</v>
      </c>
      <c r="I215" s="86">
        <f>VLOOKUP($A215,'Data shares'!$C:$FA,92)</f>
        <v>52400</v>
      </c>
      <c r="J215" s="87">
        <f>VLOOKUP($A215,'Data shares'!$C:$FA,93)</f>
        <v>1.1299999999999999E-2</v>
      </c>
      <c r="K215" s="86">
        <f>VLOOKUP($A215,'Data shares'!$C:$FA,94)</f>
        <v>3230800</v>
      </c>
      <c r="L215" s="86">
        <f>VLOOKUP($A215,'Data shares'!$C:$FA,96)</f>
        <v>205200</v>
      </c>
      <c r="M215" s="87">
        <f>VLOOKUP($A215,'Data shares'!$C:$FA,97)</f>
        <v>6.7799999999999999E-2</v>
      </c>
      <c r="N215" s="86">
        <f>VLOOKUP($A215,'Data shares'!$C:$FA,78)</f>
        <v>12222800</v>
      </c>
      <c r="O215" s="87">
        <f>VLOOKUP($A215,'Data shares'!$C:$FA,81)</f>
        <v>-1.23E-2</v>
      </c>
    </row>
    <row r="216" spans="1:15" s="89" customFormat="1" ht="16.5" customHeight="1" x14ac:dyDescent="0.2">
      <c r="A216" s="100" t="str">
        <f>'Data Vlaue (Cr)'!C211</f>
        <v>UNOMINDA</v>
      </c>
      <c r="B216" s="82">
        <f>VLOOKUP(A216,'Data shares'!$C$2:$CV$220,98,0)</f>
        <v>7234700</v>
      </c>
      <c r="C216" s="82">
        <f>VLOOKUP(A216,'Data shares'!$C$2:$CX$220,100,0)</f>
        <v>119350</v>
      </c>
      <c r="D216" s="141">
        <f>VLOOKUP(A216,'Data shares'!$C$2:$CY$543,101,0)</f>
        <v>1.6799999999999999E-2</v>
      </c>
      <c r="E216" s="86">
        <f>VLOOKUP($A216,'Data shares'!$C:$FA,74)</f>
        <v>4621650</v>
      </c>
      <c r="F216" s="86">
        <f>VLOOKUP($A216,'Data shares'!$C:$FA,76)</f>
        <v>-12100</v>
      </c>
      <c r="G216" s="87">
        <f>VLOOKUP(A216,'Data shares'!$C$2:$CA$220,77,0)</f>
        <v>-2.5999999999999999E-3</v>
      </c>
      <c r="H216" s="86">
        <f>VLOOKUP($A216,'Data shares'!$C:$FA,90)</f>
        <v>1847450</v>
      </c>
      <c r="I216" s="86">
        <f>VLOOKUP($A216,'Data shares'!$C:$FA,92)</f>
        <v>82500</v>
      </c>
      <c r="J216" s="87">
        <f>VLOOKUP($A216,'Data shares'!$C:$FA,93)</f>
        <v>4.6699999999999998E-2</v>
      </c>
      <c r="K216" s="86">
        <f>VLOOKUP($A216,'Data shares'!$C:$FA,94)</f>
        <v>765600</v>
      </c>
      <c r="L216" s="86">
        <f>VLOOKUP($A216,'Data shares'!$C:$FA,96)</f>
        <v>48950</v>
      </c>
      <c r="M216" s="87">
        <f>VLOOKUP($A216,'Data shares'!$C:$FA,97)</f>
        <v>6.83E-2</v>
      </c>
      <c r="N216" s="86">
        <f>VLOOKUP($A216,'Data shares'!$C:$FA,78)</f>
        <v>4510000</v>
      </c>
      <c r="O216" s="87">
        <f>VLOOKUP($A216,'Data shares'!$C:$FA,81)</f>
        <v>-6.4999999999999997E-3</v>
      </c>
    </row>
    <row r="217" spans="1:15" s="89" customFormat="1" ht="16.5" customHeight="1" x14ac:dyDescent="0.2">
      <c r="A217" s="100" t="str">
        <f>'Data Vlaue (Cr)'!C212</f>
        <v>UPL</v>
      </c>
      <c r="B217" s="82">
        <f>VLOOKUP(A217,'Data shares'!$C$2:$CV$220,98,0)</f>
        <v>47629605</v>
      </c>
      <c r="C217" s="82">
        <f>VLOOKUP(A217,'Data shares'!$C$2:$CX$220,100,0)</f>
        <v>310295</v>
      </c>
      <c r="D217" s="141">
        <f>VLOOKUP(A217,'Data shares'!$C$2:$CY$543,101,0)</f>
        <v>6.6E-3</v>
      </c>
      <c r="E217" s="86">
        <f>VLOOKUP($A217,'Data shares'!$C:$FA,74)</f>
        <v>30296445</v>
      </c>
      <c r="F217" s="86">
        <f>VLOOKUP($A217,'Data shares'!$C:$FA,76)</f>
        <v>210025</v>
      </c>
      <c r="G217" s="87">
        <f>VLOOKUP(A217,'Data shares'!$C$2:$CA$220,77,0)</f>
        <v>7.0000000000000001E-3</v>
      </c>
      <c r="H217" s="86">
        <f>VLOOKUP($A217,'Data shares'!$C:$FA,90)</f>
        <v>9914535</v>
      </c>
      <c r="I217" s="86">
        <f>VLOOKUP($A217,'Data shares'!$C:$FA,92)</f>
        <v>47425</v>
      </c>
      <c r="J217" s="87">
        <f>VLOOKUP($A217,'Data shares'!$C:$FA,93)</f>
        <v>4.7999999999999996E-3</v>
      </c>
      <c r="K217" s="86">
        <f>VLOOKUP($A217,'Data shares'!$C:$FA,94)</f>
        <v>7418625</v>
      </c>
      <c r="L217" s="86">
        <f>VLOOKUP($A217,'Data shares'!$C:$FA,96)</f>
        <v>52845</v>
      </c>
      <c r="M217" s="87">
        <f>VLOOKUP($A217,'Data shares'!$C:$FA,97)</f>
        <v>7.1999999999999998E-3</v>
      </c>
      <c r="N217" s="86">
        <f>VLOOKUP($A217,'Data shares'!$C:$FA,78)</f>
        <v>29207025</v>
      </c>
      <c r="O217" s="87">
        <f>VLOOKUP($A217,'Data shares'!$C:$FA,81)</f>
        <v>1E-4</v>
      </c>
    </row>
    <row r="218" spans="1:15" x14ac:dyDescent="0.25">
      <c r="A218" s="100" t="str">
        <f>'Data Vlaue (Cr)'!C213</f>
        <v>VBL</v>
      </c>
      <c r="B218" s="82">
        <f>VLOOKUP(A218,'Data shares'!$C$2:$CV$220,98,0)</f>
        <v>78026625</v>
      </c>
      <c r="C218" s="82">
        <f>VLOOKUP(A218,'Data shares'!$C$2:$CX$220,100,0)</f>
        <v>4018500</v>
      </c>
      <c r="D218" s="141">
        <f>VLOOKUP(A218,'Data shares'!$C$2:$CY$543,101,0)</f>
        <v>5.4300000000000001E-2</v>
      </c>
      <c r="E218" s="86">
        <f>VLOOKUP($A218,'Data shares'!$C:$FA,74)</f>
        <v>49225500</v>
      </c>
      <c r="F218" s="86">
        <f>VLOOKUP($A218,'Data shares'!$C:$FA,76)</f>
        <v>1607625</v>
      </c>
      <c r="G218" s="87">
        <f>VLOOKUP(A218,'Data shares'!$C$2:$CA$220,77,0)</f>
        <v>3.3799999999999997E-2</v>
      </c>
      <c r="H218" s="86">
        <f>VLOOKUP($A218,'Data shares'!$C:$FA,90)</f>
        <v>18186750</v>
      </c>
      <c r="I218" s="86">
        <f>VLOOKUP($A218,'Data shares'!$C:$FA,92)</f>
        <v>1894500</v>
      </c>
      <c r="J218" s="87">
        <f>VLOOKUP($A218,'Data shares'!$C:$FA,93)</f>
        <v>0.1163</v>
      </c>
      <c r="K218" s="86">
        <f>VLOOKUP($A218,'Data shares'!$C:$FA,94)</f>
        <v>10614375</v>
      </c>
      <c r="L218" s="86">
        <f>VLOOKUP($A218,'Data shares'!$C:$FA,96)</f>
        <v>516375</v>
      </c>
      <c r="M218" s="87">
        <f>VLOOKUP($A218,'Data shares'!$C:$FA,97)</f>
        <v>5.11E-2</v>
      </c>
      <c r="N218" s="86">
        <f>VLOOKUP($A218,'Data shares'!$C:$FA,78)</f>
        <v>46780875</v>
      </c>
      <c r="O218" s="87">
        <f>VLOOKUP($A218,'Data shares'!$C:$FA,81)</f>
        <v>2.53E-2</v>
      </c>
    </row>
    <row r="219" spans="1:15" x14ac:dyDescent="0.25">
      <c r="A219" s="100" t="str">
        <f>'Data Vlaue (Cr)'!C214</f>
        <v>VEDL</v>
      </c>
      <c r="B219" s="82">
        <f>VLOOKUP(A219,'Data shares'!$C$2:$CV$220,98,0)</f>
        <v>116942350</v>
      </c>
      <c r="C219" s="82">
        <f>VLOOKUP(A219,'Data shares'!$C$2:$CX$220,100,0)</f>
        <v>3169400</v>
      </c>
      <c r="D219" s="141">
        <f>VLOOKUP(A219,'Data shares'!$C$2:$CY$543,101,0)</f>
        <v>2.7900000000000001E-2</v>
      </c>
      <c r="E219" s="86">
        <f>VLOOKUP($A219,'Data shares'!$C:$FA,74)</f>
        <v>52932200</v>
      </c>
      <c r="F219" s="86">
        <f>VLOOKUP($A219,'Data shares'!$C:$FA,76)</f>
        <v>915400</v>
      </c>
      <c r="G219" s="87">
        <f>VLOOKUP(A219,'Data shares'!$C$2:$CA$220,77,0)</f>
        <v>1.7600000000000001E-2</v>
      </c>
      <c r="H219" s="86">
        <f>VLOOKUP($A219,'Data shares'!$C:$FA,90)</f>
        <v>33770900</v>
      </c>
      <c r="I219" s="86">
        <f>VLOOKUP($A219,'Data shares'!$C:$FA,92)</f>
        <v>2639250</v>
      </c>
      <c r="J219" s="87">
        <f>VLOOKUP($A219,'Data shares'!$C:$FA,93)</f>
        <v>8.48E-2</v>
      </c>
      <c r="K219" s="86">
        <f>VLOOKUP($A219,'Data shares'!$C:$FA,94)</f>
        <v>30239250</v>
      </c>
      <c r="L219" s="86">
        <f>VLOOKUP($A219,'Data shares'!$C:$FA,96)</f>
        <v>-385250</v>
      </c>
      <c r="M219" s="87">
        <f>VLOOKUP($A219,'Data shares'!$C:$FA,97)</f>
        <v>-1.26E-2</v>
      </c>
      <c r="N219" s="86">
        <f>VLOOKUP($A219,'Data shares'!$C:$FA,78)</f>
        <v>48019400</v>
      </c>
      <c r="O219" s="87">
        <f>VLOOKUP($A219,'Data shares'!$C:$FA,81)</f>
        <v>-1.47E-2</v>
      </c>
    </row>
    <row r="220" spans="1:15" x14ac:dyDescent="0.25">
      <c r="A220" s="100" t="str">
        <f>'Data Vlaue (Cr)'!C215</f>
        <v>VMM</v>
      </c>
      <c r="B220" s="82">
        <f>VLOOKUP(A220,'Data shares'!$C$2:$CV$220,98,0)</f>
        <v>39833050</v>
      </c>
      <c r="C220" s="82">
        <f>VLOOKUP(A220,'Data shares'!$C$2:$CX$220,100,0)</f>
        <v>1712050</v>
      </c>
      <c r="D220" s="141">
        <f>VLOOKUP(A220,'Data shares'!$C$2:$CY$543,101,0)</f>
        <v>4.4900000000000002E-2</v>
      </c>
      <c r="E220" s="86">
        <f>VLOOKUP($A220,'Data shares'!$C:$FA,74)</f>
        <v>28163950</v>
      </c>
      <c r="F220" s="86">
        <f>VLOOKUP($A220,'Data shares'!$C:$FA,76)</f>
        <v>562600</v>
      </c>
      <c r="G220" s="87">
        <f>VLOOKUP(A220,'Data shares'!$C$2:$CA$220,77,0)</f>
        <v>2.0400000000000001E-2</v>
      </c>
      <c r="H220" s="86">
        <f>VLOOKUP($A220,'Data shares'!$C:$FA,90)</f>
        <v>7604800</v>
      </c>
      <c r="I220" s="86">
        <f>VLOOKUP($A220,'Data shares'!$C:$FA,92)</f>
        <v>1081550</v>
      </c>
      <c r="J220" s="87">
        <f>VLOOKUP($A220,'Data shares'!$C:$FA,93)</f>
        <v>0.1658</v>
      </c>
      <c r="K220" s="86">
        <f>VLOOKUP($A220,'Data shares'!$C:$FA,94)</f>
        <v>4064300</v>
      </c>
      <c r="L220" s="86">
        <f>VLOOKUP($A220,'Data shares'!$C:$FA,96)</f>
        <v>67900</v>
      </c>
      <c r="M220" s="87">
        <f>VLOOKUP($A220,'Data shares'!$C:$FA,97)</f>
        <v>1.7000000000000001E-2</v>
      </c>
      <c r="N220" s="86">
        <f>VLOOKUP($A220,'Data shares'!$C:$FA,78)</f>
        <v>27203650</v>
      </c>
      <c r="O220" s="87">
        <f>VLOOKUP($A220,'Data shares'!$C:$FA,81)</f>
        <v>1.7399999999999999E-2</v>
      </c>
    </row>
    <row r="221" spans="1:15" x14ac:dyDescent="0.25">
      <c r="A221" s="100" t="str">
        <f>'Data Vlaue (Cr)'!C216</f>
        <v>VOLTAS</v>
      </c>
      <c r="B221" s="82">
        <f>VLOOKUP(A221,'Data shares'!$C$2:$CV$220,98,0)</f>
        <v>21005625</v>
      </c>
      <c r="C221" s="82">
        <f>VLOOKUP(A221,'Data shares'!$C$2:$CX$220,100,0)</f>
        <v>337500</v>
      </c>
      <c r="D221" s="141">
        <f>VLOOKUP(A221,'Data shares'!$C$2:$CY$543,101,0)</f>
        <v>1.6299999999999999E-2</v>
      </c>
      <c r="E221" s="86">
        <f>VLOOKUP($A221,'Data shares'!$C:$FA,74)</f>
        <v>12107250</v>
      </c>
      <c r="F221" s="86">
        <f>VLOOKUP($A221,'Data shares'!$C:$FA,76)</f>
        <v>-234750</v>
      </c>
      <c r="G221" s="87">
        <f>VLOOKUP(A221,'Data shares'!$C$2:$CA$220,77,0)</f>
        <v>-1.9E-2</v>
      </c>
      <c r="H221" s="86">
        <f>VLOOKUP($A221,'Data shares'!$C:$FA,90)</f>
        <v>4783125</v>
      </c>
      <c r="I221" s="86">
        <f>VLOOKUP($A221,'Data shares'!$C:$FA,92)</f>
        <v>503625</v>
      </c>
      <c r="J221" s="87">
        <f>VLOOKUP($A221,'Data shares'!$C:$FA,93)</f>
        <v>0.1177</v>
      </c>
      <c r="K221" s="86">
        <f>VLOOKUP($A221,'Data shares'!$C:$FA,94)</f>
        <v>4115250</v>
      </c>
      <c r="L221" s="86">
        <f>VLOOKUP($A221,'Data shares'!$C:$FA,96)</f>
        <v>68625</v>
      </c>
      <c r="M221" s="87">
        <f>VLOOKUP($A221,'Data shares'!$C:$FA,97)</f>
        <v>1.7000000000000001E-2</v>
      </c>
      <c r="N221" s="86">
        <f>VLOOKUP($A221,'Data shares'!$C:$FA,78)</f>
        <v>10159500</v>
      </c>
      <c r="O221" s="87">
        <f>VLOOKUP($A221,'Data shares'!$C:$FA,81)</f>
        <v>-4.8899999999999999E-2</v>
      </c>
    </row>
    <row r="222" spans="1:15" x14ac:dyDescent="0.25">
      <c r="A222" s="100" t="str">
        <f>'Data Vlaue (Cr)'!C217</f>
        <v>WAAREEENER</v>
      </c>
      <c r="B222" s="82">
        <f>VLOOKUP(A222,'Data shares'!$C$2:$CV$220,98,0)</f>
        <v>8667575</v>
      </c>
      <c r="C222" s="82">
        <f>VLOOKUP(A222,'Data shares'!$C$2:$CX$220,100,0)</f>
        <v>157150</v>
      </c>
      <c r="D222" s="141">
        <f>VLOOKUP(A222,'Data shares'!$C$2:$CY$543,101,0)</f>
        <v>1.8499999999999999E-2</v>
      </c>
      <c r="E222" s="86">
        <f>VLOOKUP($A222,'Data shares'!$C:$FA,74)</f>
        <v>5053300</v>
      </c>
      <c r="F222" s="86">
        <f>VLOOKUP($A222,'Data shares'!$C:$FA,76)</f>
        <v>265300</v>
      </c>
      <c r="G222" s="87">
        <f>VLOOKUP(A222,'Data shares'!$C$2:$CA$220,77,0)</f>
        <v>5.5399999999999998E-2</v>
      </c>
      <c r="H222" s="86">
        <f>VLOOKUP($A222,'Data shares'!$C:$FA,90)</f>
        <v>2049600</v>
      </c>
      <c r="I222" s="86">
        <f>VLOOKUP($A222,'Data shares'!$C:$FA,92)</f>
        <v>-94500</v>
      </c>
      <c r="J222" s="87">
        <f>VLOOKUP($A222,'Data shares'!$C:$FA,93)</f>
        <v>-4.41E-2</v>
      </c>
      <c r="K222" s="86">
        <f>VLOOKUP($A222,'Data shares'!$C:$FA,94)</f>
        <v>1564675</v>
      </c>
      <c r="L222" s="86">
        <f>VLOOKUP($A222,'Data shares'!$C:$FA,96)</f>
        <v>-13650</v>
      </c>
      <c r="M222" s="87">
        <f>VLOOKUP($A222,'Data shares'!$C:$FA,97)</f>
        <v>-8.6E-3</v>
      </c>
      <c r="N222" s="86">
        <f>VLOOKUP($A222,'Data shares'!$C:$FA,78)</f>
        <v>4551050</v>
      </c>
      <c r="O222" s="87">
        <f>VLOOKUP($A222,'Data shares'!$C:$FA,81)</f>
        <v>3.5200000000000002E-2</v>
      </c>
    </row>
    <row r="223" spans="1:15" x14ac:dyDescent="0.25">
      <c r="A223" s="100" t="str">
        <f>'Data Vlaue (Cr)'!C218</f>
        <v>WIPRO</v>
      </c>
      <c r="B223" s="82">
        <f>VLOOKUP(A223,'Data shares'!$C$2:$CV$220,98,0)</f>
        <v>579645000</v>
      </c>
      <c r="C223" s="82">
        <f>VLOOKUP(A223,'Data shares'!$C$2:$CX$220,100,0)</f>
        <v>3993000</v>
      </c>
      <c r="D223" s="141">
        <f>VLOOKUP(A223,'Data shares'!$C$2:$CY$543,101,0)</f>
        <v>6.8999999999999999E-3</v>
      </c>
      <c r="E223" s="86">
        <f>VLOOKUP($A223,'Data shares'!$C:$FA,74)</f>
        <v>327405000</v>
      </c>
      <c r="F223" s="86">
        <f>VLOOKUP($A223,'Data shares'!$C:$FA,76)</f>
        <v>5550000</v>
      </c>
      <c r="G223" s="87">
        <f>VLOOKUP(A223,'Data shares'!$C$2:$CA$220,77,0)</f>
        <v>1.72E-2</v>
      </c>
      <c r="H223" s="86">
        <f>VLOOKUP($A223,'Data shares'!$C:$FA,90)</f>
        <v>169938000</v>
      </c>
      <c r="I223" s="86">
        <f>VLOOKUP($A223,'Data shares'!$C:$FA,92)</f>
        <v>-315000</v>
      </c>
      <c r="J223" s="87">
        <f>VLOOKUP($A223,'Data shares'!$C:$FA,93)</f>
        <v>-1.9E-3</v>
      </c>
      <c r="K223" s="86">
        <f>VLOOKUP($A223,'Data shares'!$C:$FA,94)</f>
        <v>82302000</v>
      </c>
      <c r="L223" s="86">
        <f>VLOOKUP($A223,'Data shares'!$C:$FA,96)</f>
        <v>-1242000</v>
      </c>
      <c r="M223" s="87">
        <f>VLOOKUP($A223,'Data shares'!$C:$FA,97)</f>
        <v>-1.49E-2</v>
      </c>
      <c r="N223" s="86">
        <f>VLOOKUP($A223,'Data shares'!$C:$FA,78)</f>
        <v>251364000</v>
      </c>
      <c r="O223" s="87">
        <f>VLOOKUP($A223,'Data shares'!$C:$FA,81)</f>
        <v>4.5999999999999999E-3</v>
      </c>
    </row>
    <row r="224" spans="1:15" x14ac:dyDescent="0.25">
      <c r="A224" s="100" t="str">
        <f>'Data Vlaue (Cr)'!C219</f>
        <v>YESBANK</v>
      </c>
      <c r="B224" s="82">
        <f>VLOOKUP(A224,'Data shares'!$C$2:$CV$220,98,0)</f>
        <v>2329794300</v>
      </c>
      <c r="C224" s="82">
        <f>VLOOKUP(A224,'Data shares'!$C$2:$CX$220,100,0)</f>
        <v>271596300</v>
      </c>
      <c r="D224" s="141">
        <f>VLOOKUP(A224,'Data shares'!$C$2:$CY$543,101,0)</f>
        <v>0.13200000000000001</v>
      </c>
      <c r="E224" s="86">
        <f>VLOOKUP($A224,'Data shares'!$C:$FA,74)</f>
        <v>1319790700</v>
      </c>
      <c r="F224" s="86">
        <f>VLOOKUP($A224,'Data shares'!$C:$FA,76)</f>
        <v>58032600</v>
      </c>
      <c r="G224" s="87">
        <f>VLOOKUP(A224,'Data shares'!$C$2:$CA$220,77,0)</f>
        <v>4.5999999999999999E-2</v>
      </c>
      <c r="H224" s="86">
        <f>VLOOKUP($A224,'Data shares'!$C:$FA,90)</f>
        <v>660719500</v>
      </c>
      <c r="I224" s="86">
        <f>VLOOKUP($A224,'Data shares'!$C:$FA,92)</f>
        <v>172542800</v>
      </c>
      <c r="J224" s="87">
        <f>VLOOKUP($A224,'Data shares'!$C:$FA,93)</f>
        <v>0.35339999999999999</v>
      </c>
      <c r="K224" s="86">
        <f>VLOOKUP($A224,'Data shares'!$C:$FA,94)</f>
        <v>349284100</v>
      </c>
      <c r="L224" s="86">
        <f>VLOOKUP($A224,'Data shares'!$C:$FA,96)</f>
        <v>41020900</v>
      </c>
      <c r="M224" s="87">
        <f>VLOOKUP($A224,'Data shares'!$C:$FA,97)</f>
        <v>0.1331</v>
      </c>
      <c r="N224" s="86">
        <f>VLOOKUP($A224,'Data shares'!$C:$FA,78)</f>
        <v>1053699100</v>
      </c>
      <c r="O224" s="87">
        <f>VLOOKUP($A224,'Data shares'!$C:$FA,81)</f>
        <v>-3.4000000000000002E-2</v>
      </c>
    </row>
    <row r="225" spans="1:15" x14ac:dyDescent="0.25">
      <c r="A225" s="100" t="str">
        <f>'Data Vlaue (Cr)'!C220</f>
        <v>ZYDUSLIFE</v>
      </c>
      <c r="B225" s="82">
        <f>VLOOKUP(A225,'Data shares'!$C$2:$CV$220,98,0)</f>
        <v>14733000</v>
      </c>
      <c r="C225" s="82">
        <f>VLOOKUP(A225,'Data shares'!$C$2:$CX$220,100,0)</f>
        <v>235800</v>
      </c>
      <c r="D225" s="141">
        <f>VLOOKUP(A225,'Data shares'!$C$2:$CY$543,101,0)</f>
        <v>1.6299999999999999E-2</v>
      </c>
      <c r="E225" s="86">
        <f>VLOOKUP($A225,'Data shares'!$C:$FA,74)</f>
        <v>9216900</v>
      </c>
      <c r="F225" s="86">
        <f>VLOOKUP($A225,'Data shares'!$C:$FA,76)</f>
        <v>-72900</v>
      </c>
      <c r="G225" s="87">
        <f>VLOOKUP(A225,'Data shares'!$C$2:$CA$220,77,0)</f>
        <v>-7.7999999999999996E-3</v>
      </c>
      <c r="H225" s="86">
        <f>VLOOKUP($A225,'Data shares'!$C:$FA,90)</f>
        <v>3240000</v>
      </c>
      <c r="I225" s="86">
        <f>VLOOKUP($A225,'Data shares'!$C:$FA,92)</f>
        <v>291600</v>
      </c>
      <c r="J225" s="87">
        <f>VLOOKUP($A225,'Data shares'!$C:$FA,93)</f>
        <v>9.8900000000000002E-2</v>
      </c>
      <c r="K225" s="86">
        <f>VLOOKUP($A225,'Data shares'!$C:$FA,94)</f>
        <v>2276100</v>
      </c>
      <c r="L225" s="86">
        <f>VLOOKUP($A225,'Data shares'!$C:$FA,96)</f>
        <v>17100</v>
      </c>
      <c r="M225" s="87">
        <f>VLOOKUP($A225,'Data shares'!$C:$FA,97)</f>
        <v>7.6E-3</v>
      </c>
      <c r="N225" s="86">
        <f>VLOOKUP($A225,'Data shares'!$C:$FA,78)</f>
        <v>8679600</v>
      </c>
      <c r="O225" s="87">
        <f>VLOOKUP($A225,'Data shares'!$C:$FA,81)</f>
        <v>-3.5200000000000002E-2</v>
      </c>
    </row>
    <row r="226" spans="1:15" x14ac:dyDescent="0.25">
      <c r="A226" s="100"/>
      <c r="B226" s="82"/>
      <c r="C226" s="82"/>
      <c r="D226" s="141"/>
      <c r="E226" s="86"/>
      <c r="F226" s="86"/>
      <c r="G226" s="87"/>
      <c r="H226" s="86"/>
      <c r="I226" s="86"/>
      <c r="J226" s="87"/>
      <c r="K226" s="86"/>
      <c r="L226" s="86"/>
      <c r="M226" s="87"/>
      <c r="N226" s="86"/>
      <c r="O226" s="87"/>
    </row>
    <row r="227" spans="1:15" x14ac:dyDescent="0.25">
      <c r="A227" s="100"/>
      <c r="B227" s="82"/>
      <c r="C227" s="82"/>
      <c r="D227" s="141"/>
      <c r="E227" s="86"/>
      <c r="F227" s="86"/>
      <c r="G227" s="87"/>
      <c r="H227" s="86"/>
      <c r="I227" s="86"/>
      <c r="J227" s="87"/>
      <c r="K227" s="86"/>
      <c r="L227" s="86"/>
      <c r="M227" s="87"/>
      <c r="N227" s="86"/>
      <c r="O227" s="87"/>
    </row>
    <row r="228" spans="1:15" x14ac:dyDescent="0.25">
      <c r="A228" s="100"/>
      <c r="B228" s="82"/>
      <c r="C228" s="82"/>
      <c r="D228" s="141"/>
      <c r="E228" s="86"/>
      <c r="F228" s="86"/>
      <c r="G228" s="87"/>
      <c r="H228" s="86"/>
      <c r="I228" s="86"/>
      <c r="J228" s="87"/>
      <c r="K228" s="86"/>
      <c r="L228" s="86"/>
      <c r="M228" s="87"/>
      <c r="N228" s="86"/>
      <c r="O228" s="87"/>
    </row>
    <row r="229" spans="1:15" x14ac:dyDescent="0.25">
      <c r="A229" s="100"/>
      <c r="B229" s="82"/>
      <c r="C229" s="82"/>
      <c r="D229" s="141"/>
      <c r="E229" s="86"/>
      <c r="F229" s="86"/>
      <c r="G229" s="87"/>
      <c r="H229" s="86"/>
      <c r="I229" s="86"/>
      <c r="J229" s="87"/>
      <c r="K229" s="86"/>
      <c r="L229" s="86"/>
      <c r="M229" s="87"/>
      <c r="N229" s="86"/>
      <c r="O229" s="87"/>
    </row>
    <row r="230" spans="1:15" x14ac:dyDescent="0.25">
      <c r="A230" s="100"/>
      <c r="B230" s="82"/>
      <c r="C230" s="82"/>
      <c r="D230" s="141"/>
      <c r="E230" s="86"/>
      <c r="F230" s="86"/>
      <c r="G230" s="87"/>
      <c r="H230" s="86"/>
      <c r="I230" s="86"/>
      <c r="J230" s="87"/>
      <c r="K230" s="86"/>
      <c r="L230" s="86"/>
      <c r="M230" s="87"/>
      <c r="N230" s="86"/>
      <c r="O230" s="87"/>
    </row>
    <row r="231" spans="1:15" x14ac:dyDescent="0.25">
      <c r="A231" s="100"/>
      <c r="B231" s="82"/>
      <c r="C231" s="82"/>
      <c r="D231" s="141"/>
      <c r="E231" s="86"/>
      <c r="F231" s="86"/>
      <c r="G231" s="87"/>
      <c r="H231" s="86"/>
      <c r="I231" s="86"/>
      <c r="J231" s="87"/>
      <c r="K231" s="86"/>
      <c r="L231" s="86"/>
      <c r="M231" s="87"/>
      <c r="N231" s="86"/>
      <c r="O231" s="87"/>
    </row>
    <row r="232" spans="1:15" x14ac:dyDescent="0.25">
      <c r="A232" s="100"/>
      <c r="B232" s="17"/>
      <c r="C232" s="17"/>
      <c r="D232" s="17"/>
      <c r="E232" s="17"/>
      <c r="F232" s="17"/>
      <c r="G232" s="17"/>
      <c r="H232" s="17"/>
      <c r="I232" s="17"/>
      <c r="J232" s="17"/>
      <c r="K232" s="17"/>
      <c r="L232" s="17"/>
      <c r="M232" s="17"/>
      <c r="N232" s="17"/>
      <c r="O232" s="17"/>
    </row>
    <row r="233" spans="1:15" x14ac:dyDescent="0.25">
      <c r="A233" s="98"/>
      <c r="B233" s="17"/>
      <c r="C233" s="17"/>
      <c r="D233" s="17"/>
      <c r="E233" s="17"/>
      <c r="F233" s="17"/>
      <c r="G233" s="17"/>
      <c r="H233" s="17"/>
      <c r="I233" s="17"/>
      <c r="J233" s="17"/>
      <c r="K233" s="17"/>
      <c r="L233" s="17"/>
      <c r="M233" s="17"/>
      <c r="N233" s="17"/>
      <c r="O233" s="17"/>
    </row>
    <row r="234" spans="1:15" x14ac:dyDescent="0.25">
      <c r="A234" s="118" t="s">
        <v>391</v>
      </c>
      <c r="B234" s="119">
        <f>SUM(B7:B227)</f>
        <v>27388344286</v>
      </c>
      <c r="C234" s="119">
        <f>SUM(C7:C227)</f>
        <v>601544594</v>
      </c>
      <c r="D234" s="120">
        <f>C234*100/(B234-C234)</f>
        <v>2.2456754853759331</v>
      </c>
      <c r="E234" s="119">
        <f>SUM(E7:E227)</f>
        <v>17117003520</v>
      </c>
      <c r="F234" s="119">
        <f>SUM(F7:F227)</f>
        <v>124088213</v>
      </c>
      <c r="G234" s="120">
        <f>F234*100/(E234-F234)</f>
        <v>0.73023498768856665</v>
      </c>
      <c r="H234" s="119">
        <f>SUM(H7:H227)</f>
        <v>6126178722</v>
      </c>
      <c r="I234" s="119">
        <f>SUM(I7:I227)</f>
        <v>375565682</v>
      </c>
      <c r="J234" s="120">
        <f>I234*100/(H234-I234)</f>
        <v>6.530880784146798</v>
      </c>
      <c r="K234" s="119">
        <f>SUM(K7:K227)</f>
        <v>4145162044</v>
      </c>
      <c r="L234" s="119">
        <f>SUM(L7:L227)</f>
        <v>101890699</v>
      </c>
      <c r="M234" s="120">
        <f>L234*100/(K234-L234)</f>
        <v>2.5200064577906778</v>
      </c>
      <c r="N234" s="119">
        <f>SUM(N7:N227)</f>
        <v>14542141408</v>
      </c>
      <c r="O234" s="120">
        <f>(N234-FII!V3)/N234*100</f>
        <v>-3.5427632873696235</v>
      </c>
    </row>
    <row r="235" spans="1:15" x14ac:dyDescent="0.25">
      <c r="A235" s="118" t="s">
        <v>409</v>
      </c>
      <c r="B235" s="121">
        <f>B234/10000000</f>
        <v>2738.8344286000001</v>
      </c>
      <c r="C235" s="121">
        <f>C234/10000000</f>
        <v>60.1544594</v>
      </c>
      <c r="D235" s="120">
        <f>D234</f>
        <v>2.2456754853759331</v>
      </c>
      <c r="E235" s="121">
        <f>E234/10000000</f>
        <v>1711.7003520000001</v>
      </c>
      <c r="F235" s="121">
        <f>F234/10000000</f>
        <v>12.4088213</v>
      </c>
      <c r="G235" s="120">
        <f>G234</f>
        <v>0.73023498768856665</v>
      </c>
      <c r="H235" s="121">
        <f>H234/10000000</f>
        <v>612.61787219999997</v>
      </c>
      <c r="I235" s="121">
        <f>I234/10000000</f>
        <v>37.556568200000001</v>
      </c>
      <c r="J235" s="120">
        <f>J234</f>
        <v>6.530880784146798</v>
      </c>
      <c r="K235" s="121">
        <f>K234/10000000</f>
        <v>414.51620439999999</v>
      </c>
      <c r="L235" s="121">
        <f>L234/10000000</f>
        <v>10.1890699</v>
      </c>
      <c r="M235" s="120">
        <f>M234</f>
        <v>2.5200064577906778</v>
      </c>
      <c r="N235" s="121">
        <f>N234/10000000</f>
        <v>1454.2141408</v>
      </c>
      <c r="O235" s="120">
        <f>O234</f>
        <v>-3.5427632873696235</v>
      </c>
    </row>
    <row r="243" spans="1:4" x14ac:dyDescent="0.25">
      <c r="A243" s="274" t="s">
        <v>410</v>
      </c>
      <c r="B243" s="274"/>
      <c r="C243" s="274"/>
      <c r="D243" s="274"/>
    </row>
    <row r="244" spans="1:4" x14ac:dyDescent="0.25">
      <c r="A244" s="35" t="s">
        <v>401</v>
      </c>
      <c r="B244" s="35" t="s">
        <v>402</v>
      </c>
      <c r="C244" s="35" t="s">
        <v>369</v>
      </c>
      <c r="D244" s="35" t="s">
        <v>407</v>
      </c>
    </row>
    <row r="245" spans="1:4" x14ac:dyDescent="0.25">
      <c r="A245" s="36" t="s">
        <v>403</v>
      </c>
      <c r="B245" s="37">
        <f>E235</f>
        <v>1711.7003520000001</v>
      </c>
      <c r="C245" s="37">
        <f>F235</f>
        <v>12.4088213</v>
      </c>
      <c r="D245" s="39">
        <f>C245/B245</f>
        <v>7.2494121330881163E-3</v>
      </c>
    </row>
    <row r="246" spans="1:4" x14ac:dyDescent="0.25">
      <c r="A246" s="36" t="s">
        <v>404</v>
      </c>
      <c r="B246" s="37">
        <f>H235</f>
        <v>612.61787219999997</v>
      </c>
      <c r="C246" s="37">
        <f>I235</f>
        <v>37.556568200000001</v>
      </c>
      <c r="D246" s="39">
        <f>C246/B246</f>
        <v>6.1305048227092845E-2</v>
      </c>
    </row>
    <row r="247" spans="1:4" x14ac:dyDescent="0.25">
      <c r="A247" s="36" t="s">
        <v>405</v>
      </c>
      <c r="B247" s="37">
        <f>K235</f>
        <v>414.51620439999999</v>
      </c>
      <c r="C247" s="37">
        <f>L235</f>
        <v>10.1890699</v>
      </c>
      <c r="D247" s="39">
        <f>C247/B247</f>
        <v>2.4580631087145022E-2</v>
      </c>
    </row>
    <row r="248" spans="1:4" x14ac:dyDescent="0.25">
      <c r="A248" s="36" t="s">
        <v>406</v>
      </c>
      <c r="B248" s="40">
        <f>SUM(B245:B247)</f>
        <v>2738.8344286000001</v>
      </c>
      <c r="C248" s="40">
        <f>SUM(C245:C247)</f>
        <v>60.1544594</v>
      </c>
      <c r="D248" s="41">
        <f>C248/B248</f>
        <v>2.1963525349266523E-2</v>
      </c>
    </row>
  </sheetData>
  <mergeCells count="9">
    <mergeCell ref="A243:D243"/>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3"/>
  <sheetViews>
    <sheetView workbookViewId="0">
      <pane ySplit="6" topLeftCell="A7" activePane="bottomLeft" state="frozen"/>
      <selection pane="bottomLeft" activeCell="A7" sqref="A7:A225"/>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80" t="s">
        <v>334</v>
      </c>
      <c r="B3" s="281"/>
      <c r="C3" s="281"/>
      <c r="D3" s="282"/>
      <c r="E3" s="283"/>
      <c r="F3" s="283"/>
      <c r="G3" s="283"/>
      <c r="H3" s="283"/>
      <c r="I3" s="283"/>
      <c r="J3" s="283"/>
      <c r="K3" s="283"/>
      <c r="L3" s="283"/>
      <c r="M3" s="283"/>
      <c r="N3" s="283"/>
      <c r="O3" s="284"/>
    </row>
    <row r="4" spans="1:15" x14ac:dyDescent="0.25">
      <c r="A4" s="285" t="s">
        <v>330</v>
      </c>
      <c r="B4" s="287" t="s">
        <v>309</v>
      </c>
      <c r="C4" s="288"/>
      <c r="D4" s="288"/>
      <c r="E4" s="288"/>
      <c r="F4" s="288"/>
      <c r="G4" s="288"/>
      <c r="H4" s="288"/>
      <c r="I4" s="288"/>
      <c r="J4" s="288"/>
      <c r="K4" s="288"/>
      <c r="L4" s="288"/>
      <c r="M4" s="288"/>
      <c r="N4" s="288"/>
      <c r="O4" s="289"/>
    </row>
    <row r="5" spans="1:15" x14ac:dyDescent="0.25">
      <c r="A5" s="286"/>
      <c r="B5" s="290" t="s">
        <v>314</v>
      </c>
      <c r="C5" s="290"/>
      <c r="D5" s="291"/>
      <c r="E5" s="290" t="s">
        <v>335</v>
      </c>
      <c r="F5" s="290"/>
      <c r="G5" s="291"/>
      <c r="H5" s="290" t="s">
        <v>336</v>
      </c>
      <c r="I5" s="290"/>
      <c r="J5" s="291"/>
      <c r="K5" s="290" t="s">
        <v>337</v>
      </c>
      <c r="L5" s="290"/>
      <c r="M5" s="291"/>
      <c r="N5" s="290" t="s">
        <v>338</v>
      </c>
      <c r="O5" s="291"/>
    </row>
    <row r="6" spans="1:15" x14ac:dyDescent="0.25">
      <c r="A6" s="3" t="s">
        <v>318</v>
      </c>
      <c r="B6" s="3">
        <f>'Sectorwise OI'!D6</f>
        <v>46132</v>
      </c>
      <c r="C6" s="76" t="s">
        <v>333</v>
      </c>
      <c r="D6" s="76" t="s">
        <v>328</v>
      </c>
      <c r="E6" s="3">
        <f>B6</f>
        <v>46132</v>
      </c>
      <c r="F6" s="76" t="s">
        <v>333</v>
      </c>
      <c r="G6" s="76" t="s">
        <v>328</v>
      </c>
      <c r="H6" s="3">
        <f>E6</f>
        <v>46132</v>
      </c>
      <c r="I6" s="76" t="s">
        <v>333</v>
      </c>
      <c r="J6" s="76" t="s">
        <v>328</v>
      </c>
      <c r="K6" s="3">
        <f>E6</f>
        <v>46132</v>
      </c>
      <c r="L6" s="76" t="s">
        <v>333</v>
      </c>
      <c r="M6" s="76" t="s">
        <v>328</v>
      </c>
      <c r="N6" s="76" t="s">
        <v>339</v>
      </c>
      <c r="O6" s="76" t="s">
        <v>328</v>
      </c>
    </row>
    <row r="7" spans="1:15" x14ac:dyDescent="0.25">
      <c r="A7" s="97" t="str">
        <f>'Data Vlaue (Cr)'!C2</f>
        <v>360ONE</v>
      </c>
      <c r="B7" s="142">
        <f>VLOOKUP(A7,'Data Vlaue (Cr)'!C2:CW220,99,0)</f>
        <v>1090</v>
      </c>
      <c r="C7" s="90">
        <f>VLOOKUP(A7,'Data Vlaue (Cr)'!C2:CY220,101,0)</f>
        <v>3</v>
      </c>
      <c r="D7" s="139">
        <f>VLOOKUP(A7,'Data Vlaue (Cr)'!C2:CZ220,102,0)</f>
        <v>2.7000000000000001E-3</v>
      </c>
      <c r="E7" s="91">
        <f>VLOOKUP($A7,'Data Vlaue (Cr)'!$C:$FB,75)</f>
        <v>626</v>
      </c>
      <c r="F7" s="91">
        <f>VLOOKUP($A7,'Data Vlaue (Cr)'!$C:$FB,77)</f>
        <v>-25</v>
      </c>
      <c r="G7" s="92">
        <f>VLOOKUP(A7,'Data Vlaue (Cr)'!C2:CB220,78,0)</f>
        <v>-3.78E-2</v>
      </c>
      <c r="H7" s="91">
        <f>VLOOKUP($A7,'Data Vlaue (Cr)'!$C:$FB,91)</f>
        <v>218</v>
      </c>
      <c r="I7" s="91">
        <f>VLOOKUP($A7,'Data Vlaue (Cr)'!$C:$FB,93)</f>
        <v>22</v>
      </c>
      <c r="J7" s="92">
        <f>VLOOKUP($A7,'Data Vlaue (Cr)'!$C:$FB,94)</f>
        <v>0.1115</v>
      </c>
      <c r="K7" s="91">
        <f>VLOOKUP($A7,'Data Vlaue (Cr)'!$C:$FB,95)</f>
        <v>246</v>
      </c>
      <c r="L7" s="91">
        <f>VLOOKUP($A7,'Data Vlaue (Cr)'!$C:$FB,97)</f>
        <v>6</v>
      </c>
      <c r="M7" s="92">
        <f>VLOOKUP($A7,'Data Vlaue (Cr)'!$C:$FB,98)</f>
        <v>2.3599999999999999E-2</v>
      </c>
      <c r="N7" s="91">
        <f>VLOOKUP($A7,'Data Vlaue (Cr)'!$C:$FB,79)</f>
        <v>567</v>
      </c>
      <c r="O7" s="92">
        <f>VLOOKUP($A7,'Data Vlaue (Cr)'!$C:$FB,82)</f>
        <v>-4.41E-2</v>
      </c>
    </row>
    <row r="8" spans="1:15" x14ac:dyDescent="0.25">
      <c r="A8" s="97" t="str">
        <f>'Data Vlaue (Cr)'!C3</f>
        <v>ABB</v>
      </c>
      <c r="B8" s="142">
        <f>VLOOKUP(A8,'Data Vlaue (Cr)'!C3:CW221,99,0)</f>
        <v>3678</v>
      </c>
      <c r="C8" s="90">
        <f>VLOOKUP(A8,'Data Vlaue (Cr)'!C3:CY221,101,0)</f>
        <v>436</v>
      </c>
      <c r="D8" s="139">
        <f>VLOOKUP(A8,'Data Vlaue (Cr)'!C3:CZ221,102,0)</f>
        <v>0.13439999999999999</v>
      </c>
      <c r="E8" s="91">
        <f>VLOOKUP($A8,'Data Vlaue (Cr)'!$C:$FB,75)</f>
        <v>1730</v>
      </c>
      <c r="F8" s="91">
        <f>VLOOKUP($A8,'Data Vlaue (Cr)'!$C:$FB,77)</f>
        <v>12</v>
      </c>
      <c r="G8" s="92">
        <f>VLOOKUP(A8,'Data Vlaue (Cr)'!C3:CB221,78,0)</f>
        <v>6.8999999999999999E-3</v>
      </c>
      <c r="H8" s="91">
        <f>VLOOKUP($A8,'Data Vlaue (Cr)'!$C:$FB,91)</f>
        <v>1019</v>
      </c>
      <c r="I8" s="91">
        <f>VLOOKUP($A8,'Data Vlaue (Cr)'!$C:$FB,93)</f>
        <v>305</v>
      </c>
      <c r="J8" s="92">
        <f>VLOOKUP($A8,'Data Vlaue (Cr)'!$C:$FB,94)</f>
        <v>0.42649999999999999</v>
      </c>
      <c r="K8" s="91">
        <f>VLOOKUP($A8,'Data Vlaue (Cr)'!$C:$FB,95)</f>
        <v>928</v>
      </c>
      <c r="L8" s="91">
        <f>VLOOKUP($A8,'Data Vlaue (Cr)'!$C:$FB,97)</f>
        <v>119</v>
      </c>
      <c r="M8" s="92">
        <f>VLOOKUP($A8,'Data Vlaue (Cr)'!$C:$FB,98)</f>
        <v>0.14699999999999999</v>
      </c>
      <c r="N8" s="91">
        <f>VLOOKUP($A8,'Data Vlaue (Cr)'!$C:$FB,79)</f>
        <v>1593</v>
      </c>
      <c r="O8" s="92">
        <f>VLOOKUP($A8,'Data Vlaue (Cr)'!$C:$FB,82)</f>
        <v>-8.6E-3</v>
      </c>
    </row>
    <row r="9" spans="1:15" x14ac:dyDescent="0.25">
      <c r="A9" s="97" t="str">
        <f>'Data Vlaue (Cr)'!C4</f>
        <v>ABCAPITAL</v>
      </c>
      <c r="B9" s="142">
        <f>VLOOKUP(A9,'Data Vlaue (Cr)'!C4:CW222,99,0)</f>
        <v>2251</v>
      </c>
      <c r="C9" s="90">
        <f>VLOOKUP(A9,'Data Vlaue (Cr)'!C4:CY222,101,0)</f>
        <v>-139</v>
      </c>
      <c r="D9" s="139">
        <f>VLOOKUP(A9,'Data Vlaue (Cr)'!C4:CZ222,102,0)</f>
        <v>-5.8000000000000003E-2</v>
      </c>
      <c r="E9" s="91">
        <f>VLOOKUP($A9,'Data Vlaue (Cr)'!$C:$FB,75)</f>
        <v>1439</v>
      </c>
      <c r="F9" s="91">
        <f>VLOOKUP($A9,'Data Vlaue (Cr)'!$C:$FB,77)</f>
        <v>-46</v>
      </c>
      <c r="G9" s="92">
        <f>VLOOKUP(A9,'Data Vlaue (Cr)'!C4:CB222,78,0)</f>
        <v>-3.09E-2</v>
      </c>
      <c r="H9" s="91">
        <f>VLOOKUP($A9,'Data Vlaue (Cr)'!$C:$FB,91)</f>
        <v>485</v>
      </c>
      <c r="I9" s="91">
        <f>VLOOKUP($A9,'Data Vlaue (Cr)'!$C:$FB,93)</f>
        <v>-75</v>
      </c>
      <c r="J9" s="92">
        <f>VLOOKUP($A9,'Data Vlaue (Cr)'!$C:$FB,94)</f>
        <v>-0.13389999999999999</v>
      </c>
      <c r="K9" s="91">
        <f>VLOOKUP($A9,'Data Vlaue (Cr)'!$C:$FB,95)</f>
        <v>327</v>
      </c>
      <c r="L9" s="91">
        <f>VLOOKUP($A9,'Data Vlaue (Cr)'!$C:$FB,97)</f>
        <v>-18</v>
      </c>
      <c r="M9" s="92">
        <f>VLOOKUP($A9,'Data Vlaue (Cr)'!$C:$FB,98)</f>
        <v>-5.1299999999999998E-2</v>
      </c>
      <c r="N9" s="91">
        <f>VLOOKUP($A9,'Data Vlaue (Cr)'!$C:$FB,79)</f>
        <v>1402</v>
      </c>
      <c r="O9" s="92">
        <f>VLOOKUP($A9,'Data Vlaue (Cr)'!$C:$FB,82)</f>
        <v>-3.4000000000000002E-2</v>
      </c>
    </row>
    <row r="10" spans="1:15" x14ac:dyDescent="0.25">
      <c r="A10" s="97" t="str">
        <f>'Data Vlaue (Cr)'!C5</f>
        <v>ADANIENSOL</v>
      </c>
      <c r="B10" s="142">
        <f>VLOOKUP(A10,'Data Vlaue (Cr)'!C5:CW223,99,0)</f>
        <v>3707</v>
      </c>
      <c r="C10" s="90">
        <f>VLOOKUP(A10,'Data Vlaue (Cr)'!C5:CY223,101,0)</f>
        <v>-63</v>
      </c>
      <c r="D10" s="139">
        <f>VLOOKUP(A10,'Data Vlaue (Cr)'!C5:CZ223,102,0)</f>
        <v>-1.6799999999999999E-2</v>
      </c>
      <c r="E10" s="91">
        <f>VLOOKUP($A10,'Data Vlaue (Cr)'!$C:$FB,75)</f>
        <v>2825</v>
      </c>
      <c r="F10" s="91">
        <f>VLOOKUP($A10,'Data Vlaue (Cr)'!$C:$FB,77)</f>
        <v>-97</v>
      </c>
      <c r="G10" s="92">
        <f>VLOOKUP(A10,'Data Vlaue (Cr)'!C5:CB223,78,0)</f>
        <v>-3.32E-2</v>
      </c>
      <c r="H10" s="91">
        <f>VLOOKUP($A10,'Data Vlaue (Cr)'!$C:$FB,91)</f>
        <v>538</v>
      </c>
      <c r="I10" s="91">
        <f>VLOOKUP($A10,'Data Vlaue (Cr)'!$C:$FB,93)</f>
        <v>35</v>
      </c>
      <c r="J10" s="92">
        <f>VLOOKUP($A10,'Data Vlaue (Cr)'!$C:$FB,94)</f>
        <v>7.0099999999999996E-2</v>
      </c>
      <c r="K10" s="91">
        <f>VLOOKUP($A10,'Data Vlaue (Cr)'!$C:$FB,95)</f>
        <v>343</v>
      </c>
      <c r="L10" s="91">
        <f>VLOOKUP($A10,'Data Vlaue (Cr)'!$C:$FB,97)</f>
        <v>-2</v>
      </c>
      <c r="M10" s="92">
        <f>VLOOKUP($A10,'Data Vlaue (Cr)'!$C:$FB,98)</f>
        <v>-5.1999999999999998E-3</v>
      </c>
      <c r="N10" s="91">
        <f>VLOOKUP($A10,'Data Vlaue (Cr)'!$C:$FB,79)</f>
        <v>2412</v>
      </c>
      <c r="O10" s="92">
        <f>VLOOKUP($A10,'Data Vlaue (Cr)'!$C:$FB,82)</f>
        <v>-0.04</v>
      </c>
    </row>
    <row r="11" spans="1:15" x14ac:dyDescent="0.25">
      <c r="A11" s="97" t="str">
        <f>'Data Vlaue (Cr)'!C6</f>
        <v>ADANIENT</v>
      </c>
      <c r="B11" s="142">
        <f>VLOOKUP(A11,'Data Vlaue (Cr)'!C6:CW224,99,0)</f>
        <v>7087</v>
      </c>
      <c r="C11" s="90">
        <f>VLOOKUP(A11,'Data Vlaue (Cr)'!C6:CY224,101,0)</f>
        <v>85</v>
      </c>
      <c r="D11" s="139">
        <f>VLOOKUP(A11,'Data Vlaue (Cr)'!C6:CZ224,102,0)</f>
        <v>1.21E-2</v>
      </c>
      <c r="E11" s="91">
        <f>VLOOKUP($A11,'Data Vlaue (Cr)'!$C:$FB,75)</f>
        <v>3852</v>
      </c>
      <c r="F11" s="91">
        <f>VLOOKUP($A11,'Data Vlaue (Cr)'!$C:$FB,77)</f>
        <v>-9</v>
      </c>
      <c r="G11" s="92">
        <f>VLOOKUP(A11,'Data Vlaue (Cr)'!C6:CB224,78,0)</f>
        <v>-2.3999999999999998E-3</v>
      </c>
      <c r="H11" s="91">
        <f>VLOOKUP($A11,'Data Vlaue (Cr)'!$C:$FB,91)</f>
        <v>1616</v>
      </c>
      <c r="I11" s="91">
        <f>VLOOKUP($A11,'Data Vlaue (Cr)'!$C:$FB,93)</f>
        <v>-6</v>
      </c>
      <c r="J11" s="92">
        <f>VLOOKUP($A11,'Data Vlaue (Cr)'!$C:$FB,94)</f>
        <v>-3.5000000000000001E-3</v>
      </c>
      <c r="K11" s="91">
        <f>VLOOKUP($A11,'Data Vlaue (Cr)'!$C:$FB,95)</f>
        <v>1618</v>
      </c>
      <c r="L11" s="91">
        <f>VLOOKUP($A11,'Data Vlaue (Cr)'!$C:$FB,97)</f>
        <v>100</v>
      </c>
      <c r="M11" s="92">
        <f>VLOOKUP($A11,'Data Vlaue (Cr)'!$C:$FB,98)</f>
        <v>6.5600000000000006E-2</v>
      </c>
      <c r="N11" s="91">
        <f>VLOOKUP($A11,'Data Vlaue (Cr)'!$C:$FB,79)</f>
        <v>3426</v>
      </c>
      <c r="O11" s="92">
        <f>VLOOKUP($A11,'Data Vlaue (Cr)'!$C:$FB,82)</f>
        <v>-2.01E-2</v>
      </c>
    </row>
    <row r="12" spans="1:15" x14ac:dyDescent="0.25">
      <c r="A12" s="97" t="str">
        <f>'Data Vlaue (Cr)'!C7</f>
        <v>ADANIGREEN</v>
      </c>
      <c r="B12" s="142">
        <f>VLOOKUP(A12,'Data Vlaue (Cr)'!C7:CW225,99,0)</f>
        <v>4357</v>
      </c>
      <c r="C12" s="90">
        <f>VLOOKUP(A12,'Data Vlaue (Cr)'!C7:CY225,101,0)</f>
        <v>184</v>
      </c>
      <c r="D12" s="139">
        <f>VLOOKUP(A12,'Data Vlaue (Cr)'!C7:CZ225,102,0)</f>
        <v>4.41E-2</v>
      </c>
      <c r="E12" s="91">
        <f>VLOOKUP($A12,'Data Vlaue (Cr)'!$C:$FB,75)</f>
        <v>2480</v>
      </c>
      <c r="F12" s="91">
        <f>VLOOKUP($A12,'Data Vlaue (Cr)'!$C:$FB,77)</f>
        <v>34</v>
      </c>
      <c r="G12" s="92">
        <f>VLOOKUP(A12,'Data Vlaue (Cr)'!C7:CB225,78,0)</f>
        <v>1.38E-2</v>
      </c>
      <c r="H12" s="91">
        <f>VLOOKUP($A12,'Data Vlaue (Cr)'!$C:$FB,91)</f>
        <v>1066</v>
      </c>
      <c r="I12" s="91">
        <f>VLOOKUP($A12,'Data Vlaue (Cr)'!$C:$FB,93)</f>
        <v>129</v>
      </c>
      <c r="J12" s="92">
        <f>VLOOKUP($A12,'Data Vlaue (Cr)'!$C:$FB,94)</f>
        <v>0.1381</v>
      </c>
      <c r="K12" s="91">
        <f>VLOOKUP($A12,'Data Vlaue (Cr)'!$C:$FB,95)</f>
        <v>810</v>
      </c>
      <c r="L12" s="91">
        <f>VLOOKUP($A12,'Data Vlaue (Cr)'!$C:$FB,97)</f>
        <v>21</v>
      </c>
      <c r="M12" s="92">
        <f>VLOOKUP($A12,'Data Vlaue (Cr)'!$C:$FB,98)</f>
        <v>2.64E-2</v>
      </c>
      <c r="N12" s="91">
        <f>VLOOKUP($A12,'Data Vlaue (Cr)'!$C:$FB,79)</f>
        <v>2374</v>
      </c>
      <c r="O12" s="92">
        <f>VLOOKUP($A12,'Data Vlaue (Cr)'!$C:$FB,82)</f>
        <v>6.1000000000000004E-3</v>
      </c>
    </row>
    <row r="13" spans="1:15" x14ac:dyDescent="0.25">
      <c r="A13" s="97" t="str">
        <f>'Data Vlaue (Cr)'!C8</f>
        <v>ADANIPORTS</v>
      </c>
      <c r="B13" s="142">
        <f>VLOOKUP(A13,'Data Vlaue (Cr)'!C8:CW226,99,0)</f>
        <v>5928</v>
      </c>
      <c r="C13" s="90">
        <f>VLOOKUP(A13,'Data Vlaue (Cr)'!C8:CY226,101,0)</f>
        <v>52</v>
      </c>
      <c r="D13" s="139">
        <f>VLOOKUP(A13,'Data Vlaue (Cr)'!C8:CZ226,102,0)</f>
        <v>8.8000000000000005E-3</v>
      </c>
      <c r="E13" s="91">
        <f>VLOOKUP($A13,'Data Vlaue (Cr)'!$C:$FB,75)</f>
        <v>3114</v>
      </c>
      <c r="F13" s="91">
        <f>VLOOKUP($A13,'Data Vlaue (Cr)'!$C:$FB,77)</f>
        <v>-23</v>
      </c>
      <c r="G13" s="92">
        <f>VLOOKUP(A13,'Data Vlaue (Cr)'!C8:CB226,78,0)</f>
        <v>-7.4999999999999997E-3</v>
      </c>
      <c r="H13" s="91">
        <f>VLOOKUP($A13,'Data Vlaue (Cr)'!$C:$FB,91)</f>
        <v>1466</v>
      </c>
      <c r="I13" s="91">
        <f>VLOOKUP($A13,'Data Vlaue (Cr)'!$C:$FB,93)</f>
        <v>-22</v>
      </c>
      <c r="J13" s="92">
        <f>VLOOKUP($A13,'Data Vlaue (Cr)'!$C:$FB,94)</f>
        <v>-1.4500000000000001E-2</v>
      </c>
      <c r="K13" s="91">
        <f>VLOOKUP($A13,'Data Vlaue (Cr)'!$C:$FB,95)</f>
        <v>1347</v>
      </c>
      <c r="L13" s="91">
        <f>VLOOKUP($A13,'Data Vlaue (Cr)'!$C:$FB,97)</f>
        <v>97</v>
      </c>
      <c r="M13" s="92">
        <f>VLOOKUP($A13,'Data Vlaue (Cr)'!$C:$FB,98)</f>
        <v>7.7299999999999994E-2</v>
      </c>
      <c r="N13" s="91">
        <f>VLOOKUP($A13,'Data Vlaue (Cr)'!$C:$FB,79)</f>
        <v>2626</v>
      </c>
      <c r="O13" s="92">
        <f>VLOOKUP($A13,'Data Vlaue (Cr)'!$C:$FB,82)</f>
        <v>-1.9099999999999999E-2</v>
      </c>
    </row>
    <row r="14" spans="1:15" x14ac:dyDescent="0.25">
      <c r="A14" s="97" t="str">
        <f>'Data Vlaue (Cr)'!C9</f>
        <v>ADANIPOWER</v>
      </c>
      <c r="B14" s="142">
        <f>VLOOKUP(A14,'Data Vlaue (Cr)'!C9:CW227,99,0)</f>
        <v>2971</v>
      </c>
      <c r="C14" s="90">
        <f>VLOOKUP(A14,'Data Vlaue (Cr)'!C9:CY227,101,0)</f>
        <v>266</v>
      </c>
      <c r="D14" s="139">
        <f>VLOOKUP(A14,'Data Vlaue (Cr)'!C9:CZ227,102,0)</f>
        <v>9.8299999999999998E-2</v>
      </c>
      <c r="E14" s="91">
        <f>VLOOKUP($A14,'Data Vlaue (Cr)'!$C:$FB,75)</f>
        <v>1762</v>
      </c>
      <c r="F14" s="91">
        <f>VLOOKUP($A14,'Data Vlaue (Cr)'!$C:$FB,77)</f>
        <v>90</v>
      </c>
      <c r="G14" s="92">
        <f>VLOOKUP(A14,'Data Vlaue (Cr)'!C9:CB227,78,0)</f>
        <v>5.3800000000000001E-2</v>
      </c>
      <c r="H14" s="91">
        <f>VLOOKUP($A14,'Data Vlaue (Cr)'!$C:$FB,91)</f>
        <v>715</v>
      </c>
      <c r="I14" s="91">
        <f>VLOOKUP($A14,'Data Vlaue (Cr)'!$C:$FB,93)</f>
        <v>122</v>
      </c>
      <c r="J14" s="92">
        <f>VLOOKUP($A14,'Data Vlaue (Cr)'!$C:$FB,94)</f>
        <v>0.2056</v>
      </c>
      <c r="K14" s="91">
        <f>VLOOKUP($A14,'Data Vlaue (Cr)'!$C:$FB,95)</f>
        <v>494</v>
      </c>
      <c r="L14" s="91">
        <f>VLOOKUP($A14,'Data Vlaue (Cr)'!$C:$FB,97)</f>
        <v>54</v>
      </c>
      <c r="M14" s="92">
        <f>VLOOKUP($A14,'Data Vlaue (Cr)'!$C:$FB,98)</f>
        <v>0.1231</v>
      </c>
      <c r="N14" s="91">
        <f>VLOOKUP($A14,'Data Vlaue (Cr)'!$C:$FB,79)</f>
        <v>1551</v>
      </c>
      <c r="O14" s="92">
        <f>VLOOKUP($A14,'Data Vlaue (Cr)'!$C:$FB,82)</f>
        <v>1.5E-3</v>
      </c>
    </row>
    <row r="15" spans="1:15" x14ac:dyDescent="0.25">
      <c r="A15" s="97" t="str">
        <f>'Data Vlaue (Cr)'!C10</f>
        <v>ALKEM</v>
      </c>
      <c r="B15" s="142">
        <f>VLOOKUP(A15,'Data Vlaue (Cr)'!C10:CW228,99,0)</f>
        <v>1005</v>
      </c>
      <c r="C15" s="90">
        <f>VLOOKUP(A15,'Data Vlaue (Cr)'!C10:CY228,101,0)</f>
        <v>99</v>
      </c>
      <c r="D15" s="139">
        <f>VLOOKUP(A15,'Data Vlaue (Cr)'!C10:CZ228,102,0)</f>
        <v>0.10920000000000001</v>
      </c>
      <c r="E15" s="91">
        <f>VLOOKUP($A15,'Data Vlaue (Cr)'!$C:$FB,75)</f>
        <v>672</v>
      </c>
      <c r="F15" s="91">
        <f>VLOOKUP($A15,'Data Vlaue (Cr)'!$C:$FB,77)</f>
        <v>10</v>
      </c>
      <c r="G15" s="92">
        <f>VLOOKUP(A15,'Data Vlaue (Cr)'!C10:CB228,78,0)</f>
        <v>1.44E-2</v>
      </c>
      <c r="H15" s="91">
        <f>VLOOKUP($A15,'Data Vlaue (Cr)'!$C:$FB,91)</f>
        <v>218</v>
      </c>
      <c r="I15" s="91">
        <f>VLOOKUP($A15,'Data Vlaue (Cr)'!$C:$FB,93)</f>
        <v>60</v>
      </c>
      <c r="J15" s="92">
        <f>VLOOKUP($A15,'Data Vlaue (Cr)'!$C:$FB,94)</f>
        <v>0.38300000000000001</v>
      </c>
      <c r="K15" s="91">
        <f>VLOOKUP($A15,'Data Vlaue (Cr)'!$C:$FB,95)</f>
        <v>115</v>
      </c>
      <c r="L15" s="91">
        <f>VLOOKUP($A15,'Data Vlaue (Cr)'!$C:$FB,97)</f>
        <v>29</v>
      </c>
      <c r="M15" s="92">
        <f>VLOOKUP($A15,'Data Vlaue (Cr)'!$C:$FB,98)</f>
        <v>0.33800000000000002</v>
      </c>
      <c r="N15" s="91">
        <f>VLOOKUP($A15,'Data Vlaue (Cr)'!$C:$FB,79)</f>
        <v>663</v>
      </c>
      <c r="O15" s="92">
        <f>VLOOKUP($A15,'Data Vlaue (Cr)'!$C:$FB,82)</f>
        <v>1.09E-2</v>
      </c>
    </row>
    <row r="16" spans="1:15" x14ac:dyDescent="0.25">
      <c r="A16" s="97" t="str">
        <f>'Data Vlaue (Cr)'!C11</f>
        <v>AMBER</v>
      </c>
      <c r="B16" s="142">
        <f>VLOOKUP(A16,'Data Vlaue (Cr)'!C11:CW229,99,0)</f>
        <v>2447</v>
      </c>
      <c r="C16" s="90">
        <f>VLOOKUP(A16,'Data Vlaue (Cr)'!C11:CY229,101,0)</f>
        <v>13</v>
      </c>
      <c r="D16" s="139">
        <f>VLOOKUP(A16,'Data Vlaue (Cr)'!C11:CZ229,102,0)</f>
        <v>5.1999999999999998E-3</v>
      </c>
      <c r="E16" s="91">
        <f>VLOOKUP($A16,'Data Vlaue (Cr)'!$C:$FB,75)</f>
        <v>1008</v>
      </c>
      <c r="F16" s="91">
        <f>VLOOKUP($A16,'Data Vlaue (Cr)'!$C:$FB,77)</f>
        <v>-6</v>
      </c>
      <c r="G16" s="92">
        <f>VLOOKUP(A16,'Data Vlaue (Cr)'!C11:CB229,78,0)</f>
        <v>-5.5999999999999999E-3</v>
      </c>
      <c r="H16" s="91">
        <f>VLOOKUP($A16,'Data Vlaue (Cr)'!$C:$FB,91)</f>
        <v>858</v>
      </c>
      <c r="I16" s="91">
        <f>VLOOKUP($A16,'Data Vlaue (Cr)'!$C:$FB,93)</f>
        <v>60</v>
      </c>
      <c r="J16" s="92">
        <f>VLOOKUP($A16,'Data Vlaue (Cr)'!$C:$FB,94)</f>
        <v>7.4800000000000005E-2</v>
      </c>
      <c r="K16" s="91">
        <f>VLOOKUP($A16,'Data Vlaue (Cr)'!$C:$FB,95)</f>
        <v>580</v>
      </c>
      <c r="L16" s="91">
        <f>VLOOKUP($A16,'Data Vlaue (Cr)'!$C:$FB,97)</f>
        <v>-41</v>
      </c>
      <c r="M16" s="92">
        <f>VLOOKUP($A16,'Data Vlaue (Cr)'!$C:$FB,98)</f>
        <v>-6.6699999999999995E-2</v>
      </c>
      <c r="N16" s="91">
        <f>VLOOKUP($A16,'Data Vlaue (Cr)'!$C:$FB,79)</f>
        <v>939</v>
      </c>
      <c r="O16" s="92">
        <f>VLOOKUP($A16,'Data Vlaue (Cr)'!$C:$FB,82)</f>
        <v>-1.26E-2</v>
      </c>
    </row>
    <row r="17" spans="1:15" x14ac:dyDescent="0.25">
      <c r="A17" s="97" t="str">
        <f>'Data Vlaue (Cr)'!C12</f>
        <v>AMBUJACEM</v>
      </c>
      <c r="B17" s="142">
        <f>VLOOKUP(A17,'Data Vlaue (Cr)'!C12:CW230,99,0)</f>
        <v>3639</v>
      </c>
      <c r="C17" s="90">
        <f>VLOOKUP(A17,'Data Vlaue (Cr)'!C12:CY230,101,0)</f>
        <v>-14</v>
      </c>
      <c r="D17" s="139">
        <f>VLOOKUP(A17,'Data Vlaue (Cr)'!C12:CZ230,102,0)</f>
        <v>-3.7000000000000002E-3</v>
      </c>
      <c r="E17" s="91">
        <f>VLOOKUP($A17,'Data Vlaue (Cr)'!$C:$FB,75)</f>
        <v>2707</v>
      </c>
      <c r="F17" s="91">
        <f>VLOOKUP($A17,'Data Vlaue (Cr)'!$C:$FB,77)</f>
        <v>-7</v>
      </c>
      <c r="G17" s="92">
        <f>VLOOKUP(A17,'Data Vlaue (Cr)'!C12:CB230,78,0)</f>
        <v>-2.5000000000000001E-3</v>
      </c>
      <c r="H17" s="91">
        <f>VLOOKUP($A17,'Data Vlaue (Cr)'!$C:$FB,91)</f>
        <v>480</v>
      </c>
      <c r="I17" s="91">
        <f>VLOOKUP($A17,'Data Vlaue (Cr)'!$C:$FB,93)</f>
        <v>-3</v>
      </c>
      <c r="J17" s="92">
        <f>VLOOKUP($A17,'Data Vlaue (Cr)'!$C:$FB,94)</f>
        <v>-5.4999999999999997E-3</v>
      </c>
      <c r="K17" s="91">
        <f>VLOOKUP($A17,'Data Vlaue (Cr)'!$C:$FB,95)</f>
        <v>451</v>
      </c>
      <c r="L17" s="91">
        <f>VLOOKUP($A17,'Data Vlaue (Cr)'!$C:$FB,97)</f>
        <v>-4</v>
      </c>
      <c r="M17" s="92">
        <f>VLOOKUP($A17,'Data Vlaue (Cr)'!$C:$FB,98)</f>
        <v>-8.6999999999999994E-3</v>
      </c>
      <c r="N17" s="91">
        <f>VLOOKUP($A17,'Data Vlaue (Cr)'!$C:$FB,79)</f>
        <v>2251</v>
      </c>
      <c r="O17" s="92">
        <f>VLOOKUP($A17,'Data Vlaue (Cr)'!$C:$FB,82)</f>
        <v>-3.49E-2</v>
      </c>
    </row>
    <row r="18" spans="1:15" x14ac:dyDescent="0.25">
      <c r="A18" s="97" t="str">
        <f>'Data Vlaue (Cr)'!C13</f>
        <v>ANGELONE</v>
      </c>
      <c r="B18" s="142">
        <f>VLOOKUP(A18,'Data Vlaue (Cr)'!C13:CW231,99,0)</f>
        <v>3235</v>
      </c>
      <c r="C18" s="90">
        <f>VLOOKUP(A18,'Data Vlaue (Cr)'!C13:CY231,101,0)</f>
        <v>-90</v>
      </c>
      <c r="D18" s="139">
        <f>VLOOKUP(A18,'Data Vlaue (Cr)'!C13:CZ231,102,0)</f>
        <v>-2.7E-2</v>
      </c>
      <c r="E18" s="91">
        <f>VLOOKUP($A18,'Data Vlaue (Cr)'!$C:$FB,75)</f>
        <v>946</v>
      </c>
      <c r="F18" s="91">
        <f>VLOOKUP($A18,'Data Vlaue (Cr)'!$C:$FB,77)</f>
        <v>-71</v>
      </c>
      <c r="G18" s="92">
        <f>VLOOKUP(A18,'Data Vlaue (Cr)'!C13:CB231,78,0)</f>
        <v>-6.9800000000000001E-2</v>
      </c>
      <c r="H18" s="91">
        <f>VLOOKUP($A18,'Data Vlaue (Cr)'!$C:$FB,91)</f>
        <v>1156</v>
      </c>
      <c r="I18" s="91">
        <f>VLOOKUP($A18,'Data Vlaue (Cr)'!$C:$FB,93)</f>
        <v>120</v>
      </c>
      <c r="J18" s="92">
        <f>VLOOKUP($A18,'Data Vlaue (Cr)'!$C:$FB,94)</f>
        <v>0.1153</v>
      </c>
      <c r="K18" s="91">
        <f>VLOOKUP($A18,'Data Vlaue (Cr)'!$C:$FB,95)</f>
        <v>1133</v>
      </c>
      <c r="L18" s="91">
        <f>VLOOKUP($A18,'Data Vlaue (Cr)'!$C:$FB,97)</f>
        <v>-138</v>
      </c>
      <c r="M18" s="92">
        <f>VLOOKUP($A18,'Data Vlaue (Cr)'!$C:$FB,98)</f>
        <v>-0.10879999999999999</v>
      </c>
      <c r="N18" s="91">
        <f>VLOOKUP($A18,'Data Vlaue (Cr)'!$C:$FB,79)</f>
        <v>768</v>
      </c>
      <c r="O18" s="92">
        <f>VLOOKUP($A18,'Data Vlaue (Cr)'!$C:$FB,82)</f>
        <v>-8.8900000000000007E-2</v>
      </c>
    </row>
    <row r="19" spans="1:15" x14ac:dyDescent="0.25">
      <c r="A19" s="97" t="str">
        <f>'Data Vlaue (Cr)'!C14</f>
        <v>APLAPOLLO</v>
      </c>
      <c r="B19" s="142">
        <f>VLOOKUP(A19,'Data Vlaue (Cr)'!C14:CW232,99,0)</f>
        <v>1488</v>
      </c>
      <c r="C19" s="90">
        <f>VLOOKUP(A19,'Data Vlaue (Cr)'!C14:CY232,101,0)</f>
        <v>-62</v>
      </c>
      <c r="D19" s="139">
        <f>VLOOKUP(A19,'Data Vlaue (Cr)'!C14:CZ232,102,0)</f>
        <v>-4.0300000000000002E-2</v>
      </c>
      <c r="E19" s="91">
        <f>VLOOKUP($A19,'Data Vlaue (Cr)'!$C:$FB,75)</f>
        <v>1018</v>
      </c>
      <c r="F19" s="91">
        <f>VLOOKUP($A19,'Data Vlaue (Cr)'!$C:$FB,77)</f>
        <v>-71</v>
      </c>
      <c r="G19" s="92">
        <f>VLOOKUP(A19,'Data Vlaue (Cr)'!C14:CB232,78,0)</f>
        <v>-6.5100000000000005E-2</v>
      </c>
      <c r="H19" s="91">
        <f>VLOOKUP($A19,'Data Vlaue (Cr)'!$C:$FB,91)</f>
        <v>274</v>
      </c>
      <c r="I19" s="91">
        <f>VLOOKUP($A19,'Data Vlaue (Cr)'!$C:$FB,93)</f>
        <v>-2</v>
      </c>
      <c r="J19" s="92">
        <f>VLOOKUP($A19,'Data Vlaue (Cr)'!$C:$FB,94)</f>
        <v>-6.0000000000000001E-3</v>
      </c>
      <c r="K19" s="91">
        <f>VLOOKUP($A19,'Data Vlaue (Cr)'!$C:$FB,95)</f>
        <v>196</v>
      </c>
      <c r="L19" s="91">
        <f>VLOOKUP($A19,'Data Vlaue (Cr)'!$C:$FB,97)</f>
        <v>10</v>
      </c>
      <c r="M19" s="92">
        <f>VLOOKUP($A19,'Data Vlaue (Cr)'!$C:$FB,98)</f>
        <v>5.3999999999999999E-2</v>
      </c>
      <c r="N19" s="91">
        <f>VLOOKUP($A19,'Data Vlaue (Cr)'!$C:$FB,79)</f>
        <v>893</v>
      </c>
      <c r="O19" s="92">
        <f>VLOOKUP($A19,'Data Vlaue (Cr)'!$C:$FB,82)</f>
        <v>-7.6200000000000004E-2</v>
      </c>
    </row>
    <row r="20" spans="1:15" x14ac:dyDescent="0.25">
      <c r="A20" s="97" t="str">
        <f>'Data Vlaue (Cr)'!C15</f>
        <v>APOLLOHOSP</v>
      </c>
      <c r="B20" s="142">
        <f>VLOOKUP(A20,'Data Vlaue (Cr)'!C15:CW233,99,0)</f>
        <v>3095</v>
      </c>
      <c r="C20" s="90">
        <f>VLOOKUP(A20,'Data Vlaue (Cr)'!C15:CY233,101,0)</f>
        <v>-15</v>
      </c>
      <c r="D20" s="139">
        <f>VLOOKUP(A20,'Data Vlaue (Cr)'!C15:CZ233,102,0)</f>
        <v>-4.7999999999999996E-3</v>
      </c>
      <c r="E20" s="91">
        <f>VLOOKUP($A20,'Data Vlaue (Cr)'!$C:$FB,75)</f>
        <v>1827</v>
      </c>
      <c r="F20" s="91">
        <f>VLOOKUP($A20,'Data Vlaue (Cr)'!$C:$FB,77)</f>
        <v>-7</v>
      </c>
      <c r="G20" s="92">
        <f>VLOOKUP(A20,'Data Vlaue (Cr)'!C15:CB233,78,0)</f>
        <v>-3.5000000000000001E-3</v>
      </c>
      <c r="H20" s="91">
        <f>VLOOKUP($A20,'Data Vlaue (Cr)'!$C:$FB,91)</f>
        <v>677</v>
      </c>
      <c r="I20" s="91">
        <f>VLOOKUP($A20,'Data Vlaue (Cr)'!$C:$FB,93)</f>
        <v>9</v>
      </c>
      <c r="J20" s="92">
        <f>VLOOKUP($A20,'Data Vlaue (Cr)'!$C:$FB,94)</f>
        <v>1.3899999999999999E-2</v>
      </c>
      <c r="K20" s="91">
        <f>VLOOKUP($A20,'Data Vlaue (Cr)'!$C:$FB,95)</f>
        <v>592</v>
      </c>
      <c r="L20" s="91">
        <f>VLOOKUP($A20,'Data Vlaue (Cr)'!$C:$FB,97)</f>
        <v>-18</v>
      </c>
      <c r="M20" s="92">
        <f>VLOOKUP($A20,'Data Vlaue (Cr)'!$C:$FB,98)</f>
        <v>-2.8899999999999999E-2</v>
      </c>
      <c r="N20" s="91">
        <f>VLOOKUP($A20,'Data Vlaue (Cr)'!$C:$FB,79)</f>
        <v>1725</v>
      </c>
      <c r="O20" s="92">
        <f>VLOOKUP($A20,'Data Vlaue (Cr)'!$C:$FB,82)</f>
        <v>-1.17E-2</v>
      </c>
    </row>
    <row r="21" spans="1:15" x14ac:dyDescent="0.25">
      <c r="A21" s="97" t="str">
        <f>'Data Vlaue (Cr)'!C16</f>
        <v>ASHOKLEY</v>
      </c>
      <c r="B21" s="142">
        <f>VLOOKUP(A21,'Data Vlaue (Cr)'!C16:CW234,99,0)</f>
        <v>5294</v>
      </c>
      <c r="C21" s="90">
        <f>VLOOKUP(A21,'Data Vlaue (Cr)'!C16:CY234,101,0)</f>
        <v>35</v>
      </c>
      <c r="D21" s="139">
        <f>VLOOKUP(A21,'Data Vlaue (Cr)'!C16:CZ234,102,0)</f>
        <v>6.7000000000000002E-3</v>
      </c>
      <c r="E21" s="91">
        <f>VLOOKUP($A21,'Data Vlaue (Cr)'!$C:$FB,75)</f>
        <v>2390</v>
      </c>
      <c r="F21" s="91">
        <f>VLOOKUP($A21,'Data Vlaue (Cr)'!$C:$FB,77)</f>
        <v>-41</v>
      </c>
      <c r="G21" s="92">
        <f>VLOOKUP(A21,'Data Vlaue (Cr)'!C16:CB234,78,0)</f>
        <v>-1.67E-2</v>
      </c>
      <c r="H21" s="91">
        <f>VLOOKUP($A21,'Data Vlaue (Cr)'!$C:$FB,91)</f>
        <v>1692</v>
      </c>
      <c r="I21" s="91">
        <f>VLOOKUP($A21,'Data Vlaue (Cr)'!$C:$FB,93)</f>
        <v>64</v>
      </c>
      <c r="J21" s="92">
        <f>VLOOKUP($A21,'Data Vlaue (Cr)'!$C:$FB,94)</f>
        <v>3.95E-2</v>
      </c>
      <c r="K21" s="91">
        <f>VLOOKUP($A21,'Data Vlaue (Cr)'!$C:$FB,95)</f>
        <v>1211</v>
      </c>
      <c r="L21" s="91">
        <f>VLOOKUP($A21,'Data Vlaue (Cr)'!$C:$FB,97)</f>
        <v>12</v>
      </c>
      <c r="M21" s="92">
        <f>VLOOKUP($A21,'Data Vlaue (Cr)'!$C:$FB,98)</f>
        <v>9.5999999999999992E-3</v>
      </c>
      <c r="N21" s="91">
        <f>VLOOKUP($A21,'Data Vlaue (Cr)'!$C:$FB,79)</f>
        <v>2132</v>
      </c>
      <c r="O21" s="92">
        <f>VLOOKUP($A21,'Data Vlaue (Cr)'!$C:$FB,82)</f>
        <v>-2.52E-2</v>
      </c>
    </row>
    <row r="22" spans="1:15" x14ac:dyDescent="0.25">
      <c r="A22" s="97" t="str">
        <f>'Data Vlaue (Cr)'!C17</f>
        <v>ASIANPAINT</v>
      </c>
      <c r="B22" s="142">
        <f>VLOOKUP(A22,'Data Vlaue (Cr)'!C17:CW235,99,0)</f>
        <v>6353</v>
      </c>
      <c r="C22" s="90">
        <f>VLOOKUP(A22,'Data Vlaue (Cr)'!C17:CY235,101,0)</f>
        <v>271</v>
      </c>
      <c r="D22" s="139">
        <f>VLOOKUP(A22,'Data Vlaue (Cr)'!C17:CZ235,102,0)</f>
        <v>4.4600000000000001E-2</v>
      </c>
      <c r="E22" s="91">
        <f>VLOOKUP($A22,'Data Vlaue (Cr)'!$C:$FB,75)</f>
        <v>3656</v>
      </c>
      <c r="F22" s="91">
        <f>VLOOKUP($A22,'Data Vlaue (Cr)'!$C:$FB,77)</f>
        <v>-9</v>
      </c>
      <c r="G22" s="92">
        <f>VLOOKUP(A22,'Data Vlaue (Cr)'!C17:CB235,78,0)</f>
        <v>-2.5999999999999999E-3</v>
      </c>
      <c r="H22" s="91">
        <f>VLOOKUP($A22,'Data Vlaue (Cr)'!$C:$FB,91)</f>
        <v>1211</v>
      </c>
      <c r="I22" s="91">
        <f>VLOOKUP($A22,'Data Vlaue (Cr)'!$C:$FB,93)</f>
        <v>89</v>
      </c>
      <c r="J22" s="92">
        <f>VLOOKUP($A22,'Data Vlaue (Cr)'!$C:$FB,94)</f>
        <v>7.9699999999999993E-2</v>
      </c>
      <c r="K22" s="91">
        <f>VLOOKUP($A22,'Data Vlaue (Cr)'!$C:$FB,95)</f>
        <v>1486</v>
      </c>
      <c r="L22" s="91">
        <f>VLOOKUP($A22,'Data Vlaue (Cr)'!$C:$FB,97)</f>
        <v>191</v>
      </c>
      <c r="M22" s="92">
        <f>VLOOKUP($A22,'Data Vlaue (Cr)'!$C:$FB,98)</f>
        <v>0.14760000000000001</v>
      </c>
      <c r="N22" s="91">
        <f>VLOOKUP($A22,'Data Vlaue (Cr)'!$C:$FB,79)</f>
        <v>3095</v>
      </c>
      <c r="O22" s="92">
        <f>VLOOKUP($A22,'Data Vlaue (Cr)'!$C:$FB,82)</f>
        <v>-1.77E-2</v>
      </c>
    </row>
    <row r="23" spans="1:15" x14ac:dyDescent="0.25">
      <c r="A23" s="97" t="str">
        <f>'Data Vlaue (Cr)'!C18</f>
        <v>ASTRAL</v>
      </c>
      <c r="B23" s="142">
        <f>VLOOKUP(A23,'Data Vlaue (Cr)'!C18:CW236,99,0)</f>
        <v>3240</v>
      </c>
      <c r="C23" s="90">
        <f>VLOOKUP(A23,'Data Vlaue (Cr)'!C18:CY236,101,0)</f>
        <v>24</v>
      </c>
      <c r="D23" s="139">
        <f>VLOOKUP(A23,'Data Vlaue (Cr)'!C18:CZ236,102,0)</f>
        <v>7.4000000000000003E-3</v>
      </c>
      <c r="E23" s="91">
        <f>VLOOKUP($A23,'Data Vlaue (Cr)'!$C:$FB,75)</f>
        <v>2228</v>
      </c>
      <c r="F23" s="91">
        <f>VLOOKUP($A23,'Data Vlaue (Cr)'!$C:$FB,77)</f>
        <v>48</v>
      </c>
      <c r="G23" s="92">
        <f>VLOOKUP(A23,'Data Vlaue (Cr)'!C18:CB236,78,0)</f>
        <v>2.1899999999999999E-2</v>
      </c>
      <c r="H23" s="91">
        <f>VLOOKUP($A23,'Data Vlaue (Cr)'!$C:$FB,91)</f>
        <v>628</v>
      </c>
      <c r="I23" s="91">
        <f>VLOOKUP($A23,'Data Vlaue (Cr)'!$C:$FB,93)</f>
        <v>-25</v>
      </c>
      <c r="J23" s="92">
        <f>VLOOKUP($A23,'Data Vlaue (Cr)'!$C:$FB,94)</f>
        <v>-3.8399999999999997E-2</v>
      </c>
      <c r="K23" s="91">
        <f>VLOOKUP($A23,'Data Vlaue (Cr)'!$C:$FB,95)</f>
        <v>385</v>
      </c>
      <c r="L23" s="91">
        <f>VLOOKUP($A23,'Data Vlaue (Cr)'!$C:$FB,97)</f>
        <v>1</v>
      </c>
      <c r="M23" s="92">
        <f>VLOOKUP($A23,'Data Vlaue (Cr)'!$C:$FB,98)</f>
        <v>2.7000000000000001E-3</v>
      </c>
      <c r="N23" s="91">
        <f>VLOOKUP($A23,'Data Vlaue (Cr)'!$C:$FB,79)</f>
        <v>1636</v>
      </c>
      <c r="O23" s="92">
        <f>VLOOKUP($A23,'Data Vlaue (Cr)'!$C:$FB,82)</f>
        <v>-4.4000000000000003E-3</v>
      </c>
    </row>
    <row r="24" spans="1:15" x14ac:dyDescent="0.25">
      <c r="A24" s="97" t="str">
        <f>'Data Vlaue (Cr)'!C19</f>
        <v>AUBANK</v>
      </c>
      <c r="B24" s="142">
        <f>VLOOKUP(A24,'Data Vlaue (Cr)'!C19:CW237,99,0)</f>
        <v>3762</v>
      </c>
      <c r="C24" s="90">
        <f>VLOOKUP(A24,'Data Vlaue (Cr)'!C19:CY237,101,0)</f>
        <v>71</v>
      </c>
      <c r="D24" s="139">
        <f>VLOOKUP(A24,'Data Vlaue (Cr)'!C19:CZ237,102,0)</f>
        <v>1.9300000000000001E-2</v>
      </c>
      <c r="E24" s="91">
        <f>VLOOKUP($A24,'Data Vlaue (Cr)'!$C:$FB,75)</f>
        <v>2469</v>
      </c>
      <c r="F24" s="91">
        <f>VLOOKUP($A24,'Data Vlaue (Cr)'!$C:$FB,77)</f>
        <v>0</v>
      </c>
      <c r="G24" s="92">
        <f>VLOOKUP(A24,'Data Vlaue (Cr)'!C19:CB237,78,0)</f>
        <v>-2.0000000000000001E-4</v>
      </c>
      <c r="H24" s="91">
        <f>VLOOKUP($A24,'Data Vlaue (Cr)'!$C:$FB,91)</f>
        <v>718</v>
      </c>
      <c r="I24" s="91">
        <f>VLOOKUP($A24,'Data Vlaue (Cr)'!$C:$FB,93)</f>
        <v>39</v>
      </c>
      <c r="J24" s="92">
        <f>VLOOKUP($A24,'Data Vlaue (Cr)'!$C:$FB,94)</f>
        <v>5.79E-2</v>
      </c>
      <c r="K24" s="91">
        <f>VLOOKUP($A24,'Data Vlaue (Cr)'!$C:$FB,95)</f>
        <v>575</v>
      </c>
      <c r="L24" s="91">
        <f>VLOOKUP($A24,'Data Vlaue (Cr)'!$C:$FB,97)</f>
        <v>32</v>
      </c>
      <c r="M24" s="92">
        <f>VLOOKUP($A24,'Data Vlaue (Cr)'!$C:$FB,98)</f>
        <v>5.9900000000000002E-2</v>
      </c>
      <c r="N24" s="91">
        <f>VLOOKUP($A24,'Data Vlaue (Cr)'!$C:$FB,79)</f>
        <v>2295</v>
      </c>
      <c r="O24" s="92">
        <f>VLOOKUP($A24,'Data Vlaue (Cr)'!$C:$FB,82)</f>
        <v>-1.1299999999999999E-2</v>
      </c>
    </row>
    <row r="25" spans="1:15" x14ac:dyDescent="0.25">
      <c r="A25" s="97" t="str">
        <f>'Data Vlaue (Cr)'!C20</f>
        <v>AUROPHARMA</v>
      </c>
      <c r="B25" s="142">
        <f>VLOOKUP(A25,'Data Vlaue (Cr)'!C20:CW238,99,0)</f>
        <v>3866</v>
      </c>
      <c r="C25" s="90">
        <f>VLOOKUP(A25,'Data Vlaue (Cr)'!C20:CY238,101,0)</f>
        <v>90</v>
      </c>
      <c r="D25" s="139">
        <f>VLOOKUP(A25,'Data Vlaue (Cr)'!C20:CZ238,102,0)</f>
        <v>2.3900000000000001E-2</v>
      </c>
      <c r="E25" s="91">
        <f>VLOOKUP($A25,'Data Vlaue (Cr)'!$C:$FB,75)</f>
        <v>2915</v>
      </c>
      <c r="F25" s="91">
        <f>VLOOKUP($A25,'Data Vlaue (Cr)'!$C:$FB,77)</f>
        <v>38</v>
      </c>
      <c r="G25" s="92">
        <f>VLOOKUP(A25,'Data Vlaue (Cr)'!C20:CB238,78,0)</f>
        <v>1.2999999999999999E-2</v>
      </c>
      <c r="H25" s="91">
        <f>VLOOKUP($A25,'Data Vlaue (Cr)'!$C:$FB,91)</f>
        <v>581</v>
      </c>
      <c r="I25" s="91">
        <f>VLOOKUP($A25,'Data Vlaue (Cr)'!$C:$FB,93)</f>
        <v>54</v>
      </c>
      <c r="J25" s="92">
        <f>VLOOKUP($A25,'Data Vlaue (Cr)'!$C:$FB,94)</f>
        <v>0.10150000000000001</v>
      </c>
      <c r="K25" s="91">
        <f>VLOOKUP($A25,'Data Vlaue (Cr)'!$C:$FB,95)</f>
        <v>369</v>
      </c>
      <c r="L25" s="91">
        <f>VLOOKUP($A25,'Data Vlaue (Cr)'!$C:$FB,97)</f>
        <v>-1</v>
      </c>
      <c r="M25" s="92">
        <f>VLOOKUP($A25,'Data Vlaue (Cr)'!$C:$FB,98)</f>
        <v>-1.8E-3</v>
      </c>
      <c r="N25" s="91">
        <f>VLOOKUP($A25,'Data Vlaue (Cr)'!$C:$FB,79)</f>
        <v>2224</v>
      </c>
      <c r="O25" s="92">
        <f>VLOOKUP($A25,'Data Vlaue (Cr)'!$C:$FB,82)</f>
        <v>-0.20180000000000001</v>
      </c>
    </row>
    <row r="26" spans="1:15" x14ac:dyDescent="0.25">
      <c r="A26" s="97" t="str">
        <f>'Data Vlaue (Cr)'!C21</f>
        <v>AXISBANK</v>
      </c>
      <c r="B26" s="142">
        <f>VLOOKUP(A26,'Data Vlaue (Cr)'!C21:CW239,99,0)</f>
        <v>12902</v>
      </c>
      <c r="C26" s="90">
        <f>VLOOKUP(A26,'Data Vlaue (Cr)'!C21:CY239,101,0)</f>
        <v>-14</v>
      </c>
      <c r="D26" s="139">
        <f>VLOOKUP(A26,'Data Vlaue (Cr)'!C21:CZ239,102,0)</f>
        <v>-1.1000000000000001E-3</v>
      </c>
      <c r="E26" s="91">
        <f>VLOOKUP($A26,'Data Vlaue (Cr)'!$C:$FB,75)</f>
        <v>8743</v>
      </c>
      <c r="F26" s="91">
        <f>VLOOKUP($A26,'Data Vlaue (Cr)'!$C:$FB,77)</f>
        <v>-14</v>
      </c>
      <c r="G26" s="92">
        <f>VLOOKUP(A26,'Data Vlaue (Cr)'!C21:CB239,78,0)</f>
        <v>-1.6000000000000001E-3</v>
      </c>
      <c r="H26" s="91">
        <f>VLOOKUP($A26,'Data Vlaue (Cr)'!$C:$FB,91)</f>
        <v>2302</v>
      </c>
      <c r="I26" s="91">
        <f>VLOOKUP($A26,'Data Vlaue (Cr)'!$C:$FB,93)</f>
        <v>38</v>
      </c>
      <c r="J26" s="92">
        <f>VLOOKUP($A26,'Data Vlaue (Cr)'!$C:$FB,94)</f>
        <v>1.6799999999999999E-2</v>
      </c>
      <c r="K26" s="91">
        <f>VLOOKUP($A26,'Data Vlaue (Cr)'!$C:$FB,95)</f>
        <v>1857</v>
      </c>
      <c r="L26" s="91">
        <f>VLOOKUP($A26,'Data Vlaue (Cr)'!$C:$FB,97)</f>
        <v>-39</v>
      </c>
      <c r="M26" s="92">
        <f>VLOOKUP($A26,'Data Vlaue (Cr)'!$C:$FB,98)</f>
        <v>-2.0500000000000001E-2</v>
      </c>
      <c r="N26" s="91">
        <f>VLOOKUP($A26,'Data Vlaue (Cr)'!$C:$FB,79)</f>
        <v>6267</v>
      </c>
      <c r="O26" s="92">
        <f>VLOOKUP($A26,'Data Vlaue (Cr)'!$C:$FB,82)</f>
        <v>-1.7000000000000001E-2</v>
      </c>
    </row>
    <row r="27" spans="1:15" x14ac:dyDescent="0.25">
      <c r="A27" s="97" t="str">
        <f>'Data Vlaue (Cr)'!C22</f>
        <v>BAJAJ-AUTO</v>
      </c>
      <c r="B27" s="142">
        <f>VLOOKUP(A27,'Data Vlaue (Cr)'!C22:CW240,99,0)</f>
        <v>5294</v>
      </c>
      <c r="C27" s="90">
        <f>VLOOKUP(A27,'Data Vlaue (Cr)'!C22:CY240,101,0)</f>
        <v>-89</v>
      </c>
      <c r="D27" s="139">
        <f>VLOOKUP(A27,'Data Vlaue (Cr)'!C22:CZ240,102,0)</f>
        <v>-1.66E-2</v>
      </c>
      <c r="E27" s="91">
        <f>VLOOKUP($A27,'Data Vlaue (Cr)'!$C:$FB,75)</f>
        <v>2981</v>
      </c>
      <c r="F27" s="91">
        <f>VLOOKUP($A27,'Data Vlaue (Cr)'!$C:$FB,77)</f>
        <v>-26</v>
      </c>
      <c r="G27" s="92">
        <f>VLOOKUP(A27,'Data Vlaue (Cr)'!C22:CB240,78,0)</f>
        <v>-8.6999999999999994E-3</v>
      </c>
      <c r="H27" s="91">
        <f>VLOOKUP($A27,'Data Vlaue (Cr)'!$C:$FB,91)</f>
        <v>1212</v>
      </c>
      <c r="I27" s="91">
        <f>VLOOKUP($A27,'Data Vlaue (Cr)'!$C:$FB,93)</f>
        <v>-46</v>
      </c>
      <c r="J27" s="92">
        <f>VLOOKUP($A27,'Data Vlaue (Cr)'!$C:$FB,94)</f>
        <v>-3.6600000000000001E-2</v>
      </c>
      <c r="K27" s="91">
        <f>VLOOKUP($A27,'Data Vlaue (Cr)'!$C:$FB,95)</f>
        <v>1100</v>
      </c>
      <c r="L27" s="91">
        <f>VLOOKUP($A27,'Data Vlaue (Cr)'!$C:$FB,97)</f>
        <v>-17</v>
      </c>
      <c r="M27" s="92">
        <f>VLOOKUP($A27,'Data Vlaue (Cr)'!$C:$FB,98)</f>
        <v>-1.5299999999999999E-2</v>
      </c>
      <c r="N27" s="91">
        <f>VLOOKUP($A27,'Data Vlaue (Cr)'!$C:$FB,79)</f>
        <v>2682</v>
      </c>
      <c r="O27" s="92">
        <f>VLOOKUP($A27,'Data Vlaue (Cr)'!$C:$FB,82)</f>
        <v>-1.5900000000000001E-2</v>
      </c>
    </row>
    <row r="28" spans="1:15" x14ac:dyDescent="0.25">
      <c r="A28" s="97" t="str">
        <f>'Data Vlaue (Cr)'!C23</f>
        <v>BAJAJFINSV</v>
      </c>
      <c r="B28" s="142">
        <f>VLOOKUP(A28,'Data Vlaue (Cr)'!C23:CW241,99,0)</f>
        <v>3312</v>
      </c>
      <c r="C28" s="90">
        <f>VLOOKUP(A28,'Data Vlaue (Cr)'!C23:CY241,101,0)</f>
        <v>-30</v>
      </c>
      <c r="D28" s="139">
        <f>VLOOKUP(A28,'Data Vlaue (Cr)'!C23:CZ241,102,0)</f>
        <v>-8.8999999999999999E-3</v>
      </c>
      <c r="E28" s="91">
        <f>VLOOKUP($A28,'Data Vlaue (Cr)'!$C:$FB,75)</f>
        <v>2014</v>
      </c>
      <c r="F28" s="91">
        <f>VLOOKUP($A28,'Data Vlaue (Cr)'!$C:$FB,77)</f>
        <v>-33</v>
      </c>
      <c r="G28" s="92">
        <f>VLOOKUP(A28,'Data Vlaue (Cr)'!C23:CB241,78,0)</f>
        <v>-1.6400000000000001E-2</v>
      </c>
      <c r="H28" s="91">
        <f>VLOOKUP($A28,'Data Vlaue (Cr)'!$C:$FB,91)</f>
        <v>645</v>
      </c>
      <c r="I28" s="91">
        <f>VLOOKUP($A28,'Data Vlaue (Cr)'!$C:$FB,93)</f>
        <v>5</v>
      </c>
      <c r="J28" s="92">
        <f>VLOOKUP($A28,'Data Vlaue (Cr)'!$C:$FB,94)</f>
        <v>8.0999999999999996E-3</v>
      </c>
      <c r="K28" s="91">
        <f>VLOOKUP($A28,'Data Vlaue (Cr)'!$C:$FB,95)</f>
        <v>653</v>
      </c>
      <c r="L28" s="91">
        <f>VLOOKUP($A28,'Data Vlaue (Cr)'!$C:$FB,97)</f>
        <v>-1</v>
      </c>
      <c r="M28" s="92">
        <f>VLOOKUP($A28,'Data Vlaue (Cr)'!$C:$FB,98)</f>
        <v>-2.0999999999999999E-3</v>
      </c>
      <c r="N28" s="91">
        <f>VLOOKUP($A28,'Data Vlaue (Cr)'!$C:$FB,79)</f>
        <v>1639</v>
      </c>
      <c r="O28" s="92">
        <f>VLOOKUP($A28,'Data Vlaue (Cr)'!$C:$FB,82)</f>
        <v>-5.1700000000000003E-2</v>
      </c>
    </row>
    <row r="29" spans="1:15" x14ac:dyDescent="0.25">
      <c r="A29" s="97" t="str">
        <f>'Data Vlaue (Cr)'!C24</f>
        <v>BAJAJHLDNG</v>
      </c>
      <c r="B29" s="142">
        <f>VLOOKUP(A29,'Data Vlaue (Cr)'!C24:CW242,99,0)</f>
        <v>442</v>
      </c>
      <c r="C29" s="90">
        <f>VLOOKUP(A29,'Data Vlaue (Cr)'!C24:CY242,101,0)</f>
        <v>0</v>
      </c>
      <c r="D29" s="139">
        <f>VLOOKUP(A29,'Data Vlaue (Cr)'!C24:CZ242,102,0)</f>
        <v>1E-4</v>
      </c>
      <c r="E29" s="91">
        <f>VLOOKUP($A29,'Data Vlaue (Cr)'!$C:$FB,75)</f>
        <v>305</v>
      </c>
      <c r="F29" s="91">
        <f>VLOOKUP($A29,'Data Vlaue (Cr)'!$C:$FB,77)</f>
        <v>0</v>
      </c>
      <c r="G29" s="92">
        <f>VLOOKUP(A29,'Data Vlaue (Cr)'!C24:CB242,78,0)</f>
        <v>8.9999999999999998E-4</v>
      </c>
      <c r="H29" s="91">
        <f>VLOOKUP($A29,'Data Vlaue (Cr)'!$C:$FB,91)</f>
        <v>78</v>
      </c>
      <c r="I29" s="91">
        <f>VLOOKUP($A29,'Data Vlaue (Cr)'!$C:$FB,93)</f>
        <v>-10</v>
      </c>
      <c r="J29" s="92">
        <f>VLOOKUP($A29,'Data Vlaue (Cr)'!$C:$FB,94)</f>
        <v>-0.11609999999999999</v>
      </c>
      <c r="K29" s="91">
        <f>VLOOKUP($A29,'Data Vlaue (Cr)'!$C:$FB,95)</f>
        <v>59</v>
      </c>
      <c r="L29" s="91">
        <f>VLOOKUP($A29,'Data Vlaue (Cr)'!$C:$FB,97)</f>
        <v>10</v>
      </c>
      <c r="M29" s="92">
        <f>VLOOKUP($A29,'Data Vlaue (Cr)'!$C:$FB,98)</f>
        <v>0.20680000000000001</v>
      </c>
      <c r="N29" s="91">
        <f>VLOOKUP($A29,'Data Vlaue (Cr)'!$C:$FB,79)</f>
        <v>269</v>
      </c>
      <c r="O29" s="92">
        <f>VLOOKUP($A29,'Data Vlaue (Cr)'!$C:$FB,82)</f>
        <v>-2.3E-3</v>
      </c>
    </row>
    <row r="30" spans="1:15" x14ac:dyDescent="0.25">
      <c r="A30" s="97" t="str">
        <f>'Data Vlaue (Cr)'!C25</f>
        <v>BAJFINANCE</v>
      </c>
      <c r="B30" s="142">
        <f>VLOOKUP(A30,'Data Vlaue (Cr)'!C25:CW243,99,0)</f>
        <v>9954</v>
      </c>
      <c r="C30" s="90">
        <f>VLOOKUP(A30,'Data Vlaue (Cr)'!C25:CY243,101,0)</f>
        <v>-133</v>
      </c>
      <c r="D30" s="139">
        <f>VLOOKUP(A30,'Data Vlaue (Cr)'!C25:CZ243,102,0)</f>
        <v>-1.3100000000000001E-2</v>
      </c>
      <c r="E30" s="91">
        <f>VLOOKUP($A30,'Data Vlaue (Cr)'!$C:$FB,75)</f>
        <v>6437</v>
      </c>
      <c r="F30" s="91">
        <f>VLOOKUP($A30,'Data Vlaue (Cr)'!$C:$FB,77)</f>
        <v>-71</v>
      </c>
      <c r="G30" s="92">
        <f>VLOOKUP(A30,'Data Vlaue (Cr)'!C25:CB243,78,0)</f>
        <v>-1.09E-2</v>
      </c>
      <c r="H30" s="91">
        <f>VLOOKUP($A30,'Data Vlaue (Cr)'!$C:$FB,91)</f>
        <v>1951</v>
      </c>
      <c r="I30" s="91">
        <f>VLOOKUP($A30,'Data Vlaue (Cr)'!$C:$FB,93)</f>
        <v>-61</v>
      </c>
      <c r="J30" s="92">
        <f>VLOOKUP($A30,'Data Vlaue (Cr)'!$C:$FB,94)</f>
        <v>-3.0200000000000001E-2</v>
      </c>
      <c r="K30" s="91">
        <f>VLOOKUP($A30,'Data Vlaue (Cr)'!$C:$FB,95)</f>
        <v>1566</v>
      </c>
      <c r="L30" s="91">
        <f>VLOOKUP($A30,'Data Vlaue (Cr)'!$C:$FB,97)</f>
        <v>-1</v>
      </c>
      <c r="M30" s="92">
        <f>VLOOKUP($A30,'Data Vlaue (Cr)'!$C:$FB,98)</f>
        <v>-5.0000000000000001E-4</v>
      </c>
      <c r="N30" s="91">
        <f>VLOOKUP($A30,'Data Vlaue (Cr)'!$C:$FB,79)</f>
        <v>5905</v>
      </c>
      <c r="O30" s="92">
        <f>VLOOKUP($A30,'Data Vlaue (Cr)'!$C:$FB,82)</f>
        <v>-1.61E-2</v>
      </c>
    </row>
    <row r="31" spans="1:15" x14ac:dyDescent="0.25">
      <c r="A31" s="97" t="str">
        <f>'Data Vlaue (Cr)'!C26</f>
        <v>BANDHANBNK</v>
      </c>
      <c r="B31" s="142">
        <f>VLOOKUP(A31,'Data Vlaue (Cr)'!C26:CW244,99,0)</f>
        <v>2350</v>
      </c>
      <c r="C31" s="90">
        <f>VLOOKUP(A31,'Data Vlaue (Cr)'!C26:CY244,101,0)</f>
        <v>-24</v>
      </c>
      <c r="D31" s="139">
        <f>VLOOKUP(A31,'Data Vlaue (Cr)'!C26:CZ244,102,0)</f>
        <v>-1.01E-2</v>
      </c>
      <c r="E31" s="91">
        <f>VLOOKUP($A31,'Data Vlaue (Cr)'!$C:$FB,75)</f>
        <v>1539</v>
      </c>
      <c r="F31" s="91">
        <f>VLOOKUP($A31,'Data Vlaue (Cr)'!$C:$FB,77)</f>
        <v>-21</v>
      </c>
      <c r="G31" s="92">
        <f>VLOOKUP(A31,'Data Vlaue (Cr)'!C26:CB244,78,0)</f>
        <v>-1.35E-2</v>
      </c>
      <c r="H31" s="91">
        <f>VLOOKUP($A31,'Data Vlaue (Cr)'!$C:$FB,91)</f>
        <v>475</v>
      </c>
      <c r="I31" s="91">
        <f>VLOOKUP($A31,'Data Vlaue (Cr)'!$C:$FB,93)</f>
        <v>15</v>
      </c>
      <c r="J31" s="92">
        <f>VLOOKUP($A31,'Data Vlaue (Cr)'!$C:$FB,94)</f>
        <v>3.2099999999999997E-2</v>
      </c>
      <c r="K31" s="91">
        <f>VLOOKUP($A31,'Data Vlaue (Cr)'!$C:$FB,95)</f>
        <v>336</v>
      </c>
      <c r="L31" s="91">
        <f>VLOOKUP($A31,'Data Vlaue (Cr)'!$C:$FB,97)</f>
        <v>-18</v>
      </c>
      <c r="M31" s="92">
        <f>VLOOKUP($A31,'Data Vlaue (Cr)'!$C:$FB,98)</f>
        <v>-4.99E-2</v>
      </c>
      <c r="N31" s="91">
        <f>VLOOKUP($A31,'Data Vlaue (Cr)'!$C:$FB,79)</f>
        <v>1228</v>
      </c>
      <c r="O31" s="92">
        <f>VLOOKUP($A31,'Data Vlaue (Cr)'!$C:$FB,82)</f>
        <v>-4.65E-2</v>
      </c>
    </row>
    <row r="32" spans="1:15" x14ac:dyDescent="0.25">
      <c r="A32" s="97" t="str">
        <f>'Data Vlaue (Cr)'!C27</f>
        <v>BANKBARODA</v>
      </c>
      <c r="B32" s="142">
        <f>VLOOKUP(A32,'Data Vlaue (Cr)'!C27:CW245,99,0)</f>
        <v>5287</v>
      </c>
      <c r="C32" s="90">
        <f>VLOOKUP(A32,'Data Vlaue (Cr)'!C27:CY245,101,0)</f>
        <v>117</v>
      </c>
      <c r="D32" s="139">
        <f>VLOOKUP(A32,'Data Vlaue (Cr)'!C27:CZ245,102,0)</f>
        <v>2.2599999999999999E-2</v>
      </c>
      <c r="E32" s="91">
        <f>VLOOKUP($A32,'Data Vlaue (Cr)'!$C:$FB,75)</f>
        <v>2875</v>
      </c>
      <c r="F32" s="91">
        <f>VLOOKUP($A32,'Data Vlaue (Cr)'!$C:$FB,77)</f>
        <v>-29</v>
      </c>
      <c r="G32" s="92">
        <f>VLOOKUP(A32,'Data Vlaue (Cr)'!C27:CB245,78,0)</f>
        <v>-9.9000000000000008E-3</v>
      </c>
      <c r="H32" s="91">
        <f>VLOOKUP($A32,'Data Vlaue (Cr)'!$C:$FB,91)</f>
        <v>1239</v>
      </c>
      <c r="I32" s="91">
        <f>VLOOKUP($A32,'Data Vlaue (Cr)'!$C:$FB,93)</f>
        <v>79</v>
      </c>
      <c r="J32" s="92">
        <f>VLOOKUP($A32,'Data Vlaue (Cr)'!$C:$FB,94)</f>
        <v>6.8400000000000002E-2</v>
      </c>
      <c r="K32" s="91">
        <f>VLOOKUP($A32,'Data Vlaue (Cr)'!$C:$FB,95)</f>
        <v>1172</v>
      </c>
      <c r="L32" s="91">
        <f>VLOOKUP($A32,'Data Vlaue (Cr)'!$C:$FB,97)</f>
        <v>66</v>
      </c>
      <c r="M32" s="92">
        <f>VLOOKUP($A32,'Data Vlaue (Cr)'!$C:$FB,98)</f>
        <v>5.9700000000000003E-2</v>
      </c>
      <c r="N32" s="91">
        <f>VLOOKUP($A32,'Data Vlaue (Cr)'!$C:$FB,79)</f>
        <v>2415</v>
      </c>
      <c r="O32" s="92">
        <f>VLOOKUP($A32,'Data Vlaue (Cr)'!$C:$FB,82)</f>
        <v>-3.9E-2</v>
      </c>
    </row>
    <row r="33" spans="1:15" x14ac:dyDescent="0.25">
      <c r="A33" s="97" t="str">
        <f>'Data Vlaue (Cr)'!C28</f>
        <v>BANKINDIA</v>
      </c>
      <c r="B33" s="142">
        <f>VLOOKUP(A33,'Data Vlaue (Cr)'!C28:CW246,99,0)</f>
        <v>1631</v>
      </c>
      <c r="C33" s="90">
        <f>VLOOKUP(A33,'Data Vlaue (Cr)'!C28:CY246,101,0)</f>
        <v>79</v>
      </c>
      <c r="D33" s="139">
        <f>VLOOKUP(A33,'Data Vlaue (Cr)'!C28:CZ246,102,0)</f>
        <v>5.0900000000000001E-2</v>
      </c>
      <c r="E33" s="91">
        <f>VLOOKUP($A33,'Data Vlaue (Cr)'!$C:$FB,75)</f>
        <v>850</v>
      </c>
      <c r="F33" s="91">
        <f>VLOOKUP($A33,'Data Vlaue (Cr)'!$C:$FB,77)</f>
        <v>11</v>
      </c>
      <c r="G33" s="92">
        <f>VLOOKUP(A33,'Data Vlaue (Cr)'!C28:CB246,78,0)</f>
        <v>1.2800000000000001E-2</v>
      </c>
      <c r="H33" s="91">
        <f>VLOOKUP($A33,'Data Vlaue (Cr)'!$C:$FB,91)</f>
        <v>446</v>
      </c>
      <c r="I33" s="91">
        <f>VLOOKUP($A33,'Data Vlaue (Cr)'!$C:$FB,93)</f>
        <v>65</v>
      </c>
      <c r="J33" s="92">
        <f>VLOOKUP($A33,'Data Vlaue (Cr)'!$C:$FB,94)</f>
        <v>0.1709</v>
      </c>
      <c r="K33" s="91">
        <f>VLOOKUP($A33,'Data Vlaue (Cr)'!$C:$FB,95)</f>
        <v>336</v>
      </c>
      <c r="L33" s="91">
        <f>VLOOKUP($A33,'Data Vlaue (Cr)'!$C:$FB,97)</f>
        <v>3</v>
      </c>
      <c r="M33" s="92">
        <f>VLOOKUP($A33,'Data Vlaue (Cr)'!$C:$FB,98)</f>
        <v>9.7999999999999997E-3</v>
      </c>
      <c r="N33" s="91">
        <f>VLOOKUP($A33,'Data Vlaue (Cr)'!$C:$FB,79)</f>
        <v>763</v>
      </c>
      <c r="O33" s="92">
        <f>VLOOKUP($A33,'Data Vlaue (Cr)'!$C:$FB,82)</f>
        <v>-1.2999999999999999E-2</v>
      </c>
    </row>
    <row r="34" spans="1:15" x14ac:dyDescent="0.25">
      <c r="A34" s="97" t="str">
        <f>'Data Vlaue (Cr)'!C29</f>
        <v>BANKNIFTY</v>
      </c>
      <c r="B34" s="142">
        <f>VLOOKUP(A34,'Data Vlaue (Cr)'!C29:CW247,99,0)</f>
        <v>236900</v>
      </c>
      <c r="C34" s="90">
        <f>VLOOKUP(A34,'Data Vlaue (Cr)'!C29:CY247,101,0)</f>
        <v>4322</v>
      </c>
      <c r="D34" s="139">
        <f>VLOOKUP(A34,'Data Vlaue (Cr)'!C29:CZ247,102,0)</f>
        <v>1.8599999999999998E-2</v>
      </c>
      <c r="E34" s="91">
        <f>VLOOKUP($A34,'Data Vlaue (Cr)'!$C:$FB,75)</f>
        <v>13773</v>
      </c>
      <c r="F34" s="91">
        <f>VLOOKUP($A34,'Data Vlaue (Cr)'!$C:$FB,77)</f>
        <v>-949</v>
      </c>
      <c r="G34" s="92">
        <f>VLOOKUP(A34,'Data Vlaue (Cr)'!C29:CB247,78,0)</f>
        <v>-6.4399999999999999E-2</v>
      </c>
      <c r="H34" s="91">
        <f>VLOOKUP($A34,'Data Vlaue (Cr)'!$C:$FB,91)</f>
        <v>111868</v>
      </c>
      <c r="I34" s="91">
        <f>VLOOKUP($A34,'Data Vlaue (Cr)'!$C:$FB,93)</f>
        <v>-852</v>
      </c>
      <c r="J34" s="92">
        <f>VLOOKUP($A34,'Data Vlaue (Cr)'!$C:$FB,94)</f>
        <v>-7.6E-3</v>
      </c>
      <c r="K34" s="91">
        <f>VLOOKUP($A34,'Data Vlaue (Cr)'!$C:$FB,95)</f>
        <v>111259</v>
      </c>
      <c r="L34" s="91">
        <f>VLOOKUP($A34,'Data Vlaue (Cr)'!$C:$FB,97)</f>
        <v>6124</v>
      </c>
      <c r="M34" s="92">
        <f>VLOOKUP($A34,'Data Vlaue (Cr)'!$C:$FB,98)</f>
        <v>5.8200000000000002E-2</v>
      </c>
      <c r="N34" s="91">
        <f>VLOOKUP($A34,'Data Vlaue (Cr)'!$C:$FB,79)</f>
        <v>10175</v>
      </c>
      <c r="O34" s="92">
        <f>VLOOKUP($A34,'Data Vlaue (Cr)'!$C:$FB,82)</f>
        <v>-9.1499999999999998E-2</v>
      </c>
    </row>
    <row r="35" spans="1:15" x14ac:dyDescent="0.25">
      <c r="A35" s="97" t="str">
        <f>'Data Vlaue (Cr)'!C30</f>
        <v>BDL</v>
      </c>
      <c r="B35" s="142">
        <f>VLOOKUP(A35,'Data Vlaue (Cr)'!C30:CW248,99,0)</f>
        <v>1364</v>
      </c>
      <c r="C35" s="90">
        <f>VLOOKUP(A35,'Data Vlaue (Cr)'!C30:CY248,101,0)</f>
        <v>4</v>
      </c>
      <c r="D35" s="139">
        <f>VLOOKUP(A35,'Data Vlaue (Cr)'!C30:CZ248,102,0)</f>
        <v>2.7000000000000001E-3</v>
      </c>
      <c r="E35" s="91">
        <f>VLOOKUP($A35,'Data Vlaue (Cr)'!$C:$FB,75)</f>
        <v>542</v>
      </c>
      <c r="F35" s="91">
        <f>VLOOKUP($A35,'Data Vlaue (Cr)'!$C:$FB,77)</f>
        <v>2</v>
      </c>
      <c r="G35" s="92">
        <f>VLOOKUP(A35,'Data Vlaue (Cr)'!C30:CB248,78,0)</f>
        <v>3.5999999999999999E-3</v>
      </c>
      <c r="H35" s="91">
        <f>VLOOKUP($A35,'Data Vlaue (Cr)'!$C:$FB,91)</f>
        <v>446</v>
      </c>
      <c r="I35" s="91">
        <f>VLOOKUP($A35,'Data Vlaue (Cr)'!$C:$FB,93)</f>
        <v>-8</v>
      </c>
      <c r="J35" s="92">
        <f>VLOOKUP($A35,'Data Vlaue (Cr)'!$C:$FB,94)</f>
        <v>-1.8700000000000001E-2</v>
      </c>
      <c r="K35" s="91">
        <f>VLOOKUP($A35,'Data Vlaue (Cr)'!$C:$FB,95)</f>
        <v>375</v>
      </c>
      <c r="L35" s="91">
        <f>VLOOKUP($A35,'Data Vlaue (Cr)'!$C:$FB,97)</f>
        <v>10</v>
      </c>
      <c r="M35" s="92">
        <f>VLOOKUP($A35,'Data Vlaue (Cr)'!$C:$FB,98)</f>
        <v>2.8000000000000001E-2</v>
      </c>
      <c r="N35" s="91">
        <f>VLOOKUP($A35,'Data Vlaue (Cr)'!$C:$FB,79)</f>
        <v>419</v>
      </c>
      <c r="O35" s="92">
        <f>VLOOKUP($A35,'Data Vlaue (Cr)'!$C:$FB,82)</f>
        <v>-1.7999999999999999E-2</v>
      </c>
    </row>
    <row r="36" spans="1:15" x14ac:dyDescent="0.25">
      <c r="A36" s="97" t="str">
        <f>'Data Vlaue (Cr)'!C31</f>
        <v>BEL</v>
      </c>
      <c r="B36" s="142">
        <f>VLOOKUP(A36,'Data Vlaue (Cr)'!C31:CW249,99,0)</f>
        <v>8223</v>
      </c>
      <c r="C36" s="90">
        <f>VLOOKUP(A36,'Data Vlaue (Cr)'!C31:CY249,101,0)</f>
        <v>20</v>
      </c>
      <c r="D36" s="139">
        <f>VLOOKUP(A36,'Data Vlaue (Cr)'!C31:CZ249,102,0)</f>
        <v>2.3999999999999998E-3</v>
      </c>
      <c r="E36" s="91">
        <f>VLOOKUP($A36,'Data Vlaue (Cr)'!$C:$FB,75)</f>
        <v>4850</v>
      </c>
      <c r="F36" s="91">
        <f>VLOOKUP($A36,'Data Vlaue (Cr)'!$C:$FB,77)</f>
        <v>10</v>
      </c>
      <c r="G36" s="92">
        <f>VLOOKUP(A36,'Data Vlaue (Cr)'!C31:CB249,78,0)</f>
        <v>2E-3</v>
      </c>
      <c r="H36" s="91">
        <f>VLOOKUP($A36,'Data Vlaue (Cr)'!$C:$FB,91)</f>
        <v>1944</v>
      </c>
      <c r="I36" s="91">
        <f>VLOOKUP($A36,'Data Vlaue (Cr)'!$C:$FB,93)</f>
        <v>25</v>
      </c>
      <c r="J36" s="92">
        <f>VLOOKUP($A36,'Data Vlaue (Cr)'!$C:$FB,94)</f>
        <v>1.2800000000000001E-2</v>
      </c>
      <c r="K36" s="91">
        <f>VLOOKUP($A36,'Data Vlaue (Cr)'!$C:$FB,95)</f>
        <v>1429</v>
      </c>
      <c r="L36" s="91">
        <f>VLOOKUP($A36,'Data Vlaue (Cr)'!$C:$FB,97)</f>
        <v>-15</v>
      </c>
      <c r="M36" s="92">
        <f>VLOOKUP($A36,'Data Vlaue (Cr)'!$C:$FB,98)</f>
        <v>-1.0200000000000001E-2</v>
      </c>
      <c r="N36" s="91">
        <f>VLOOKUP($A36,'Data Vlaue (Cr)'!$C:$FB,79)</f>
        <v>4030</v>
      </c>
      <c r="O36" s="92">
        <f>VLOOKUP($A36,'Data Vlaue (Cr)'!$C:$FB,82)</f>
        <v>-3.0599999999999999E-2</v>
      </c>
    </row>
    <row r="37" spans="1:15" x14ac:dyDescent="0.25">
      <c r="A37" s="97" t="str">
        <f>'Data Vlaue (Cr)'!C32</f>
        <v>BHARATFORG</v>
      </c>
      <c r="B37" s="142">
        <f>VLOOKUP(A37,'Data Vlaue (Cr)'!C32:CW250,99,0)</f>
        <v>2504</v>
      </c>
      <c r="C37" s="90">
        <f>VLOOKUP(A37,'Data Vlaue (Cr)'!C32:CY250,101,0)</f>
        <v>16</v>
      </c>
      <c r="D37" s="139">
        <f>VLOOKUP(A37,'Data Vlaue (Cr)'!C32:CZ250,102,0)</f>
        <v>6.4000000000000003E-3</v>
      </c>
      <c r="E37" s="91">
        <f>VLOOKUP($A37,'Data Vlaue (Cr)'!$C:$FB,75)</f>
        <v>1517</v>
      </c>
      <c r="F37" s="91">
        <f>VLOOKUP($A37,'Data Vlaue (Cr)'!$C:$FB,77)</f>
        <v>5</v>
      </c>
      <c r="G37" s="92">
        <f>VLOOKUP(A37,'Data Vlaue (Cr)'!C32:CB250,78,0)</f>
        <v>3.3999999999999998E-3</v>
      </c>
      <c r="H37" s="91">
        <f>VLOOKUP($A37,'Data Vlaue (Cr)'!$C:$FB,91)</f>
        <v>595</v>
      </c>
      <c r="I37" s="91">
        <f>VLOOKUP($A37,'Data Vlaue (Cr)'!$C:$FB,93)</f>
        <v>-10</v>
      </c>
      <c r="J37" s="92">
        <f>VLOOKUP($A37,'Data Vlaue (Cr)'!$C:$FB,94)</f>
        <v>-1.67E-2</v>
      </c>
      <c r="K37" s="91">
        <f>VLOOKUP($A37,'Data Vlaue (Cr)'!$C:$FB,95)</f>
        <v>392</v>
      </c>
      <c r="L37" s="91">
        <f>VLOOKUP($A37,'Data Vlaue (Cr)'!$C:$FB,97)</f>
        <v>21</v>
      </c>
      <c r="M37" s="92">
        <f>VLOOKUP($A37,'Data Vlaue (Cr)'!$C:$FB,98)</f>
        <v>5.62E-2</v>
      </c>
      <c r="N37" s="91">
        <f>VLOOKUP($A37,'Data Vlaue (Cr)'!$C:$FB,79)</f>
        <v>1432</v>
      </c>
      <c r="O37" s="92">
        <f>VLOOKUP($A37,'Data Vlaue (Cr)'!$C:$FB,82)</f>
        <v>-8.5000000000000006E-3</v>
      </c>
    </row>
    <row r="38" spans="1:15" x14ac:dyDescent="0.25">
      <c r="A38" s="97" t="str">
        <f>'Data Vlaue (Cr)'!C33</f>
        <v>BHARTIARTL</v>
      </c>
      <c r="B38" s="142">
        <f>VLOOKUP(A38,'Data Vlaue (Cr)'!C33:CW251,99,0)</f>
        <v>15323</v>
      </c>
      <c r="C38" s="90">
        <f>VLOOKUP(A38,'Data Vlaue (Cr)'!C33:CY251,101,0)</f>
        <v>53</v>
      </c>
      <c r="D38" s="139">
        <f>VLOOKUP(A38,'Data Vlaue (Cr)'!C33:CZ251,102,0)</f>
        <v>3.5000000000000001E-3</v>
      </c>
      <c r="E38" s="91">
        <f>VLOOKUP($A38,'Data Vlaue (Cr)'!$C:$FB,75)</f>
        <v>11161</v>
      </c>
      <c r="F38" s="91">
        <f>VLOOKUP($A38,'Data Vlaue (Cr)'!$C:$FB,77)</f>
        <v>-39</v>
      </c>
      <c r="G38" s="92">
        <f>VLOOKUP(A38,'Data Vlaue (Cr)'!C33:CB251,78,0)</f>
        <v>-3.5000000000000001E-3</v>
      </c>
      <c r="H38" s="91">
        <f>VLOOKUP($A38,'Data Vlaue (Cr)'!$C:$FB,91)</f>
        <v>2604</v>
      </c>
      <c r="I38" s="91">
        <f>VLOOKUP($A38,'Data Vlaue (Cr)'!$C:$FB,93)</f>
        <v>75</v>
      </c>
      <c r="J38" s="92">
        <f>VLOOKUP($A38,'Data Vlaue (Cr)'!$C:$FB,94)</f>
        <v>2.9700000000000001E-2</v>
      </c>
      <c r="K38" s="91">
        <f>VLOOKUP($A38,'Data Vlaue (Cr)'!$C:$FB,95)</f>
        <v>1558</v>
      </c>
      <c r="L38" s="91">
        <f>VLOOKUP($A38,'Data Vlaue (Cr)'!$C:$FB,97)</f>
        <v>17</v>
      </c>
      <c r="M38" s="92">
        <f>VLOOKUP($A38,'Data Vlaue (Cr)'!$C:$FB,98)</f>
        <v>1.11E-2</v>
      </c>
      <c r="N38" s="91">
        <f>VLOOKUP($A38,'Data Vlaue (Cr)'!$C:$FB,79)</f>
        <v>8020</v>
      </c>
      <c r="O38" s="92">
        <f>VLOOKUP($A38,'Data Vlaue (Cr)'!$C:$FB,82)</f>
        <v>-3.8699999999999998E-2</v>
      </c>
    </row>
    <row r="39" spans="1:15" x14ac:dyDescent="0.25">
      <c r="A39" s="97" t="str">
        <f>'Data Vlaue (Cr)'!C34</f>
        <v>BHEL</v>
      </c>
      <c r="B39" s="142">
        <f>VLOOKUP(A39,'Data Vlaue (Cr)'!C34:CW252,99,0)</f>
        <v>6662</v>
      </c>
      <c r="C39" s="90">
        <f>VLOOKUP(A39,'Data Vlaue (Cr)'!C34:CY252,101,0)</f>
        <v>732</v>
      </c>
      <c r="D39" s="139">
        <f>VLOOKUP(A39,'Data Vlaue (Cr)'!C34:CZ252,102,0)</f>
        <v>0.1234</v>
      </c>
      <c r="E39" s="91">
        <f>VLOOKUP($A39,'Data Vlaue (Cr)'!$C:$FB,75)</f>
        <v>3442</v>
      </c>
      <c r="F39" s="91">
        <f>VLOOKUP($A39,'Data Vlaue (Cr)'!$C:$FB,77)</f>
        <v>196</v>
      </c>
      <c r="G39" s="92">
        <f>VLOOKUP(A39,'Data Vlaue (Cr)'!C34:CB252,78,0)</f>
        <v>6.0499999999999998E-2</v>
      </c>
      <c r="H39" s="91">
        <f>VLOOKUP($A39,'Data Vlaue (Cr)'!$C:$FB,91)</f>
        <v>1728</v>
      </c>
      <c r="I39" s="91">
        <f>VLOOKUP($A39,'Data Vlaue (Cr)'!$C:$FB,93)</f>
        <v>303</v>
      </c>
      <c r="J39" s="92">
        <f>VLOOKUP($A39,'Data Vlaue (Cr)'!$C:$FB,94)</f>
        <v>0.21299999999999999</v>
      </c>
      <c r="K39" s="91">
        <f>VLOOKUP($A39,'Data Vlaue (Cr)'!$C:$FB,95)</f>
        <v>1492</v>
      </c>
      <c r="L39" s="91">
        <f>VLOOKUP($A39,'Data Vlaue (Cr)'!$C:$FB,97)</f>
        <v>232</v>
      </c>
      <c r="M39" s="92">
        <f>VLOOKUP($A39,'Data Vlaue (Cr)'!$C:$FB,98)</f>
        <v>0.18379999999999999</v>
      </c>
      <c r="N39" s="91">
        <f>VLOOKUP($A39,'Data Vlaue (Cr)'!$C:$FB,79)</f>
        <v>3206</v>
      </c>
      <c r="O39" s="92">
        <f>VLOOKUP($A39,'Data Vlaue (Cr)'!$C:$FB,82)</f>
        <v>4.0399999999999998E-2</v>
      </c>
    </row>
    <row r="40" spans="1:15" x14ac:dyDescent="0.25">
      <c r="A40" s="97" t="str">
        <f>'Data Vlaue (Cr)'!C35</f>
        <v>BIOCON</v>
      </c>
      <c r="B40" s="142">
        <f>VLOOKUP(A40,'Data Vlaue (Cr)'!C35:CW253,99,0)</f>
        <v>2705</v>
      </c>
      <c r="C40" s="90">
        <f>VLOOKUP(A40,'Data Vlaue (Cr)'!C35:CY253,101,0)</f>
        <v>-45</v>
      </c>
      <c r="D40" s="139">
        <f>VLOOKUP(A40,'Data Vlaue (Cr)'!C35:CZ253,102,0)</f>
        <v>-1.6500000000000001E-2</v>
      </c>
      <c r="E40" s="91">
        <f>VLOOKUP($A40,'Data Vlaue (Cr)'!$C:$FB,75)</f>
        <v>1302</v>
      </c>
      <c r="F40" s="91">
        <f>VLOOKUP($A40,'Data Vlaue (Cr)'!$C:$FB,77)</f>
        <v>-20</v>
      </c>
      <c r="G40" s="92">
        <f>VLOOKUP(A40,'Data Vlaue (Cr)'!C35:CB253,78,0)</f>
        <v>-1.52E-2</v>
      </c>
      <c r="H40" s="91">
        <f>VLOOKUP($A40,'Data Vlaue (Cr)'!$C:$FB,91)</f>
        <v>837</v>
      </c>
      <c r="I40" s="91">
        <f>VLOOKUP($A40,'Data Vlaue (Cr)'!$C:$FB,93)</f>
        <v>-34</v>
      </c>
      <c r="J40" s="92">
        <f>VLOOKUP($A40,'Data Vlaue (Cr)'!$C:$FB,94)</f>
        <v>-3.8699999999999998E-2</v>
      </c>
      <c r="K40" s="91">
        <f>VLOOKUP($A40,'Data Vlaue (Cr)'!$C:$FB,95)</f>
        <v>566</v>
      </c>
      <c r="L40" s="91">
        <f>VLOOKUP($A40,'Data Vlaue (Cr)'!$C:$FB,97)</f>
        <v>9</v>
      </c>
      <c r="M40" s="92">
        <f>VLOOKUP($A40,'Data Vlaue (Cr)'!$C:$FB,98)</f>
        <v>1.5299999999999999E-2</v>
      </c>
      <c r="N40" s="91">
        <f>VLOOKUP($A40,'Data Vlaue (Cr)'!$C:$FB,79)</f>
        <v>1172</v>
      </c>
      <c r="O40" s="92">
        <f>VLOOKUP($A40,'Data Vlaue (Cr)'!$C:$FB,82)</f>
        <v>-3.1300000000000001E-2</v>
      </c>
    </row>
    <row r="41" spans="1:15" x14ac:dyDescent="0.25">
      <c r="A41" s="97" t="str">
        <f>'Data Vlaue (Cr)'!C36</f>
        <v>BLUESTARCO</v>
      </c>
      <c r="B41" s="142">
        <f>VLOOKUP(A41,'Data Vlaue (Cr)'!C36:CW254,99,0)</f>
        <v>1255</v>
      </c>
      <c r="C41" s="90">
        <f>VLOOKUP(A41,'Data Vlaue (Cr)'!C36:CY254,101,0)</f>
        <v>120</v>
      </c>
      <c r="D41" s="139">
        <f>VLOOKUP(A41,'Data Vlaue (Cr)'!C36:CZ254,102,0)</f>
        <v>0.1053</v>
      </c>
      <c r="E41" s="91">
        <f>VLOOKUP($A41,'Data Vlaue (Cr)'!$C:$FB,75)</f>
        <v>709</v>
      </c>
      <c r="F41" s="91">
        <f>VLOOKUP($A41,'Data Vlaue (Cr)'!$C:$FB,77)</f>
        <v>45</v>
      </c>
      <c r="G41" s="92">
        <f>VLOOKUP(A41,'Data Vlaue (Cr)'!C36:CB254,78,0)</f>
        <v>6.8400000000000002E-2</v>
      </c>
      <c r="H41" s="91">
        <f>VLOOKUP($A41,'Data Vlaue (Cr)'!$C:$FB,91)</f>
        <v>323</v>
      </c>
      <c r="I41" s="91">
        <f>VLOOKUP($A41,'Data Vlaue (Cr)'!$C:$FB,93)</f>
        <v>34</v>
      </c>
      <c r="J41" s="92">
        <f>VLOOKUP($A41,'Data Vlaue (Cr)'!$C:$FB,94)</f>
        <v>0.11600000000000001</v>
      </c>
      <c r="K41" s="91">
        <f>VLOOKUP($A41,'Data Vlaue (Cr)'!$C:$FB,95)</f>
        <v>223</v>
      </c>
      <c r="L41" s="91">
        <f>VLOOKUP($A41,'Data Vlaue (Cr)'!$C:$FB,97)</f>
        <v>41</v>
      </c>
      <c r="M41" s="92">
        <f>VLOOKUP($A41,'Data Vlaue (Cr)'!$C:$FB,98)</f>
        <v>0.22270000000000001</v>
      </c>
      <c r="N41" s="91">
        <f>VLOOKUP($A41,'Data Vlaue (Cr)'!$C:$FB,79)</f>
        <v>512</v>
      </c>
      <c r="O41" s="92">
        <f>VLOOKUP($A41,'Data Vlaue (Cr)'!$C:$FB,82)</f>
        <v>6.3899999999999998E-2</v>
      </c>
    </row>
    <row r="42" spans="1:15" x14ac:dyDescent="0.25">
      <c r="A42" s="97" t="str">
        <f>'Data Vlaue (Cr)'!C37</f>
        <v>BOSCHLTD</v>
      </c>
      <c r="B42" s="142">
        <f>VLOOKUP(A42,'Data Vlaue (Cr)'!C37:CW255,99,0)</f>
        <v>2839</v>
      </c>
      <c r="C42" s="90">
        <f>VLOOKUP(A42,'Data Vlaue (Cr)'!C37:CY255,101,0)</f>
        <v>-5</v>
      </c>
      <c r="D42" s="139">
        <f>VLOOKUP(A42,'Data Vlaue (Cr)'!C37:CZ255,102,0)</f>
        <v>-1.8E-3</v>
      </c>
      <c r="E42" s="91">
        <f>VLOOKUP($A42,'Data Vlaue (Cr)'!$C:$FB,75)</f>
        <v>1022</v>
      </c>
      <c r="F42" s="91">
        <f>VLOOKUP($A42,'Data Vlaue (Cr)'!$C:$FB,77)</f>
        <v>-10</v>
      </c>
      <c r="G42" s="92">
        <f>VLOOKUP(A42,'Data Vlaue (Cr)'!C37:CB255,78,0)</f>
        <v>-0.01</v>
      </c>
      <c r="H42" s="91">
        <f>VLOOKUP($A42,'Data Vlaue (Cr)'!$C:$FB,91)</f>
        <v>977</v>
      </c>
      <c r="I42" s="91">
        <f>VLOOKUP($A42,'Data Vlaue (Cr)'!$C:$FB,93)</f>
        <v>17</v>
      </c>
      <c r="J42" s="92">
        <f>VLOOKUP($A42,'Data Vlaue (Cr)'!$C:$FB,94)</f>
        <v>1.8200000000000001E-2</v>
      </c>
      <c r="K42" s="91">
        <f>VLOOKUP($A42,'Data Vlaue (Cr)'!$C:$FB,95)</f>
        <v>840</v>
      </c>
      <c r="L42" s="91">
        <f>VLOOKUP($A42,'Data Vlaue (Cr)'!$C:$FB,97)</f>
        <v>-12</v>
      </c>
      <c r="M42" s="92">
        <f>VLOOKUP($A42,'Data Vlaue (Cr)'!$C:$FB,98)</f>
        <v>-1.43E-2</v>
      </c>
      <c r="N42" s="91">
        <f>VLOOKUP($A42,'Data Vlaue (Cr)'!$C:$FB,79)</f>
        <v>981</v>
      </c>
      <c r="O42" s="92">
        <f>VLOOKUP($A42,'Data Vlaue (Cr)'!$C:$FB,82)</f>
        <v>-1.41E-2</v>
      </c>
    </row>
    <row r="43" spans="1:15" x14ac:dyDescent="0.25">
      <c r="A43" s="97" t="str">
        <f>'Data Vlaue (Cr)'!C38</f>
        <v>BPCL</v>
      </c>
      <c r="B43" s="142">
        <f>VLOOKUP(A43,'Data Vlaue (Cr)'!C38:CW256,99,0)</f>
        <v>3332</v>
      </c>
      <c r="C43" s="90">
        <f>VLOOKUP(A43,'Data Vlaue (Cr)'!C38:CY256,101,0)</f>
        <v>252</v>
      </c>
      <c r="D43" s="139">
        <f>VLOOKUP(A43,'Data Vlaue (Cr)'!C38:CZ256,102,0)</f>
        <v>8.1699999999999995E-2</v>
      </c>
      <c r="E43" s="91">
        <f>VLOOKUP($A43,'Data Vlaue (Cr)'!$C:$FB,75)</f>
        <v>1773</v>
      </c>
      <c r="F43" s="91">
        <f>VLOOKUP($A43,'Data Vlaue (Cr)'!$C:$FB,77)</f>
        <v>45</v>
      </c>
      <c r="G43" s="92">
        <f>VLOOKUP(A43,'Data Vlaue (Cr)'!C38:CB256,78,0)</f>
        <v>2.6200000000000001E-2</v>
      </c>
      <c r="H43" s="91">
        <f>VLOOKUP($A43,'Data Vlaue (Cr)'!$C:$FB,91)</f>
        <v>854</v>
      </c>
      <c r="I43" s="91">
        <f>VLOOKUP($A43,'Data Vlaue (Cr)'!$C:$FB,93)</f>
        <v>134</v>
      </c>
      <c r="J43" s="92">
        <f>VLOOKUP($A43,'Data Vlaue (Cr)'!$C:$FB,94)</f>
        <v>0.18540000000000001</v>
      </c>
      <c r="K43" s="91">
        <f>VLOOKUP($A43,'Data Vlaue (Cr)'!$C:$FB,95)</f>
        <v>705</v>
      </c>
      <c r="L43" s="91">
        <f>VLOOKUP($A43,'Data Vlaue (Cr)'!$C:$FB,97)</f>
        <v>73</v>
      </c>
      <c r="M43" s="92">
        <f>VLOOKUP($A43,'Data Vlaue (Cr)'!$C:$FB,98)</f>
        <v>0.11550000000000001</v>
      </c>
      <c r="N43" s="91">
        <f>VLOOKUP($A43,'Data Vlaue (Cr)'!$C:$FB,79)</f>
        <v>1651</v>
      </c>
      <c r="O43" s="92">
        <f>VLOOKUP($A43,'Data Vlaue (Cr)'!$C:$FB,82)</f>
        <v>2.3999999999999998E-3</v>
      </c>
    </row>
    <row r="44" spans="1:15" x14ac:dyDescent="0.25">
      <c r="A44" s="97" t="str">
        <f>'Data Vlaue (Cr)'!C39</f>
        <v>BRITANNIA</v>
      </c>
      <c r="B44" s="142">
        <f>VLOOKUP(A44,'Data Vlaue (Cr)'!C39:CW257,99,0)</f>
        <v>2220</v>
      </c>
      <c r="C44" s="90">
        <f>VLOOKUP(A44,'Data Vlaue (Cr)'!C39:CY257,101,0)</f>
        <v>-38</v>
      </c>
      <c r="D44" s="139">
        <f>VLOOKUP(A44,'Data Vlaue (Cr)'!C39:CZ257,102,0)</f>
        <v>-1.6899999999999998E-2</v>
      </c>
      <c r="E44" s="91">
        <f>VLOOKUP($A44,'Data Vlaue (Cr)'!$C:$FB,75)</f>
        <v>1597</v>
      </c>
      <c r="F44" s="91">
        <f>VLOOKUP($A44,'Data Vlaue (Cr)'!$C:$FB,77)</f>
        <v>8</v>
      </c>
      <c r="G44" s="92">
        <f>VLOOKUP(A44,'Data Vlaue (Cr)'!C39:CB257,78,0)</f>
        <v>4.7000000000000002E-3</v>
      </c>
      <c r="H44" s="91">
        <f>VLOOKUP($A44,'Data Vlaue (Cr)'!$C:$FB,91)</f>
        <v>302</v>
      </c>
      <c r="I44" s="91">
        <f>VLOOKUP($A44,'Data Vlaue (Cr)'!$C:$FB,93)</f>
        <v>-22</v>
      </c>
      <c r="J44" s="92">
        <f>VLOOKUP($A44,'Data Vlaue (Cr)'!$C:$FB,94)</f>
        <v>-6.8400000000000002E-2</v>
      </c>
      <c r="K44" s="91">
        <f>VLOOKUP($A44,'Data Vlaue (Cr)'!$C:$FB,95)</f>
        <v>320</v>
      </c>
      <c r="L44" s="91">
        <f>VLOOKUP($A44,'Data Vlaue (Cr)'!$C:$FB,97)</f>
        <v>-24</v>
      </c>
      <c r="M44" s="92">
        <f>VLOOKUP($A44,'Data Vlaue (Cr)'!$C:$FB,98)</f>
        <v>-6.83E-2</v>
      </c>
      <c r="N44" s="91">
        <f>VLOOKUP($A44,'Data Vlaue (Cr)'!$C:$FB,79)</f>
        <v>1530</v>
      </c>
      <c r="O44" s="92">
        <f>VLOOKUP($A44,'Data Vlaue (Cr)'!$C:$FB,82)</f>
        <v>-1.6000000000000001E-3</v>
      </c>
    </row>
    <row r="45" spans="1:15" x14ac:dyDescent="0.25">
      <c r="A45" s="97" t="str">
        <f>'Data Vlaue (Cr)'!C40</f>
        <v>BSE</v>
      </c>
      <c r="B45" s="142">
        <f>VLOOKUP(A45,'Data Vlaue (Cr)'!C40:CW258,99,0)</f>
        <v>9291</v>
      </c>
      <c r="C45" s="90">
        <f>VLOOKUP(A45,'Data Vlaue (Cr)'!C40:CY258,101,0)</f>
        <v>-101</v>
      </c>
      <c r="D45" s="139">
        <f>VLOOKUP(A45,'Data Vlaue (Cr)'!C40:CZ258,102,0)</f>
        <v>-1.0800000000000001E-2</v>
      </c>
      <c r="E45" s="91">
        <f>VLOOKUP($A45,'Data Vlaue (Cr)'!$C:$FB,75)</f>
        <v>2847</v>
      </c>
      <c r="F45" s="91">
        <f>VLOOKUP($A45,'Data Vlaue (Cr)'!$C:$FB,77)</f>
        <v>-77</v>
      </c>
      <c r="G45" s="92">
        <f>VLOOKUP(A45,'Data Vlaue (Cr)'!C40:CB258,78,0)</f>
        <v>-2.64E-2</v>
      </c>
      <c r="H45" s="91">
        <f>VLOOKUP($A45,'Data Vlaue (Cr)'!$C:$FB,91)</f>
        <v>2910</v>
      </c>
      <c r="I45" s="91">
        <f>VLOOKUP($A45,'Data Vlaue (Cr)'!$C:$FB,93)</f>
        <v>127</v>
      </c>
      <c r="J45" s="92">
        <f>VLOOKUP($A45,'Data Vlaue (Cr)'!$C:$FB,94)</f>
        <v>4.5699999999999998E-2</v>
      </c>
      <c r="K45" s="91">
        <f>VLOOKUP($A45,'Data Vlaue (Cr)'!$C:$FB,95)</f>
        <v>3535</v>
      </c>
      <c r="L45" s="91">
        <f>VLOOKUP($A45,'Data Vlaue (Cr)'!$C:$FB,97)</f>
        <v>-151</v>
      </c>
      <c r="M45" s="92">
        <f>VLOOKUP($A45,'Data Vlaue (Cr)'!$C:$FB,98)</f>
        <v>-4.1000000000000002E-2</v>
      </c>
      <c r="N45" s="91">
        <f>VLOOKUP($A45,'Data Vlaue (Cr)'!$C:$FB,79)</f>
        <v>2344</v>
      </c>
      <c r="O45" s="92">
        <f>VLOOKUP($A45,'Data Vlaue (Cr)'!$C:$FB,82)</f>
        <v>-7.9500000000000001E-2</v>
      </c>
    </row>
    <row r="46" spans="1:15" x14ac:dyDescent="0.25">
      <c r="A46" s="97" t="str">
        <f>'Data Vlaue (Cr)'!C41</f>
        <v>CAMS</v>
      </c>
      <c r="B46" s="142">
        <f>VLOOKUP(A46,'Data Vlaue (Cr)'!C41:CW259,99,0)</f>
        <v>984</v>
      </c>
      <c r="C46" s="90">
        <f>VLOOKUP(A46,'Data Vlaue (Cr)'!C41:CY259,101,0)</f>
        <v>3</v>
      </c>
      <c r="D46" s="139">
        <f>VLOOKUP(A46,'Data Vlaue (Cr)'!C41:CZ259,102,0)</f>
        <v>2.7000000000000001E-3</v>
      </c>
      <c r="E46" s="91">
        <f>VLOOKUP($A46,'Data Vlaue (Cr)'!$C:$FB,75)</f>
        <v>570</v>
      </c>
      <c r="F46" s="91">
        <f>VLOOKUP($A46,'Data Vlaue (Cr)'!$C:$FB,77)</f>
        <v>2</v>
      </c>
      <c r="G46" s="92">
        <f>VLOOKUP(A46,'Data Vlaue (Cr)'!C41:CB259,78,0)</f>
        <v>3.3E-3</v>
      </c>
      <c r="H46" s="91">
        <f>VLOOKUP($A46,'Data Vlaue (Cr)'!$C:$FB,91)</f>
        <v>225</v>
      </c>
      <c r="I46" s="91">
        <f>VLOOKUP($A46,'Data Vlaue (Cr)'!$C:$FB,93)</f>
        <v>2</v>
      </c>
      <c r="J46" s="92">
        <f>VLOOKUP($A46,'Data Vlaue (Cr)'!$C:$FB,94)</f>
        <v>1.0800000000000001E-2</v>
      </c>
      <c r="K46" s="91">
        <f>VLOOKUP($A46,'Data Vlaue (Cr)'!$C:$FB,95)</f>
        <v>189</v>
      </c>
      <c r="L46" s="91">
        <f>VLOOKUP($A46,'Data Vlaue (Cr)'!$C:$FB,97)</f>
        <v>-2</v>
      </c>
      <c r="M46" s="92">
        <f>VLOOKUP($A46,'Data Vlaue (Cr)'!$C:$FB,98)</f>
        <v>-8.5000000000000006E-3</v>
      </c>
      <c r="N46" s="91">
        <f>VLOOKUP($A46,'Data Vlaue (Cr)'!$C:$FB,79)</f>
        <v>471</v>
      </c>
      <c r="O46" s="92">
        <f>VLOOKUP($A46,'Data Vlaue (Cr)'!$C:$FB,82)</f>
        <v>-9.9000000000000008E-3</v>
      </c>
    </row>
    <row r="47" spans="1:15" x14ac:dyDescent="0.25">
      <c r="A47" s="97" t="str">
        <f>'Data Vlaue (Cr)'!C42</f>
        <v>CANBK</v>
      </c>
      <c r="B47" s="142">
        <f>VLOOKUP(A47,'Data Vlaue (Cr)'!C42:CW260,99,0)</f>
        <v>5074</v>
      </c>
      <c r="C47" s="90">
        <f>VLOOKUP(A47,'Data Vlaue (Cr)'!C42:CY260,101,0)</f>
        <v>158</v>
      </c>
      <c r="D47" s="139">
        <f>VLOOKUP(A47,'Data Vlaue (Cr)'!C42:CZ260,102,0)</f>
        <v>3.2199999999999999E-2</v>
      </c>
      <c r="E47" s="91">
        <f>VLOOKUP($A47,'Data Vlaue (Cr)'!$C:$FB,75)</f>
        <v>2878</v>
      </c>
      <c r="F47" s="91">
        <f>VLOOKUP($A47,'Data Vlaue (Cr)'!$C:$FB,77)</f>
        <v>38</v>
      </c>
      <c r="G47" s="92">
        <f>VLOOKUP(A47,'Data Vlaue (Cr)'!C42:CB260,78,0)</f>
        <v>1.35E-2</v>
      </c>
      <c r="H47" s="91">
        <f>VLOOKUP($A47,'Data Vlaue (Cr)'!$C:$FB,91)</f>
        <v>1138</v>
      </c>
      <c r="I47" s="91">
        <f>VLOOKUP($A47,'Data Vlaue (Cr)'!$C:$FB,93)</f>
        <v>61</v>
      </c>
      <c r="J47" s="92">
        <f>VLOOKUP($A47,'Data Vlaue (Cr)'!$C:$FB,94)</f>
        <v>5.6599999999999998E-2</v>
      </c>
      <c r="K47" s="91">
        <f>VLOOKUP($A47,'Data Vlaue (Cr)'!$C:$FB,95)</f>
        <v>1058</v>
      </c>
      <c r="L47" s="91">
        <f>VLOOKUP($A47,'Data Vlaue (Cr)'!$C:$FB,97)</f>
        <v>59</v>
      </c>
      <c r="M47" s="92">
        <f>VLOOKUP($A47,'Data Vlaue (Cr)'!$C:$FB,98)</f>
        <v>5.8900000000000001E-2</v>
      </c>
      <c r="N47" s="91">
        <f>VLOOKUP($A47,'Data Vlaue (Cr)'!$C:$FB,79)</f>
        <v>2354</v>
      </c>
      <c r="O47" s="92">
        <f>VLOOKUP($A47,'Data Vlaue (Cr)'!$C:$FB,82)</f>
        <v>-1.7899999999999999E-2</v>
      </c>
    </row>
    <row r="48" spans="1:15" x14ac:dyDescent="0.25">
      <c r="A48" s="97" t="str">
        <f>'Data Vlaue (Cr)'!C43</f>
        <v>CDSL</v>
      </c>
      <c r="B48" s="142">
        <f>VLOOKUP(A48,'Data Vlaue (Cr)'!C43:CW261,99,0)</f>
        <v>2923</v>
      </c>
      <c r="C48" s="90">
        <f>VLOOKUP(A48,'Data Vlaue (Cr)'!C43:CY261,101,0)</f>
        <v>158</v>
      </c>
      <c r="D48" s="139">
        <f>VLOOKUP(A48,'Data Vlaue (Cr)'!C43:CZ261,102,0)</f>
        <v>5.7099999999999998E-2</v>
      </c>
      <c r="E48" s="91">
        <f>VLOOKUP($A48,'Data Vlaue (Cr)'!$C:$FB,75)</f>
        <v>1585</v>
      </c>
      <c r="F48" s="91">
        <f>VLOOKUP($A48,'Data Vlaue (Cr)'!$C:$FB,77)</f>
        <v>90</v>
      </c>
      <c r="G48" s="92">
        <f>VLOOKUP(A48,'Data Vlaue (Cr)'!C43:CB261,78,0)</f>
        <v>6.0299999999999999E-2</v>
      </c>
      <c r="H48" s="91">
        <f>VLOOKUP($A48,'Data Vlaue (Cr)'!$C:$FB,91)</f>
        <v>711</v>
      </c>
      <c r="I48" s="91">
        <f>VLOOKUP($A48,'Data Vlaue (Cr)'!$C:$FB,93)</f>
        <v>47</v>
      </c>
      <c r="J48" s="92">
        <f>VLOOKUP($A48,'Data Vlaue (Cr)'!$C:$FB,94)</f>
        <v>7.1300000000000002E-2</v>
      </c>
      <c r="K48" s="91">
        <f>VLOOKUP($A48,'Data Vlaue (Cr)'!$C:$FB,95)</f>
        <v>626</v>
      </c>
      <c r="L48" s="91">
        <f>VLOOKUP($A48,'Data Vlaue (Cr)'!$C:$FB,97)</f>
        <v>21</v>
      </c>
      <c r="M48" s="92">
        <f>VLOOKUP($A48,'Data Vlaue (Cr)'!$C:$FB,98)</f>
        <v>3.39E-2</v>
      </c>
      <c r="N48" s="91">
        <f>VLOOKUP($A48,'Data Vlaue (Cr)'!$C:$FB,79)</f>
        <v>1074</v>
      </c>
      <c r="O48" s="92">
        <f>VLOOKUP($A48,'Data Vlaue (Cr)'!$C:$FB,82)</f>
        <v>2.4899999999999999E-2</v>
      </c>
    </row>
    <row r="49" spans="1:15" x14ac:dyDescent="0.25">
      <c r="A49" s="97" t="str">
        <f>'Data Vlaue (Cr)'!C44</f>
        <v>CGPOWER</v>
      </c>
      <c r="B49" s="142">
        <f>VLOOKUP(A49,'Data Vlaue (Cr)'!C44:CW262,99,0)</f>
        <v>2316</v>
      </c>
      <c r="C49" s="90">
        <f>VLOOKUP(A49,'Data Vlaue (Cr)'!C44:CY262,101,0)</f>
        <v>194</v>
      </c>
      <c r="D49" s="139">
        <f>VLOOKUP(A49,'Data Vlaue (Cr)'!C44:CZ262,102,0)</f>
        <v>9.1399999999999995E-2</v>
      </c>
      <c r="E49" s="91">
        <f>VLOOKUP($A49,'Data Vlaue (Cr)'!$C:$FB,75)</f>
        <v>1599</v>
      </c>
      <c r="F49" s="91">
        <f>VLOOKUP($A49,'Data Vlaue (Cr)'!$C:$FB,77)</f>
        <v>17</v>
      </c>
      <c r="G49" s="92">
        <f>VLOOKUP(A49,'Data Vlaue (Cr)'!C44:CB262,78,0)</f>
        <v>1.09E-2</v>
      </c>
      <c r="H49" s="91">
        <f>VLOOKUP($A49,'Data Vlaue (Cr)'!$C:$FB,91)</f>
        <v>423</v>
      </c>
      <c r="I49" s="91">
        <f>VLOOKUP($A49,'Data Vlaue (Cr)'!$C:$FB,93)</f>
        <v>94</v>
      </c>
      <c r="J49" s="92">
        <f>VLOOKUP($A49,'Data Vlaue (Cr)'!$C:$FB,94)</f>
        <v>0.2858</v>
      </c>
      <c r="K49" s="91">
        <f>VLOOKUP($A49,'Data Vlaue (Cr)'!$C:$FB,95)</f>
        <v>294</v>
      </c>
      <c r="L49" s="91">
        <f>VLOOKUP($A49,'Data Vlaue (Cr)'!$C:$FB,97)</f>
        <v>83</v>
      </c>
      <c r="M49" s="92">
        <f>VLOOKUP($A49,'Data Vlaue (Cr)'!$C:$FB,98)</f>
        <v>0.39100000000000001</v>
      </c>
      <c r="N49" s="91">
        <f>VLOOKUP($A49,'Data Vlaue (Cr)'!$C:$FB,79)</f>
        <v>1439</v>
      </c>
      <c r="O49" s="92">
        <f>VLOOKUP($A49,'Data Vlaue (Cr)'!$C:$FB,82)</f>
        <v>8.0000000000000004E-4</v>
      </c>
    </row>
    <row r="50" spans="1:15" x14ac:dyDescent="0.25">
      <c r="A50" s="97" t="str">
        <f>'Data Vlaue (Cr)'!C45</f>
        <v>CHOLAFIN</v>
      </c>
      <c r="B50" s="142">
        <f>VLOOKUP(A50,'Data Vlaue (Cr)'!C45:CW263,99,0)</f>
        <v>4551</v>
      </c>
      <c r="C50" s="90">
        <f>VLOOKUP(A50,'Data Vlaue (Cr)'!C45:CY263,101,0)</f>
        <v>47</v>
      </c>
      <c r="D50" s="139">
        <f>VLOOKUP(A50,'Data Vlaue (Cr)'!C45:CZ263,102,0)</f>
        <v>1.04E-2</v>
      </c>
      <c r="E50" s="91">
        <f>VLOOKUP($A50,'Data Vlaue (Cr)'!$C:$FB,75)</f>
        <v>3134</v>
      </c>
      <c r="F50" s="91">
        <f>VLOOKUP($A50,'Data Vlaue (Cr)'!$C:$FB,77)</f>
        <v>10</v>
      </c>
      <c r="G50" s="92">
        <f>VLOOKUP(A50,'Data Vlaue (Cr)'!C45:CB263,78,0)</f>
        <v>3.3E-3</v>
      </c>
      <c r="H50" s="91">
        <f>VLOOKUP($A50,'Data Vlaue (Cr)'!$C:$FB,91)</f>
        <v>763</v>
      </c>
      <c r="I50" s="91">
        <f>VLOOKUP($A50,'Data Vlaue (Cr)'!$C:$FB,93)</f>
        <v>19</v>
      </c>
      <c r="J50" s="92">
        <f>VLOOKUP($A50,'Data Vlaue (Cr)'!$C:$FB,94)</f>
        <v>2.58E-2</v>
      </c>
      <c r="K50" s="91">
        <f>VLOOKUP($A50,'Data Vlaue (Cr)'!$C:$FB,95)</f>
        <v>654</v>
      </c>
      <c r="L50" s="91">
        <f>VLOOKUP($A50,'Data Vlaue (Cr)'!$C:$FB,97)</f>
        <v>18</v>
      </c>
      <c r="M50" s="92">
        <f>VLOOKUP($A50,'Data Vlaue (Cr)'!$C:$FB,98)</f>
        <v>2.7699999999999999E-2</v>
      </c>
      <c r="N50" s="91">
        <f>VLOOKUP($A50,'Data Vlaue (Cr)'!$C:$FB,79)</f>
        <v>2906</v>
      </c>
      <c r="O50" s="92">
        <f>VLOOKUP($A50,'Data Vlaue (Cr)'!$C:$FB,82)</f>
        <v>1.2999999999999999E-3</v>
      </c>
    </row>
    <row r="51" spans="1:15" x14ac:dyDescent="0.25">
      <c r="A51" s="97" t="str">
        <f>'Data Vlaue (Cr)'!C46</f>
        <v>CIPLA</v>
      </c>
      <c r="B51" s="142">
        <f>VLOOKUP(A51,'Data Vlaue (Cr)'!C46:CW264,99,0)</f>
        <v>3019</v>
      </c>
      <c r="C51" s="90">
        <f>VLOOKUP(A51,'Data Vlaue (Cr)'!C46:CY264,101,0)</f>
        <v>91</v>
      </c>
      <c r="D51" s="139">
        <f>VLOOKUP(A51,'Data Vlaue (Cr)'!C46:CZ264,102,0)</f>
        <v>3.1099999999999999E-2</v>
      </c>
      <c r="E51" s="91">
        <f>VLOOKUP($A51,'Data Vlaue (Cr)'!$C:$FB,75)</f>
        <v>1938</v>
      </c>
      <c r="F51" s="91">
        <f>VLOOKUP($A51,'Data Vlaue (Cr)'!$C:$FB,77)</f>
        <v>9</v>
      </c>
      <c r="G51" s="92">
        <f>VLOOKUP(A51,'Data Vlaue (Cr)'!C46:CB264,78,0)</f>
        <v>4.4000000000000003E-3</v>
      </c>
      <c r="H51" s="91">
        <f>VLOOKUP($A51,'Data Vlaue (Cr)'!$C:$FB,91)</f>
        <v>591</v>
      </c>
      <c r="I51" s="91">
        <f>VLOOKUP($A51,'Data Vlaue (Cr)'!$C:$FB,93)</f>
        <v>64</v>
      </c>
      <c r="J51" s="92">
        <f>VLOOKUP($A51,'Data Vlaue (Cr)'!$C:$FB,94)</f>
        <v>0.12189999999999999</v>
      </c>
      <c r="K51" s="91">
        <f>VLOOKUP($A51,'Data Vlaue (Cr)'!$C:$FB,95)</f>
        <v>489</v>
      </c>
      <c r="L51" s="91">
        <f>VLOOKUP($A51,'Data Vlaue (Cr)'!$C:$FB,97)</f>
        <v>18</v>
      </c>
      <c r="M51" s="92">
        <f>VLOOKUP($A51,'Data Vlaue (Cr)'!$C:$FB,98)</f>
        <v>3.8699999999999998E-2</v>
      </c>
      <c r="N51" s="91">
        <f>VLOOKUP($A51,'Data Vlaue (Cr)'!$C:$FB,79)</f>
        <v>1580</v>
      </c>
      <c r="O51" s="92">
        <f>VLOOKUP($A51,'Data Vlaue (Cr)'!$C:$FB,82)</f>
        <v>-8.4000000000000005E-2</v>
      </c>
    </row>
    <row r="52" spans="1:15" x14ac:dyDescent="0.25">
      <c r="A52" s="97" t="str">
        <f>'Data Vlaue (Cr)'!C47</f>
        <v>COALINDIA</v>
      </c>
      <c r="B52" s="142">
        <f>VLOOKUP(A52,'Data Vlaue (Cr)'!C47:CW265,99,0)</f>
        <v>6175</v>
      </c>
      <c r="C52" s="90">
        <f>VLOOKUP(A52,'Data Vlaue (Cr)'!C47:CY265,101,0)</f>
        <v>-142</v>
      </c>
      <c r="D52" s="139">
        <f>VLOOKUP(A52,'Data Vlaue (Cr)'!C47:CZ265,102,0)</f>
        <v>-2.24E-2</v>
      </c>
      <c r="E52" s="91">
        <f>VLOOKUP($A52,'Data Vlaue (Cr)'!$C:$FB,75)</f>
        <v>3119</v>
      </c>
      <c r="F52" s="91">
        <f>VLOOKUP($A52,'Data Vlaue (Cr)'!$C:$FB,77)</f>
        <v>15</v>
      </c>
      <c r="G52" s="92">
        <f>VLOOKUP(A52,'Data Vlaue (Cr)'!C47:CB265,78,0)</f>
        <v>4.7000000000000002E-3</v>
      </c>
      <c r="H52" s="91">
        <f>VLOOKUP($A52,'Data Vlaue (Cr)'!$C:$FB,91)</f>
        <v>1883</v>
      </c>
      <c r="I52" s="91">
        <f>VLOOKUP($A52,'Data Vlaue (Cr)'!$C:$FB,93)</f>
        <v>-74</v>
      </c>
      <c r="J52" s="92">
        <f>VLOOKUP($A52,'Data Vlaue (Cr)'!$C:$FB,94)</f>
        <v>-3.7999999999999999E-2</v>
      </c>
      <c r="K52" s="91">
        <f>VLOOKUP($A52,'Data Vlaue (Cr)'!$C:$FB,95)</f>
        <v>1173</v>
      </c>
      <c r="L52" s="91">
        <f>VLOOKUP($A52,'Data Vlaue (Cr)'!$C:$FB,97)</f>
        <v>-82</v>
      </c>
      <c r="M52" s="92">
        <f>VLOOKUP($A52,'Data Vlaue (Cr)'!$C:$FB,98)</f>
        <v>-6.5199999999999994E-2</v>
      </c>
      <c r="N52" s="91">
        <f>VLOOKUP($A52,'Data Vlaue (Cr)'!$C:$FB,79)</f>
        <v>2739</v>
      </c>
      <c r="O52" s="92">
        <f>VLOOKUP($A52,'Data Vlaue (Cr)'!$C:$FB,82)</f>
        <v>-7.1999999999999998E-3</v>
      </c>
    </row>
    <row r="53" spans="1:15" x14ac:dyDescent="0.25">
      <c r="A53" s="97" t="str">
        <f>'Data Vlaue (Cr)'!C48</f>
        <v>COCHINSHIP</v>
      </c>
      <c r="B53" s="142">
        <f>VLOOKUP(A53,'Data Vlaue (Cr)'!C48:CW266,99,0)</f>
        <v>627</v>
      </c>
      <c r="C53" s="90">
        <f>VLOOKUP(A53,'Data Vlaue (Cr)'!C48:CY266,101,0)</f>
        <v>68</v>
      </c>
      <c r="D53" s="139">
        <f>VLOOKUP(A53,'Data Vlaue (Cr)'!C48:CZ266,102,0)</f>
        <v>0.1207</v>
      </c>
      <c r="E53" s="91">
        <f>VLOOKUP($A53,'Data Vlaue (Cr)'!$C:$FB,75)</f>
        <v>300</v>
      </c>
      <c r="F53" s="91">
        <f>VLOOKUP($A53,'Data Vlaue (Cr)'!$C:$FB,77)</f>
        <v>22</v>
      </c>
      <c r="G53" s="92">
        <f>VLOOKUP(A53,'Data Vlaue (Cr)'!C48:CB266,78,0)</f>
        <v>7.9500000000000001E-2</v>
      </c>
      <c r="H53" s="91">
        <f>VLOOKUP($A53,'Data Vlaue (Cr)'!$C:$FB,91)</f>
        <v>206</v>
      </c>
      <c r="I53" s="91">
        <f>VLOOKUP($A53,'Data Vlaue (Cr)'!$C:$FB,93)</f>
        <v>39</v>
      </c>
      <c r="J53" s="92">
        <f>VLOOKUP($A53,'Data Vlaue (Cr)'!$C:$FB,94)</f>
        <v>0.23119999999999999</v>
      </c>
      <c r="K53" s="91">
        <f>VLOOKUP($A53,'Data Vlaue (Cr)'!$C:$FB,95)</f>
        <v>121</v>
      </c>
      <c r="L53" s="91">
        <f>VLOOKUP($A53,'Data Vlaue (Cr)'!$C:$FB,97)</f>
        <v>7</v>
      </c>
      <c r="M53" s="92">
        <f>VLOOKUP($A53,'Data Vlaue (Cr)'!$C:$FB,98)</f>
        <v>5.8999999999999997E-2</v>
      </c>
      <c r="N53" s="91">
        <f>VLOOKUP($A53,'Data Vlaue (Cr)'!$C:$FB,79)</f>
        <v>226</v>
      </c>
      <c r="O53" s="92">
        <f>VLOOKUP($A53,'Data Vlaue (Cr)'!$C:$FB,82)</f>
        <v>4.3400000000000001E-2</v>
      </c>
    </row>
    <row r="54" spans="1:15" x14ac:dyDescent="0.25">
      <c r="A54" s="97" t="str">
        <f>'Data Vlaue (Cr)'!C49</f>
        <v>COFORGE</v>
      </c>
      <c r="B54" s="142">
        <f>VLOOKUP(A54,'Data Vlaue (Cr)'!C49:CW267,99,0)</f>
        <v>3965</v>
      </c>
      <c r="C54" s="90">
        <f>VLOOKUP(A54,'Data Vlaue (Cr)'!C49:CY267,101,0)</f>
        <v>-1</v>
      </c>
      <c r="D54" s="139">
        <f>VLOOKUP(A54,'Data Vlaue (Cr)'!C49:CZ267,102,0)</f>
        <v>-2.0000000000000001E-4</v>
      </c>
      <c r="E54" s="91">
        <f>VLOOKUP($A54,'Data Vlaue (Cr)'!$C:$FB,75)</f>
        <v>2312</v>
      </c>
      <c r="F54" s="91">
        <f>VLOOKUP($A54,'Data Vlaue (Cr)'!$C:$FB,77)</f>
        <v>-37</v>
      </c>
      <c r="G54" s="92">
        <f>VLOOKUP(A54,'Data Vlaue (Cr)'!C49:CB267,78,0)</f>
        <v>-1.5900000000000001E-2</v>
      </c>
      <c r="H54" s="91">
        <f>VLOOKUP($A54,'Data Vlaue (Cr)'!$C:$FB,91)</f>
        <v>1023</v>
      </c>
      <c r="I54" s="91">
        <f>VLOOKUP($A54,'Data Vlaue (Cr)'!$C:$FB,93)</f>
        <v>41</v>
      </c>
      <c r="J54" s="92">
        <f>VLOOKUP($A54,'Data Vlaue (Cr)'!$C:$FB,94)</f>
        <v>4.2200000000000001E-2</v>
      </c>
      <c r="K54" s="91">
        <f>VLOOKUP($A54,'Data Vlaue (Cr)'!$C:$FB,95)</f>
        <v>630</v>
      </c>
      <c r="L54" s="91">
        <f>VLOOKUP($A54,'Data Vlaue (Cr)'!$C:$FB,97)</f>
        <v>-5</v>
      </c>
      <c r="M54" s="92">
        <f>VLOOKUP($A54,'Data Vlaue (Cr)'!$C:$FB,98)</f>
        <v>-8.0000000000000002E-3</v>
      </c>
      <c r="N54" s="91">
        <f>VLOOKUP($A54,'Data Vlaue (Cr)'!$C:$FB,79)</f>
        <v>2141</v>
      </c>
      <c r="O54" s="92">
        <f>VLOOKUP($A54,'Data Vlaue (Cr)'!$C:$FB,82)</f>
        <v>-3.0800000000000001E-2</v>
      </c>
    </row>
    <row r="55" spans="1:15" x14ac:dyDescent="0.25">
      <c r="A55" s="97" t="str">
        <f>'Data Vlaue (Cr)'!C50</f>
        <v>COLPAL</v>
      </c>
      <c r="B55" s="142">
        <f>VLOOKUP(A55,'Data Vlaue (Cr)'!C50:CW268,99,0)</f>
        <v>2100</v>
      </c>
      <c r="C55" s="90">
        <f>VLOOKUP(A55,'Data Vlaue (Cr)'!C50:CY268,101,0)</f>
        <v>-129</v>
      </c>
      <c r="D55" s="139">
        <f>VLOOKUP(A55,'Data Vlaue (Cr)'!C50:CZ268,102,0)</f>
        <v>-5.7799999999999997E-2</v>
      </c>
      <c r="E55" s="91">
        <f>VLOOKUP($A55,'Data Vlaue (Cr)'!$C:$FB,75)</f>
        <v>1236</v>
      </c>
      <c r="F55" s="91">
        <f>VLOOKUP($A55,'Data Vlaue (Cr)'!$C:$FB,77)</f>
        <v>-4</v>
      </c>
      <c r="G55" s="92">
        <f>VLOOKUP(A55,'Data Vlaue (Cr)'!C50:CB268,78,0)</f>
        <v>-3.0999999999999999E-3</v>
      </c>
      <c r="H55" s="91">
        <f>VLOOKUP($A55,'Data Vlaue (Cr)'!$C:$FB,91)</f>
        <v>489</v>
      </c>
      <c r="I55" s="91">
        <f>VLOOKUP($A55,'Data Vlaue (Cr)'!$C:$FB,93)</f>
        <v>-82</v>
      </c>
      <c r="J55" s="92">
        <f>VLOOKUP($A55,'Data Vlaue (Cr)'!$C:$FB,94)</f>
        <v>-0.1431</v>
      </c>
      <c r="K55" s="91">
        <f>VLOOKUP($A55,'Data Vlaue (Cr)'!$C:$FB,95)</f>
        <v>375</v>
      </c>
      <c r="L55" s="91">
        <f>VLOOKUP($A55,'Data Vlaue (Cr)'!$C:$FB,97)</f>
        <v>-43</v>
      </c>
      <c r="M55" s="92">
        <f>VLOOKUP($A55,'Data Vlaue (Cr)'!$C:$FB,98)</f>
        <v>-0.1038</v>
      </c>
      <c r="N55" s="91">
        <f>VLOOKUP($A55,'Data Vlaue (Cr)'!$C:$FB,79)</f>
        <v>1156</v>
      </c>
      <c r="O55" s="92">
        <f>VLOOKUP($A55,'Data Vlaue (Cr)'!$C:$FB,82)</f>
        <v>-9.1000000000000004E-3</v>
      </c>
    </row>
    <row r="56" spans="1:15" x14ac:dyDescent="0.25">
      <c r="A56" s="97" t="str">
        <f>'Data Vlaue (Cr)'!C51</f>
        <v>CONCOR</v>
      </c>
      <c r="B56" s="142">
        <f>VLOOKUP(A56,'Data Vlaue (Cr)'!C51:CW269,99,0)</f>
        <v>1849</v>
      </c>
      <c r="C56" s="90">
        <f>VLOOKUP(A56,'Data Vlaue (Cr)'!C51:CY269,101,0)</f>
        <v>-9</v>
      </c>
      <c r="D56" s="139">
        <f>VLOOKUP(A56,'Data Vlaue (Cr)'!C51:CZ269,102,0)</f>
        <v>-4.7000000000000002E-3</v>
      </c>
      <c r="E56" s="91">
        <f>VLOOKUP($A56,'Data Vlaue (Cr)'!$C:$FB,75)</f>
        <v>1293</v>
      </c>
      <c r="F56" s="91">
        <f>VLOOKUP($A56,'Data Vlaue (Cr)'!$C:$FB,77)</f>
        <v>-4</v>
      </c>
      <c r="G56" s="92">
        <f>VLOOKUP(A56,'Data Vlaue (Cr)'!C51:CB269,78,0)</f>
        <v>-3.3E-3</v>
      </c>
      <c r="H56" s="91">
        <f>VLOOKUP($A56,'Data Vlaue (Cr)'!$C:$FB,91)</f>
        <v>309</v>
      </c>
      <c r="I56" s="91">
        <f>VLOOKUP($A56,'Data Vlaue (Cr)'!$C:$FB,93)</f>
        <v>0</v>
      </c>
      <c r="J56" s="92">
        <f>VLOOKUP($A56,'Data Vlaue (Cr)'!$C:$FB,94)</f>
        <v>1.1999999999999999E-3</v>
      </c>
      <c r="K56" s="91">
        <f>VLOOKUP($A56,'Data Vlaue (Cr)'!$C:$FB,95)</f>
        <v>247</v>
      </c>
      <c r="L56" s="91">
        <f>VLOOKUP($A56,'Data Vlaue (Cr)'!$C:$FB,97)</f>
        <v>-5</v>
      </c>
      <c r="M56" s="92">
        <f>VLOOKUP($A56,'Data Vlaue (Cr)'!$C:$FB,98)</f>
        <v>-1.9E-2</v>
      </c>
      <c r="N56" s="91">
        <f>VLOOKUP($A56,'Data Vlaue (Cr)'!$C:$FB,79)</f>
        <v>1185</v>
      </c>
      <c r="O56" s="92">
        <f>VLOOKUP($A56,'Data Vlaue (Cr)'!$C:$FB,82)</f>
        <v>-2.4199999999999999E-2</v>
      </c>
    </row>
    <row r="57" spans="1:15" x14ac:dyDescent="0.25">
      <c r="A57" s="97" t="str">
        <f>'Data Vlaue (Cr)'!C52</f>
        <v>CROMPTON</v>
      </c>
      <c r="B57" s="142">
        <f>VLOOKUP(A57,'Data Vlaue (Cr)'!C52:CW270,99,0)</f>
        <v>1715</v>
      </c>
      <c r="C57" s="90">
        <f>VLOOKUP(A57,'Data Vlaue (Cr)'!C52:CY270,101,0)</f>
        <v>3</v>
      </c>
      <c r="D57" s="139">
        <f>VLOOKUP(A57,'Data Vlaue (Cr)'!C52:CZ270,102,0)</f>
        <v>1.9E-3</v>
      </c>
      <c r="E57" s="91">
        <f>VLOOKUP($A57,'Data Vlaue (Cr)'!$C:$FB,75)</f>
        <v>1182</v>
      </c>
      <c r="F57" s="91">
        <f>VLOOKUP($A57,'Data Vlaue (Cr)'!$C:$FB,77)</f>
        <v>9</v>
      </c>
      <c r="G57" s="92">
        <f>VLOOKUP(A57,'Data Vlaue (Cr)'!C52:CB270,78,0)</f>
        <v>7.4999999999999997E-3</v>
      </c>
      <c r="H57" s="91">
        <f>VLOOKUP($A57,'Data Vlaue (Cr)'!$C:$FB,91)</f>
        <v>319</v>
      </c>
      <c r="I57" s="91">
        <f>VLOOKUP($A57,'Data Vlaue (Cr)'!$C:$FB,93)</f>
        <v>2</v>
      </c>
      <c r="J57" s="92">
        <f>VLOOKUP($A57,'Data Vlaue (Cr)'!$C:$FB,94)</f>
        <v>5.8999999999999999E-3</v>
      </c>
      <c r="K57" s="91">
        <f>VLOOKUP($A57,'Data Vlaue (Cr)'!$C:$FB,95)</f>
        <v>215</v>
      </c>
      <c r="L57" s="91">
        <f>VLOOKUP($A57,'Data Vlaue (Cr)'!$C:$FB,97)</f>
        <v>-7</v>
      </c>
      <c r="M57" s="92">
        <f>VLOOKUP($A57,'Data Vlaue (Cr)'!$C:$FB,98)</f>
        <v>-3.32E-2</v>
      </c>
      <c r="N57" s="91">
        <f>VLOOKUP($A57,'Data Vlaue (Cr)'!$C:$FB,79)</f>
        <v>1140</v>
      </c>
      <c r="O57" s="92">
        <f>VLOOKUP($A57,'Data Vlaue (Cr)'!$C:$FB,82)</f>
        <v>1.2999999999999999E-3</v>
      </c>
    </row>
    <row r="58" spans="1:15" x14ac:dyDescent="0.25">
      <c r="A58" s="97" t="str">
        <f>'Data Vlaue (Cr)'!C53</f>
        <v>CUMMINSIND</v>
      </c>
      <c r="B58" s="142">
        <f>VLOOKUP(A58,'Data Vlaue (Cr)'!C53:CW271,99,0)</f>
        <v>3286</v>
      </c>
      <c r="C58" s="90">
        <f>VLOOKUP(A58,'Data Vlaue (Cr)'!C53:CY271,101,0)</f>
        <v>48</v>
      </c>
      <c r="D58" s="139">
        <f>VLOOKUP(A58,'Data Vlaue (Cr)'!C53:CZ271,102,0)</f>
        <v>1.4800000000000001E-2</v>
      </c>
      <c r="E58" s="91">
        <f>VLOOKUP($A58,'Data Vlaue (Cr)'!$C:$FB,75)</f>
        <v>2076</v>
      </c>
      <c r="F58" s="91">
        <f>VLOOKUP($A58,'Data Vlaue (Cr)'!$C:$FB,77)</f>
        <v>-34</v>
      </c>
      <c r="G58" s="92">
        <f>VLOOKUP(A58,'Data Vlaue (Cr)'!C53:CB271,78,0)</f>
        <v>-1.6199999999999999E-2</v>
      </c>
      <c r="H58" s="91">
        <f>VLOOKUP($A58,'Data Vlaue (Cr)'!$C:$FB,91)</f>
        <v>723</v>
      </c>
      <c r="I58" s="91">
        <f>VLOOKUP($A58,'Data Vlaue (Cr)'!$C:$FB,93)</f>
        <v>57</v>
      </c>
      <c r="J58" s="92">
        <f>VLOOKUP($A58,'Data Vlaue (Cr)'!$C:$FB,94)</f>
        <v>8.5999999999999993E-2</v>
      </c>
      <c r="K58" s="91">
        <f>VLOOKUP($A58,'Data Vlaue (Cr)'!$C:$FB,95)</f>
        <v>487</v>
      </c>
      <c r="L58" s="91">
        <f>VLOOKUP($A58,'Data Vlaue (Cr)'!$C:$FB,97)</f>
        <v>25</v>
      </c>
      <c r="M58" s="92">
        <f>VLOOKUP($A58,'Data Vlaue (Cr)'!$C:$FB,98)</f>
        <v>5.3499999999999999E-2</v>
      </c>
      <c r="N58" s="91">
        <f>VLOOKUP($A58,'Data Vlaue (Cr)'!$C:$FB,79)</f>
        <v>1869</v>
      </c>
      <c r="O58" s="92">
        <f>VLOOKUP($A58,'Data Vlaue (Cr)'!$C:$FB,82)</f>
        <v>-2.3699999999999999E-2</v>
      </c>
    </row>
    <row r="59" spans="1:15" x14ac:dyDescent="0.25">
      <c r="A59" s="97" t="str">
        <f>'Data Vlaue (Cr)'!C54</f>
        <v>DABUR</v>
      </c>
      <c r="B59" s="142">
        <f>VLOOKUP(A59,'Data Vlaue (Cr)'!C54:CW272,99,0)</f>
        <v>2193</v>
      </c>
      <c r="C59" s="90">
        <f>VLOOKUP(A59,'Data Vlaue (Cr)'!C54:CY272,101,0)</f>
        <v>-45</v>
      </c>
      <c r="D59" s="139">
        <f>VLOOKUP(A59,'Data Vlaue (Cr)'!C54:CZ272,102,0)</f>
        <v>-2.0199999999999999E-2</v>
      </c>
      <c r="E59" s="91">
        <f>VLOOKUP($A59,'Data Vlaue (Cr)'!$C:$FB,75)</f>
        <v>1294</v>
      </c>
      <c r="F59" s="91">
        <f>VLOOKUP($A59,'Data Vlaue (Cr)'!$C:$FB,77)</f>
        <v>5</v>
      </c>
      <c r="G59" s="92">
        <f>VLOOKUP(A59,'Data Vlaue (Cr)'!C54:CB272,78,0)</f>
        <v>3.5000000000000001E-3</v>
      </c>
      <c r="H59" s="91">
        <f>VLOOKUP($A59,'Data Vlaue (Cr)'!$C:$FB,91)</f>
        <v>567</v>
      </c>
      <c r="I59" s="91">
        <f>VLOOKUP($A59,'Data Vlaue (Cr)'!$C:$FB,93)</f>
        <v>-12</v>
      </c>
      <c r="J59" s="92">
        <f>VLOOKUP($A59,'Data Vlaue (Cr)'!$C:$FB,94)</f>
        <v>-2.0199999999999999E-2</v>
      </c>
      <c r="K59" s="91">
        <f>VLOOKUP($A59,'Data Vlaue (Cr)'!$C:$FB,95)</f>
        <v>332</v>
      </c>
      <c r="L59" s="91">
        <f>VLOOKUP($A59,'Data Vlaue (Cr)'!$C:$FB,97)</f>
        <v>-38</v>
      </c>
      <c r="M59" s="92">
        <f>VLOOKUP($A59,'Data Vlaue (Cr)'!$C:$FB,98)</f>
        <v>-0.1026</v>
      </c>
      <c r="N59" s="91">
        <f>VLOOKUP($A59,'Data Vlaue (Cr)'!$C:$FB,79)</f>
        <v>1226</v>
      </c>
      <c r="O59" s="92">
        <f>VLOOKUP($A59,'Data Vlaue (Cr)'!$C:$FB,82)</f>
        <v>-6.9999999999999999E-4</v>
      </c>
    </row>
    <row r="60" spans="1:15" x14ac:dyDescent="0.25">
      <c r="A60" s="97" t="str">
        <f>'Data Vlaue (Cr)'!C55</f>
        <v>DALBHARAT</v>
      </c>
      <c r="B60" s="142">
        <f>VLOOKUP(A60,'Data Vlaue (Cr)'!C55:CW273,99,0)</f>
        <v>925</v>
      </c>
      <c r="C60" s="90">
        <f>VLOOKUP(A60,'Data Vlaue (Cr)'!C55:CY273,101,0)</f>
        <v>14</v>
      </c>
      <c r="D60" s="139">
        <f>VLOOKUP(A60,'Data Vlaue (Cr)'!C55:CZ273,102,0)</f>
        <v>1.5900000000000001E-2</v>
      </c>
      <c r="E60" s="91">
        <f>VLOOKUP($A60,'Data Vlaue (Cr)'!$C:$FB,75)</f>
        <v>513</v>
      </c>
      <c r="F60" s="91">
        <f>VLOOKUP($A60,'Data Vlaue (Cr)'!$C:$FB,77)</f>
        <v>4</v>
      </c>
      <c r="G60" s="92">
        <f>VLOOKUP(A60,'Data Vlaue (Cr)'!C55:CB273,78,0)</f>
        <v>8.0000000000000002E-3</v>
      </c>
      <c r="H60" s="91">
        <f>VLOOKUP($A60,'Data Vlaue (Cr)'!$C:$FB,91)</f>
        <v>216</v>
      </c>
      <c r="I60" s="91">
        <f>VLOOKUP($A60,'Data Vlaue (Cr)'!$C:$FB,93)</f>
        <v>14</v>
      </c>
      <c r="J60" s="92">
        <f>VLOOKUP($A60,'Data Vlaue (Cr)'!$C:$FB,94)</f>
        <v>6.9500000000000006E-2</v>
      </c>
      <c r="K60" s="91">
        <f>VLOOKUP($A60,'Data Vlaue (Cr)'!$C:$FB,95)</f>
        <v>196</v>
      </c>
      <c r="L60" s="91">
        <f>VLOOKUP($A60,'Data Vlaue (Cr)'!$C:$FB,97)</f>
        <v>-4</v>
      </c>
      <c r="M60" s="92">
        <f>VLOOKUP($A60,'Data Vlaue (Cr)'!$C:$FB,98)</f>
        <v>-1.8100000000000002E-2</v>
      </c>
      <c r="N60" s="91">
        <f>VLOOKUP($A60,'Data Vlaue (Cr)'!$C:$FB,79)</f>
        <v>497</v>
      </c>
      <c r="O60" s="92">
        <f>VLOOKUP($A60,'Data Vlaue (Cr)'!$C:$FB,82)</f>
        <v>1.4E-3</v>
      </c>
    </row>
    <row r="61" spans="1:15" x14ac:dyDescent="0.25">
      <c r="A61" s="97" t="str">
        <f>'Data Vlaue (Cr)'!C56</f>
        <v>DELHIVERY</v>
      </c>
      <c r="B61" s="142">
        <f>VLOOKUP(A61,'Data Vlaue (Cr)'!C56:CW274,99,0)</f>
        <v>2325</v>
      </c>
      <c r="C61" s="90">
        <f>VLOOKUP(A61,'Data Vlaue (Cr)'!C56:CY274,101,0)</f>
        <v>-82</v>
      </c>
      <c r="D61" s="139">
        <f>VLOOKUP(A61,'Data Vlaue (Cr)'!C56:CZ274,102,0)</f>
        <v>-3.39E-2</v>
      </c>
      <c r="E61" s="91">
        <f>VLOOKUP($A61,'Data Vlaue (Cr)'!$C:$FB,75)</f>
        <v>1461</v>
      </c>
      <c r="F61" s="91">
        <f>VLOOKUP($A61,'Data Vlaue (Cr)'!$C:$FB,77)</f>
        <v>-16</v>
      </c>
      <c r="G61" s="92">
        <f>VLOOKUP(A61,'Data Vlaue (Cr)'!C56:CB274,78,0)</f>
        <v>-1.0800000000000001E-2</v>
      </c>
      <c r="H61" s="91">
        <f>VLOOKUP($A61,'Data Vlaue (Cr)'!$C:$FB,91)</f>
        <v>617</v>
      </c>
      <c r="I61" s="91">
        <f>VLOOKUP($A61,'Data Vlaue (Cr)'!$C:$FB,93)</f>
        <v>-54</v>
      </c>
      <c r="J61" s="92">
        <f>VLOOKUP($A61,'Data Vlaue (Cr)'!$C:$FB,94)</f>
        <v>-8.09E-2</v>
      </c>
      <c r="K61" s="91">
        <f>VLOOKUP($A61,'Data Vlaue (Cr)'!$C:$FB,95)</f>
        <v>247</v>
      </c>
      <c r="L61" s="91">
        <f>VLOOKUP($A61,'Data Vlaue (Cr)'!$C:$FB,97)</f>
        <v>-11</v>
      </c>
      <c r="M61" s="92">
        <f>VLOOKUP($A61,'Data Vlaue (Cr)'!$C:$FB,98)</f>
        <v>-4.3999999999999997E-2</v>
      </c>
      <c r="N61" s="91">
        <f>VLOOKUP($A61,'Data Vlaue (Cr)'!$C:$FB,79)</f>
        <v>1395</v>
      </c>
      <c r="O61" s="92">
        <f>VLOOKUP($A61,'Data Vlaue (Cr)'!$C:$FB,82)</f>
        <v>-2.6800000000000001E-2</v>
      </c>
    </row>
    <row r="62" spans="1:15" x14ac:dyDescent="0.25">
      <c r="A62" s="97" t="str">
        <f>'Data Vlaue (Cr)'!C57</f>
        <v>DIVISLAB</v>
      </c>
      <c r="B62" s="142">
        <f>VLOOKUP(A62,'Data Vlaue (Cr)'!C57:CW275,99,0)</f>
        <v>2688</v>
      </c>
      <c r="C62" s="90">
        <f>VLOOKUP(A62,'Data Vlaue (Cr)'!C57:CY275,101,0)</f>
        <v>53</v>
      </c>
      <c r="D62" s="139">
        <f>VLOOKUP(A62,'Data Vlaue (Cr)'!C57:CZ275,102,0)</f>
        <v>2.0199999999999999E-2</v>
      </c>
      <c r="E62" s="91">
        <f>VLOOKUP($A62,'Data Vlaue (Cr)'!$C:$FB,75)</f>
        <v>1741</v>
      </c>
      <c r="F62" s="91">
        <f>VLOOKUP($A62,'Data Vlaue (Cr)'!$C:$FB,77)</f>
        <v>12</v>
      </c>
      <c r="G62" s="92">
        <f>VLOOKUP(A62,'Data Vlaue (Cr)'!C57:CB275,78,0)</f>
        <v>7.0000000000000001E-3</v>
      </c>
      <c r="H62" s="91">
        <f>VLOOKUP($A62,'Data Vlaue (Cr)'!$C:$FB,91)</f>
        <v>472</v>
      </c>
      <c r="I62" s="91">
        <f>VLOOKUP($A62,'Data Vlaue (Cr)'!$C:$FB,93)</f>
        <v>30</v>
      </c>
      <c r="J62" s="92">
        <f>VLOOKUP($A62,'Data Vlaue (Cr)'!$C:$FB,94)</f>
        <v>6.6799999999999998E-2</v>
      </c>
      <c r="K62" s="91">
        <f>VLOOKUP($A62,'Data Vlaue (Cr)'!$C:$FB,95)</f>
        <v>475</v>
      </c>
      <c r="L62" s="91">
        <f>VLOOKUP($A62,'Data Vlaue (Cr)'!$C:$FB,97)</f>
        <v>11</v>
      </c>
      <c r="M62" s="92">
        <f>VLOOKUP($A62,'Data Vlaue (Cr)'!$C:$FB,98)</f>
        <v>2.46E-2</v>
      </c>
      <c r="N62" s="91">
        <f>VLOOKUP($A62,'Data Vlaue (Cr)'!$C:$FB,79)</f>
        <v>1668</v>
      </c>
      <c r="O62" s="92">
        <f>VLOOKUP($A62,'Data Vlaue (Cr)'!$C:$FB,82)</f>
        <v>-2.8999999999999998E-3</v>
      </c>
    </row>
    <row r="63" spans="1:15" x14ac:dyDescent="0.25">
      <c r="A63" s="97" t="str">
        <f>'Data Vlaue (Cr)'!C58</f>
        <v>DIXON</v>
      </c>
      <c r="B63" s="142">
        <f>VLOOKUP(A63,'Data Vlaue (Cr)'!C58:CW276,99,0)</f>
        <v>7543</v>
      </c>
      <c r="C63" s="90">
        <f>VLOOKUP(A63,'Data Vlaue (Cr)'!C58:CY276,101,0)</f>
        <v>-13</v>
      </c>
      <c r="D63" s="139">
        <f>VLOOKUP(A63,'Data Vlaue (Cr)'!C58:CZ276,102,0)</f>
        <v>-1.8E-3</v>
      </c>
      <c r="E63" s="91">
        <f>VLOOKUP($A63,'Data Vlaue (Cr)'!$C:$FB,75)</f>
        <v>3482</v>
      </c>
      <c r="F63" s="91">
        <f>VLOOKUP($A63,'Data Vlaue (Cr)'!$C:$FB,77)</f>
        <v>5</v>
      </c>
      <c r="G63" s="92">
        <f>VLOOKUP(A63,'Data Vlaue (Cr)'!C58:CB276,78,0)</f>
        <v>1.4E-3</v>
      </c>
      <c r="H63" s="91">
        <f>VLOOKUP($A63,'Data Vlaue (Cr)'!$C:$FB,91)</f>
        <v>2381</v>
      </c>
      <c r="I63" s="91">
        <f>VLOOKUP($A63,'Data Vlaue (Cr)'!$C:$FB,93)</f>
        <v>41</v>
      </c>
      <c r="J63" s="92">
        <f>VLOOKUP($A63,'Data Vlaue (Cr)'!$C:$FB,94)</f>
        <v>1.77E-2</v>
      </c>
      <c r="K63" s="91">
        <f>VLOOKUP($A63,'Data Vlaue (Cr)'!$C:$FB,95)</f>
        <v>1680</v>
      </c>
      <c r="L63" s="91">
        <f>VLOOKUP($A63,'Data Vlaue (Cr)'!$C:$FB,97)</f>
        <v>-60</v>
      </c>
      <c r="M63" s="92">
        <f>VLOOKUP($A63,'Data Vlaue (Cr)'!$C:$FB,98)</f>
        <v>-3.4200000000000001E-2</v>
      </c>
      <c r="N63" s="91">
        <f>VLOOKUP($A63,'Data Vlaue (Cr)'!$C:$FB,79)</f>
        <v>2879</v>
      </c>
      <c r="O63" s="92">
        <f>VLOOKUP($A63,'Data Vlaue (Cr)'!$C:$FB,82)</f>
        <v>-2.5000000000000001E-2</v>
      </c>
    </row>
    <row r="64" spans="1:15" x14ac:dyDescent="0.25">
      <c r="A64" s="97" t="str">
        <f>'Data Vlaue (Cr)'!C59</f>
        <v>DLF</v>
      </c>
      <c r="B64" s="142">
        <f>VLOOKUP(A64,'Data Vlaue (Cr)'!C59:CW277,99,0)</f>
        <v>4340</v>
      </c>
      <c r="C64" s="90">
        <f>VLOOKUP(A64,'Data Vlaue (Cr)'!C59:CY277,101,0)</f>
        <v>-12</v>
      </c>
      <c r="D64" s="139">
        <f>VLOOKUP(A64,'Data Vlaue (Cr)'!C59:CZ277,102,0)</f>
        <v>-2.8E-3</v>
      </c>
      <c r="E64" s="91">
        <f>VLOOKUP($A64,'Data Vlaue (Cr)'!$C:$FB,75)</f>
        <v>3022</v>
      </c>
      <c r="F64" s="91">
        <f>VLOOKUP($A64,'Data Vlaue (Cr)'!$C:$FB,77)</f>
        <v>-34</v>
      </c>
      <c r="G64" s="92">
        <f>VLOOKUP(A64,'Data Vlaue (Cr)'!C59:CB277,78,0)</f>
        <v>-1.12E-2</v>
      </c>
      <c r="H64" s="91">
        <f>VLOOKUP($A64,'Data Vlaue (Cr)'!$C:$FB,91)</f>
        <v>639</v>
      </c>
      <c r="I64" s="91">
        <f>VLOOKUP($A64,'Data Vlaue (Cr)'!$C:$FB,93)</f>
        <v>15</v>
      </c>
      <c r="J64" s="92">
        <f>VLOOKUP($A64,'Data Vlaue (Cr)'!$C:$FB,94)</f>
        <v>2.3800000000000002E-2</v>
      </c>
      <c r="K64" s="91">
        <f>VLOOKUP($A64,'Data Vlaue (Cr)'!$C:$FB,95)</f>
        <v>679</v>
      </c>
      <c r="L64" s="91">
        <f>VLOOKUP($A64,'Data Vlaue (Cr)'!$C:$FB,97)</f>
        <v>7</v>
      </c>
      <c r="M64" s="92">
        <f>VLOOKUP($A64,'Data Vlaue (Cr)'!$C:$FB,98)</f>
        <v>1.0500000000000001E-2</v>
      </c>
      <c r="N64" s="91">
        <f>VLOOKUP($A64,'Data Vlaue (Cr)'!$C:$FB,79)</f>
        <v>2679</v>
      </c>
      <c r="O64" s="92">
        <f>VLOOKUP($A64,'Data Vlaue (Cr)'!$C:$FB,82)</f>
        <v>-2.3199999999999998E-2</v>
      </c>
    </row>
    <row r="65" spans="1:15" x14ac:dyDescent="0.25">
      <c r="A65" s="97" t="str">
        <f>'Data Vlaue (Cr)'!C60</f>
        <v>DMART</v>
      </c>
      <c r="B65" s="142">
        <f>VLOOKUP(A65,'Data Vlaue (Cr)'!C60:CW278,99,0)</f>
        <v>3571</v>
      </c>
      <c r="C65" s="90">
        <f>VLOOKUP(A65,'Data Vlaue (Cr)'!C60:CY278,101,0)</f>
        <v>-52</v>
      </c>
      <c r="D65" s="139">
        <f>VLOOKUP(A65,'Data Vlaue (Cr)'!C60:CZ278,102,0)</f>
        <v>-1.43E-2</v>
      </c>
      <c r="E65" s="91">
        <f>VLOOKUP($A65,'Data Vlaue (Cr)'!$C:$FB,75)</f>
        <v>1853</v>
      </c>
      <c r="F65" s="91">
        <f>VLOOKUP($A65,'Data Vlaue (Cr)'!$C:$FB,77)</f>
        <v>-6</v>
      </c>
      <c r="G65" s="92">
        <f>VLOOKUP(A65,'Data Vlaue (Cr)'!C60:CB278,78,0)</f>
        <v>-3.3999999999999998E-3</v>
      </c>
      <c r="H65" s="91">
        <f>VLOOKUP($A65,'Data Vlaue (Cr)'!$C:$FB,91)</f>
        <v>884</v>
      </c>
      <c r="I65" s="91">
        <f>VLOOKUP($A65,'Data Vlaue (Cr)'!$C:$FB,93)</f>
        <v>-14</v>
      </c>
      <c r="J65" s="92">
        <f>VLOOKUP($A65,'Data Vlaue (Cr)'!$C:$FB,94)</f>
        <v>-1.54E-2</v>
      </c>
      <c r="K65" s="91">
        <f>VLOOKUP($A65,'Data Vlaue (Cr)'!$C:$FB,95)</f>
        <v>834</v>
      </c>
      <c r="L65" s="91">
        <f>VLOOKUP($A65,'Data Vlaue (Cr)'!$C:$FB,97)</f>
        <v>-32</v>
      </c>
      <c r="M65" s="92">
        <f>VLOOKUP($A65,'Data Vlaue (Cr)'!$C:$FB,98)</f>
        <v>-3.6400000000000002E-2</v>
      </c>
      <c r="N65" s="91">
        <f>VLOOKUP($A65,'Data Vlaue (Cr)'!$C:$FB,79)</f>
        <v>1676</v>
      </c>
      <c r="O65" s="92">
        <f>VLOOKUP($A65,'Data Vlaue (Cr)'!$C:$FB,82)</f>
        <v>-1.1299999999999999E-2</v>
      </c>
    </row>
    <row r="66" spans="1:15" x14ac:dyDescent="0.25">
      <c r="A66" s="97" t="str">
        <f>'Data Vlaue (Cr)'!C61</f>
        <v>DRREDDY</v>
      </c>
      <c r="B66" s="142">
        <f>VLOOKUP(A66,'Data Vlaue (Cr)'!C61:CW279,99,0)</f>
        <v>3226</v>
      </c>
      <c r="C66" s="90">
        <f>VLOOKUP(A66,'Data Vlaue (Cr)'!C61:CY279,101,0)</f>
        <v>15</v>
      </c>
      <c r="D66" s="139">
        <f>VLOOKUP(A66,'Data Vlaue (Cr)'!C61:CZ279,102,0)</f>
        <v>4.5999999999999999E-3</v>
      </c>
      <c r="E66" s="91">
        <f>VLOOKUP($A66,'Data Vlaue (Cr)'!$C:$FB,75)</f>
        <v>1732</v>
      </c>
      <c r="F66" s="91">
        <f>VLOOKUP($A66,'Data Vlaue (Cr)'!$C:$FB,77)</f>
        <v>41</v>
      </c>
      <c r="G66" s="92">
        <f>VLOOKUP(A66,'Data Vlaue (Cr)'!C61:CB279,78,0)</f>
        <v>2.41E-2</v>
      </c>
      <c r="H66" s="91">
        <f>VLOOKUP($A66,'Data Vlaue (Cr)'!$C:$FB,91)</f>
        <v>876</v>
      </c>
      <c r="I66" s="91">
        <f>VLOOKUP($A66,'Data Vlaue (Cr)'!$C:$FB,93)</f>
        <v>-11</v>
      </c>
      <c r="J66" s="92">
        <f>VLOOKUP($A66,'Data Vlaue (Cr)'!$C:$FB,94)</f>
        <v>-1.26E-2</v>
      </c>
      <c r="K66" s="91">
        <f>VLOOKUP($A66,'Data Vlaue (Cr)'!$C:$FB,95)</f>
        <v>618</v>
      </c>
      <c r="L66" s="91">
        <f>VLOOKUP($A66,'Data Vlaue (Cr)'!$C:$FB,97)</f>
        <v>-15</v>
      </c>
      <c r="M66" s="92">
        <f>VLOOKUP($A66,'Data Vlaue (Cr)'!$C:$FB,98)</f>
        <v>-2.3699999999999999E-2</v>
      </c>
      <c r="N66" s="91">
        <f>VLOOKUP($A66,'Data Vlaue (Cr)'!$C:$FB,79)</f>
        <v>1593</v>
      </c>
      <c r="O66" s="92">
        <f>VLOOKUP($A66,'Data Vlaue (Cr)'!$C:$FB,82)</f>
        <v>1.32E-2</v>
      </c>
    </row>
    <row r="67" spans="1:15" x14ac:dyDescent="0.25">
      <c r="A67" s="97" t="str">
        <f>'Data Vlaue (Cr)'!C62</f>
        <v>EICHERMOT</v>
      </c>
      <c r="B67" s="142">
        <f>VLOOKUP(A67,'Data Vlaue (Cr)'!C62:CW280,99,0)</f>
        <v>5797</v>
      </c>
      <c r="C67" s="90">
        <f>VLOOKUP(A67,'Data Vlaue (Cr)'!C62:CY280,101,0)</f>
        <v>-131</v>
      </c>
      <c r="D67" s="139">
        <f>VLOOKUP(A67,'Data Vlaue (Cr)'!C62:CZ280,102,0)</f>
        <v>-2.1999999999999999E-2</v>
      </c>
      <c r="E67" s="91">
        <f>VLOOKUP($A67,'Data Vlaue (Cr)'!$C:$FB,75)</f>
        <v>3041</v>
      </c>
      <c r="F67" s="91">
        <f>VLOOKUP($A67,'Data Vlaue (Cr)'!$C:$FB,77)</f>
        <v>-65</v>
      </c>
      <c r="G67" s="92">
        <f>VLOOKUP(A67,'Data Vlaue (Cr)'!C62:CB280,78,0)</f>
        <v>-2.0799999999999999E-2</v>
      </c>
      <c r="H67" s="91">
        <f>VLOOKUP($A67,'Data Vlaue (Cr)'!$C:$FB,91)</f>
        <v>1556</v>
      </c>
      <c r="I67" s="91">
        <f>VLOOKUP($A67,'Data Vlaue (Cr)'!$C:$FB,93)</f>
        <v>-124</v>
      </c>
      <c r="J67" s="92">
        <f>VLOOKUP($A67,'Data Vlaue (Cr)'!$C:$FB,94)</f>
        <v>-7.3599999999999999E-2</v>
      </c>
      <c r="K67" s="91">
        <f>VLOOKUP($A67,'Data Vlaue (Cr)'!$C:$FB,95)</f>
        <v>1200</v>
      </c>
      <c r="L67" s="91">
        <f>VLOOKUP($A67,'Data Vlaue (Cr)'!$C:$FB,97)</f>
        <v>58</v>
      </c>
      <c r="M67" s="92">
        <f>VLOOKUP($A67,'Data Vlaue (Cr)'!$C:$FB,98)</f>
        <v>5.04E-2</v>
      </c>
      <c r="N67" s="91">
        <f>VLOOKUP($A67,'Data Vlaue (Cr)'!$C:$FB,79)</f>
        <v>2550</v>
      </c>
      <c r="O67" s="92">
        <f>VLOOKUP($A67,'Data Vlaue (Cr)'!$C:$FB,82)</f>
        <v>-2.7900000000000001E-2</v>
      </c>
    </row>
    <row r="68" spans="1:15" x14ac:dyDescent="0.25">
      <c r="A68" s="97" t="str">
        <f>'Data Vlaue (Cr)'!C63</f>
        <v>ETERNAL</v>
      </c>
      <c r="B68" s="142">
        <f>VLOOKUP(A68,'Data Vlaue (Cr)'!C63:CW281,99,0)</f>
        <v>7815</v>
      </c>
      <c r="C68" s="90">
        <f>VLOOKUP(A68,'Data Vlaue (Cr)'!C63:CY281,101,0)</f>
        <v>-95</v>
      </c>
      <c r="D68" s="139">
        <f>VLOOKUP(A68,'Data Vlaue (Cr)'!C63:CZ281,102,0)</f>
        <v>-1.21E-2</v>
      </c>
      <c r="E68" s="91">
        <f>VLOOKUP($A68,'Data Vlaue (Cr)'!$C:$FB,75)</f>
        <v>4931</v>
      </c>
      <c r="F68" s="91">
        <f>VLOOKUP($A68,'Data Vlaue (Cr)'!$C:$FB,77)</f>
        <v>-38</v>
      </c>
      <c r="G68" s="92">
        <f>VLOOKUP(A68,'Data Vlaue (Cr)'!C63:CB281,78,0)</f>
        <v>-7.7000000000000002E-3</v>
      </c>
      <c r="H68" s="91">
        <f>VLOOKUP($A68,'Data Vlaue (Cr)'!$C:$FB,91)</f>
        <v>1603</v>
      </c>
      <c r="I68" s="91">
        <f>VLOOKUP($A68,'Data Vlaue (Cr)'!$C:$FB,93)</f>
        <v>-48</v>
      </c>
      <c r="J68" s="92">
        <f>VLOOKUP($A68,'Data Vlaue (Cr)'!$C:$FB,94)</f>
        <v>-2.8899999999999999E-2</v>
      </c>
      <c r="K68" s="91">
        <f>VLOOKUP($A68,'Data Vlaue (Cr)'!$C:$FB,95)</f>
        <v>1281</v>
      </c>
      <c r="L68" s="91">
        <f>VLOOKUP($A68,'Data Vlaue (Cr)'!$C:$FB,97)</f>
        <v>-10</v>
      </c>
      <c r="M68" s="92">
        <f>VLOOKUP($A68,'Data Vlaue (Cr)'!$C:$FB,98)</f>
        <v>-7.4999999999999997E-3</v>
      </c>
      <c r="N68" s="91">
        <f>VLOOKUP($A68,'Data Vlaue (Cr)'!$C:$FB,79)</f>
        <v>4413</v>
      </c>
      <c r="O68" s="92">
        <f>VLOOKUP($A68,'Data Vlaue (Cr)'!$C:$FB,82)</f>
        <v>-2.0899999999999998E-2</v>
      </c>
    </row>
    <row r="69" spans="1:15" x14ac:dyDescent="0.25">
      <c r="A69" s="97" t="str">
        <f>'Data Vlaue (Cr)'!C64</f>
        <v>EXIDEIND</v>
      </c>
      <c r="B69" s="142">
        <f>VLOOKUP(A69,'Data Vlaue (Cr)'!C64:CW282,99,0)</f>
        <v>1788</v>
      </c>
      <c r="C69" s="90">
        <f>VLOOKUP(A69,'Data Vlaue (Cr)'!C64:CY282,101,0)</f>
        <v>-4</v>
      </c>
      <c r="D69" s="139">
        <f>VLOOKUP(A69,'Data Vlaue (Cr)'!C64:CZ282,102,0)</f>
        <v>-2.2000000000000001E-3</v>
      </c>
      <c r="E69" s="91">
        <f>VLOOKUP($A69,'Data Vlaue (Cr)'!$C:$FB,75)</f>
        <v>952</v>
      </c>
      <c r="F69" s="91">
        <f>VLOOKUP($A69,'Data Vlaue (Cr)'!$C:$FB,77)</f>
        <v>4</v>
      </c>
      <c r="G69" s="92">
        <f>VLOOKUP(A69,'Data Vlaue (Cr)'!C64:CB282,78,0)</f>
        <v>4.4999999999999997E-3</v>
      </c>
      <c r="H69" s="91">
        <f>VLOOKUP($A69,'Data Vlaue (Cr)'!$C:$FB,91)</f>
        <v>425</v>
      </c>
      <c r="I69" s="91">
        <f>VLOOKUP($A69,'Data Vlaue (Cr)'!$C:$FB,93)</f>
        <v>-2</v>
      </c>
      <c r="J69" s="92">
        <f>VLOOKUP($A69,'Data Vlaue (Cr)'!$C:$FB,94)</f>
        <v>-5.4000000000000003E-3</v>
      </c>
      <c r="K69" s="91">
        <f>VLOOKUP($A69,'Data Vlaue (Cr)'!$C:$FB,95)</f>
        <v>410</v>
      </c>
      <c r="L69" s="91">
        <f>VLOOKUP($A69,'Data Vlaue (Cr)'!$C:$FB,97)</f>
        <v>-6</v>
      </c>
      <c r="M69" s="92">
        <f>VLOOKUP($A69,'Data Vlaue (Cr)'!$C:$FB,98)</f>
        <v>-1.43E-2</v>
      </c>
      <c r="N69" s="91">
        <f>VLOOKUP($A69,'Data Vlaue (Cr)'!$C:$FB,79)</f>
        <v>861</v>
      </c>
      <c r="O69" s="92">
        <f>VLOOKUP($A69,'Data Vlaue (Cr)'!$C:$FB,82)</f>
        <v>-7.4999999999999997E-3</v>
      </c>
    </row>
    <row r="70" spans="1:15" x14ac:dyDescent="0.25">
      <c r="A70" s="97" t="str">
        <f>'Data Vlaue (Cr)'!C65</f>
        <v>FEDERALBNK</v>
      </c>
      <c r="B70" s="142">
        <f>VLOOKUP(A70,'Data Vlaue (Cr)'!C65:CW283,99,0)</f>
        <v>4332</v>
      </c>
      <c r="C70" s="90">
        <f>VLOOKUP(A70,'Data Vlaue (Cr)'!C65:CY283,101,0)</f>
        <v>-23</v>
      </c>
      <c r="D70" s="139">
        <f>VLOOKUP(A70,'Data Vlaue (Cr)'!C65:CZ283,102,0)</f>
        <v>-5.1999999999999998E-3</v>
      </c>
      <c r="E70" s="91">
        <f>VLOOKUP($A70,'Data Vlaue (Cr)'!$C:$FB,75)</f>
        <v>2303</v>
      </c>
      <c r="F70" s="91">
        <f>VLOOKUP($A70,'Data Vlaue (Cr)'!$C:$FB,77)</f>
        <v>-68</v>
      </c>
      <c r="G70" s="92">
        <f>VLOOKUP(A70,'Data Vlaue (Cr)'!C65:CB283,78,0)</f>
        <v>-2.8799999999999999E-2</v>
      </c>
      <c r="H70" s="91">
        <f>VLOOKUP($A70,'Data Vlaue (Cr)'!$C:$FB,91)</f>
        <v>1084</v>
      </c>
      <c r="I70" s="91">
        <f>VLOOKUP($A70,'Data Vlaue (Cr)'!$C:$FB,93)</f>
        <v>5</v>
      </c>
      <c r="J70" s="92">
        <f>VLOOKUP($A70,'Data Vlaue (Cr)'!$C:$FB,94)</f>
        <v>5.1000000000000004E-3</v>
      </c>
      <c r="K70" s="91">
        <f>VLOOKUP($A70,'Data Vlaue (Cr)'!$C:$FB,95)</f>
        <v>945</v>
      </c>
      <c r="L70" s="91">
        <f>VLOOKUP($A70,'Data Vlaue (Cr)'!$C:$FB,97)</f>
        <v>40</v>
      </c>
      <c r="M70" s="92">
        <f>VLOOKUP($A70,'Data Vlaue (Cr)'!$C:$FB,98)</f>
        <v>4.4299999999999999E-2</v>
      </c>
      <c r="N70" s="91">
        <f>VLOOKUP($A70,'Data Vlaue (Cr)'!$C:$FB,79)</f>
        <v>2074</v>
      </c>
      <c r="O70" s="92">
        <f>VLOOKUP($A70,'Data Vlaue (Cr)'!$C:$FB,82)</f>
        <v>-4.7399999999999998E-2</v>
      </c>
    </row>
    <row r="71" spans="1:15" x14ac:dyDescent="0.25">
      <c r="A71" s="97" t="str">
        <f>'Data Vlaue (Cr)'!C66</f>
        <v>FINNIFTY</v>
      </c>
      <c r="B71" s="142">
        <f>VLOOKUP(A71,'Data Vlaue (Cr)'!C66:CW284,99,0)</f>
        <v>1737</v>
      </c>
      <c r="C71" s="90">
        <f>VLOOKUP(A71,'Data Vlaue (Cr)'!C66:CY284,101,0)</f>
        <v>-98</v>
      </c>
      <c r="D71" s="139">
        <f>VLOOKUP(A71,'Data Vlaue (Cr)'!C66:CZ284,102,0)</f>
        <v>-5.3199999999999997E-2</v>
      </c>
      <c r="E71" s="91">
        <f>VLOOKUP($A71,'Data Vlaue (Cr)'!$C:$FB,75)</f>
        <v>69</v>
      </c>
      <c r="F71" s="91">
        <f>VLOOKUP($A71,'Data Vlaue (Cr)'!$C:$FB,77)</f>
        <v>-7</v>
      </c>
      <c r="G71" s="92">
        <f>VLOOKUP(A71,'Data Vlaue (Cr)'!C66:CB284,78,0)</f>
        <v>-9.5399999999999999E-2</v>
      </c>
      <c r="H71" s="91">
        <f>VLOOKUP($A71,'Data Vlaue (Cr)'!$C:$FB,91)</f>
        <v>952</v>
      </c>
      <c r="I71" s="91">
        <f>VLOOKUP($A71,'Data Vlaue (Cr)'!$C:$FB,93)</f>
        <v>-96</v>
      </c>
      <c r="J71" s="92">
        <f>VLOOKUP($A71,'Data Vlaue (Cr)'!$C:$FB,94)</f>
        <v>-9.1300000000000006E-2</v>
      </c>
      <c r="K71" s="91">
        <f>VLOOKUP($A71,'Data Vlaue (Cr)'!$C:$FB,95)</f>
        <v>716</v>
      </c>
      <c r="L71" s="91">
        <f>VLOOKUP($A71,'Data Vlaue (Cr)'!$C:$FB,97)</f>
        <v>5</v>
      </c>
      <c r="M71" s="92">
        <f>VLOOKUP($A71,'Data Vlaue (Cr)'!$C:$FB,98)</f>
        <v>7.4000000000000003E-3</v>
      </c>
      <c r="N71" s="91">
        <f>VLOOKUP($A71,'Data Vlaue (Cr)'!$C:$FB,79)</f>
        <v>62</v>
      </c>
      <c r="O71" s="92">
        <f>VLOOKUP($A71,'Data Vlaue (Cr)'!$C:$FB,82)</f>
        <v>-0.1134</v>
      </c>
    </row>
    <row r="72" spans="1:15" x14ac:dyDescent="0.25">
      <c r="A72" s="97" t="str">
        <f>'Data Vlaue (Cr)'!C67</f>
        <v>FORCEMOT</v>
      </c>
      <c r="B72" s="142">
        <f>VLOOKUP(A72,'Data Vlaue (Cr)'!C67:CW285,99,0)</f>
        <v>561</v>
      </c>
      <c r="C72" s="90">
        <f>VLOOKUP(A72,'Data Vlaue (Cr)'!C67:CY285,101,0)</f>
        <v>44</v>
      </c>
      <c r="D72" s="139">
        <f>VLOOKUP(A72,'Data Vlaue (Cr)'!C67:CZ285,102,0)</f>
        <v>8.4599999999999995E-2</v>
      </c>
      <c r="E72" s="91">
        <f>VLOOKUP($A72,'Data Vlaue (Cr)'!$C:$FB,75)</f>
        <v>308</v>
      </c>
      <c r="F72" s="91">
        <f>VLOOKUP($A72,'Data Vlaue (Cr)'!$C:$FB,77)</f>
        <v>20</v>
      </c>
      <c r="G72" s="92">
        <f>VLOOKUP(A72,'Data Vlaue (Cr)'!C67:CB285,78,0)</f>
        <v>7.0099999999999996E-2</v>
      </c>
      <c r="H72" s="91">
        <f>VLOOKUP($A72,'Data Vlaue (Cr)'!$C:$FB,91)</f>
        <v>189</v>
      </c>
      <c r="I72" s="91">
        <f>VLOOKUP($A72,'Data Vlaue (Cr)'!$C:$FB,93)</f>
        <v>17</v>
      </c>
      <c r="J72" s="92">
        <f>VLOOKUP($A72,'Data Vlaue (Cr)'!$C:$FB,94)</f>
        <v>0.1009</v>
      </c>
      <c r="K72" s="91">
        <f>VLOOKUP($A72,'Data Vlaue (Cr)'!$C:$FB,95)</f>
        <v>64</v>
      </c>
      <c r="L72" s="91">
        <f>VLOOKUP($A72,'Data Vlaue (Cr)'!$C:$FB,97)</f>
        <v>6</v>
      </c>
      <c r="M72" s="92">
        <f>VLOOKUP($A72,'Data Vlaue (Cr)'!$C:$FB,98)</f>
        <v>0.108</v>
      </c>
      <c r="N72" s="91">
        <f>VLOOKUP($A72,'Data Vlaue (Cr)'!$C:$FB,79)</f>
        <v>229</v>
      </c>
      <c r="O72" s="92">
        <f>VLOOKUP($A72,'Data Vlaue (Cr)'!$C:$FB,82)</f>
        <v>6.2700000000000006E-2</v>
      </c>
    </row>
    <row r="73" spans="1:15" x14ac:dyDescent="0.25">
      <c r="A73" s="97" t="str">
        <f>'Data Vlaue (Cr)'!C68</f>
        <v>FORTIS</v>
      </c>
      <c r="B73" s="142">
        <f>VLOOKUP(A73,'Data Vlaue (Cr)'!C68:CW286,99,0)</f>
        <v>1359</v>
      </c>
      <c r="C73" s="90">
        <f>VLOOKUP(A73,'Data Vlaue (Cr)'!C68:CY286,101,0)</f>
        <v>6</v>
      </c>
      <c r="D73" s="139">
        <f>VLOOKUP(A73,'Data Vlaue (Cr)'!C68:CZ286,102,0)</f>
        <v>4.5999999999999999E-3</v>
      </c>
      <c r="E73" s="91">
        <f>VLOOKUP($A73,'Data Vlaue (Cr)'!$C:$FB,75)</f>
        <v>979</v>
      </c>
      <c r="F73" s="91">
        <f>VLOOKUP($A73,'Data Vlaue (Cr)'!$C:$FB,77)</f>
        <v>-11</v>
      </c>
      <c r="G73" s="92">
        <f>VLOOKUP(A73,'Data Vlaue (Cr)'!C68:CB286,78,0)</f>
        <v>-1.11E-2</v>
      </c>
      <c r="H73" s="91">
        <f>VLOOKUP($A73,'Data Vlaue (Cr)'!$C:$FB,91)</f>
        <v>243</v>
      </c>
      <c r="I73" s="91">
        <f>VLOOKUP($A73,'Data Vlaue (Cr)'!$C:$FB,93)</f>
        <v>21</v>
      </c>
      <c r="J73" s="92">
        <f>VLOOKUP($A73,'Data Vlaue (Cr)'!$C:$FB,94)</f>
        <v>9.5100000000000004E-2</v>
      </c>
      <c r="K73" s="91">
        <f>VLOOKUP($A73,'Data Vlaue (Cr)'!$C:$FB,95)</f>
        <v>137</v>
      </c>
      <c r="L73" s="91">
        <f>VLOOKUP($A73,'Data Vlaue (Cr)'!$C:$FB,97)</f>
        <v>-4</v>
      </c>
      <c r="M73" s="92">
        <f>VLOOKUP($A73,'Data Vlaue (Cr)'!$C:$FB,98)</f>
        <v>-2.7400000000000001E-2</v>
      </c>
      <c r="N73" s="91">
        <f>VLOOKUP($A73,'Data Vlaue (Cr)'!$C:$FB,79)</f>
        <v>880</v>
      </c>
      <c r="O73" s="92">
        <f>VLOOKUP($A73,'Data Vlaue (Cr)'!$C:$FB,82)</f>
        <v>-1.6E-2</v>
      </c>
    </row>
    <row r="74" spans="1:15" x14ac:dyDescent="0.25">
      <c r="A74" s="97" t="str">
        <f>'Data Vlaue (Cr)'!C69</f>
        <v>GAIL</v>
      </c>
      <c r="B74" s="142">
        <f>VLOOKUP(A74,'Data Vlaue (Cr)'!C69:CW287,99,0)</f>
        <v>2202</v>
      </c>
      <c r="C74" s="90">
        <f>VLOOKUP(A74,'Data Vlaue (Cr)'!C69:CY287,101,0)</f>
        <v>11</v>
      </c>
      <c r="D74" s="139">
        <f>VLOOKUP(A74,'Data Vlaue (Cr)'!C69:CZ287,102,0)</f>
        <v>5.1000000000000004E-3</v>
      </c>
      <c r="E74" s="91">
        <f>VLOOKUP($A74,'Data Vlaue (Cr)'!$C:$FB,75)</f>
        <v>1241</v>
      </c>
      <c r="F74" s="91">
        <f>VLOOKUP($A74,'Data Vlaue (Cr)'!$C:$FB,77)</f>
        <v>-1</v>
      </c>
      <c r="G74" s="92">
        <f>VLOOKUP(A74,'Data Vlaue (Cr)'!C69:CB287,78,0)</f>
        <v>-1.1000000000000001E-3</v>
      </c>
      <c r="H74" s="91">
        <f>VLOOKUP($A74,'Data Vlaue (Cr)'!$C:$FB,91)</f>
        <v>440</v>
      </c>
      <c r="I74" s="91">
        <f>VLOOKUP($A74,'Data Vlaue (Cr)'!$C:$FB,93)</f>
        <v>4</v>
      </c>
      <c r="J74" s="92">
        <f>VLOOKUP($A74,'Data Vlaue (Cr)'!$C:$FB,94)</f>
        <v>0.01</v>
      </c>
      <c r="K74" s="91">
        <f>VLOOKUP($A74,'Data Vlaue (Cr)'!$C:$FB,95)</f>
        <v>521</v>
      </c>
      <c r="L74" s="91">
        <f>VLOOKUP($A74,'Data Vlaue (Cr)'!$C:$FB,97)</f>
        <v>8</v>
      </c>
      <c r="M74" s="92">
        <f>VLOOKUP($A74,'Data Vlaue (Cr)'!$C:$FB,98)</f>
        <v>1.6E-2</v>
      </c>
      <c r="N74" s="91">
        <f>VLOOKUP($A74,'Data Vlaue (Cr)'!$C:$FB,79)</f>
        <v>1104</v>
      </c>
      <c r="O74" s="92">
        <f>VLOOKUP($A74,'Data Vlaue (Cr)'!$C:$FB,82)</f>
        <v>-1.18E-2</v>
      </c>
    </row>
    <row r="75" spans="1:15" x14ac:dyDescent="0.25">
      <c r="A75" s="97" t="str">
        <f>'Data Vlaue (Cr)'!C70</f>
        <v>GLENMARK</v>
      </c>
      <c r="B75" s="142">
        <f>VLOOKUP(A75,'Data Vlaue (Cr)'!C70:CW288,99,0)</f>
        <v>3045</v>
      </c>
      <c r="C75" s="90">
        <f>VLOOKUP(A75,'Data Vlaue (Cr)'!C70:CY288,101,0)</f>
        <v>-39</v>
      </c>
      <c r="D75" s="139">
        <f>VLOOKUP(A75,'Data Vlaue (Cr)'!C70:CZ288,102,0)</f>
        <v>-1.2800000000000001E-2</v>
      </c>
      <c r="E75" s="91">
        <f>VLOOKUP($A75,'Data Vlaue (Cr)'!$C:$FB,75)</f>
        <v>2255</v>
      </c>
      <c r="F75" s="91">
        <f>VLOOKUP($A75,'Data Vlaue (Cr)'!$C:$FB,77)</f>
        <v>-27</v>
      </c>
      <c r="G75" s="92">
        <f>VLOOKUP(A75,'Data Vlaue (Cr)'!C70:CB288,78,0)</f>
        <v>-1.18E-2</v>
      </c>
      <c r="H75" s="91">
        <f>VLOOKUP($A75,'Data Vlaue (Cr)'!$C:$FB,91)</f>
        <v>521</v>
      </c>
      <c r="I75" s="91">
        <f>VLOOKUP($A75,'Data Vlaue (Cr)'!$C:$FB,93)</f>
        <v>-12</v>
      </c>
      <c r="J75" s="92">
        <f>VLOOKUP($A75,'Data Vlaue (Cr)'!$C:$FB,94)</f>
        <v>-2.23E-2</v>
      </c>
      <c r="K75" s="91">
        <f>VLOOKUP($A75,'Data Vlaue (Cr)'!$C:$FB,95)</f>
        <v>269</v>
      </c>
      <c r="L75" s="91">
        <f>VLOOKUP($A75,'Data Vlaue (Cr)'!$C:$FB,97)</f>
        <v>-1</v>
      </c>
      <c r="M75" s="92">
        <f>VLOOKUP($A75,'Data Vlaue (Cr)'!$C:$FB,98)</f>
        <v>-2.5000000000000001E-3</v>
      </c>
      <c r="N75" s="91">
        <f>VLOOKUP($A75,'Data Vlaue (Cr)'!$C:$FB,79)</f>
        <v>2223</v>
      </c>
      <c r="O75" s="92">
        <f>VLOOKUP($A75,'Data Vlaue (Cr)'!$C:$FB,82)</f>
        <v>-1.35E-2</v>
      </c>
    </row>
    <row r="76" spans="1:15" x14ac:dyDescent="0.25">
      <c r="A76" s="97" t="str">
        <f>'Data Vlaue (Cr)'!C71</f>
        <v>GMRAIRPORT</v>
      </c>
      <c r="B76" s="142">
        <f>VLOOKUP(A76,'Data Vlaue (Cr)'!C71:CW289,99,0)</f>
        <v>2063</v>
      </c>
      <c r="C76" s="90">
        <f>VLOOKUP(A76,'Data Vlaue (Cr)'!C71:CY289,101,0)</f>
        <v>89</v>
      </c>
      <c r="D76" s="139">
        <f>VLOOKUP(A76,'Data Vlaue (Cr)'!C71:CZ289,102,0)</f>
        <v>4.53E-2</v>
      </c>
      <c r="E76" s="91">
        <f>VLOOKUP($A76,'Data Vlaue (Cr)'!$C:$FB,75)</f>
        <v>1314</v>
      </c>
      <c r="F76" s="91">
        <f>VLOOKUP($A76,'Data Vlaue (Cr)'!$C:$FB,77)</f>
        <v>4</v>
      </c>
      <c r="G76" s="92">
        <f>VLOOKUP(A76,'Data Vlaue (Cr)'!C71:CB289,78,0)</f>
        <v>2.8999999999999998E-3</v>
      </c>
      <c r="H76" s="91">
        <f>VLOOKUP($A76,'Data Vlaue (Cr)'!$C:$FB,91)</f>
        <v>450</v>
      </c>
      <c r="I76" s="91">
        <f>VLOOKUP($A76,'Data Vlaue (Cr)'!$C:$FB,93)</f>
        <v>70</v>
      </c>
      <c r="J76" s="92">
        <f>VLOOKUP($A76,'Data Vlaue (Cr)'!$C:$FB,94)</f>
        <v>0.18379999999999999</v>
      </c>
      <c r="K76" s="91">
        <f>VLOOKUP($A76,'Data Vlaue (Cr)'!$C:$FB,95)</f>
        <v>300</v>
      </c>
      <c r="L76" s="91">
        <f>VLOOKUP($A76,'Data Vlaue (Cr)'!$C:$FB,97)</f>
        <v>16</v>
      </c>
      <c r="M76" s="92">
        <f>VLOOKUP($A76,'Data Vlaue (Cr)'!$C:$FB,98)</f>
        <v>5.5500000000000001E-2</v>
      </c>
      <c r="N76" s="91">
        <f>VLOOKUP($A76,'Data Vlaue (Cr)'!$C:$FB,79)</f>
        <v>1188</v>
      </c>
      <c r="O76" s="92">
        <f>VLOOKUP($A76,'Data Vlaue (Cr)'!$C:$FB,82)</f>
        <v>-9.7000000000000003E-3</v>
      </c>
    </row>
    <row r="77" spans="1:15" x14ac:dyDescent="0.25">
      <c r="A77" s="97" t="str">
        <f>'Data Vlaue (Cr)'!C72</f>
        <v>GODFRYPHLP</v>
      </c>
      <c r="B77" s="142">
        <f>VLOOKUP(A77,'Data Vlaue (Cr)'!C72:CW290,99,0)</f>
        <v>570</v>
      </c>
      <c r="C77" s="90">
        <f>VLOOKUP(A77,'Data Vlaue (Cr)'!C72:CY290,101,0)</f>
        <v>13</v>
      </c>
      <c r="D77" s="139">
        <f>VLOOKUP(A77,'Data Vlaue (Cr)'!C72:CZ290,102,0)</f>
        <v>2.29E-2</v>
      </c>
      <c r="E77" s="91">
        <f>VLOOKUP($A77,'Data Vlaue (Cr)'!$C:$FB,75)</f>
        <v>291</v>
      </c>
      <c r="F77" s="91">
        <f>VLOOKUP($A77,'Data Vlaue (Cr)'!$C:$FB,77)</f>
        <v>14</v>
      </c>
      <c r="G77" s="92">
        <f>VLOOKUP(A77,'Data Vlaue (Cr)'!C72:CB290,78,0)</f>
        <v>5.1900000000000002E-2</v>
      </c>
      <c r="H77" s="91">
        <f>VLOOKUP($A77,'Data Vlaue (Cr)'!$C:$FB,91)</f>
        <v>199</v>
      </c>
      <c r="I77" s="91">
        <f>VLOOKUP($A77,'Data Vlaue (Cr)'!$C:$FB,93)</f>
        <v>3</v>
      </c>
      <c r="J77" s="92">
        <f>VLOOKUP($A77,'Data Vlaue (Cr)'!$C:$FB,94)</f>
        <v>1.46E-2</v>
      </c>
      <c r="K77" s="91">
        <f>VLOOKUP($A77,'Data Vlaue (Cr)'!$C:$FB,95)</f>
        <v>80</v>
      </c>
      <c r="L77" s="91">
        <f>VLOOKUP($A77,'Data Vlaue (Cr)'!$C:$FB,97)</f>
        <v>-4</v>
      </c>
      <c r="M77" s="92">
        <f>VLOOKUP($A77,'Data Vlaue (Cr)'!$C:$FB,98)</f>
        <v>-5.2900000000000003E-2</v>
      </c>
      <c r="N77" s="91">
        <f>VLOOKUP($A77,'Data Vlaue (Cr)'!$C:$FB,79)</f>
        <v>227</v>
      </c>
      <c r="O77" s="92">
        <f>VLOOKUP($A77,'Data Vlaue (Cr)'!$C:$FB,82)</f>
        <v>-6.4000000000000003E-3</v>
      </c>
    </row>
    <row r="78" spans="1:15" x14ac:dyDescent="0.25">
      <c r="A78" s="97" t="str">
        <f>'Data Vlaue (Cr)'!C73</f>
        <v>GODREJCP</v>
      </c>
      <c r="B78" s="142">
        <f>VLOOKUP(A78,'Data Vlaue (Cr)'!C73:CW291,99,0)</f>
        <v>1692</v>
      </c>
      <c r="C78" s="90">
        <f>VLOOKUP(A78,'Data Vlaue (Cr)'!C73:CY291,101,0)</f>
        <v>8</v>
      </c>
      <c r="D78" s="139">
        <f>VLOOKUP(A78,'Data Vlaue (Cr)'!C73:CZ291,102,0)</f>
        <v>4.5999999999999999E-3</v>
      </c>
      <c r="E78" s="91">
        <f>VLOOKUP($A78,'Data Vlaue (Cr)'!$C:$FB,75)</f>
        <v>1366</v>
      </c>
      <c r="F78" s="91">
        <f>VLOOKUP($A78,'Data Vlaue (Cr)'!$C:$FB,77)</f>
        <v>10</v>
      </c>
      <c r="G78" s="92">
        <f>VLOOKUP(A78,'Data Vlaue (Cr)'!C73:CB291,78,0)</f>
        <v>7.4000000000000003E-3</v>
      </c>
      <c r="H78" s="91">
        <f>VLOOKUP($A78,'Data Vlaue (Cr)'!$C:$FB,91)</f>
        <v>186</v>
      </c>
      <c r="I78" s="91">
        <f>VLOOKUP($A78,'Data Vlaue (Cr)'!$C:$FB,93)</f>
        <v>0</v>
      </c>
      <c r="J78" s="92">
        <f>VLOOKUP($A78,'Data Vlaue (Cr)'!$C:$FB,94)</f>
        <v>-2.3999999999999998E-3</v>
      </c>
      <c r="K78" s="91">
        <f>VLOOKUP($A78,'Data Vlaue (Cr)'!$C:$FB,95)</f>
        <v>140</v>
      </c>
      <c r="L78" s="91">
        <f>VLOOKUP($A78,'Data Vlaue (Cr)'!$C:$FB,97)</f>
        <v>-2</v>
      </c>
      <c r="M78" s="92">
        <f>VLOOKUP($A78,'Data Vlaue (Cr)'!$C:$FB,98)</f>
        <v>-1.2800000000000001E-2</v>
      </c>
      <c r="N78" s="91">
        <f>VLOOKUP($A78,'Data Vlaue (Cr)'!$C:$FB,79)</f>
        <v>1272</v>
      </c>
      <c r="O78" s="92">
        <f>VLOOKUP($A78,'Data Vlaue (Cr)'!$C:$FB,82)</f>
        <v>4.5999999999999999E-3</v>
      </c>
    </row>
    <row r="79" spans="1:15" x14ac:dyDescent="0.25">
      <c r="A79" s="97" t="str">
        <f>'Data Vlaue (Cr)'!C74</f>
        <v>GODREJPROP</v>
      </c>
      <c r="B79" s="142">
        <f>VLOOKUP(A79,'Data Vlaue (Cr)'!C74:CW292,99,0)</f>
        <v>2448</v>
      </c>
      <c r="C79" s="90">
        <f>VLOOKUP(A79,'Data Vlaue (Cr)'!C74:CY292,101,0)</f>
        <v>45</v>
      </c>
      <c r="D79" s="139">
        <f>VLOOKUP(A79,'Data Vlaue (Cr)'!C74:CZ292,102,0)</f>
        <v>1.8700000000000001E-2</v>
      </c>
      <c r="E79" s="91">
        <f>VLOOKUP($A79,'Data Vlaue (Cr)'!$C:$FB,75)</f>
        <v>1405</v>
      </c>
      <c r="F79" s="91">
        <f>VLOOKUP($A79,'Data Vlaue (Cr)'!$C:$FB,77)</f>
        <v>-14</v>
      </c>
      <c r="G79" s="92">
        <f>VLOOKUP(A79,'Data Vlaue (Cr)'!C74:CB292,78,0)</f>
        <v>-0.01</v>
      </c>
      <c r="H79" s="91">
        <f>VLOOKUP($A79,'Data Vlaue (Cr)'!$C:$FB,91)</f>
        <v>513</v>
      </c>
      <c r="I79" s="91">
        <f>VLOOKUP($A79,'Data Vlaue (Cr)'!$C:$FB,93)</f>
        <v>5</v>
      </c>
      <c r="J79" s="92">
        <f>VLOOKUP($A79,'Data Vlaue (Cr)'!$C:$FB,94)</f>
        <v>1.0200000000000001E-2</v>
      </c>
      <c r="K79" s="91">
        <f>VLOOKUP($A79,'Data Vlaue (Cr)'!$C:$FB,95)</f>
        <v>530</v>
      </c>
      <c r="L79" s="91">
        <f>VLOOKUP($A79,'Data Vlaue (Cr)'!$C:$FB,97)</f>
        <v>54</v>
      </c>
      <c r="M79" s="92">
        <f>VLOOKUP($A79,'Data Vlaue (Cr)'!$C:$FB,98)</f>
        <v>0.1135</v>
      </c>
      <c r="N79" s="91">
        <f>VLOOKUP($A79,'Data Vlaue (Cr)'!$C:$FB,79)</f>
        <v>1325</v>
      </c>
      <c r="O79" s="92">
        <f>VLOOKUP($A79,'Data Vlaue (Cr)'!$C:$FB,82)</f>
        <v>-2.3E-2</v>
      </c>
    </row>
    <row r="80" spans="1:15" x14ac:dyDescent="0.25">
      <c r="A80" s="97" t="str">
        <f>'Data Vlaue (Cr)'!C75</f>
        <v>GRASIM</v>
      </c>
      <c r="B80" s="142">
        <f>VLOOKUP(A80,'Data Vlaue (Cr)'!C75:CW293,99,0)</f>
        <v>4662</v>
      </c>
      <c r="C80" s="90">
        <f>VLOOKUP(A80,'Data Vlaue (Cr)'!C75:CY293,101,0)</f>
        <v>-48</v>
      </c>
      <c r="D80" s="139">
        <f>VLOOKUP(A80,'Data Vlaue (Cr)'!C75:CZ293,102,0)</f>
        <v>-1.0200000000000001E-2</v>
      </c>
      <c r="E80" s="91">
        <f>VLOOKUP($A80,'Data Vlaue (Cr)'!$C:$FB,75)</f>
        <v>3895</v>
      </c>
      <c r="F80" s="91">
        <f>VLOOKUP($A80,'Data Vlaue (Cr)'!$C:$FB,77)</f>
        <v>-5</v>
      </c>
      <c r="G80" s="92">
        <f>VLOOKUP(A80,'Data Vlaue (Cr)'!C75:CB293,78,0)</f>
        <v>-1.4E-3</v>
      </c>
      <c r="H80" s="91">
        <f>VLOOKUP($A80,'Data Vlaue (Cr)'!$C:$FB,91)</f>
        <v>433</v>
      </c>
      <c r="I80" s="91">
        <f>VLOOKUP($A80,'Data Vlaue (Cr)'!$C:$FB,93)</f>
        <v>-36</v>
      </c>
      <c r="J80" s="92">
        <f>VLOOKUP($A80,'Data Vlaue (Cr)'!$C:$FB,94)</f>
        <v>-7.6700000000000004E-2</v>
      </c>
      <c r="K80" s="91">
        <f>VLOOKUP($A80,'Data Vlaue (Cr)'!$C:$FB,95)</f>
        <v>334</v>
      </c>
      <c r="L80" s="91">
        <f>VLOOKUP($A80,'Data Vlaue (Cr)'!$C:$FB,97)</f>
        <v>-7</v>
      </c>
      <c r="M80" s="92">
        <f>VLOOKUP($A80,'Data Vlaue (Cr)'!$C:$FB,98)</f>
        <v>-1.9199999999999998E-2</v>
      </c>
      <c r="N80" s="91">
        <f>VLOOKUP($A80,'Data Vlaue (Cr)'!$C:$FB,79)</f>
        <v>3078</v>
      </c>
      <c r="O80" s="92">
        <f>VLOOKUP($A80,'Data Vlaue (Cr)'!$C:$FB,82)</f>
        <v>-8.6499999999999994E-2</v>
      </c>
    </row>
    <row r="81" spans="1:15" x14ac:dyDescent="0.25">
      <c r="A81" s="97" t="str">
        <f>'Data Vlaue (Cr)'!C76</f>
        <v>HAL</v>
      </c>
      <c r="B81" s="142">
        <f>VLOOKUP(A81,'Data Vlaue (Cr)'!C76:CW294,99,0)</f>
        <v>6219</v>
      </c>
      <c r="C81" s="90">
        <f>VLOOKUP(A81,'Data Vlaue (Cr)'!C76:CY294,101,0)</f>
        <v>-28</v>
      </c>
      <c r="D81" s="139">
        <f>VLOOKUP(A81,'Data Vlaue (Cr)'!C76:CZ294,102,0)</f>
        <v>-4.4999999999999997E-3</v>
      </c>
      <c r="E81" s="91">
        <f>VLOOKUP($A81,'Data Vlaue (Cr)'!$C:$FB,75)</f>
        <v>3283</v>
      </c>
      <c r="F81" s="91">
        <f>VLOOKUP($A81,'Data Vlaue (Cr)'!$C:$FB,77)</f>
        <v>4</v>
      </c>
      <c r="G81" s="92">
        <f>VLOOKUP(A81,'Data Vlaue (Cr)'!C76:CB294,78,0)</f>
        <v>1.1999999999999999E-3</v>
      </c>
      <c r="H81" s="91">
        <f>VLOOKUP($A81,'Data Vlaue (Cr)'!$C:$FB,91)</f>
        <v>1519</v>
      </c>
      <c r="I81" s="91">
        <f>VLOOKUP($A81,'Data Vlaue (Cr)'!$C:$FB,93)</f>
        <v>-4</v>
      </c>
      <c r="J81" s="92">
        <f>VLOOKUP($A81,'Data Vlaue (Cr)'!$C:$FB,94)</f>
        <v>-2.5000000000000001E-3</v>
      </c>
      <c r="K81" s="91">
        <f>VLOOKUP($A81,'Data Vlaue (Cr)'!$C:$FB,95)</f>
        <v>1417</v>
      </c>
      <c r="L81" s="91">
        <f>VLOOKUP($A81,'Data Vlaue (Cr)'!$C:$FB,97)</f>
        <v>-28</v>
      </c>
      <c r="M81" s="92">
        <f>VLOOKUP($A81,'Data Vlaue (Cr)'!$C:$FB,98)</f>
        <v>-1.95E-2</v>
      </c>
      <c r="N81" s="91">
        <f>VLOOKUP($A81,'Data Vlaue (Cr)'!$C:$FB,79)</f>
        <v>2844</v>
      </c>
      <c r="O81" s="92">
        <f>VLOOKUP($A81,'Data Vlaue (Cr)'!$C:$FB,82)</f>
        <v>-2.1600000000000001E-2</v>
      </c>
    </row>
    <row r="82" spans="1:15" x14ac:dyDescent="0.25">
      <c r="A82" s="97" t="str">
        <f>'Data Vlaue (Cr)'!C77</f>
        <v>HAVELLS</v>
      </c>
      <c r="B82" s="142">
        <f>VLOOKUP(A82,'Data Vlaue (Cr)'!C77:CW295,99,0)</f>
        <v>1911</v>
      </c>
      <c r="C82" s="90">
        <f>VLOOKUP(A82,'Data Vlaue (Cr)'!C77:CY295,101,0)</f>
        <v>24</v>
      </c>
      <c r="D82" s="139">
        <f>VLOOKUP(A82,'Data Vlaue (Cr)'!C77:CZ295,102,0)</f>
        <v>1.29E-2</v>
      </c>
      <c r="E82" s="91">
        <f>VLOOKUP($A82,'Data Vlaue (Cr)'!$C:$FB,75)</f>
        <v>1166</v>
      </c>
      <c r="F82" s="91">
        <f>VLOOKUP($A82,'Data Vlaue (Cr)'!$C:$FB,77)</f>
        <v>1</v>
      </c>
      <c r="G82" s="92">
        <f>VLOOKUP(A82,'Data Vlaue (Cr)'!C77:CB295,78,0)</f>
        <v>8.0000000000000004E-4</v>
      </c>
      <c r="H82" s="91">
        <f>VLOOKUP($A82,'Data Vlaue (Cr)'!$C:$FB,91)</f>
        <v>429</v>
      </c>
      <c r="I82" s="91">
        <f>VLOOKUP($A82,'Data Vlaue (Cr)'!$C:$FB,93)</f>
        <v>15</v>
      </c>
      <c r="J82" s="92">
        <f>VLOOKUP($A82,'Data Vlaue (Cr)'!$C:$FB,94)</f>
        <v>3.5299999999999998E-2</v>
      </c>
      <c r="K82" s="91">
        <f>VLOOKUP($A82,'Data Vlaue (Cr)'!$C:$FB,95)</f>
        <v>315</v>
      </c>
      <c r="L82" s="91">
        <f>VLOOKUP($A82,'Data Vlaue (Cr)'!$C:$FB,97)</f>
        <v>9</v>
      </c>
      <c r="M82" s="92">
        <f>VLOOKUP($A82,'Data Vlaue (Cr)'!$C:$FB,98)</f>
        <v>2.8500000000000001E-2</v>
      </c>
      <c r="N82" s="91">
        <f>VLOOKUP($A82,'Data Vlaue (Cr)'!$C:$FB,79)</f>
        <v>1087</v>
      </c>
      <c r="O82" s="92">
        <f>VLOOKUP($A82,'Data Vlaue (Cr)'!$C:$FB,82)</f>
        <v>-3.8E-3</v>
      </c>
    </row>
    <row r="83" spans="1:15" x14ac:dyDescent="0.25">
      <c r="A83" s="97" t="str">
        <f>'Data Vlaue (Cr)'!C78</f>
        <v>HCLTECH</v>
      </c>
      <c r="B83" s="142">
        <f>VLOOKUP(A83,'Data Vlaue (Cr)'!C78:CW296,99,0)</f>
        <v>8217</v>
      </c>
      <c r="C83" s="90">
        <f>VLOOKUP(A83,'Data Vlaue (Cr)'!C78:CY296,101,0)</f>
        <v>349</v>
      </c>
      <c r="D83" s="139">
        <f>VLOOKUP(A83,'Data Vlaue (Cr)'!C78:CZ296,102,0)</f>
        <v>4.4400000000000002E-2</v>
      </c>
      <c r="E83" s="91">
        <f>VLOOKUP($A83,'Data Vlaue (Cr)'!$C:$FB,75)</f>
        <v>6251</v>
      </c>
      <c r="F83" s="91">
        <f>VLOOKUP($A83,'Data Vlaue (Cr)'!$C:$FB,77)</f>
        <v>219</v>
      </c>
      <c r="G83" s="92">
        <f>VLOOKUP(A83,'Data Vlaue (Cr)'!C78:CB296,78,0)</f>
        <v>3.6299999999999999E-2</v>
      </c>
      <c r="H83" s="91">
        <f>VLOOKUP($A83,'Data Vlaue (Cr)'!$C:$FB,91)</f>
        <v>1069</v>
      </c>
      <c r="I83" s="91">
        <f>VLOOKUP($A83,'Data Vlaue (Cr)'!$C:$FB,93)</f>
        <v>67</v>
      </c>
      <c r="J83" s="92">
        <f>VLOOKUP($A83,'Data Vlaue (Cr)'!$C:$FB,94)</f>
        <v>6.6600000000000006E-2</v>
      </c>
      <c r="K83" s="91">
        <f>VLOOKUP($A83,'Data Vlaue (Cr)'!$C:$FB,95)</f>
        <v>897</v>
      </c>
      <c r="L83" s="91">
        <f>VLOOKUP($A83,'Data Vlaue (Cr)'!$C:$FB,97)</f>
        <v>64</v>
      </c>
      <c r="M83" s="92">
        <f>VLOOKUP($A83,'Data Vlaue (Cr)'!$C:$FB,98)</f>
        <v>7.6499999999999999E-2</v>
      </c>
      <c r="N83" s="91">
        <f>VLOOKUP($A83,'Data Vlaue (Cr)'!$C:$FB,79)</f>
        <v>5235</v>
      </c>
      <c r="O83" s="92">
        <f>VLOOKUP($A83,'Data Vlaue (Cr)'!$C:$FB,82)</f>
        <v>1.35E-2</v>
      </c>
    </row>
    <row r="84" spans="1:15" x14ac:dyDescent="0.25">
      <c r="A84" s="97" t="str">
        <f>'Data Vlaue (Cr)'!C79</f>
        <v>HDFCAMC</v>
      </c>
      <c r="B84" s="142">
        <f>VLOOKUP(A84,'Data Vlaue (Cr)'!C79:CW297,99,0)</f>
        <v>2771</v>
      </c>
      <c r="C84" s="90">
        <f>VLOOKUP(A84,'Data Vlaue (Cr)'!C79:CY297,101,0)</f>
        <v>-191</v>
      </c>
      <c r="D84" s="139">
        <f>VLOOKUP(A84,'Data Vlaue (Cr)'!C79:CZ297,102,0)</f>
        <v>-6.4500000000000002E-2</v>
      </c>
      <c r="E84" s="91">
        <f>VLOOKUP($A84,'Data Vlaue (Cr)'!$C:$FB,75)</f>
        <v>1510</v>
      </c>
      <c r="F84" s="91">
        <f>VLOOKUP($A84,'Data Vlaue (Cr)'!$C:$FB,77)</f>
        <v>-73</v>
      </c>
      <c r="G84" s="92">
        <f>VLOOKUP(A84,'Data Vlaue (Cr)'!C79:CB297,78,0)</f>
        <v>-4.6399999999999997E-2</v>
      </c>
      <c r="H84" s="91">
        <f>VLOOKUP($A84,'Data Vlaue (Cr)'!$C:$FB,91)</f>
        <v>643</v>
      </c>
      <c r="I84" s="91">
        <f>VLOOKUP($A84,'Data Vlaue (Cr)'!$C:$FB,93)</f>
        <v>-58</v>
      </c>
      <c r="J84" s="92">
        <f>VLOOKUP($A84,'Data Vlaue (Cr)'!$C:$FB,94)</f>
        <v>-8.2100000000000006E-2</v>
      </c>
      <c r="K84" s="91">
        <f>VLOOKUP($A84,'Data Vlaue (Cr)'!$C:$FB,95)</f>
        <v>619</v>
      </c>
      <c r="L84" s="91">
        <f>VLOOKUP($A84,'Data Vlaue (Cr)'!$C:$FB,97)</f>
        <v>-60</v>
      </c>
      <c r="M84" s="92">
        <f>VLOOKUP($A84,'Data Vlaue (Cr)'!$C:$FB,98)</f>
        <v>-8.8599999999999998E-2</v>
      </c>
      <c r="N84" s="91">
        <f>VLOOKUP($A84,'Data Vlaue (Cr)'!$C:$FB,79)</f>
        <v>1431</v>
      </c>
      <c r="O84" s="92">
        <f>VLOOKUP($A84,'Data Vlaue (Cr)'!$C:$FB,82)</f>
        <v>-5.2400000000000002E-2</v>
      </c>
    </row>
    <row r="85" spans="1:15" x14ac:dyDescent="0.25">
      <c r="A85" s="97" t="str">
        <f>'Data Vlaue (Cr)'!C80</f>
        <v>HDFCBANK</v>
      </c>
      <c r="B85" s="142">
        <f>VLOOKUP(A85,'Data Vlaue (Cr)'!C80:CW298,99,0)</f>
        <v>38824</v>
      </c>
      <c r="C85" s="90">
        <f>VLOOKUP(A85,'Data Vlaue (Cr)'!C80:CY298,101,0)</f>
        <v>338</v>
      </c>
      <c r="D85" s="139">
        <f>VLOOKUP(A85,'Data Vlaue (Cr)'!C80:CZ298,102,0)</f>
        <v>8.8000000000000005E-3</v>
      </c>
      <c r="E85" s="91">
        <f>VLOOKUP($A85,'Data Vlaue (Cr)'!$C:$FB,75)</f>
        <v>26081</v>
      </c>
      <c r="F85" s="91">
        <f>VLOOKUP($A85,'Data Vlaue (Cr)'!$C:$FB,77)</f>
        <v>-193</v>
      </c>
      <c r="G85" s="92">
        <f>VLOOKUP(A85,'Data Vlaue (Cr)'!C80:CB298,78,0)</f>
        <v>-7.4000000000000003E-3</v>
      </c>
      <c r="H85" s="91">
        <f>VLOOKUP($A85,'Data Vlaue (Cr)'!$C:$FB,91)</f>
        <v>8329</v>
      </c>
      <c r="I85" s="91">
        <f>VLOOKUP($A85,'Data Vlaue (Cr)'!$C:$FB,93)</f>
        <v>540</v>
      </c>
      <c r="J85" s="92">
        <f>VLOOKUP($A85,'Data Vlaue (Cr)'!$C:$FB,94)</f>
        <v>6.9400000000000003E-2</v>
      </c>
      <c r="K85" s="91">
        <f>VLOOKUP($A85,'Data Vlaue (Cr)'!$C:$FB,95)</f>
        <v>4414</v>
      </c>
      <c r="L85" s="91">
        <f>VLOOKUP($A85,'Data Vlaue (Cr)'!$C:$FB,97)</f>
        <v>-9</v>
      </c>
      <c r="M85" s="92">
        <f>VLOOKUP($A85,'Data Vlaue (Cr)'!$C:$FB,98)</f>
        <v>-2E-3</v>
      </c>
      <c r="N85" s="91">
        <f>VLOOKUP($A85,'Data Vlaue (Cr)'!$C:$FB,79)</f>
        <v>21406</v>
      </c>
      <c r="O85" s="92">
        <f>VLOOKUP($A85,'Data Vlaue (Cr)'!$C:$FB,82)</f>
        <v>-6.5000000000000002E-2</v>
      </c>
    </row>
    <row r="86" spans="1:15" x14ac:dyDescent="0.25">
      <c r="A86" s="97" t="str">
        <f>'Data Vlaue (Cr)'!C81</f>
        <v>HDFCLIFE</v>
      </c>
      <c r="B86" s="142">
        <f>VLOOKUP(A86,'Data Vlaue (Cr)'!C81:CW299,99,0)</f>
        <v>4602</v>
      </c>
      <c r="C86" s="90">
        <f>VLOOKUP(A86,'Data Vlaue (Cr)'!C81:CY299,101,0)</f>
        <v>-93</v>
      </c>
      <c r="D86" s="139">
        <f>VLOOKUP(A86,'Data Vlaue (Cr)'!C81:CZ299,102,0)</f>
        <v>-1.9699999999999999E-2</v>
      </c>
      <c r="E86" s="91">
        <f>VLOOKUP($A86,'Data Vlaue (Cr)'!$C:$FB,75)</f>
        <v>2690</v>
      </c>
      <c r="F86" s="91">
        <f>VLOOKUP($A86,'Data Vlaue (Cr)'!$C:$FB,77)</f>
        <v>18</v>
      </c>
      <c r="G86" s="92">
        <f>VLOOKUP(A86,'Data Vlaue (Cr)'!C81:CB299,78,0)</f>
        <v>6.7999999999999996E-3</v>
      </c>
      <c r="H86" s="91">
        <f>VLOOKUP($A86,'Data Vlaue (Cr)'!$C:$FB,91)</f>
        <v>1161</v>
      </c>
      <c r="I86" s="91">
        <f>VLOOKUP($A86,'Data Vlaue (Cr)'!$C:$FB,93)</f>
        <v>-54</v>
      </c>
      <c r="J86" s="92">
        <f>VLOOKUP($A86,'Data Vlaue (Cr)'!$C:$FB,94)</f>
        <v>-4.4400000000000002E-2</v>
      </c>
      <c r="K86" s="91">
        <f>VLOOKUP($A86,'Data Vlaue (Cr)'!$C:$FB,95)</f>
        <v>750</v>
      </c>
      <c r="L86" s="91">
        <f>VLOOKUP($A86,'Data Vlaue (Cr)'!$C:$FB,97)</f>
        <v>-57</v>
      </c>
      <c r="M86" s="92">
        <f>VLOOKUP($A86,'Data Vlaue (Cr)'!$C:$FB,98)</f>
        <v>-7.0400000000000004E-2</v>
      </c>
      <c r="N86" s="91">
        <f>VLOOKUP($A86,'Data Vlaue (Cr)'!$C:$FB,79)</f>
        <v>2468</v>
      </c>
      <c r="O86" s="92">
        <f>VLOOKUP($A86,'Data Vlaue (Cr)'!$C:$FB,82)</f>
        <v>-1.6199999999999999E-2</v>
      </c>
    </row>
    <row r="87" spans="1:15" x14ac:dyDescent="0.25">
      <c r="A87" s="97" t="str">
        <f>'Data Vlaue (Cr)'!C82</f>
        <v>HEROMOTOCO</v>
      </c>
      <c r="B87" s="142">
        <f>VLOOKUP(A87,'Data Vlaue (Cr)'!C82:CW300,99,0)</f>
        <v>4197</v>
      </c>
      <c r="C87" s="90">
        <f>VLOOKUP(A87,'Data Vlaue (Cr)'!C82:CY300,101,0)</f>
        <v>-188</v>
      </c>
      <c r="D87" s="139">
        <f>VLOOKUP(A87,'Data Vlaue (Cr)'!C82:CZ300,102,0)</f>
        <v>-4.2799999999999998E-2</v>
      </c>
      <c r="E87" s="91">
        <f>VLOOKUP($A87,'Data Vlaue (Cr)'!$C:$FB,75)</f>
        <v>2271</v>
      </c>
      <c r="F87" s="91">
        <f>VLOOKUP($A87,'Data Vlaue (Cr)'!$C:$FB,77)</f>
        <v>-43</v>
      </c>
      <c r="G87" s="92">
        <f>VLOOKUP(A87,'Data Vlaue (Cr)'!C82:CB300,78,0)</f>
        <v>-1.8599999999999998E-2</v>
      </c>
      <c r="H87" s="91">
        <f>VLOOKUP($A87,'Data Vlaue (Cr)'!$C:$FB,91)</f>
        <v>1153</v>
      </c>
      <c r="I87" s="91">
        <f>VLOOKUP($A87,'Data Vlaue (Cr)'!$C:$FB,93)</f>
        <v>-143</v>
      </c>
      <c r="J87" s="92">
        <f>VLOOKUP($A87,'Data Vlaue (Cr)'!$C:$FB,94)</f>
        <v>-0.1101</v>
      </c>
      <c r="K87" s="91">
        <f>VLOOKUP($A87,'Data Vlaue (Cr)'!$C:$FB,95)</f>
        <v>772</v>
      </c>
      <c r="L87" s="91">
        <f>VLOOKUP($A87,'Data Vlaue (Cr)'!$C:$FB,97)</f>
        <v>-2</v>
      </c>
      <c r="M87" s="92">
        <f>VLOOKUP($A87,'Data Vlaue (Cr)'!$C:$FB,98)</f>
        <v>-2.3999999999999998E-3</v>
      </c>
      <c r="N87" s="91">
        <f>VLOOKUP($A87,'Data Vlaue (Cr)'!$C:$FB,79)</f>
        <v>2091</v>
      </c>
      <c r="O87" s="92">
        <f>VLOOKUP($A87,'Data Vlaue (Cr)'!$C:$FB,82)</f>
        <v>-2.81E-2</v>
      </c>
    </row>
    <row r="88" spans="1:15" x14ac:dyDescent="0.25">
      <c r="A88" s="97" t="str">
        <f>'Data Vlaue (Cr)'!C83</f>
        <v>HINDALCO</v>
      </c>
      <c r="B88" s="142">
        <f>VLOOKUP(A88,'Data Vlaue (Cr)'!C83:CW301,99,0)</f>
        <v>6428</v>
      </c>
      <c r="C88" s="90">
        <f>VLOOKUP(A88,'Data Vlaue (Cr)'!C83:CY301,101,0)</f>
        <v>-55</v>
      </c>
      <c r="D88" s="139">
        <f>VLOOKUP(A88,'Data Vlaue (Cr)'!C83:CZ301,102,0)</f>
        <v>-8.3999999999999995E-3</v>
      </c>
      <c r="E88" s="91">
        <f>VLOOKUP($A88,'Data Vlaue (Cr)'!$C:$FB,75)</f>
        <v>3720</v>
      </c>
      <c r="F88" s="91">
        <f>VLOOKUP($A88,'Data Vlaue (Cr)'!$C:$FB,77)</f>
        <v>-12</v>
      </c>
      <c r="G88" s="92">
        <f>VLOOKUP(A88,'Data Vlaue (Cr)'!C83:CB301,78,0)</f>
        <v>-3.3E-3</v>
      </c>
      <c r="H88" s="91">
        <f>VLOOKUP($A88,'Data Vlaue (Cr)'!$C:$FB,91)</f>
        <v>1604</v>
      </c>
      <c r="I88" s="91">
        <f>VLOOKUP($A88,'Data Vlaue (Cr)'!$C:$FB,93)</f>
        <v>68</v>
      </c>
      <c r="J88" s="92">
        <f>VLOOKUP($A88,'Data Vlaue (Cr)'!$C:$FB,94)</f>
        <v>4.4200000000000003E-2</v>
      </c>
      <c r="K88" s="91">
        <f>VLOOKUP($A88,'Data Vlaue (Cr)'!$C:$FB,95)</f>
        <v>1104</v>
      </c>
      <c r="L88" s="91">
        <f>VLOOKUP($A88,'Data Vlaue (Cr)'!$C:$FB,97)</f>
        <v>-110</v>
      </c>
      <c r="M88" s="92">
        <f>VLOOKUP($A88,'Data Vlaue (Cr)'!$C:$FB,98)</f>
        <v>-9.0800000000000006E-2</v>
      </c>
      <c r="N88" s="91">
        <f>VLOOKUP($A88,'Data Vlaue (Cr)'!$C:$FB,79)</f>
        <v>3185</v>
      </c>
      <c r="O88" s="92">
        <f>VLOOKUP($A88,'Data Vlaue (Cr)'!$C:$FB,82)</f>
        <v>-2.0899999999999998E-2</v>
      </c>
    </row>
    <row r="89" spans="1:15" x14ac:dyDescent="0.25">
      <c r="A89" s="97" t="str">
        <f>'Data Vlaue (Cr)'!C84</f>
        <v>HINDPETRO</v>
      </c>
      <c r="B89" s="142">
        <f>VLOOKUP(A89,'Data Vlaue (Cr)'!C84:CW302,99,0)</f>
        <v>2936</v>
      </c>
      <c r="C89" s="90">
        <f>VLOOKUP(A89,'Data Vlaue (Cr)'!C84:CY302,101,0)</f>
        <v>-15</v>
      </c>
      <c r="D89" s="139">
        <f>VLOOKUP(A89,'Data Vlaue (Cr)'!C84:CZ302,102,0)</f>
        <v>-5.1999999999999998E-3</v>
      </c>
      <c r="E89" s="91">
        <f>VLOOKUP($A89,'Data Vlaue (Cr)'!$C:$FB,75)</f>
        <v>1551</v>
      </c>
      <c r="F89" s="91">
        <f>VLOOKUP($A89,'Data Vlaue (Cr)'!$C:$FB,77)</f>
        <v>-16</v>
      </c>
      <c r="G89" s="92">
        <f>VLOOKUP(A89,'Data Vlaue (Cr)'!C84:CB302,78,0)</f>
        <v>-9.9000000000000008E-3</v>
      </c>
      <c r="H89" s="91">
        <f>VLOOKUP($A89,'Data Vlaue (Cr)'!$C:$FB,91)</f>
        <v>726</v>
      </c>
      <c r="I89" s="91">
        <f>VLOOKUP($A89,'Data Vlaue (Cr)'!$C:$FB,93)</f>
        <v>-25</v>
      </c>
      <c r="J89" s="92">
        <f>VLOOKUP($A89,'Data Vlaue (Cr)'!$C:$FB,94)</f>
        <v>-3.3099999999999997E-2</v>
      </c>
      <c r="K89" s="91">
        <f>VLOOKUP($A89,'Data Vlaue (Cr)'!$C:$FB,95)</f>
        <v>659</v>
      </c>
      <c r="L89" s="91">
        <f>VLOOKUP($A89,'Data Vlaue (Cr)'!$C:$FB,97)</f>
        <v>25</v>
      </c>
      <c r="M89" s="92">
        <f>VLOOKUP($A89,'Data Vlaue (Cr)'!$C:$FB,98)</f>
        <v>3.9699999999999999E-2</v>
      </c>
      <c r="N89" s="91">
        <f>VLOOKUP($A89,'Data Vlaue (Cr)'!$C:$FB,79)</f>
        <v>1439</v>
      </c>
      <c r="O89" s="92">
        <f>VLOOKUP($A89,'Data Vlaue (Cr)'!$C:$FB,82)</f>
        <v>-2.9100000000000001E-2</v>
      </c>
    </row>
    <row r="90" spans="1:15" x14ac:dyDescent="0.25">
      <c r="A90" s="97" t="str">
        <f>'Data Vlaue (Cr)'!C85</f>
        <v>HINDUNILVR</v>
      </c>
      <c r="B90" s="142">
        <f>VLOOKUP(A90,'Data Vlaue (Cr)'!C85:CW303,99,0)</f>
        <v>6611</v>
      </c>
      <c r="C90" s="90">
        <f>VLOOKUP(A90,'Data Vlaue (Cr)'!C85:CY303,101,0)</f>
        <v>-89</v>
      </c>
      <c r="D90" s="139">
        <f>VLOOKUP(A90,'Data Vlaue (Cr)'!C85:CZ303,102,0)</f>
        <v>-1.3299999999999999E-2</v>
      </c>
      <c r="E90" s="91">
        <f>VLOOKUP($A90,'Data Vlaue (Cr)'!$C:$FB,75)</f>
        <v>4032</v>
      </c>
      <c r="F90" s="91">
        <f>VLOOKUP($A90,'Data Vlaue (Cr)'!$C:$FB,77)</f>
        <v>14</v>
      </c>
      <c r="G90" s="92">
        <f>VLOOKUP(A90,'Data Vlaue (Cr)'!C85:CB303,78,0)</f>
        <v>3.5000000000000001E-3</v>
      </c>
      <c r="H90" s="91">
        <f>VLOOKUP($A90,'Data Vlaue (Cr)'!$C:$FB,91)</f>
        <v>1485</v>
      </c>
      <c r="I90" s="91">
        <f>VLOOKUP($A90,'Data Vlaue (Cr)'!$C:$FB,93)</f>
        <v>-89</v>
      </c>
      <c r="J90" s="92">
        <f>VLOOKUP($A90,'Data Vlaue (Cr)'!$C:$FB,94)</f>
        <v>-5.6800000000000003E-2</v>
      </c>
      <c r="K90" s="91">
        <f>VLOOKUP($A90,'Data Vlaue (Cr)'!$C:$FB,95)</f>
        <v>1095</v>
      </c>
      <c r="L90" s="91">
        <f>VLOOKUP($A90,'Data Vlaue (Cr)'!$C:$FB,97)</f>
        <v>-14</v>
      </c>
      <c r="M90" s="92">
        <f>VLOOKUP($A90,'Data Vlaue (Cr)'!$C:$FB,98)</f>
        <v>-1.23E-2</v>
      </c>
      <c r="N90" s="91">
        <f>VLOOKUP($A90,'Data Vlaue (Cr)'!$C:$FB,79)</f>
        <v>3782</v>
      </c>
      <c r="O90" s="92">
        <f>VLOOKUP($A90,'Data Vlaue (Cr)'!$C:$FB,82)</f>
        <v>-2E-3</v>
      </c>
    </row>
    <row r="91" spans="1:15" x14ac:dyDescent="0.25">
      <c r="A91" s="97" t="str">
        <f>'Data Vlaue (Cr)'!C86</f>
        <v>HINDZINC</v>
      </c>
      <c r="B91" s="142">
        <f>VLOOKUP(A91,'Data Vlaue (Cr)'!C86:CW304,99,0)</f>
        <v>4416</v>
      </c>
      <c r="C91" s="90">
        <f>VLOOKUP(A91,'Data Vlaue (Cr)'!C86:CY304,101,0)</f>
        <v>36</v>
      </c>
      <c r="D91" s="139">
        <f>VLOOKUP(A91,'Data Vlaue (Cr)'!C86:CZ304,102,0)</f>
        <v>8.2000000000000007E-3</v>
      </c>
      <c r="E91" s="91">
        <f>VLOOKUP($A91,'Data Vlaue (Cr)'!$C:$FB,75)</f>
        <v>2186</v>
      </c>
      <c r="F91" s="91">
        <f>VLOOKUP($A91,'Data Vlaue (Cr)'!$C:$FB,77)</f>
        <v>25</v>
      </c>
      <c r="G91" s="92">
        <f>VLOOKUP(A91,'Data Vlaue (Cr)'!C86:CB304,78,0)</f>
        <v>1.17E-2</v>
      </c>
      <c r="H91" s="91">
        <f>VLOOKUP($A91,'Data Vlaue (Cr)'!$C:$FB,91)</f>
        <v>1252</v>
      </c>
      <c r="I91" s="91">
        <f>VLOOKUP($A91,'Data Vlaue (Cr)'!$C:$FB,93)</f>
        <v>18</v>
      </c>
      <c r="J91" s="92">
        <f>VLOOKUP($A91,'Data Vlaue (Cr)'!$C:$FB,94)</f>
        <v>1.43E-2</v>
      </c>
      <c r="K91" s="91">
        <f>VLOOKUP($A91,'Data Vlaue (Cr)'!$C:$FB,95)</f>
        <v>978</v>
      </c>
      <c r="L91" s="91">
        <f>VLOOKUP($A91,'Data Vlaue (Cr)'!$C:$FB,97)</f>
        <v>-7</v>
      </c>
      <c r="M91" s="92">
        <f>VLOOKUP($A91,'Data Vlaue (Cr)'!$C:$FB,98)</f>
        <v>-7.3000000000000001E-3</v>
      </c>
      <c r="N91" s="91">
        <f>VLOOKUP($A91,'Data Vlaue (Cr)'!$C:$FB,79)</f>
        <v>1897</v>
      </c>
      <c r="O91" s="92">
        <f>VLOOKUP($A91,'Data Vlaue (Cr)'!$C:$FB,82)</f>
        <v>-1.32E-2</v>
      </c>
    </row>
    <row r="92" spans="1:15" x14ac:dyDescent="0.25">
      <c r="A92" s="97" t="str">
        <f>'Data Vlaue (Cr)'!C87</f>
        <v>HUDCO</v>
      </c>
      <c r="B92" s="142">
        <f>VLOOKUP(A92,'Data Vlaue (Cr)'!C87:CW305,99,0)</f>
        <v>970</v>
      </c>
      <c r="C92" s="90">
        <f>VLOOKUP(A92,'Data Vlaue (Cr)'!C87:CY305,101,0)</f>
        <v>-2</v>
      </c>
      <c r="D92" s="139">
        <f>VLOOKUP(A92,'Data Vlaue (Cr)'!C87:CZ305,102,0)</f>
        <v>-1.6999999999999999E-3</v>
      </c>
      <c r="E92" s="91">
        <f>VLOOKUP($A92,'Data Vlaue (Cr)'!$C:$FB,75)</f>
        <v>518</v>
      </c>
      <c r="F92" s="91">
        <f>VLOOKUP($A92,'Data Vlaue (Cr)'!$C:$FB,77)</f>
        <v>-34</v>
      </c>
      <c r="G92" s="92">
        <f>VLOOKUP(A92,'Data Vlaue (Cr)'!C87:CB305,78,0)</f>
        <v>-6.08E-2</v>
      </c>
      <c r="H92" s="91">
        <f>VLOOKUP($A92,'Data Vlaue (Cr)'!$C:$FB,91)</f>
        <v>231</v>
      </c>
      <c r="I92" s="91">
        <f>VLOOKUP($A92,'Data Vlaue (Cr)'!$C:$FB,93)</f>
        <v>9</v>
      </c>
      <c r="J92" s="92">
        <f>VLOOKUP($A92,'Data Vlaue (Cr)'!$C:$FB,94)</f>
        <v>3.9E-2</v>
      </c>
      <c r="K92" s="91">
        <f>VLOOKUP($A92,'Data Vlaue (Cr)'!$C:$FB,95)</f>
        <v>220</v>
      </c>
      <c r="L92" s="91">
        <f>VLOOKUP($A92,'Data Vlaue (Cr)'!$C:$FB,97)</f>
        <v>23</v>
      </c>
      <c r="M92" s="92">
        <f>VLOOKUP($A92,'Data Vlaue (Cr)'!$C:$FB,98)</f>
        <v>0.1183</v>
      </c>
      <c r="N92" s="91">
        <f>VLOOKUP($A92,'Data Vlaue (Cr)'!$C:$FB,79)</f>
        <v>518</v>
      </c>
      <c r="O92" s="92">
        <f>VLOOKUP($A92,'Data Vlaue (Cr)'!$C:$FB,82)</f>
        <v>-6.08E-2</v>
      </c>
    </row>
    <row r="93" spans="1:15" x14ac:dyDescent="0.25">
      <c r="A93" s="97" t="str">
        <f>'Data Vlaue (Cr)'!C88</f>
        <v>HYUNDAI</v>
      </c>
      <c r="B93" s="142">
        <f>VLOOKUP(A93,'Data Vlaue (Cr)'!C88:CW306,99,0)</f>
        <v>1885</v>
      </c>
      <c r="C93" s="90">
        <f>VLOOKUP(A93,'Data Vlaue (Cr)'!C88:CY306,101,0)</f>
        <v>34</v>
      </c>
      <c r="D93" s="139">
        <f>VLOOKUP(A93,'Data Vlaue (Cr)'!C88:CZ306,102,0)</f>
        <v>1.83E-2</v>
      </c>
      <c r="E93" s="91">
        <f>VLOOKUP($A93,'Data Vlaue (Cr)'!$C:$FB,75)</f>
        <v>1577</v>
      </c>
      <c r="F93" s="91">
        <f>VLOOKUP($A93,'Data Vlaue (Cr)'!$C:$FB,77)</f>
        <v>50</v>
      </c>
      <c r="G93" s="92">
        <f>VLOOKUP(A93,'Data Vlaue (Cr)'!C88:CB306,78,0)</f>
        <v>3.2899999999999999E-2</v>
      </c>
      <c r="H93" s="91">
        <f>VLOOKUP($A93,'Data Vlaue (Cr)'!$C:$FB,91)</f>
        <v>181</v>
      </c>
      <c r="I93" s="91">
        <f>VLOOKUP($A93,'Data Vlaue (Cr)'!$C:$FB,93)</f>
        <v>-14</v>
      </c>
      <c r="J93" s="92">
        <f>VLOOKUP($A93,'Data Vlaue (Cr)'!$C:$FB,94)</f>
        <v>-7.2499999999999995E-2</v>
      </c>
      <c r="K93" s="91">
        <f>VLOOKUP($A93,'Data Vlaue (Cr)'!$C:$FB,95)</f>
        <v>127</v>
      </c>
      <c r="L93" s="91">
        <f>VLOOKUP($A93,'Data Vlaue (Cr)'!$C:$FB,97)</f>
        <v>-2</v>
      </c>
      <c r="M93" s="92">
        <f>VLOOKUP($A93,'Data Vlaue (Cr)'!$C:$FB,98)</f>
        <v>-1.72E-2</v>
      </c>
      <c r="N93" s="91">
        <f>VLOOKUP($A93,'Data Vlaue (Cr)'!$C:$FB,79)</f>
        <v>1191</v>
      </c>
      <c r="O93" s="92">
        <f>VLOOKUP($A93,'Data Vlaue (Cr)'!$C:$FB,82)</f>
        <v>1.06E-2</v>
      </c>
    </row>
    <row r="94" spans="1:15" x14ac:dyDescent="0.25">
      <c r="A94" s="97" t="str">
        <f>'Data Vlaue (Cr)'!C89</f>
        <v>ICICIBANK</v>
      </c>
      <c r="B94" s="142">
        <f>VLOOKUP(A94,'Data Vlaue (Cr)'!C89:CW307,99,0)</f>
        <v>23491</v>
      </c>
      <c r="C94" s="90">
        <f>VLOOKUP(A94,'Data Vlaue (Cr)'!C89:CY307,101,0)</f>
        <v>167</v>
      </c>
      <c r="D94" s="139">
        <f>VLOOKUP(A94,'Data Vlaue (Cr)'!C89:CZ307,102,0)</f>
        <v>7.1000000000000004E-3</v>
      </c>
      <c r="E94" s="91">
        <f>VLOOKUP($A94,'Data Vlaue (Cr)'!$C:$FB,75)</f>
        <v>15296</v>
      </c>
      <c r="F94" s="91">
        <f>VLOOKUP($A94,'Data Vlaue (Cr)'!$C:$FB,77)</f>
        <v>-430</v>
      </c>
      <c r="G94" s="92">
        <f>VLOOKUP(A94,'Data Vlaue (Cr)'!C89:CB307,78,0)</f>
        <v>-2.7300000000000001E-2</v>
      </c>
      <c r="H94" s="91">
        <f>VLOOKUP($A94,'Data Vlaue (Cr)'!$C:$FB,91)</f>
        <v>4902</v>
      </c>
      <c r="I94" s="91">
        <f>VLOOKUP($A94,'Data Vlaue (Cr)'!$C:$FB,93)</f>
        <v>745</v>
      </c>
      <c r="J94" s="92">
        <f>VLOOKUP($A94,'Data Vlaue (Cr)'!$C:$FB,94)</f>
        <v>0.1792</v>
      </c>
      <c r="K94" s="91">
        <f>VLOOKUP($A94,'Data Vlaue (Cr)'!$C:$FB,95)</f>
        <v>3293</v>
      </c>
      <c r="L94" s="91">
        <f>VLOOKUP($A94,'Data Vlaue (Cr)'!$C:$FB,97)</f>
        <v>-149</v>
      </c>
      <c r="M94" s="92">
        <f>VLOOKUP($A94,'Data Vlaue (Cr)'!$C:$FB,98)</f>
        <v>-4.3200000000000002E-2</v>
      </c>
      <c r="N94" s="91">
        <f>VLOOKUP($A94,'Data Vlaue (Cr)'!$C:$FB,79)</f>
        <v>10961</v>
      </c>
      <c r="O94" s="92">
        <f>VLOOKUP($A94,'Data Vlaue (Cr)'!$C:$FB,82)</f>
        <v>-5.8799999999999998E-2</v>
      </c>
    </row>
    <row r="95" spans="1:15" x14ac:dyDescent="0.25">
      <c r="A95" s="97" t="str">
        <f>'Data Vlaue (Cr)'!C90</f>
        <v>ICICIGI</v>
      </c>
      <c r="B95" s="142">
        <f>VLOOKUP(A95,'Data Vlaue (Cr)'!C90:CW308,99,0)</f>
        <v>1530</v>
      </c>
      <c r="C95" s="90">
        <f>VLOOKUP(A95,'Data Vlaue (Cr)'!C90:CY308,101,0)</f>
        <v>-44</v>
      </c>
      <c r="D95" s="139">
        <f>VLOOKUP(A95,'Data Vlaue (Cr)'!C90:CZ308,102,0)</f>
        <v>-2.7699999999999999E-2</v>
      </c>
      <c r="E95" s="91">
        <f>VLOOKUP($A95,'Data Vlaue (Cr)'!$C:$FB,75)</f>
        <v>1031</v>
      </c>
      <c r="F95" s="91">
        <f>VLOOKUP($A95,'Data Vlaue (Cr)'!$C:$FB,77)</f>
        <v>-13</v>
      </c>
      <c r="G95" s="92">
        <f>VLOOKUP(A95,'Data Vlaue (Cr)'!C90:CB308,78,0)</f>
        <v>-1.21E-2</v>
      </c>
      <c r="H95" s="91">
        <f>VLOOKUP($A95,'Data Vlaue (Cr)'!$C:$FB,91)</f>
        <v>274</v>
      </c>
      <c r="I95" s="91">
        <f>VLOOKUP($A95,'Data Vlaue (Cr)'!$C:$FB,93)</f>
        <v>-7</v>
      </c>
      <c r="J95" s="92">
        <f>VLOOKUP($A95,'Data Vlaue (Cr)'!$C:$FB,94)</f>
        <v>-2.6599999999999999E-2</v>
      </c>
      <c r="K95" s="91">
        <f>VLOOKUP($A95,'Data Vlaue (Cr)'!$C:$FB,95)</f>
        <v>225</v>
      </c>
      <c r="L95" s="91">
        <f>VLOOKUP($A95,'Data Vlaue (Cr)'!$C:$FB,97)</f>
        <v>-24</v>
      </c>
      <c r="M95" s="92">
        <f>VLOOKUP($A95,'Data Vlaue (Cr)'!$C:$FB,98)</f>
        <v>-9.4700000000000006E-2</v>
      </c>
      <c r="N95" s="91">
        <f>VLOOKUP($A95,'Data Vlaue (Cr)'!$C:$FB,79)</f>
        <v>1016</v>
      </c>
      <c r="O95" s="92">
        <f>VLOOKUP($A95,'Data Vlaue (Cr)'!$C:$FB,82)</f>
        <v>-1.2699999999999999E-2</v>
      </c>
    </row>
    <row r="96" spans="1:15" x14ac:dyDescent="0.25">
      <c r="A96" s="97" t="str">
        <f>'Data Vlaue (Cr)'!C91</f>
        <v>ICICIPRULI</v>
      </c>
      <c r="B96" s="142">
        <f>VLOOKUP(A96,'Data Vlaue (Cr)'!C91:CW309,99,0)</f>
        <v>1804</v>
      </c>
      <c r="C96" s="90">
        <f>VLOOKUP(A96,'Data Vlaue (Cr)'!C91:CY309,101,0)</f>
        <v>-19</v>
      </c>
      <c r="D96" s="139">
        <f>VLOOKUP(A96,'Data Vlaue (Cr)'!C91:CZ309,102,0)</f>
        <v>-1.04E-2</v>
      </c>
      <c r="E96" s="91">
        <f>VLOOKUP($A96,'Data Vlaue (Cr)'!$C:$FB,75)</f>
        <v>1156</v>
      </c>
      <c r="F96" s="91">
        <f>VLOOKUP($A96,'Data Vlaue (Cr)'!$C:$FB,77)</f>
        <v>24</v>
      </c>
      <c r="G96" s="92">
        <f>VLOOKUP(A96,'Data Vlaue (Cr)'!C91:CB309,78,0)</f>
        <v>2.0899999999999998E-2</v>
      </c>
      <c r="H96" s="91">
        <f>VLOOKUP($A96,'Data Vlaue (Cr)'!$C:$FB,91)</f>
        <v>392</v>
      </c>
      <c r="I96" s="91">
        <f>VLOOKUP($A96,'Data Vlaue (Cr)'!$C:$FB,93)</f>
        <v>-12</v>
      </c>
      <c r="J96" s="92">
        <f>VLOOKUP($A96,'Data Vlaue (Cr)'!$C:$FB,94)</f>
        <v>-0.03</v>
      </c>
      <c r="K96" s="91">
        <f>VLOOKUP($A96,'Data Vlaue (Cr)'!$C:$FB,95)</f>
        <v>256</v>
      </c>
      <c r="L96" s="91">
        <f>VLOOKUP($A96,'Data Vlaue (Cr)'!$C:$FB,97)</f>
        <v>-30</v>
      </c>
      <c r="M96" s="92">
        <f>VLOOKUP($A96,'Data Vlaue (Cr)'!$C:$FB,98)</f>
        <v>-0.1062</v>
      </c>
      <c r="N96" s="91">
        <f>VLOOKUP($A96,'Data Vlaue (Cr)'!$C:$FB,79)</f>
        <v>1115</v>
      </c>
      <c r="O96" s="92">
        <f>VLOOKUP($A96,'Data Vlaue (Cr)'!$C:$FB,82)</f>
        <v>9.2999999999999992E-3</v>
      </c>
    </row>
    <row r="97" spans="1:15" x14ac:dyDescent="0.25">
      <c r="A97" s="97" t="str">
        <f>'Data Vlaue (Cr)'!C92</f>
        <v>IDEA</v>
      </c>
      <c r="B97" s="142">
        <f>VLOOKUP(A97,'Data Vlaue (Cr)'!C92:CW310,99,0)</f>
        <v>8379</v>
      </c>
      <c r="C97" s="90">
        <f>VLOOKUP(A97,'Data Vlaue (Cr)'!C92:CY310,101,0)</f>
        <v>104</v>
      </c>
      <c r="D97" s="139">
        <f>VLOOKUP(A97,'Data Vlaue (Cr)'!C92:CZ310,102,0)</f>
        <v>1.26E-2</v>
      </c>
      <c r="E97" s="91">
        <f>VLOOKUP($A97,'Data Vlaue (Cr)'!$C:$FB,75)</f>
        <v>6249</v>
      </c>
      <c r="F97" s="91">
        <f>VLOOKUP($A97,'Data Vlaue (Cr)'!$C:$FB,77)</f>
        <v>35</v>
      </c>
      <c r="G97" s="92">
        <f>VLOOKUP(A97,'Data Vlaue (Cr)'!C92:CB310,78,0)</f>
        <v>5.5999999999999999E-3</v>
      </c>
      <c r="H97" s="91">
        <f>VLOOKUP($A97,'Data Vlaue (Cr)'!$C:$FB,91)</f>
        <v>1402</v>
      </c>
      <c r="I97" s="91">
        <f>VLOOKUP($A97,'Data Vlaue (Cr)'!$C:$FB,93)</f>
        <v>51</v>
      </c>
      <c r="J97" s="92">
        <f>VLOOKUP($A97,'Data Vlaue (Cr)'!$C:$FB,94)</f>
        <v>3.7600000000000001E-2</v>
      </c>
      <c r="K97" s="91">
        <f>VLOOKUP($A97,'Data Vlaue (Cr)'!$C:$FB,95)</f>
        <v>728</v>
      </c>
      <c r="L97" s="91">
        <f>VLOOKUP($A97,'Data Vlaue (Cr)'!$C:$FB,97)</f>
        <v>19</v>
      </c>
      <c r="M97" s="92">
        <f>VLOOKUP($A97,'Data Vlaue (Cr)'!$C:$FB,98)</f>
        <v>2.6100000000000002E-2</v>
      </c>
      <c r="N97" s="91">
        <f>VLOOKUP($A97,'Data Vlaue (Cr)'!$C:$FB,79)</f>
        <v>5333</v>
      </c>
      <c r="O97" s="92">
        <f>VLOOKUP($A97,'Data Vlaue (Cr)'!$C:$FB,82)</f>
        <v>-4.9299999999999997E-2</v>
      </c>
    </row>
    <row r="98" spans="1:15" x14ac:dyDescent="0.25">
      <c r="A98" s="97" t="str">
        <f>'Data Vlaue (Cr)'!C93</f>
        <v>IDFCFIRSTB</v>
      </c>
      <c r="B98" s="142">
        <f>VLOOKUP(A98,'Data Vlaue (Cr)'!C93:CW311,99,0)</f>
        <v>4382</v>
      </c>
      <c r="C98" s="90">
        <f>VLOOKUP(A98,'Data Vlaue (Cr)'!C93:CY311,101,0)</f>
        <v>-19</v>
      </c>
      <c r="D98" s="139">
        <f>VLOOKUP(A98,'Data Vlaue (Cr)'!C93:CZ311,102,0)</f>
        <v>-4.4000000000000003E-3</v>
      </c>
      <c r="E98" s="91">
        <f>VLOOKUP($A98,'Data Vlaue (Cr)'!$C:$FB,75)</f>
        <v>2751</v>
      </c>
      <c r="F98" s="91">
        <f>VLOOKUP($A98,'Data Vlaue (Cr)'!$C:$FB,77)</f>
        <v>-3</v>
      </c>
      <c r="G98" s="92">
        <f>VLOOKUP(A98,'Data Vlaue (Cr)'!C93:CB311,78,0)</f>
        <v>-1.1000000000000001E-3</v>
      </c>
      <c r="H98" s="91">
        <f>VLOOKUP($A98,'Data Vlaue (Cr)'!$C:$FB,91)</f>
        <v>854</v>
      </c>
      <c r="I98" s="91">
        <f>VLOOKUP($A98,'Data Vlaue (Cr)'!$C:$FB,93)</f>
        <v>2</v>
      </c>
      <c r="J98" s="92">
        <f>VLOOKUP($A98,'Data Vlaue (Cr)'!$C:$FB,94)</f>
        <v>2.0999999999999999E-3</v>
      </c>
      <c r="K98" s="91">
        <f>VLOOKUP($A98,'Data Vlaue (Cr)'!$C:$FB,95)</f>
        <v>776</v>
      </c>
      <c r="L98" s="91">
        <f>VLOOKUP($A98,'Data Vlaue (Cr)'!$C:$FB,97)</f>
        <v>-18</v>
      </c>
      <c r="M98" s="92">
        <f>VLOOKUP($A98,'Data Vlaue (Cr)'!$C:$FB,98)</f>
        <v>-2.2700000000000001E-2</v>
      </c>
      <c r="N98" s="91">
        <f>VLOOKUP($A98,'Data Vlaue (Cr)'!$C:$FB,79)</f>
        <v>2108</v>
      </c>
      <c r="O98" s="92">
        <f>VLOOKUP($A98,'Data Vlaue (Cr)'!$C:$FB,82)</f>
        <v>-7.17E-2</v>
      </c>
    </row>
    <row r="99" spans="1:15" x14ac:dyDescent="0.25">
      <c r="A99" s="97" t="str">
        <f>'Data Vlaue (Cr)'!C94</f>
        <v>IEX</v>
      </c>
      <c r="B99" s="142">
        <f>VLOOKUP(A99,'Data Vlaue (Cr)'!C94:CW312,99,0)</f>
        <v>2208</v>
      </c>
      <c r="C99" s="90">
        <f>VLOOKUP(A99,'Data Vlaue (Cr)'!C94:CY312,101,0)</f>
        <v>477</v>
      </c>
      <c r="D99" s="139">
        <f>VLOOKUP(A99,'Data Vlaue (Cr)'!C94:CZ312,102,0)</f>
        <v>0.27579999999999999</v>
      </c>
      <c r="E99" s="91">
        <f>VLOOKUP($A99,'Data Vlaue (Cr)'!$C:$FB,75)</f>
        <v>1013</v>
      </c>
      <c r="F99" s="91">
        <f>VLOOKUP($A99,'Data Vlaue (Cr)'!$C:$FB,77)</f>
        <v>129</v>
      </c>
      <c r="G99" s="92">
        <f>VLOOKUP(A99,'Data Vlaue (Cr)'!C94:CB312,78,0)</f>
        <v>0.14660000000000001</v>
      </c>
      <c r="H99" s="91">
        <f>VLOOKUP($A99,'Data Vlaue (Cr)'!$C:$FB,91)</f>
        <v>668</v>
      </c>
      <c r="I99" s="91">
        <f>VLOOKUP($A99,'Data Vlaue (Cr)'!$C:$FB,93)</f>
        <v>229</v>
      </c>
      <c r="J99" s="92">
        <f>VLOOKUP($A99,'Data Vlaue (Cr)'!$C:$FB,94)</f>
        <v>0.52200000000000002</v>
      </c>
      <c r="K99" s="91">
        <f>VLOOKUP($A99,'Data Vlaue (Cr)'!$C:$FB,95)</f>
        <v>527</v>
      </c>
      <c r="L99" s="91">
        <f>VLOOKUP($A99,'Data Vlaue (Cr)'!$C:$FB,97)</f>
        <v>119</v>
      </c>
      <c r="M99" s="92">
        <f>VLOOKUP($A99,'Data Vlaue (Cr)'!$C:$FB,98)</f>
        <v>0.29070000000000001</v>
      </c>
      <c r="N99" s="91">
        <f>VLOOKUP($A99,'Data Vlaue (Cr)'!$C:$FB,79)</f>
        <v>805</v>
      </c>
      <c r="O99" s="92">
        <f>VLOOKUP($A99,'Data Vlaue (Cr)'!$C:$FB,82)</f>
        <v>4.1000000000000002E-2</v>
      </c>
    </row>
    <row r="100" spans="1:15" x14ac:dyDescent="0.25">
      <c r="A100" s="97" t="str">
        <f>'Data Vlaue (Cr)'!C95</f>
        <v>INDHOTEL</v>
      </c>
      <c r="B100" s="142">
        <f>VLOOKUP(A100,'Data Vlaue (Cr)'!C95:CW313,99,0)</f>
        <v>2225</v>
      </c>
      <c r="C100" s="90">
        <f>VLOOKUP(A100,'Data Vlaue (Cr)'!C95:CY313,101,0)</f>
        <v>-20</v>
      </c>
      <c r="D100" s="139">
        <f>VLOOKUP(A100,'Data Vlaue (Cr)'!C95:CZ313,102,0)</f>
        <v>-8.8000000000000005E-3</v>
      </c>
      <c r="E100" s="91">
        <f>VLOOKUP($A100,'Data Vlaue (Cr)'!$C:$FB,75)</f>
        <v>1433</v>
      </c>
      <c r="F100" s="91">
        <f>VLOOKUP($A100,'Data Vlaue (Cr)'!$C:$FB,77)</f>
        <v>-24</v>
      </c>
      <c r="G100" s="92">
        <f>VLOOKUP(A100,'Data Vlaue (Cr)'!C95:CB313,78,0)</f>
        <v>-1.67E-2</v>
      </c>
      <c r="H100" s="91">
        <f>VLOOKUP($A100,'Data Vlaue (Cr)'!$C:$FB,91)</f>
        <v>400</v>
      </c>
      <c r="I100" s="91">
        <f>VLOOKUP($A100,'Data Vlaue (Cr)'!$C:$FB,93)</f>
        <v>0</v>
      </c>
      <c r="J100" s="92">
        <f>VLOOKUP($A100,'Data Vlaue (Cr)'!$C:$FB,94)</f>
        <v>-5.0000000000000001E-4</v>
      </c>
      <c r="K100" s="91">
        <f>VLOOKUP($A100,'Data Vlaue (Cr)'!$C:$FB,95)</f>
        <v>392</v>
      </c>
      <c r="L100" s="91">
        <f>VLOOKUP($A100,'Data Vlaue (Cr)'!$C:$FB,97)</f>
        <v>5</v>
      </c>
      <c r="M100" s="92">
        <f>VLOOKUP($A100,'Data Vlaue (Cr)'!$C:$FB,98)</f>
        <v>1.2200000000000001E-2</v>
      </c>
      <c r="N100" s="91">
        <f>VLOOKUP($A100,'Data Vlaue (Cr)'!$C:$FB,79)</f>
        <v>1276</v>
      </c>
      <c r="O100" s="92">
        <f>VLOOKUP($A100,'Data Vlaue (Cr)'!$C:$FB,82)</f>
        <v>-2.6499999999999999E-2</v>
      </c>
    </row>
    <row r="101" spans="1:15" x14ac:dyDescent="0.25">
      <c r="A101" s="97" t="str">
        <f>'Data Vlaue (Cr)'!C96</f>
        <v>INDIANB</v>
      </c>
      <c r="B101" s="142">
        <f>VLOOKUP(A101,'Data Vlaue (Cr)'!C96:CW314,99,0)</f>
        <v>1987</v>
      </c>
      <c r="C101" s="90">
        <f>VLOOKUP(A101,'Data Vlaue (Cr)'!C96:CY314,101,0)</f>
        <v>160</v>
      </c>
      <c r="D101" s="139">
        <f>VLOOKUP(A101,'Data Vlaue (Cr)'!C96:CZ314,102,0)</f>
        <v>8.77E-2</v>
      </c>
      <c r="E101" s="91">
        <f>VLOOKUP($A101,'Data Vlaue (Cr)'!$C:$FB,75)</f>
        <v>977</v>
      </c>
      <c r="F101" s="91">
        <f>VLOOKUP($A101,'Data Vlaue (Cr)'!$C:$FB,77)</f>
        <v>58</v>
      </c>
      <c r="G101" s="92">
        <f>VLOOKUP(A101,'Data Vlaue (Cr)'!C96:CB314,78,0)</f>
        <v>6.3299999999999995E-2</v>
      </c>
      <c r="H101" s="91">
        <f>VLOOKUP($A101,'Data Vlaue (Cr)'!$C:$FB,91)</f>
        <v>673</v>
      </c>
      <c r="I101" s="91">
        <f>VLOOKUP($A101,'Data Vlaue (Cr)'!$C:$FB,93)</f>
        <v>81</v>
      </c>
      <c r="J101" s="92">
        <f>VLOOKUP($A101,'Data Vlaue (Cr)'!$C:$FB,94)</f>
        <v>0.13719999999999999</v>
      </c>
      <c r="K101" s="91">
        <f>VLOOKUP($A101,'Data Vlaue (Cr)'!$C:$FB,95)</f>
        <v>337</v>
      </c>
      <c r="L101" s="91">
        <f>VLOOKUP($A101,'Data Vlaue (Cr)'!$C:$FB,97)</f>
        <v>21</v>
      </c>
      <c r="M101" s="92">
        <f>VLOOKUP($A101,'Data Vlaue (Cr)'!$C:$FB,98)</f>
        <v>6.6000000000000003E-2</v>
      </c>
      <c r="N101" s="91">
        <f>VLOOKUP($A101,'Data Vlaue (Cr)'!$C:$FB,79)</f>
        <v>912</v>
      </c>
      <c r="O101" s="92">
        <f>VLOOKUP($A101,'Data Vlaue (Cr)'!$C:$FB,82)</f>
        <v>4.5100000000000001E-2</v>
      </c>
    </row>
    <row r="102" spans="1:15" x14ac:dyDescent="0.25">
      <c r="A102" s="97" t="str">
        <f>'Data Vlaue (Cr)'!C97</f>
        <v>INDIAVIX</v>
      </c>
      <c r="B102" s="142">
        <f>VLOOKUP(A102,'Data Vlaue (Cr)'!C97:CW315,99,0)</f>
        <v>0</v>
      </c>
      <c r="C102" s="90">
        <f>VLOOKUP(A102,'Data Vlaue (Cr)'!C97:CY315,101,0)</f>
        <v>0</v>
      </c>
      <c r="D102" s="139">
        <f>VLOOKUP(A102,'Data Vlaue (Cr)'!C97:CZ315,102,0)</f>
        <v>0</v>
      </c>
      <c r="E102" s="91">
        <f>VLOOKUP($A102,'Data Vlaue (Cr)'!$C:$FB,75)</f>
        <v>0</v>
      </c>
      <c r="F102" s="91">
        <f>VLOOKUP($A102,'Data Vlaue (Cr)'!$C:$FB,77)</f>
        <v>0</v>
      </c>
      <c r="G102" s="92">
        <f>VLOOKUP(A102,'Data Vlaue (Cr)'!C97:CB315,78,0)</f>
        <v>0</v>
      </c>
      <c r="H102" s="91">
        <f>VLOOKUP($A102,'Data Vlaue (Cr)'!$C:$FB,91)</f>
        <v>0</v>
      </c>
      <c r="I102" s="91">
        <f>VLOOKUP($A102,'Data Vlaue (Cr)'!$C:$FB,93)</f>
        <v>0</v>
      </c>
      <c r="J102" s="92">
        <f>VLOOKUP($A102,'Data Vlaue (Cr)'!$C:$FB,94)</f>
        <v>0</v>
      </c>
      <c r="K102" s="91">
        <f>VLOOKUP($A102,'Data Vlaue (Cr)'!$C:$FB,95)</f>
        <v>0</v>
      </c>
      <c r="L102" s="91">
        <f>VLOOKUP($A102,'Data Vlaue (Cr)'!$C:$FB,97)</f>
        <v>0</v>
      </c>
      <c r="M102" s="92">
        <f>VLOOKUP($A102,'Data Vlaue (Cr)'!$C:$FB,98)</f>
        <v>0</v>
      </c>
      <c r="N102" s="91">
        <f>VLOOKUP($A102,'Data Vlaue (Cr)'!$C:$FB,79)</f>
        <v>0</v>
      </c>
      <c r="O102" s="92">
        <f>VLOOKUP($A102,'Data Vlaue (Cr)'!$C:$FB,82)</f>
        <v>0</v>
      </c>
    </row>
    <row r="103" spans="1:15" x14ac:dyDescent="0.25">
      <c r="A103" s="97" t="str">
        <f>'Data Vlaue (Cr)'!C98</f>
        <v>INDIGO</v>
      </c>
      <c r="B103" s="142">
        <f>VLOOKUP(A103,'Data Vlaue (Cr)'!C98:CW316,99,0)</f>
        <v>8355</v>
      </c>
      <c r="C103" s="90">
        <f>VLOOKUP(A103,'Data Vlaue (Cr)'!C98:CY316,101,0)</f>
        <v>98</v>
      </c>
      <c r="D103" s="139">
        <f>VLOOKUP(A103,'Data Vlaue (Cr)'!C98:CZ316,102,0)</f>
        <v>1.1900000000000001E-2</v>
      </c>
      <c r="E103" s="91">
        <f>VLOOKUP($A103,'Data Vlaue (Cr)'!$C:$FB,75)</f>
        <v>3253</v>
      </c>
      <c r="F103" s="91">
        <f>VLOOKUP($A103,'Data Vlaue (Cr)'!$C:$FB,77)</f>
        <v>-23</v>
      </c>
      <c r="G103" s="92">
        <f>VLOOKUP(A103,'Data Vlaue (Cr)'!C98:CB316,78,0)</f>
        <v>-7.1000000000000004E-3</v>
      </c>
      <c r="H103" s="91">
        <f>VLOOKUP($A103,'Data Vlaue (Cr)'!$C:$FB,91)</f>
        <v>2939</v>
      </c>
      <c r="I103" s="91">
        <f>VLOOKUP($A103,'Data Vlaue (Cr)'!$C:$FB,93)</f>
        <v>-5</v>
      </c>
      <c r="J103" s="92">
        <f>VLOOKUP($A103,'Data Vlaue (Cr)'!$C:$FB,94)</f>
        <v>-1.6999999999999999E-3</v>
      </c>
      <c r="K103" s="91">
        <f>VLOOKUP($A103,'Data Vlaue (Cr)'!$C:$FB,95)</f>
        <v>2162</v>
      </c>
      <c r="L103" s="91">
        <f>VLOOKUP($A103,'Data Vlaue (Cr)'!$C:$FB,97)</f>
        <v>126</v>
      </c>
      <c r="M103" s="92">
        <f>VLOOKUP($A103,'Data Vlaue (Cr)'!$C:$FB,98)</f>
        <v>6.2100000000000002E-2</v>
      </c>
      <c r="N103" s="91">
        <f>VLOOKUP($A103,'Data Vlaue (Cr)'!$C:$FB,79)</f>
        <v>3074</v>
      </c>
      <c r="O103" s="92">
        <f>VLOOKUP($A103,'Data Vlaue (Cr)'!$C:$FB,82)</f>
        <v>-1.32E-2</v>
      </c>
    </row>
    <row r="104" spans="1:15" x14ac:dyDescent="0.25">
      <c r="A104" s="97" t="str">
        <f>'Data Vlaue (Cr)'!C99</f>
        <v>INDUSINDBK</v>
      </c>
      <c r="B104" s="142">
        <f>VLOOKUP(A104,'Data Vlaue (Cr)'!C99:CW317,99,0)</f>
        <v>4395</v>
      </c>
      <c r="C104" s="90">
        <f>VLOOKUP(A104,'Data Vlaue (Cr)'!C99:CY317,101,0)</f>
        <v>-86</v>
      </c>
      <c r="D104" s="139">
        <f>VLOOKUP(A104,'Data Vlaue (Cr)'!C99:CZ317,102,0)</f>
        <v>-1.9099999999999999E-2</v>
      </c>
      <c r="E104" s="91">
        <f>VLOOKUP($A104,'Data Vlaue (Cr)'!$C:$FB,75)</f>
        <v>3213</v>
      </c>
      <c r="F104" s="91">
        <f>VLOOKUP($A104,'Data Vlaue (Cr)'!$C:$FB,77)</f>
        <v>-67</v>
      </c>
      <c r="G104" s="92">
        <f>VLOOKUP(A104,'Data Vlaue (Cr)'!C99:CB317,78,0)</f>
        <v>-2.0400000000000001E-2</v>
      </c>
      <c r="H104" s="91">
        <f>VLOOKUP($A104,'Data Vlaue (Cr)'!$C:$FB,91)</f>
        <v>667</v>
      </c>
      <c r="I104" s="91">
        <f>VLOOKUP($A104,'Data Vlaue (Cr)'!$C:$FB,93)</f>
        <v>-13</v>
      </c>
      <c r="J104" s="92">
        <f>VLOOKUP($A104,'Data Vlaue (Cr)'!$C:$FB,94)</f>
        <v>-1.9400000000000001E-2</v>
      </c>
      <c r="K104" s="91">
        <f>VLOOKUP($A104,'Data Vlaue (Cr)'!$C:$FB,95)</f>
        <v>515</v>
      </c>
      <c r="L104" s="91">
        <f>VLOOKUP($A104,'Data Vlaue (Cr)'!$C:$FB,97)</f>
        <v>-6</v>
      </c>
      <c r="M104" s="92">
        <f>VLOOKUP($A104,'Data Vlaue (Cr)'!$C:$FB,98)</f>
        <v>-1.09E-2</v>
      </c>
      <c r="N104" s="91">
        <f>VLOOKUP($A104,'Data Vlaue (Cr)'!$C:$FB,79)</f>
        <v>2911</v>
      </c>
      <c r="O104" s="92">
        <f>VLOOKUP($A104,'Data Vlaue (Cr)'!$C:$FB,82)</f>
        <v>-3.2899999999999999E-2</v>
      </c>
    </row>
    <row r="105" spans="1:15" x14ac:dyDescent="0.25">
      <c r="A105" s="97" t="str">
        <f>'Data Vlaue (Cr)'!C100</f>
        <v>INDUSTOWER</v>
      </c>
      <c r="B105" s="142">
        <f>VLOOKUP(A105,'Data Vlaue (Cr)'!C100:CW318,99,0)</f>
        <v>4718</v>
      </c>
      <c r="C105" s="90">
        <f>VLOOKUP(A105,'Data Vlaue (Cr)'!C100:CY318,101,0)</f>
        <v>117</v>
      </c>
      <c r="D105" s="139">
        <f>VLOOKUP(A105,'Data Vlaue (Cr)'!C100:CZ318,102,0)</f>
        <v>2.53E-2</v>
      </c>
      <c r="E105" s="91">
        <f>VLOOKUP($A105,'Data Vlaue (Cr)'!$C:$FB,75)</f>
        <v>3056</v>
      </c>
      <c r="F105" s="91">
        <f>VLOOKUP($A105,'Data Vlaue (Cr)'!$C:$FB,77)</f>
        <v>85</v>
      </c>
      <c r="G105" s="92">
        <f>VLOOKUP(A105,'Data Vlaue (Cr)'!C100:CB318,78,0)</f>
        <v>2.87E-2</v>
      </c>
      <c r="H105" s="91">
        <f>VLOOKUP($A105,'Data Vlaue (Cr)'!$C:$FB,91)</f>
        <v>1084</v>
      </c>
      <c r="I105" s="91">
        <f>VLOOKUP($A105,'Data Vlaue (Cr)'!$C:$FB,93)</f>
        <v>52</v>
      </c>
      <c r="J105" s="92">
        <f>VLOOKUP($A105,'Data Vlaue (Cr)'!$C:$FB,94)</f>
        <v>5.0299999999999997E-2</v>
      </c>
      <c r="K105" s="91">
        <f>VLOOKUP($A105,'Data Vlaue (Cr)'!$C:$FB,95)</f>
        <v>578</v>
      </c>
      <c r="L105" s="91">
        <f>VLOOKUP($A105,'Data Vlaue (Cr)'!$C:$FB,97)</f>
        <v>-21</v>
      </c>
      <c r="M105" s="92">
        <f>VLOOKUP($A105,'Data Vlaue (Cr)'!$C:$FB,98)</f>
        <v>-3.4500000000000003E-2</v>
      </c>
      <c r="N105" s="91">
        <f>VLOOKUP($A105,'Data Vlaue (Cr)'!$C:$FB,79)</f>
        <v>2616</v>
      </c>
      <c r="O105" s="92">
        <f>VLOOKUP($A105,'Data Vlaue (Cr)'!$C:$FB,82)</f>
        <v>-3.3399999999999999E-2</v>
      </c>
    </row>
    <row r="106" spans="1:15" x14ac:dyDescent="0.25">
      <c r="A106" s="97" t="str">
        <f>'Data Vlaue (Cr)'!C101</f>
        <v>INFY</v>
      </c>
      <c r="B106" s="142">
        <f>VLOOKUP(A106,'Data Vlaue (Cr)'!C101:CW319,99,0)</f>
        <v>16940</v>
      </c>
      <c r="C106" s="90">
        <f>VLOOKUP(A106,'Data Vlaue (Cr)'!C101:CY319,101,0)</f>
        <v>131</v>
      </c>
      <c r="D106" s="139">
        <f>VLOOKUP(A106,'Data Vlaue (Cr)'!C101:CZ319,102,0)</f>
        <v>7.7999999999999996E-3</v>
      </c>
      <c r="E106" s="91">
        <f>VLOOKUP($A106,'Data Vlaue (Cr)'!$C:$FB,75)</f>
        <v>10479</v>
      </c>
      <c r="F106" s="91">
        <f>VLOOKUP($A106,'Data Vlaue (Cr)'!$C:$FB,77)</f>
        <v>55</v>
      </c>
      <c r="G106" s="92">
        <f>VLOOKUP(A106,'Data Vlaue (Cr)'!C101:CB319,78,0)</f>
        <v>5.3E-3</v>
      </c>
      <c r="H106" s="91">
        <f>VLOOKUP($A106,'Data Vlaue (Cr)'!$C:$FB,91)</f>
        <v>3779</v>
      </c>
      <c r="I106" s="91">
        <f>VLOOKUP($A106,'Data Vlaue (Cr)'!$C:$FB,93)</f>
        <v>52</v>
      </c>
      <c r="J106" s="92">
        <f>VLOOKUP($A106,'Data Vlaue (Cr)'!$C:$FB,94)</f>
        <v>1.38E-2</v>
      </c>
      <c r="K106" s="91">
        <f>VLOOKUP($A106,'Data Vlaue (Cr)'!$C:$FB,95)</f>
        <v>2682</v>
      </c>
      <c r="L106" s="91">
        <f>VLOOKUP($A106,'Data Vlaue (Cr)'!$C:$FB,97)</f>
        <v>25</v>
      </c>
      <c r="M106" s="92">
        <f>VLOOKUP($A106,'Data Vlaue (Cr)'!$C:$FB,98)</f>
        <v>9.2999999999999992E-3</v>
      </c>
      <c r="N106" s="91">
        <f>VLOOKUP($A106,'Data Vlaue (Cr)'!$C:$FB,79)</f>
        <v>9794</v>
      </c>
      <c r="O106" s="92">
        <f>VLOOKUP($A106,'Data Vlaue (Cr)'!$C:$FB,82)</f>
        <v>-3.0000000000000001E-3</v>
      </c>
    </row>
    <row r="107" spans="1:15" x14ac:dyDescent="0.25">
      <c r="A107" s="97" t="str">
        <f>'Data Vlaue (Cr)'!C102</f>
        <v>INOXWIND</v>
      </c>
      <c r="B107" s="142">
        <f>VLOOKUP(A107,'Data Vlaue (Cr)'!C102:CW320,99,0)</f>
        <v>1459</v>
      </c>
      <c r="C107" s="90">
        <f>VLOOKUP(A107,'Data Vlaue (Cr)'!C102:CY320,101,0)</f>
        <v>-9</v>
      </c>
      <c r="D107" s="139">
        <f>VLOOKUP(A107,'Data Vlaue (Cr)'!C102:CZ320,102,0)</f>
        <v>-6.0000000000000001E-3</v>
      </c>
      <c r="E107" s="91">
        <f>VLOOKUP($A107,'Data Vlaue (Cr)'!$C:$FB,75)</f>
        <v>958</v>
      </c>
      <c r="F107" s="91">
        <f>VLOOKUP($A107,'Data Vlaue (Cr)'!$C:$FB,77)</f>
        <v>-14</v>
      </c>
      <c r="G107" s="92">
        <f>VLOOKUP(A107,'Data Vlaue (Cr)'!C102:CB320,78,0)</f>
        <v>-1.43E-2</v>
      </c>
      <c r="H107" s="91">
        <f>VLOOKUP($A107,'Data Vlaue (Cr)'!$C:$FB,91)</f>
        <v>276</v>
      </c>
      <c r="I107" s="91">
        <f>VLOOKUP($A107,'Data Vlaue (Cr)'!$C:$FB,93)</f>
        <v>4</v>
      </c>
      <c r="J107" s="92">
        <f>VLOOKUP($A107,'Data Vlaue (Cr)'!$C:$FB,94)</f>
        <v>1.44E-2</v>
      </c>
      <c r="K107" s="91">
        <f>VLOOKUP($A107,'Data Vlaue (Cr)'!$C:$FB,95)</f>
        <v>225</v>
      </c>
      <c r="L107" s="91">
        <f>VLOOKUP($A107,'Data Vlaue (Cr)'!$C:$FB,97)</f>
        <v>1</v>
      </c>
      <c r="M107" s="92">
        <f>VLOOKUP($A107,'Data Vlaue (Cr)'!$C:$FB,98)</f>
        <v>5.3E-3</v>
      </c>
      <c r="N107" s="91">
        <f>VLOOKUP($A107,'Data Vlaue (Cr)'!$C:$FB,79)</f>
        <v>839</v>
      </c>
      <c r="O107" s="92">
        <f>VLOOKUP($A107,'Data Vlaue (Cr)'!$C:$FB,82)</f>
        <v>-4.2000000000000003E-2</v>
      </c>
    </row>
    <row r="108" spans="1:15" x14ac:dyDescent="0.25">
      <c r="A108" s="97" t="str">
        <f>'Data Vlaue (Cr)'!C103</f>
        <v>IOC</v>
      </c>
      <c r="B108" s="142">
        <f>VLOOKUP(A108,'Data Vlaue (Cr)'!C103:CW321,99,0)</f>
        <v>3282</v>
      </c>
      <c r="C108" s="90">
        <f>VLOOKUP(A108,'Data Vlaue (Cr)'!C103:CY321,101,0)</f>
        <v>136</v>
      </c>
      <c r="D108" s="139">
        <f>VLOOKUP(A108,'Data Vlaue (Cr)'!C103:CZ321,102,0)</f>
        <v>4.3099999999999999E-2</v>
      </c>
      <c r="E108" s="91">
        <f>VLOOKUP($A108,'Data Vlaue (Cr)'!$C:$FB,75)</f>
        <v>1525</v>
      </c>
      <c r="F108" s="91">
        <f>VLOOKUP($A108,'Data Vlaue (Cr)'!$C:$FB,77)</f>
        <v>22</v>
      </c>
      <c r="G108" s="92">
        <f>VLOOKUP(A108,'Data Vlaue (Cr)'!C103:CB321,78,0)</f>
        <v>1.47E-2</v>
      </c>
      <c r="H108" s="91">
        <f>VLOOKUP($A108,'Data Vlaue (Cr)'!$C:$FB,91)</f>
        <v>1026</v>
      </c>
      <c r="I108" s="91">
        <f>VLOOKUP($A108,'Data Vlaue (Cr)'!$C:$FB,93)</f>
        <v>77</v>
      </c>
      <c r="J108" s="92">
        <f>VLOOKUP($A108,'Data Vlaue (Cr)'!$C:$FB,94)</f>
        <v>8.14E-2</v>
      </c>
      <c r="K108" s="91">
        <f>VLOOKUP($A108,'Data Vlaue (Cr)'!$C:$FB,95)</f>
        <v>730</v>
      </c>
      <c r="L108" s="91">
        <f>VLOOKUP($A108,'Data Vlaue (Cr)'!$C:$FB,97)</f>
        <v>36</v>
      </c>
      <c r="M108" s="92">
        <f>VLOOKUP($A108,'Data Vlaue (Cr)'!$C:$FB,98)</f>
        <v>5.2200000000000003E-2</v>
      </c>
      <c r="N108" s="91">
        <f>VLOOKUP($A108,'Data Vlaue (Cr)'!$C:$FB,79)</f>
        <v>1328</v>
      </c>
      <c r="O108" s="92">
        <f>VLOOKUP($A108,'Data Vlaue (Cr)'!$C:$FB,82)</f>
        <v>-9.7999999999999997E-3</v>
      </c>
    </row>
    <row r="109" spans="1:15" x14ac:dyDescent="0.25">
      <c r="A109" s="97" t="str">
        <f>'Data Vlaue (Cr)'!C104</f>
        <v>IREDA</v>
      </c>
      <c r="B109" s="142">
        <f>VLOOKUP(A109,'Data Vlaue (Cr)'!C104:CW322,99,0)</f>
        <v>1369</v>
      </c>
      <c r="C109" s="90">
        <f>VLOOKUP(A109,'Data Vlaue (Cr)'!C104:CY322,101,0)</f>
        <v>31</v>
      </c>
      <c r="D109" s="139">
        <f>VLOOKUP(A109,'Data Vlaue (Cr)'!C104:CZ322,102,0)</f>
        <v>2.3300000000000001E-2</v>
      </c>
      <c r="E109" s="91">
        <f>VLOOKUP($A109,'Data Vlaue (Cr)'!$C:$FB,75)</f>
        <v>784</v>
      </c>
      <c r="F109" s="91">
        <f>VLOOKUP($A109,'Data Vlaue (Cr)'!$C:$FB,77)</f>
        <v>29</v>
      </c>
      <c r="G109" s="92">
        <f>VLOOKUP(A109,'Data Vlaue (Cr)'!C104:CB322,78,0)</f>
        <v>3.7900000000000003E-2</v>
      </c>
      <c r="H109" s="91">
        <f>VLOOKUP($A109,'Data Vlaue (Cr)'!$C:$FB,91)</f>
        <v>329</v>
      </c>
      <c r="I109" s="91">
        <f>VLOOKUP($A109,'Data Vlaue (Cr)'!$C:$FB,93)</f>
        <v>4</v>
      </c>
      <c r="J109" s="92">
        <f>VLOOKUP($A109,'Data Vlaue (Cr)'!$C:$FB,94)</f>
        <v>1.12E-2</v>
      </c>
      <c r="K109" s="91">
        <f>VLOOKUP($A109,'Data Vlaue (Cr)'!$C:$FB,95)</f>
        <v>256</v>
      </c>
      <c r="L109" s="91">
        <f>VLOOKUP($A109,'Data Vlaue (Cr)'!$C:$FB,97)</f>
        <v>-1</v>
      </c>
      <c r="M109" s="92">
        <f>VLOOKUP($A109,'Data Vlaue (Cr)'!$C:$FB,98)</f>
        <v>-4.5999999999999999E-3</v>
      </c>
      <c r="N109" s="91">
        <f>VLOOKUP($A109,'Data Vlaue (Cr)'!$C:$FB,79)</f>
        <v>560</v>
      </c>
      <c r="O109" s="92">
        <f>VLOOKUP($A109,'Data Vlaue (Cr)'!$C:$FB,82)</f>
        <v>1.23E-2</v>
      </c>
    </row>
    <row r="110" spans="1:15" x14ac:dyDescent="0.25">
      <c r="A110" s="97" t="str">
        <f>'Data Vlaue (Cr)'!C105</f>
        <v>IRFC</v>
      </c>
      <c r="B110" s="142">
        <f>VLOOKUP(A110,'Data Vlaue (Cr)'!C105:CW323,99,0)</f>
        <v>1370</v>
      </c>
      <c r="C110" s="90">
        <f>VLOOKUP(A110,'Data Vlaue (Cr)'!C105:CY323,101,0)</f>
        <v>10</v>
      </c>
      <c r="D110" s="139">
        <f>VLOOKUP(A110,'Data Vlaue (Cr)'!C105:CZ323,102,0)</f>
        <v>7.7000000000000002E-3</v>
      </c>
      <c r="E110" s="91">
        <f>VLOOKUP($A110,'Data Vlaue (Cr)'!$C:$FB,75)</f>
        <v>631</v>
      </c>
      <c r="F110" s="91">
        <f>VLOOKUP($A110,'Data Vlaue (Cr)'!$C:$FB,77)</f>
        <v>20</v>
      </c>
      <c r="G110" s="92">
        <f>VLOOKUP(A110,'Data Vlaue (Cr)'!C105:CB323,78,0)</f>
        <v>3.2099999999999997E-2</v>
      </c>
      <c r="H110" s="91">
        <f>VLOOKUP($A110,'Data Vlaue (Cr)'!$C:$FB,91)</f>
        <v>436</v>
      </c>
      <c r="I110" s="91">
        <f>VLOOKUP($A110,'Data Vlaue (Cr)'!$C:$FB,93)</f>
        <v>0</v>
      </c>
      <c r="J110" s="92">
        <f>VLOOKUP($A110,'Data Vlaue (Cr)'!$C:$FB,94)</f>
        <v>-8.0000000000000004E-4</v>
      </c>
      <c r="K110" s="91">
        <f>VLOOKUP($A110,'Data Vlaue (Cr)'!$C:$FB,95)</f>
        <v>303</v>
      </c>
      <c r="L110" s="91">
        <f>VLOOKUP($A110,'Data Vlaue (Cr)'!$C:$FB,97)</f>
        <v>-9</v>
      </c>
      <c r="M110" s="92">
        <f>VLOOKUP($A110,'Data Vlaue (Cr)'!$C:$FB,98)</f>
        <v>-2.8299999999999999E-2</v>
      </c>
      <c r="N110" s="91">
        <f>VLOOKUP($A110,'Data Vlaue (Cr)'!$C:$FB,79)</f>
        <v>468</v>
      </c>
      <c r="O110" s="92">
        <f>VLOOKUP($A110,'Data Vlaue (Cr)'!$C:$FB,82)</f>
        <v>3.5999999999999999E-3</v>
      </c>
    </row>
    <row r="111" spans="1:15" x14ac:dyDescent="0.25">
      <c r="A111" s="97" t="str">
        <f>'Data Vlaue (Cr)'!C106</f>
        <v>ITC</v>
      </c>
      <c r="B111" s="142">
        <f>VLOOKUP(A111,'Data Vlaue (Cr)'!C106:CW324,99,0)</f>
        <v>10354</v>
      </c>
      <c r="C111" s="90">
        <f>VLOOKUP(A111,'Data Vlaue (Cr)'!C106:CY324,101,0)</f>
        <v>75</v>
      </c>
      <c r="D111" s="139">
        <f>VLOOKUP(A111,'Data Vlaue (Cr)'!C106:CZ324,102,0)</f>
        <v>7.3000000000000001E-3</v>
      </c>
      <c r="E111" s="91">
        <f>VLOOKUP($A111,'Data Vlaue (Cr)'!$C:$FB,75)</f>
        <v>5073</v>
      </c>
      <c r="F111" s="91">
        <f>VLOOKUP($A111,'Data Vlaue (Cr)'!$C:$FB,77)</f>
        <v>32</v>
      </c>
      <c r="G111" s="92">
        <f>VLOOKUP(A111,'Data Vlaue (Cr)'!C106:CB324,78,0)</f>
        <v>6.4000000000000003E-3</v>
      </c>
      <c r="H111" s="91">
        <f>VLOOKUP($A111,'Data Vlaue (Cr)'!$C:$FB,91)</f>
        <v>3561</v>
      </c>
      <c r="I111" s="91">
        <f>VLOOKUP($A111,'Data Vlaue (Cr)'!$C:$FB,93)</f>
        <v>64</v>
      </c>
      <c r="J111" s="92">
        <f>VLOOKUP($A111,'Data Vlaue (Cr)'!$C:$FB,94)</f>
        <v>1.84E-2</v>
      </c>
      <c r="K111" s="91">
        <f>VLOOKUP($A111,'Data Vlaue (Cr)'!$C:$FB,95)</f>
        <v>1719</v>
      </c>
      <c r="L111" s="91">
        <f>VLOOKUP($A111,'Data Vlaue (Cr)'!$C:$FB,97)</f>
        <v>-21</v>
      </c>
      <c r="M111" s="92">
        <f>VLOOKUP($A111,'Data Vlaue (Cr)'!$C:$FB,98)</f>
        <v>-1.2200000000000001E-2</v>
      </c>
      <c r="N111" s="91">
        <f>VLOOKUP($A111,'Data Vlaue (Cr)'!$C:$FB,79)</f>
        <v>4341</v>
      </c>
      <c r="O111" s="92">
        <f>VLOOKUP($A111,'Data Vlaue (Cr)'!$C:$FB,82)</f>
        <v>-1.0500000000000001E-2</v>
      </c>
    </row>
    <row r="112" spans="1:15" x14ac:dyDescent="0.25">
      <c r="A112" s="97" t="str">
        <f>'Data Vlaue (Cr)'!C107</f>
        <v>JINDALSTEL</v>
      </c>
      <c r="B112" s="142">
        <f>VLOOKUP(A112,'Data Vlaue (Cr)'!C107:CW325,99,0)</f>
        <v>2747</v>
      </c>
      <c r="C112" s="90">
        <f>VLOOKUP(A112,'Data Vlaue (Cr)'!C107:CY325,101,0)</f>
        <v>103</v>
      </c>
      <c r="D112" s="139">
        <f>VLOOKUP(A112,'Data Vlaue (Cr)'!C107:CZ325,102,0)</f>
        <v>3.9100000000000003E-2</v>
      </c>
      <c r="E112" s="91">
        <f>VLOOKUP($A112,'Data Vlaue (Cr)'!$C:$FB,75)</f>
        <v>1666</v>
      </c>
      <c r="F112" s="91">
        <f>VLOOKUP($A112,'Data Vlaue (Cr)'!$C:$FB,77)</f>
        <v>40</v>
      </c>
      <c r="G112" s="92">
        <f>VLOOKUP(A112,'Data Vlaue (Cr)'!C107:CB325,78,0)</f>
        <v>2.4299999999999999E-2</v>
      </c>
      <c r="H112" s="91">
        <f>VLOOKUP($A112,'Data Vlaue (Cr)'!$C:$FB,91)</f>
        <v>499</v>
      </c>
      <c r="I112" s="91">
        <f>VLOOKUP($A112,'Data Vlaue (Cr)'!$C:$FB,93)</f>
        <v>12</v>
      </c>
      <c r="J112" s="92">
        <f>VLOOKUP($A112,'Data Vlaue (Cr)'!$C:$FB,94)</f>
        <v>2.41E-2</v>
      </c>
      <c r="K112" s="91">
        <f>VLOOKUP($A112,'Data Vlaue (Cr)'!$C:$FB,95)</f>
        <v>582</v>
      </c>
      <c r="L112" s="91">
        <f>VLOOKUP($A112,'Data Vlaue (Cr)'!$C:$FB,97)</f>
        <v>52</v>
      </c>
      <c r="M112" s="92">
        <f>VLOOKUP($A112,'Data Vlaue (Cr)'!$C:$FB,98)</f>
        <v>9.8000000000000004E-2</v>
      </c>
      <c r="N112" s="91">
        <f>VLOOKUP($A112,'Data Vlaue (Cr)'!$C:$FB,79)</f>
        <v>1447</v>
      </c>
      <c r="O112" s="92">
        <f>VLOOKUP($A112,'Data Vlaue (Cr)'!$C:$FB,82)</f>
        <v>1.4800000000000001E-2</v>
      </c>
    </row>
    <row r="113" spans="1:15" x14ac:dyDescent="0.25">
      <c r="A113" s="97" t="str">
        <f>'Data Vlaue (Cr)'!C108</f>
        <v>JIOFIN</v>
      </c>
      <c r="B113" s="142">
        <f>VLOOKUP(A113,'Data Vlaue (Cr)'!C108:CW326,99,0)</f>
        <v>6884</v>
      </c>
      <c r="C113" s="90">
        <f>VLOOKUP(A113,'Data Vlaue (Cr)'!C108:CY326,101,0)</f>
        <v>122</v>
      </c>
      <c r="D113" s="139">
        <f>VLOOKUP(A113,'Data Vlaue (Cr)'!C108:CZ326,102,0)</f>
        <v>1.7999999999999999E-2</v>
      </c>
      <c r="E113" s="91">
        <f>VLOOKUP($A113,'Data Vlaue (Cr)'!$C:$FB,75)</f>
        <v>4016</v>
      </c>
      <c r="F113" s="91">
        <f>VLOOKUP($A113,'Data Vlaue (Cr)'!$C:$FB,77)</f>
        <v>-8</v>
      </c>
      <c r="G113" s="92">
        <f>VLOOKUP(A113,'Data Vlaue (Cr)'!C108:CB326,78,0)</f>
        <v>-1.9E-3</v>
      </c>
      <c r="H113" s="91">
        <f>VLOOKUP($A113,'Data Vlaue (Cr)'!$C:$FB,91)</f>
        <v>1750</v>
      </c>
      <c r="I113" s="91">
        <f>VLOOKUP($A113,'Data Vlaue (Cr)'!$C:$FB,93)</f>
        <v>113</v>
      </c>
      <c r="J113" s="92">
        <f>VLOOKUP($A113,'Data Vlaue (Cr)'!$C:$FB,94)</f>
        <v>6.88E-2</v>
      </c>
      <c r="K113" s="91">
        <f>VLOOKUP($A113,'Data Vlaue (Cr)'!$C:$FB,95)</f>
        <v>1117</v>
      </c>
      <c r="L113" s="91">
        <f>VLOOKUP($A113,'Data Vlaue (Cr)'!$C:$FB,97)</f>
        <v>16</v>
      </c>
      <c r="M113" s="92">
        <f>VLOOKUP($A113,'Data Vlaue (Cr)'!$C:$FB,98)</f>
        <v>1.4999999999999999E-2</v>
      </c>
      <c r="N113" s="91">
        <f>VLOOKUP($A113,'Data Vlaue (Cr)'!$C:$FB,79)</f>
        <v>2986</v>
      </c>
      <c r="O113" s="92">
        <f>VLOOKUP($A113,'Data Vlaue (Cr)'!$C:$FB,82)</f>
        <v>-5.21E-2</v>
      </c>
    </row>
    <row r="114" spans="1:15" x14ac:dyDescent="0.25">
      <c r="A114" s="97" t="str">
        <f>'Data Vlaue (Cr)'!C109</f>
        <v>JSWENERGY</v>
      </c>
      <c r="B114" s="142">
        <f>VLOOKUP(A114,'Data Vlaue (Cr)'!C109:CW327,99,0)</f>
        <v>2130</v>
      </c>
      <c r="C114" s="90">
        <f>VLOOKUP(A114,'Data Vlaue (Cr)'!C109:CY327,101,0)</f>
        <v>38</v>
      </c>
      <c r="D114" s="139">
        <f>VLOOKUP(A114,'Data Vlaue (Cr)'!C109:CZ327,102,0)</f>
        <v>1.7999999999999999E-2</v>
      </c>
      <c r="E114" s="91">
        <f>VLOOKUP($A114,'Data Vlaue (Cr)'!$C:$FB,75)</f>
        <v>1481</v>
      </c>
      <c r="F114" s="91">
        <f>VLOOKUP($A114,'Data Vlaue (Cr)'!$C:$FB,77)</f>
        <v>22</v>
      </c>
      <c r="G114" s="92">
        <f>VLOOKUP(A114,'Data Vlaue (Cr)'!C109:CB327,78,0)</f>
        <v>1.4800000000000001E-2</v>
      </c>
      <c r="H114" s="91">
        <f>VLOOKUP($A114,'Data Vlaue (Cr)'!$C:$FB,91)</f>
        <v>394</v>
      </c>
      <c r="I114" s="91">
        <f>VLOOKUP($A114,'Data Vlaue (Cr)'!$C:$FB,93)</f>
        <v>19</v>
      </c>
      <c r="J114" s="92">
        <f>VLOOKUP($A114,'Data Vlaue (Cr)'!$C:$FB,94)</f>
        <v>5.0099999999999999E-2</v>
      </c>
      <c r="K114" s="91">
        <f>VLOOKUP($A114,'Data Vlaue (Cr)'!$C:$FB,95)</f>
        <v>255</v>
      </c>
      <c r="L114" s="91">
        <f>VLOOKUP($A114,'Data Vlaue (Cr)'!$C:$FB,97)</f>
        <v>-3</v>
      </c>
      <c r="M114" s="92">
        <f>VLOOKUP($A114,'Data Vlaue (Cr)'!$C:$FB,98)</f>
        <v>-1.0500000000000001E-2</v>
      </c>
      <c r="N114" s="91">
        <f>VLOOKUP($A114,'Data Vlaue (Cr)'!$C:$FB,79)</f>
        <v>1410</v>
      </c>
      <c r="O114" s="92">
        <f>VLOOKUP($A114,'Data Vlaue (Cr)'!$C:$FB,82)</f>
        <v>-4.4000000000000003E-3</v>
      </c>
    </row>
    <row r="115" spans="1:15" x14ac:dyDescent="0.25">
      <c r="A115" s="97" t="str">
        <f>'Data Vlaue (Cr)'!C110</f>
        <v>JSWSTEEL</v>
      </c>
      <c r="B115" s="142">
        <f>VLOOKUP(A115,'Data Vlaue (Cr)'!C110:CW328,99,0)</f>
        <v>7840</v>
      </c>
      <c r="C115" s="90">
        <f>VLOOKUP(A115,'Data Vlaue (Cr)'!C110:CY328,101,0)</f>
        <v>36</v>
      </c>
      <c r="D115" s="139">
        <f>VLOOKUP(A115,'Data Vlaue (Cr)'!C110:CZ328,102,0)</f>
        <v>4.5999999999999999E-3</v>
      </c>
      <c r="E115" s="91">
        <f>VLOOKUP($A115,'Data Vlaue (Cr)'!$C:$FB,75)</f>
        <v>6250</v>
      </c>
      <c r="F115" s="91">
        <f>VLOOKUP($A115,'Data Vlaue (Cr)'!$C:$FB,77)</f>
        <v>-112</v>
      </c>
      <c r="G115" s="92">
        <f>VLOOKUP(A115,'Data Vlaue (Cr)'!C110:CB328,78,0)</f>
        <v>-1.7600000000000001E-2</v>
      </c>
      <c r="H115" s="91">
        <f>VLOOKUP($A115,'Data Vlaue (Cr)'!$C:$FB,91)</f>
        <v>769</v>
      </c>
      <c r="I115" s="91">
        <f>VLOOKUP($A115,'Data Vlaue (Cr)'!$C:$FB,93)</f>
        <v>34</v>
      </c>
      <c r="J115" s="92">
        <f>VLOOKUP($A115,'Data Vlaue (Cr)'!$C:$FB,94)</f>
        <v>4.6199999999999998E-2</v>
      </c>
      <c r="K115" s="91">
        <f>VLOOKUP($A115,'Data Vlaue (Cr)'!$C:$FB,95)</f>
        <v>821</v>
      </c>
      <c r="L115" s="91">
        <f>VLOOKUP($A115,'Data Vlaue (Cr)'!$C:$FB,97)</f>
        <v>114</v>
      </c>
      <c r="M115" s="92">
        <f>VLOOKUP($A115,'Data Vlaue (Cr)'!$C:$FB,98)</f>
        <v>0.161</v>
      </c>
      <c r="N115" s="91">
        <f>VLOOKUP($A115,'Data Vlaue (Cr)'!$C:$FB,79)</f>
        <v>5381</v>
      </c>
      <c r="O115" s="92">
        <f>VLOOKUP($A115,'Data Vlaue (Cr)'!$C:$FB,82)</f>
        <v>-3.0099999999999998E-2</v>
      </c>
    </row>
    <row r="116" spans="1:15" x14ac:dyDescent="0.25">
      <c r="A116" s="97" t="str">
        <f>'Data Vlaue (Cr)'!C111</f>
        <v>JUBLFOOD</v>
      </c>
      <c r="B116" s="142">
        <f>VLOOKUP(A116,'Data Vlaue (Cr)'!C111:CW329,99,0)</f>
        <v>3525</v>
      </c>
      <c r="C116" s="90">
        <f>VLOOKUP(A116,'Data Vlaue (Cr)'!C111:CY329,101,0)</f>
        <v>64</v>
      </c>
      <c r="D116" s="139">
        <f>VLOOKUP(A116,'Data Vlaue (Cr)'!C111:CZ329,102,0)</f>
        <v>1.84E-2</v>
      </c>
      <c r="E116" s="91">
        <f>VLOOKUP($A116,'Data Vlaue (Cr)'!$C:$FB,75)</f>
        <v>2385</v>
      </c>
      <c r="F116" s="91">
        <f>VLOOKUP($A116,'Data Vlaue (Cr)'!$C:$FB,77)</f>
        <v>55</v>
      </c>
      <c r="G116" s="92">
        <f>VLOOKUP(A116,'Data Vlaue (Cr)'!C111:CB329,78,0)</f>
        <v>2.3800000000000002E-2</v>
      </c>
      <c r="H116" s="91">
        <f>VLOOKUP($A116,'Data Vlaue (Cr)'!$C:$FB,91)</f>
        <v>703</v>
      </c>
      <c r="I116" s="91">
        <f>VLOOKUP($A116,'Data Vlaue (Cr)'!$C:$FB,93)</f>
        <v>15</v>
      </c>
      <c r="J116" s="92">
        <f>VLOOKUP($A116,'Data Vlaue (Cr)'!$C:$FB,94)</f>
        <v>2.2100000000000002E-2</v>
      </c>
      <c r="K116" s="91">
        <f>VLOOKUP($A116,'Data Vlaue (Cr)'!$C:$FB,95)</f>
        <v>436</v>
      </c>
      <c r="L116" s="91">
        <f>VLOOKUP($A116,'Data Vlaue (Cr)'!$C:$FB,97)</f>
        <v>-7</v>
      </c>
      <c r="M116" s="92">
        <f>VLOOKUP($A116,'Data Vlaue (Cr)'!$C:$FB,98)</f>
        <v>-1.5800000000000002E-2</v>
      </c>
      <c r="N116" s="91">
        <f>VLOOKUP($A116,'Data Vlaue (Cr)'!$C:$FB,79)</f>
        <v>1671</v>
      </c>
      <c r="O116" s="92">
        <f>VLOOKUP($A116,'Data Vlaue (Cr)'!$C:$FB,82)</f>
        <v>-2.9999999999999997E-4</v>
      </c>
    </row>
    <row r="117" spans="1:15" x14ac:dyDescent="0.25">
      <c r="A117" s="97" t="str">
        <f>'Data Vlaue (Cr)'!C112</f>
        <v>KALYANKJIL</v>
      </c>
      <c r="B117" s="142">
        <f>VLOOKUP(A117,'Data Vlaue (Cr)'!C112:CW330,99,0)</f>
        <v>2075</v>
      </c>
      <c r="C117" s="90">
        <f>VLOOKUP(A117,'Data Vlaue (Cr)'!C112:CY330,101,0)</f>
        <v>85</v>
      </c>
      <c r="D117" s="139">
        <f>VLOOKUP(A117,'Data Vlaue (Cr)'!C112:CZ330,102,0)</f>
        <v>4.2599999999999999E-2</v>
      </c>
      <c r="E117" s="91">
        <f>VLOOKUP($A117,'Data Vlaue (Cr)'!$C:$FB,75)</f>
        <v>1114</v>
      </c>
      <c r="F117" s="91">
        <f>VLOOKUP($A117,'Data Vlaue (Cr)'!$C:$FB,77)</f>
        <v>18</v>
      </c>
      <c r="G117" s="92">
        <f>VLOOKUP(A117,'Data Vlaue (Cr)'!C112:CB330,78,0)</f>
        <v>1.6299999999999999E-2</v>
      </c>
      <c r="H117" s="91">
        <f>VLOOKUP($A117,'Data Vlaue (Cr)'!$C:$FB,91)</f>
        <v>661</v>
      </c>
      <c r="I117" s="91">
        <f>VLOOKUP($A117,'Data Vlaue (Cr)'!$C:$FB,93)</f>
        <v>77</v>
      </c>
      <c r="J117" s="92">
        <f>VLOOKUP($A117,'Data Vlaue (Cr)'!$C:$FB,94)</f>
        <v>0.1321</v>
      </c>
      <c r="K117" s="91">
        <f>VLOOKUP($A117,'Data Vlaue (Cr)'!$C:$FB,95)</f>
        <v>300</v>
      </c>
      <c r="L117" s="91">
        <f>VLOOKUP($A117,'Data Vlaue (Cr)'!$C:$FB,97)</f>
        <v>-10</v>
      </c>
      <c r="M117" s="92">
        <f>VLOOKUP($A117,'Data Vlaue (Cr)'!$C:$FB,98)</f>
        <v>-3.27E-2</v>
      </c>
      <c r="N117" s="91">
        <f>VLOOKUP($A117,'Data Vlaue (Cr)'!$C:$FB,79)</f>
        <v>1028</v>
      </c>
      <c r="O117" s="92">
        <f>VLOOKUP($A117,'Data Vlaue (Cr)'!$C:$FB,82)</f>
        <v>4.4999999999999997E-3</v>
      </c>
    </row>
    <row r="118" spans="1:15" x14ac:dyDescent="0.25">
      <c r="A118" s="97" t="str">
        <f>'Data Vlaue (Cr)'!C113</f>
        <v>KAYNES</v>
      </c>
      <c r="B118" s="142">
        <f>VLOOKUP(A118,'Data Vlaue (Cr)'!C113:CW331,99,0)</f>
        <v>2592</v>
      </c>
      <c r="C118" s="90">
        <f>VLOOKUP(A118,'Data Vlaue (Cr)'!C113:CY331,101,0)</f>
        <v>9</v>
      </c>
      <c r="D118" s="139">
        <f>VLOOKUP(A118,'Data Vlaue (Cr)'!C113:CZ331,102,0)</f>
        <v>3.3999999999999998E-3</v>
      </c>
      <c r="E118" s="91">
        <f>VLOOKUP($A118,'Data Vlaue (Cr)'!$C:$FB,75)</f>
        <v>1453</v>
      </c>
      <c r="F118" s="91">
        <f>VLOOKUP($A118,'Data Vlaue (Cr)'!$C:$FB,77)</f>
        <v>15</v>
      </c>
      <c r="G118" s="92">
        <f>VLOOKUP(A118,'Data Vlaue (Cr)'!C113:CB331,78,0)</f>
        <v>1.04E-2</v>
      </c>
      <c r="H118" s="91">
        <f>VLOOKUP($A118,'Data Vlaue (Cr)'!$C:$FB,91)</f>
        <v>622</v>
      </c>
      <c r="I118" s="91">
        <f>VLOOKUP($A118,'Data Vlaue (Cr)'!$C:$FB,93)</f>
        <v>-14</v>
      </c>
      <c r="J118" s="92">
        <f>VLOOKUP($A118,'Data Vlaue (Cr)'!$C:$FB,94)</f>
        <v>-2.2700000000000001E-2</v>
      </c>
      <c r="K118" s="91">
        <f>VLOOKUP($A118,'Data Vlaue (Cr)'!$C:$FB,95)</f>
        <v>516</v>
      </c>
      <c r="L118" s="91">
        <f>VLOOKUP($A118,'Data Vlaue (Cr)'!$C:$FB,97)</f>
        <v>8</v>
      </c>
      <c r="M118" s="92">
        <f>VLOOKUP($A118,'Data Vlaue (Cr)'!$C:$FB,98)</f>
        <v>1.61E-2</v>
      </c>
      <c r="N118" s="91">
        <f>VLOOKUP($A118,'Data Vlaue (Cr)'!$C:$FB,79)</f>
        <v>1174</v>
      </c>
      <c r="O118" s="92">
        <f>VLOOKUP($A118,'Data Vlaue (Cr)'!$C:$FB,82)</f>
        <v>-2.9100000000000001E-2</v>
      </c>
    </row>
    <row r="119" spans="1:15" x14ac:dyDescent="0.25">
      <c r="A119" s="97" t="str">
        <f>'Data Vlaue (Cr)'!C114</f>
        <v>KEI</v>
      </c>
      <c r="B119" s="142">
        <f>VLOOKUP(A119,'Data Vlaue (Cr)'!C114:CW332,99,0)</f>
        <v>1723</v>
      </c>
      <c r="C119" s="90">
        <f>VLOOKUP(A119,'Data Vlaue (Cr)'!C114:CY332,101,0)</f>
        <v>11</v>
      </c>
      <c r="D119" s="139">
        <f>VLOOKUP(A119,'Data Vlaue (Cr)'!C114:CZ332,102,0)</f>
        <v>6.4999999999999997E-3</v>
      </c>
      <c r="E119" s="91">
        <f>VLOOKUP($A119,'Data Vlaue (Cr)'!$C:$FB,75)</f>
        <v>1154</v>
      </c>
      <c r="F119" s="91">
        <f>VLOOKUP($A119,'Data Vlaue (Cr)'!$C:$FB,77)</f>
        <v>17</v>
      </c>
      <c r="G119" s="92">
        <f>VLOOKUP(A119,'Data Vlaue (Cr)'!C114:CB332,78,0)</f>
        <v>1.52E-2</v>
      </c>
      <c r="H119" s="91">
        <f>VLOOKUP($A119,'Data Vlaue (Cr)'!$C:$FB,91)</f>
        <v>329</v>
      </c>
      <c r="I119" s="91">
        <f>VLOOKUP($A119,'Data Vlaue (Cr)'!$C:$FB,93)</f>
        <v>-10</v>
      </c>
      <c r="J119" s="92">
        <f>VLOOKUP($A119,'Data Vlaue (Cr)'!$C:$FB,94)</f>
        <v>-2.87E-2</v>
      </c>
      <c r="K119" s="91">
        <f>VLOOKUP($A119,'Data Vlaue (Cr)'!$C:$FB,95)</f>
        <v>240</v>
      </c>
      <c r="L119" s="91">
        <f>VLOOKUP($A119,'Data Vlaue (Cr)'!$C:$FB,97)</f>
        <v>4</v>
      </c>
      <c r="M119" s="92">
        <f>VLOOKUP($A119,'Data Vlaue (Cr)'!$C:$FB,98)</f>
        <v>1.52E-2</v>
      </c>
      <c r="N119" s="91">
        <f>VLOOKUP($A119,'Data Vlaue (Cr)'!$C:$FB,79)</f>
        <v>849</v>
      </c>
      <c r="O119" s="92">
        <f>VLOOKUP($A119,'Data Vlaue (Cr)'!$C:$FB,82)</f>
        <v>-5.2400000000000002E-2</v>
      </c>
    </row>
    <row r="120" spans="1:15" x14ac:dyDescent="0.25">
      <c r="A120" s="97" t="str">
        <f>'Data Vlaue (Cr)'!C115</f>
        <v>KFINTECH</v>
      </c>
      <c r="B120" s="142">
        <f>VLOOKUP(A120,'Data Vlaue (Cr)'!C115:CW333,99,0)</f>
        <v>735</v>
      </c>
      <c r="C120" s="90">
        <f>VLOOKUP(A120,'Data Vlaue (Cr)'!C115:CY333,101,0)</f>
        <v>16</v>
      </c>
      <c r="D120" s="139">
        <f>VLOOKUP(A120,'Data Vlaue (Cr)'!C115:CZ333,102,0)</f>
        <v>2.1600000000000001E-2</v>
      </c>
      <c r="E120" s="91">
        <f>VLOOKUP($A120,'Data Vlaue (Cr)'!$C:$FB,75)</f>
        <v>386</v>
      </c>
      <c r="F120" s="91">
        <f>VLOOKUP($A120,'Data Vlaue (Cr)'!$C:$FB,77)</f>
        <v>32</v>
      </c>
      <c r="G120" s="92">
        <f>VLOOKUP(A120,'Data Vlaue (Cr)'!C115:CB333,78,0)</f>
        <v>8.9599999999999999E-2</v>
      </c>
      <c r="H120" s="91">
        <f>VLOOKUP($A120,'Data Vlaue (Cr)'!$C:$FB,91)</f>
        <v>224</v>
      </c>
      <c r="I120" s="91">
        <f>VLOOKUP($A120,'Data Vlaue (Cr)'!$C:$FB,93)</f>
        <v>-20</v>
      </c>
      <c r="J120" s="92">
        <f>VLOOKUP($A120,'Data Vlaue (Cr)'!$C:$FB,94)</f>
        <v>-8.0600000000000005E-2</v>
      </c>
      <c r="K120" s="91">
        <f>VLOOKUP($A120,'Data Vlaue (Cr)'!$C:$FB,95)</f>
        <v>125</v>
      </c>
      <c r="L120" s="91">
        <f>VLOOKUP($A120,'Data Vlaue (Cr)'!$C:$FB,97)</f>
        <v>3</v>
      </c>
      <c r="M120" s="92">
        <f>VLOOKUP($A120,'Data Vlaue (Cr)'!$C:$FB,98)</f>
        <v>2.76E-2</v>
      </c>
      <c r="N120" s="91">
        <f>VLOOKUP($A120,'Data Vlaue (Cr)'!$C:$FB,79)</f>
        <v>301</v>
      </c>
      <c r="O120" s="92">
        <f>VLOOKUP($A120,'Data Vlaue (Cr)'!$C:$FB,82)</f>
        <v>5.0999999999999997E-2</v>
      </c>
    </row>
    <row r="121" spans="1:15" x14ac:dyDescent="0.25">
      <c r="A121" s="97" t="str">
        <f>'Data Vlaue (Cr)'!C116</f>
        <v>KOTAKBANK</v>
      </c>
      <c r="B121" s="142">
        <f>VLOOKUP(A121,'Data Vlaue (Cr)'!C116:CW334,99,0)</f>
        <v>10461</v>
      </c>
      <c r="C121" s="90">
        <f>VLOOKUP(A121,'Data Vlaue (Cr)'!C116:CY334,101,0)</f>
        <v>1</v>
      </c>
      <c r="D121" s="139">
        <f>VLOOKUP(A121,'Data Vlaue (Cr)'!C116:CZ334,102,0)</f>
        <v>1E-4</v>
      </c>
      <c r="E121" s="91">
        <f>VLOOKUP($A121,'Data Vlaue (Cr)'!$C:$FB,75)</f>
        <v>8166</v>
      </c>
      <c r="F121" s="91">
        <f>VLOOKUP($A121,'Data Vlaue (Cr)'!$C:$FB,77)</f>
        <v>-76</v>
      </c>
      <c r="G121" s="92">
        <f>VLOOKUP(A121,'Data Vlaue (Cr)'!C116:CB334,78,0)</f>
        <v>-9.1999999999999998E-3</v>
      </c>
      <c r="H121" s="91">
        <f>VLOOKUP($A121,'Data Vlaue (Cr)'!$C:$FB,91)</f>
        <v>1242</v>
      </c>
      <c r="I121" s="91">
        <f>VLOOKUP($A121,'Data Vlaue (Cr)'!$C:$FB,93)</f>
        <v>74</v>
      </c>
      <c r="J121" s="92">
        <f>VLOOKUP($A121,'Data Vlaue (Cr)'!$C:$FB,94)</f>
        <v>6.3799999999999996E-2</v>
      </c>
      <c r="K121" s="91">
        <f>VLOOKUP($A121,'Data Vlaue (Cr)'!$C:$FB,95)</f>
        <v>1053</v>
      </c>
      <c r="L121" s="91">
        <f>VLOOKUP($A121,'Data Vlaue (Cr)'!$C:$FB,97)</f>
        <v>2</v>
      </c>
      <c r="M121" s="92">
        <f>VLOOKUP($A121,'Data Vlaue (Cr)'!$C:$FB,98)</f>
        <v>2.2000000000000001E-3</v>
      </c>
      <c r="N121" s="91">
        <f>VLOOKUP($A121,'Data Vlaue (Cr)'!$C:$FB,79)</f>
        <v>6237</v>
      </c>
      <c r="O121" s="92">
        <f>VLOOKUP($A121,'Data Vlaue (Cr)'!$C:$FB,82)</f>
        <v>-3.8600000000000002E-2</v>
      </c>
    </row>
    <row r="122" spans="1:15" x14ac:dyDescent="0.25">
      <c r="A122" s="97" t="str">
        <f>'Data Vlaue (Cr)'!C117</f>
        <v>KPITTECH</v>
      </c>
      <c r="B122" s="142">
        <f>VLOOKUP(A122,'Data Vlaue (Cr)'!C117:CW335,99,0)</f>
        <v>957</v>
      </c>
      <c r="C122" s="90">
        <f>VLOOKUP(A122,'Data Vlaue (Cr)'!C117:CY335,101,0)</f>
        <v>9</v>
      </c>
      <c r="D122" s="139">
        <f>VLOOKUP(A122,'Data Vlaue (Cr)'!C117:CZ335,102,0)</f>
        <v>9.4999999999999998E-3</v>
      </c>
      <c r="E122" s="91">
        <f>VLOOKUP($A122,'Data Vlaue (Cr)'!$C:$FB,75)</f>
        <v>519</v>
      </c>
      <c r="F122" s="91">
        <f>VLOOKUP($A122,'Data Vlaue (Cr)'!$C:$FB,77)</f>
        <v>10</v>
      </c>
      <c r="G122" s="92">
        <f>VLOOKUP(A122,'Data Vlaue (Cr)'!C117:CB335,78,0)</f>
        <v>1.9199999999999998E-2</v>
      </c>
      <c r="H122" s="91">
        <f>VLOOKUP($A122,'Data Vlaue (Cr)'!$C:$FB,91)</f>
        <v>264</v>
      </c>
      <c r="I122" s="91">
        <f>VLOOKUP($A122,'Data Vlaue (Cr)'!$C:$FB,93)</f>
        <v>-4</v>
      </c>
      <c r="J122" s="92">
        <f>VLOOKUP($A122,'Data Vlaue (Cr)'!$C:$FB,94)</f>
        <v>-1.5800000000000002E-2</v>
      </c>
      <c r="K122" s="91">
        <f>VLOOKUP($A122,'Data Vlaue (Cr)'!$C:$FB,95)</f>
        <v>174</v>
      </c>
      <c r="L122" s="91">
        <f>VLOOKUP($A122,'Data Vlaue (Cr)'!$C:$FB,97)</f>
        <v>3</v>
      </c>
      <c r="M122" s="92">
        <f>VLOOKUP($A122,'Data Vlaue (Cr)'!$C:$FB,98)</f>
        <v>2.0400000000000001E-2</v>
      </c>
      <c r="N122" s="91">
        <f>VLOOKUP($A122,'Data Vlaue (Cr)'!$C:$FB,79)</f>
        <v>478</v>
      </c>
      <c r="O122" s="92">
        <f>VLOOKUP($A122,'Data Vlaue (Cr)'!$C:$FB,82)</f>
        <v>8.3999999999999995E-3</v>
      </c>
    </row>
    <row r="123" spans="1:15" x14ac:dyDescent="0.25">
      <c r="A123" s="97" t="str">
        <f>'Data Vlaue (Cr)'!C118</f>
        <v>LAURUSLABS</v>
      </c>
      <c r="B123" s="142">
        <f>VLOOKUP(A123,'Data Vlaue (Cr)'!C118:CW336,99,0)</f>
        <v>3112</v>
      </c>
      <c r="C123" s="90">
        <f>VLOOKUP(A123,'Data Vlaue (Cr)'!C118:CY336,101,0)</f>
        <v>-46</v>
      </c>
      <c r="D123" s="139">
        <f>VLOOKUP(A123,'Data Vlaue (Cr)'!C118:CZ336,102,0)</f>
        <v>-1.46E-2</v>
      </c>
      <c r="E123" s="91">
        <f>VLOOKUP($A123,'Data Vlaue (Cr)'!$C:$FB,75)</f>
        <v>1990</v>
      </c>
      <c r="F123" s="91">
        <f>VLOOKUP($A123,'Data Vlaue (Cr)'!$C:$FB,77)</f>
        <v>-18</v>
      </c>
      <c r="G123" s="92">
        <f>VLOOKUP(A123,'Data Vlaue (Cr)'!C118:CB336,78,0)</f>
        <v>-8.9999999999999993E-3</v>
      </c>
      <c r="H123" s="91">
        <f>VLOOKUP($A123,'Data Vlaue (Cr)'!$C:$FB,91)</f>
        <v>583</v>
      </c>
      <c r="I123" s="91">
        <f>VLOOKUP($A123,'Data Vlaue (Cr)'!$C:$FB,93)</f>
        <v>-28</v>
      </c>
      <c r="J123" s="92">
        <f>VLOOKUP($A123,'Data Vlaue (Cr)'!$C:$FB,94)</f>
        <v>-4.5400000000000003E-2</v>
      </c>
      <c r="K123" s="91">
        <f>VLOOKUP($A123,'Data Vlaue (Cr)'!$C:$FB,95)</f>
        <v>540</v>
      </c>
      <c r="L123" s="91">
        <f>VLOOKUP($A123,'Data Vlaue (Cr)'!$C:$FB,97)</f>
        <v>0</v>
      </c>
      <c r="M123" s="92">
        <f>VLOOKUP($A123,'Data Vlaue (Cr)'!$C:$FB,98)</f>
        <v>-8.9999999999999998E-4</v>
      </c>
      <c r="N123" s="91">
        <f>VLOOKUP($A123,'Data Vlaue (Cr)'!$C:$FB,79)</f>
        <v>1853</v>
      </c>
      <c r="O123" s="92">
        <f>VLOOKUP($A123,'Data Vlaue (Cr)'!$C:$FB,82)</f>
        <v>-2.4500000000000001E-2</v>
      </c>
    </row>
    <row r="124" spans="1:15" x14ac:dyDescent="0.25">
      <c r="A124" s="97" t="str">
        <f>'Data Vlaue (Cr)'!C119</f>
        <v>LICHSGFIN</v>
      </c>
      <c r="B124" s="142">
        <f>VLOOKUP(A124,'Data Vlaue (Cr)'!C119:CW337,99,0)</f>
        <v>2321</v>
      </c>
      <c r="C124" s="90">
        <f>VLOOKUP(A124,'Data Vlaue (Cr)'!C119:CY337,101,0)</f>
        <v>-24</v>
      </c>
      <c r="D124" s="139">
        <f>VLOOKUP(A124,'Data Vlaue (Cr)'!C119:CZ337,102,0)</f>
        <v>-1.03E-2</v>
      </c>
      <c r="E124" s="91">
        <f>VLOOKUP($A124,'Data Vlaue (Cr)'!$C:$FB,75)</f>
        <v>1698</v>
      </c>
      <c r="F124" s="91">
        <f>VLOOKUP($A124,'Data Vlaue (Cr)'!$C:$FB,77)</f>
        <v>-27</v>
      </c>
      <c r="G124" s="92">
        <f>VLOOKUP(A124,'Data Vlaue (Cr)'!C119:CB337,78,0)</f>
        <v>-1.54E-2</v>
      </c>
      <c r="H124" s="91">
        <f>VLOOKUP($A124,'Data Vlaue (Cr)'!$C:$FB,91)</f>
        <v>317</v>
      </c>
      <c r="I124" s="91">
        <f>VLOOKUP($A124,'Data Vlaue (Cr)'!$C:$FB,93)</f>
        <v>2</v>
      </c>
      <c r="J124" s="92">
        <f>VLOOKUP($A124,'Data Vlaue (Cr)'!$C:$FB,94)</f>
        <v>7.7000000000000002E-3</v>
      </c>
      <c r="K124" s="91">
        <f>VLOOKUP($A124,'Data Vlaue (Cr)'!$C:$FB,95)</f>
        <v>306</v>
      </c>
      <c r="L124" s="91">
        <f>VLOOKUP($A124,'Data Vlaue (Cr)'!$C:$FB,97)</f>
        <v>0</v>
      </c>
      <c r="M124" s="92">
        <f>VLOOKUP($A124,'Data Vlaue (Cr)'!$C:$FB,98)</f>
        <v>4.0000000000000002E-4</v>
      </c>
      <c r="N124" s="91">
        <f>VLOOKUP($A124,'Data Vlaue (Cr)'!$C:$FB,79)</f>
        <v>1626</v>
      </c>
      <c r="O124" s="92">
        <f>VLOOKUP($A124,'Data Vlaue (Cr)'!$C:$FB,82)</f>
        <v>-2.4799999999999999E-2</v>
      </c>
    </row>
    <row r="125" spans="1:15" x14ac:dyDescent="0.25">
      <c r="A125" s="97" t="str">
        <f>'Data Vlaue (Cr)'!C120</f>
        <v>LICI</v>
      </c>
      <c r="B125" s="142">
        <f>VLOOKUP(A125,'Data Vlaue (Cr)'!C120:CW338,99,0)</f>
        <v>1842</v>
      </c>
      <c r="C125" s="90">
        <f>VLOOKUP(A125,'Data Vlaue (Cr)'!C120:CY338,101,0)</f>
        <v>21</v>
      </c>
      <c r="D125" s="139">
        <f>VLOOKUP(A125,'Data Vlaue (Cr)'!C120:CZ338,102,0)</f>
        <v>1.17E-2</v>
      </c>
      <c r="E125" s="91">
        <f>VLOOKUP($A125,'Data Vlaue (Cr)'!$C:$FB,75)</f>
        <v>883</v>
      </c>
      <c r="F125" s="91">
        <f>VLOOKUP($A125,'Data Vlaue (Cr)'!$C:$FB,77)</f>
        <v>25</v>
      </c>
      <c r="G125" s="92">
        <f>VLOOKUP(A125,'Data Vlaue (Cr)'!C120:CB338,78,0)</f>
        <v>2.86E-2</v>
      </c>
      <c r="H125" s="91">
        <f>VLOOKUP($A125,'Data Vlaue (Cr)'!$C:$FB,91)</f>
        <v>582</v>
      </c>
      <c r="I125" s="91">
        <f>VLOOKUP($A125,'Data Vlaue (Cr)'!$C:$FB,93)</f>
        <v>-24</v>
      </c>
      <c r="J125" s="92">
        <f>VLOOKUP($A125,'Data Vlaue (Cr)'!$C:$FB,94)</f>
        <v>-3.8899999999999997E-2</v>
      </c>
      <c r="K125" s="91">
        <f>VLOOKUP($A125,'Data Vlaue (Cr)'!$C:$FB,95)</f>
        <v>377</v>
      </c>
      <c r="L125" s="91">
        <f>VLOOKUP($A125,'Data Vlaue (Cr)'!$C:$FB,97)</f>
        <v>20</v>
      </c>
      <c r="M125" s="92">
        <f>VLOOKUP($A125,'Data Vlaue (Cr)'!$C:$FB,98)</f>
        <v>5.6599999999999998E-2</v>
      </c>
      <c r="N125" s="91">
        <f>VLOOKUP($A125,'Data Vlaue (Cr)'!$C:$FB,79)</f>
        <v>693</v>
      </c>
      <c r="O125" s="92">
        <f>VLOOKUP($A125,'Data Vlaue (Cr)'!$C:$FB,82)</f>
        <v>-4.4999999999999997E-3</v>
      </c>
    </row>
    <row r="126" spans="1:15" x14ac:dyDescent="0.25">
      <c r="A126" s="97" t="str">
        <f>'Data Vlaue (Cr)'!C121</f>
        <v>LODHA</v>
      </c>
      <c r="B126" s="142">
        <f>VLOOKUP(A126,'Data Vlaue (Cr)'!C121:CW339,99,0)</f>
        <v>2588</v>
      </c>
      <c r="C126" s="90">
        <f>VLOOKUP(A126,'Data Vlaue (Cr)'!C121:CY339,101,0)</f>
        <v>-32</v>
      </c>
      <c r="D126" s="139">
        <f>VLOOKUP(A126,'Data Vlaue (Cr)'!C121:CZ339,102,0)</f>
        <v>-1.2200000000000001E-2</v>
      </c>
      <c r="E126" s="91">
        <f>VLOOKUP($A126,'Data Vlaue (Cr)'!$C:$FB,75)</f>
        <v>1640</v>
      </c>
      <c r="F126" s="91">
        <f>VLOOKUP($A126,'Data Vlaue (Cr)'!$C:$FB,77)</f>
        <v>-12</v>
      </c>
      <c r="G126" s="92">
        <f>VLOOKUP(A126,'Data Vlaue (Cr)'!C121:CB339,78,0)</f>
        <v>-7.4000000000000003E-3</v>
      </c>
      <c r="H126" s="91">
        <f>VLOOKUP($A126,'Data Vlaue (Cr)'!$C:$FB,91)</f>
        <v>518</v>
      </c>
      <c r="I126" s="91">
        <f>VLOOKUP($A126,'Data Vlaue (Cr)'!$C:$FB,93)</f>
        <v>-8</v>
      </c>
      <c r="J126" s="92">
        <f>VLOOKUP($A126,'Data Vlaue (Cr)'!$C:$FB,94)</f>
        <v>-1.4999999999999999E-2</v>
      </c>
      <c r="K126" s="91">
        <f>VLOOKUP($A126,'Data Vlaue (Cr)'!$C:$FB,95)</f>
        <v>431</v>
      </c>
      <c r="L126" s="91">
        <f>VLOOKUP($A126,'Data Vlaue (Cr)'!$C:$FB,97)</f>
        <v>-12</v>
      </c>
      <c r="M126" s="92">
        <f>VLOOKUP($A126,'Data Vlaue (Cr)'!$C:$FB,98)</f>
        <v>-2.7199999999999998E-2</v>
      </c>
      <c r="N126" s="91">
        <f>VLOOKUP($A126,'Data Vlaue (Cr)'!$C:$FB,79)</f>
        <v>1464</v>
      </c>
      <c r="O126" s="92">
        <f>VLOOKUP($A126,'Data Vlaue (Cr)'!$C:$FB,82)</f>
        <v>-1.14E-2</v>
      </c>
    </row>
    <row r="127" spans="1:15" x14ac:dyDescent="0.25">
      <c r="A127" s="97" t="str">
        <f>'Data Vlaue (Cr)'!C122</f>
        <v>LT</v>
      </c>
      <c r="B127" s="142">
        <f>VLOOKUP(A127,'Data Vlaue (Cr)'!C122:CW340,99,0)</f>
        <v>13339</v>
      </c>
      <c r="C127" s="90">
        <f>VLOOKUP(A127,'Data Vlaue (Cr)'!C122:CY340,101,0)</f>
        <v>231</v>
      </c>
      <c r="D127" s="139">
        <f>VLOOKUP(A127,'Data Vlaue (Cr)'!C122:CZ340,102,0)</f>
        <v>1.7600000000000001E-2</v>
      </c>
      <c r="E127" s="91">
        <f>VLOOKUP($A127,'Data Vlaue (Cr)'!$C:$FB,75)</f>
        <v>6046</v>
      </c>
      <c r="F127" s="91">
        <f>VLOOKUP($A127,'Data Vlaue (Cr)'!$C:$FB,77)</f>
        <v>25</v>
      </c>
      <c r="G127" s="92">
        <f>VLOOKUP(A127,'Data Vlaue (Cr)'!C122:CB340,78,0)</f>
        <v>4.1000000000000003E-3</v>
      </c>
      <c r="H127" s="91">
        <f>VLOOKUP($A127,'Data Vlaue (Cr)'!$C:$FB,91)</f>
        <v>3898</v>
      </c>
      <c r="I127" s="91">
        <f>VLOOKUP($A127,'Data Vlaue (Cr)'!$C:$FB,93)</f>
        <v>147</v>
      </c>
      <c r="J127" s="92">
        <f>VLOOKUP($A127,'Data Vlaue (Cr)'!$C:$FB,94)</f>
        <v>3.9100000000000003E-2</v>
      </c>
      <c r="K127" s="91">
        <f>VLOOKUP($A127,'Data Vlaue (Cr)'!$C:$FB,95)</f>
        <v>3395</v>
      </c>
      <c r="L127" s="91">
        <f>VLOOKUP($A127,'Data Vlaue (Cr)'!$C:$FB,97)</f>
        <v>60</v>
      </c>
      <c r="M127" s="92">
        <f>VLOOKUP($A127,'Data Vlaue (Cr)'!$C:$FB,98)</f>
        <v>1.7899999999999999E-2</v>
      </c>
      <c r="N127" s="91">
        <f>VLOOKUP($A127,'Data Vlaue (Cr)'!$C:$FB,79)</f>
        <v>4745</v>
      </c>
      <c r="O127" s="92">
        <f>VLOOKUP($A127,'Data Vlaue (Cr)'!$C:$FB,82)</f>
        <v>-3.85E-2</v>
      </c>
    </row>
    <row r="128" spans="1:15" x14ac:dyDescent="0.25">
      <c r="A128" s="97" t="str">
        <f>'Data Vlaue (Cr)'!C123</f>
        <v>LTF</v>
      </c>
      <c r="B128" s="142">
        <f>VLOOKUP(A128,'Data Vlaue (Cr)'!C123:CW341,99,0)</f>
        <v>2509</v>
      </c>
      <c r="C128" s="90">
        <f>VLOOKUP(A128,'Data Vlaue (Cr)'!C123:CY341,101,0)</f>
        <v>-54</v>
      </c>
      <c r="D128" s="139">
        <f>VLOOKUP(A128,'Data Vlaue (Cr)'!C123:CZ341,102,0)</f>
        <v>-2.1000000000000001E-2</v>
      </c>
      <c r="E128" s="91">
        <f>VLOOKUP($A128,'Data Vlaue (Cr)'!$C:$FB,75)</f>
        <v>1466</v>
      </c>
      <c r="F128" s="91">
        <f>VLOOKUP($A128,'Data Vlaue (Cr)'!$C:$FB,77)</f>
        <v>-70</v>
      </c>
      <c r="G128" s="92">
        <f>VLOOKUP(A128,'Data Vlaue (Cr)'!C123:CB341,78,0)</f>
        <v>-4.5400000000000003E-2</v>
      </c>
      <c r="H128" s="91">
        <f>VLOOKUP($A128,'Data Vlaue (Cr)'!$C:$FB,91)</f>
        <v>533</v>
      </c>
      <c r="I128" s="91">
        <f>VLOOKUP($A128,'Data Vlaue (Cr)'!$C:$FB,93)</f>
        <v>-17</v>
      </c>
      <c r="J128" s="92">
        <f>VLOOKUP($A128,'Data Vlaue (Cr)'!$C:$FB,94)</f>
        <v>-3.0099999999999998E-2</v>
      </c>
      <c r="K128" s="91">
        <f>VLOOKUP($A128,'Data Vlaue (Cr)'!$C:$FB,95)</f>
        <v>510</v>
      </c>
      <c r="L128" s="91">
        <f>VLOOKUP($A128,'Data Vlaue (Cr)'!$C:$FB,97)</f>
        <v>32</v>
      </c>
      <c r="M128" s="92">
        <f>VLOOKUP($A128,'Data Vlaue (Cr)'!$C:$FB,98)</f>
        <v>6.7799999999999999E-2</v>
      </c>
      <c r="N128" s="91">
        <f>VLOOKUP($A128,'Data Vlaue (Cr)'!$C:$FB,79)</f>
        <v>1320</v>
      </c>
      <c r="O128" s="92">
        <f>VLOOKUP($A128,'Data Vlaue (Cr)'!$C:$FB,82)</f>
        <v>-7.2800000000000004E-2</v>
      </c>
    </row>
    <row r="129" spans="1:15" x14ac:dyDescent="0.25">
      <c r="A129" s="97" t="str">
        <f>'Data Vlaue (Cr)'!C124</f>
        <v>LTM</v>
      </c>
      <c r="B129" s="142">
        <f>VLOOKUP(A129,'Data Vlaue (Cr)'!C124:CW342,99,0)</f>
        <v>3221</v>
      </c>
      <c r="C129" s="90">
        <f>VLOOKUP(A129,'Data Vlaue (Cr)'!C124:CY342,101,0)</f>
        <v>-6</v>
      </c>
      <c r="D129" s="139">
        <f>VLOOKUP(A129,'Data Vlaue (Cr)'!C124:CZ342,102,0)</f>
        <v>-2E-3</v>
      </c>
      <c r="E129" s="91">
        <f>VLOOKUP($A129,'Data Vlaue (Cr)'!$C:$FB,75)</f>
        <v>2340</v>
      </c>
      <c r="F129" s="91">
        <f>VLOOKUP($A129,'Data Vlaue (Cr)'!$C:$FB,77)</f>
        <v>21</v>
      </c>
      <c r="G129" s="92">
        <f>VLOOKUP(A129,'Data Vlaue (Cr)'!C124:CB342,78,0)</f>
        <v>8.8999999999999999E-3</v>
      </c>
      <c r="H129" s="91">
        <f>VLOOKUP($A129,'Data Vlaue (Cr)'!$C:$FB,91)</f>
        <v>487</v>
      </c>
      <c r="I129" s="91">
        <f>VLOOKUP($A129,'Data Vlaue (Cr)'!$C:$FB,93)</f>
        <v>1</v>
      </c>
      <c r="J129" s="92">
        <f>VLOOKUP($A129,'Data Vlaue (Cr)'!$C:$FB,94)</f>
        <v>1.6000000000000001E-3</v>
      </c>
      <c r="K129" s="91">
        <f>VLOOKUP($A129,'Data Vlaue (Cr)'!$C:$FB,95)</f>
        <v>394</v>
      </c>
      <c r="L129" s="91">
        <f>VLOOKUP($A129,'Data Vlaue (Cr)'!$C:$FB,97)</f>
        <v>-28</v>
      </c>
      <c r="M129" s="92">
        <f>VLOOKUP($A129,'Data Vlaue (Cr)'!$C:$FB,98)</f>
        <v>-6.5500000000000003E-2</v>
      </c>
      <c r="N129" s="91">
        <f>VLOOKUP($A129,'Data Vlaue (Cr)'!$C:$FB,79)</f>
        <v>1889</v>
      </c>
      <c r="O129" s="92">
        <f>VLOOKUP($A129,'Data Vlaue (Cr)'!$C:$FB,82)</f>
        <v>-6.8999999999999999E-3</v>
      </c>
    </row>
    <row r="130" spans="1:15" x14ac:dyDescent="0.25">
      <c r="A130" s="97" t="str">
        <f>'Data Vlaue (Cr)'!C125</f>
        <v>LUPIN</v>
      </c>
      <c r="B130" s="142">
        <f>VLOOKUP(A130,'Data Vlaue (Cr)'!C125:CW343,99,0)</f>
        <v>2518</v>
      </c>
      <c r="C130" s="90">
        <f>VLOOKUP(A130,'Data Vlaue (Cr)'!C125:CY343,101,0)</f>
        <v>-10</v>
      </c>
      <c r="D130" s="139">
        <f>VLOOKUP(A130,'Data Vlaue (Cr)'!C125:CZ343,102,0)</f>
        <v>-4.0000000000000001E-3</v>
      </c>
      <c r="E130" s="91">
        <f>VLOOKUP($A130,'Data Vlaue (Cr)'!$C:$FB,75)</f>
        <v>1562</v>
      </c>
      <c r="F130" s="91">
        <f>VLOOKUP($A130,'Data Vlaue (Cr)'!$C:$FB,77)</f>
        <v>-20</v>
      </c>
      <c r="G130" s="92">
        <f>VLOOKUP(A130,'Data Vlaue (Cr)'!C125:CB343,78,0)</f>
        <v>-1.2800000000000001E-2</v>
      </c>
      <c r="H130" s="91">
        <f>VLOOKUP($A130,'Data Vlaue (Cr)'!$C:$FB,91)</f>
        <v>555</v>
      </c>
      <c r="I130" s="91">
        <f>VLOOKUP($A130,'Data Vlaue (Cr)'!$C:$FB,93)</f>
        <v>-22</v>
      </c>
      <c r="J130" s="92">
        <f>VLOOKUP($A130,'Data Vlaue (Cr)'!$C:$FB,94)</f>
        <v>-3.8199999999999998E-2</v>
      </c>
      <c r="K130" s="91">
        <f>VLOOKUP($A130,'Data Vlaue (Cr)'!$C:$FB,95)</f>
        <v>401</v>
      </c>
      <c r="L130" s="91">
        <f>VLOOKUP($A130,'Data Vlaue (Cr)'!$C:$FB,97)</f>
        <v>32</v>
      </c>
      <c r="M130" s="92">
        <f>VLOOKUP($A130,'Data Vlaue (Cr)'!$C:$FB,98)</f>
        <v>8.6999999999999994E-2</v>
      </c>
      <c r="N130" s="91">
        <f>VLOOKUP($A130,'Data Vlaue (Cr)'!$C:$FB,79)</f>
        <v>1489</v>
      </c>
      <c r="O130" s="92">
        <f>VLOOKUP($A130,'Data Vlaue (Cr)'!$C:$FB,82)</f>
        <v>-1.7999999999999999E-2</v>
      </c>
    </row>
    <row r="131" spans="1:15" x14ac:dyDescent="0.25">
      <c r="A131" s="97" t="str">
        <f>'Data Vlaue (Cr)'!C126</f>
        <v>M&amp;M</v>
      </c>
      <c r="B131" s="142">
        <f>VLOOKUP(A131,'Data Vlaue (Cr)'!C126:CW344,99,0)</f>
        <v>9260</v>
      </c>
      <c r="C131" s="90">
        <f>VLOOKUP(A131,'Data Vlaue (Cr)'!C126:CY344,101,0)</f>
        <v>-37</v>
      </c>
      <c r="D131" s="139">
        <f>VLOOKUP(A131,'Data Vlaue (Cr)'!C126:CZ344,102,0)</f>
        <v>-4.0000000000000001E-3</v>
      </c>
      <c r="E131" s="91">
        <f>VLOOKUP($A131,'Data Vlaue (Cr)'!$C:$FB,75)</f>
        <v>6414</v>
      </c>
      <c r="F131" s="91">
        <f>VLOOKUP($A131,'Data Vlaue (Cr)'!$C:$FB,77)</f>
        <v>47</v>
      </c>
      <c r="G131" s="92">
        <f>VLOOKUP(A131,'Data Vlaue (Cr)'!C126:CB344,78,0)</f>
        <v>7.4000000000000003E-3</v>
      </c>
      <c r="H131" s="91">
        <f>VLOOKUP($A131,'Data Vlaue (Cr)'!$C:$FB,91)</f>
        <v>1662</v>
      </c>
      <c r="I131" s="91">
        <f>VLOOKUP($A131,'Data Vlaue (Cr)'!$C:$FB,93)</f>
        <v>-115</v>
      </c>
      <c r="J131" s="92">
        <f>VLOOKUP($A131,'Data Vlaue (Cr)'!$C:$FB,94)</f>
        <v>-6.5000000000000002E-2</v>
      </c>
      <c r="K131" s="91">
        <f>VLOOKUP($A131,'Data Vlaue (Cr)'!$C:$FB,95)</f>
        <v>1183</v>
      </c>
      <c r="L131" s="91">
        <f>VLOOKUP($A131,'Data Vlaue (Cr)'!$C:$FB,97)</f>
        <v>31</v>
      </c>
      <c r="M131" s="92">
        <f>VLOOKUP($A131,'Data Vlaue (Cr)'!$C:$FB,98)</f>
        <v>2.69E-2</v>
      </c>
      <c r="N131" s="91">
        <f>VLOOKUP($A131,'Data Vlaue (Cr)'!$C:$FB,79)</f>
        <v>5011</v>
      </c>
      <c r="O131" s="92">
        <f>VLOOKUP($A131,'Data Vlaue (Cr)'!$C:$FB,82)</f>
        <v>-1.1999999999999999E-3</v>
      </c>
    </row>
    <row r="132" spans="1:15" x14ac:dyDescent="0.25">
      <c r="A132" s="97" t="str">
        <f>'Data Vlaue (Cr)'!C127</f>
        <v>MANAPPURAM</v>
      </c>
      <c r="B132" s="142">
        <f>VLOOKUP(A132,'Data Vlaue (Cr)'!C127:CW345,99,0)</f>
        <v>2254</v>
      </c>
      <c r="C132" s="90">
        <f>VLOOKUP(A132,'Data Vlaue (Cr)'!C127:CY345,101,0)</f>
        <v>37</v>
      </c>
      <c r="D132" s="139">
        <f>VLOOKUP(A132,'Data Vlaue (Cr)'!C127:CZ345,102,0)</f>
        <v>1.6799999999999999E-2</v>
      </c>
      <c r="E132" s="91">
        <f>VLOOKUP($A132,'Data Vlaue (Cr)'!$C:$FB,75)</f>
        <v>1449</v>
      </c>
      <c r="F132" s="91">
        <f>VLOOKUP($A132,'Data Vlaue (Cr)'!$C:$FB,77)</f>
        <v>7</v>
      </c>
      <c r="G132" s="92">
        <f>VLOOKUP(A132,'Data Vlaue (Cr)'!C127:CB345,78,0)</f>
        <v>4.4999999999999997E-3</v>
      </c>
      <c r="H132" s="91">
        <f>VLOOKUP($A132,'Data Vlaue (Cr)'!$C:$FB,91)</f>
        <v>494</v>
      </c>
      <c r="I132" s="91">
        <f>VLOOKUP($A132,'Data Vlaue (Cr)'!$C:$FB,93)</f>
        <v>24</v>
      </c>
      <c r="J132" s="92">
        <f>VLOOKUP($A132,'Data Vlaue (Cr)'!$C:$FB,94)</f>
        <v>5.1400000000000001E-2</v>
      </c>
      <c r="K132" s="91">
        <f>VLOOKUP($A132,'Data Vlaue (Cr)'!$C:$FB,95)</f>
        <v>310</v>
      </c>
      <c r="L132" s="91">
        <f>VLOOKUP($A132,'Data Vlaue (Cr)'!$C:$FB,97)</f>
        <v>7</v>
      </c>
      <c r="M132" s="92">
        <f>VLOOKUP($A132,'Data Vlaue (Cr)'!$C:$FB,98)</f>
        <v>2.1499999999999998E-2</v>
      </c>
      <c r="N132" s="91">
        <f>VLOOKUP($A132,'Data Vlaue (Cr)'!$C:$FB,79)</f>
        <v>1361</v>
      </c>
      <c r="O132" s="92">
        <f>VLOOKUP($A132,'Data Vlaue (Cr)'!$C:$FB,82)</f>
        <v>-2.3900000000000001E-2</v>
      </c>
    </row>
    <row r="133" spans="1:15" x14ac:dyDescent="0.25">
      <c r="A133" s="97" t="str">
        <f>'Data Vlaue (Cr)'!C128</f>
        <v>MANKIND</v>
      </c>
      <c r="B133" s="142">
        <f>VLOOKUP(A133,'Data Vlaue (Cr)'!C128:CW346,99,0)</f>
        <v>868</v>
      </c>
      <c r="C133" s="90">
        <f>VLOOKUP(A133,'Data Vlaue (Cr)'!C128:CY346,101,0)</f>
        <v>18</v>
      </c>
      <c r="D133" s="139">
        <f>VLOOKUP(A133,'Data Vlaue (Cr)'!C128:CZ346,102,0)</f>
        <v>2.12E-2</v>
      </c>
      <c r="E133" s="91">
        <f>VLOOKUP($A133,'Data Vlaue (Cr)'!$C:$FB,75)</f>
        <v>653</v>
      </c>
      <c r="F133" s="91">
        <f>VLOOKUP($A133,'Data Vlaue (Cr)'!$C:$FB,77)</f>
        <v>32</v>
      </c>
      <c r="G133" s="92">
        <f>VLOOKUP(A133,'Data Vlaue (Cr)'!C128:CB346,78,0)</f>
        <v>5.1799999999999999E-2</v>
      </c>
      <c r="H133" s="91">
        <f>VLOOKUP($A133,'Data Vlaue (Cr)'!$C:$FB,91)</f>
        <v>157</v>
      </c>
      <c r="I133" s="91">
        <f>VLOOKUP($A133,'Data Vlaue (Cr)'!$C:$FB,93)</f>
        <v>-14</v>
      </c>
      <c r="J133" s="92">
        <f>VLOOKUP($A133,'Data Vlaue (Cr)'!$C:$FB,94)</f>
        <v>-8.1699999999999995E-2</v>
      </c>
      <c r="K133" s="91">
        <f>VLOOKUP($A133,'Data Vlaue (Cr)'!$C:$FB,95)</f>
        <v>57</v>
      </c>
      <c r="L133" s="91">
        <f>VLOOKUP($A133,'Data Vlaue (Cr)'!$C:$FB,97)</f>
        <v>0</v>
      </c>
      <c r="M133" s="92">
        <f>VLOOKUP($A133,'Data Vlaue (Cr)'!$C:$FB,98)</f>
        <v>-2.5000000000000001E-3</v>
      </c>
      <c r="N133" s="91">
        <f>VLOOKUP($A133,'Data Vlaue (Cr)'!$C:$FB,79)</f>
        <v>593</v>
      </c>
      <c r="O133" s="92">
        <f>VLOOKUP($A133,'Data Vlaue (Cr)'!$C:$FB,82)</f>
        <v>2.2200000000000001E-2</v>
      </c>
    </row>
    <row r="134" spans="1:15" x14ac:dyDescent="0.25">
      <c r="A134" s="97" t="str">
        <f>'Data Vlaue (Cr)'!C129</f>
        <v>MARICO</v>
      </c>
      <c r="B134" s="142">
        <f>VLOOKUP(A134,'Data Vlaue (Cr)'!C129:CW347,99,0)</f>
        <v>2540</v>
      </c>
      <c r="C134" s="90">
        <f>VLOOKUP(A134,'Data Vlaue (Cr)'!C129:CY347,101,0)</f>
        <v>-6</v>
      </c>
      <c r="D134" s="139">
        <f>VLOOKUP(A134,'Data Vlaue (Cr)'!C129:CZ347,102,0)</f>
        <v>-2.3999999999999998E-3</v>
      </c>
      <c r="E134" s="91">
        <f>VLOOKUP($A134,'Data Vlaue (Cr)'!$C:$FB,75)</f>
        <v>1868</v>
      </c>
      <c r="F134" s="91">
        <f>VLOOKUP($A134,'Data Vlaue (Cr)'!$C:$FB,77)</f>
        <v>-16</v>
      </c>
      <c r="G134" s="92">
        <f>VLOOKUP(A134,'Data Vlaue (Cr)'!C129:CB347,78,0)</f>
        <v>-8.3000000000000001E-3</v>
      </c>
      <c r="H134" s="91">
        <f>VLOOKUP($A134,'Data Vlaue (Cr)'!$C:$FB,91)</f>
        <v>369</v>
      </c>
      <c r="I134" s="91">
        <f>VLOOKUP($A134,'Data Vlaue (Cr)'!$C:$FB,93)</f>
        <v>12</v>
      </c>
      <c r="J134" s="92">
        <f>VLOOKUP($A134,'Data Vlaue (Cr)'!$C:$FB,94)</f>
        <v>3.4200000000000001E-2</v>
      </c>
      <c r="K134" s="91">
        <f>VLOOKUP($A134,'Data Vlaue (Cr)'!$C:$FB,95)</f>
        <v>303</v>
      </c>
      <c r="L134" s="91">
        <f>VLOOKUP($A134,'Data Vlaue (Cr)'!$C:$FB,97)</f>
        <v>-3</v>
      </c>
      <c r="M134" s="92">
        <f>VLOOKUP($A134,'Data Vlaue (Cr)'!$C:$FB,98)</f>
        <v>-8.8999999999999999E-3</v>
      </c>
      <c r="N134" s="91">
        <f>VLOOKUP($A134,'Data Vlaue (Cr)'!$C:$FB,79)</f>
        <v>1744</v>
      </c>
      <c r="O134" s="92">
        <f>VLOOKUP($A134,'Data Vlaue (Cr)'!$C:$FB,82)</f>
        <v>-1.4200000000000001E-2</v>
      </c>
    </row>
    <row r="135" spans="1:15" x14ac:dyDescent="0.25">
      <c r="A135" s="97" t="str">
        <f>'Data Vlaue (Cr)'!C130</f>
        <v>MARUTI</v>
      </c>
      <c r="B135" s="142">
        <f>VLOOKUP(A135,'Data Vlaue (Cr)'!C130:CW348,99,0)</f>
        <v>9211</v>
      </c>
      <c r="C135" s="90">
        <f>VLOOKUP(A135,'Data Vlaue (Cr)'!C130:CY348,101,0)</f>
        <v>14</v>
      </c>
      <c r="D135" s="139">
        <f>VLOOKUP(A135,'Data Vlaue (Cr)'!C130:CZ348,102,0)</f>
        <v>1.5E-3</v>
      </c>
      <c r="E135" s="91">
        <f>VLOOKUP($A135,'Data Vlaue (Cr)'!$C:$FB,75)</f>
        <v>4755</v>
      </c>
      <c r="F135" s="91">
        <f>VLOOKUP($A135,'Data Vlaue (Cr)'!$C:$FB,77)</f>
        <v>58</v>
      </c>
      <c r="G135" s="92">
        <f>VLOOKUP(A135,'Data Vlaue (Cr)'!C130:CB348,78,0)</f>
        <v>1.24E-2</v>
      </c>
      <c r="H135" s="91">
        <f>VLOOKUP($A135,'Data Vlaue (Cr)'!$C:$FB,91)</f>
        <v>2774</v>
      </c>
      <c r="I135" s="91">
        <f>VLOOKUP($A135,'Data Vlaue (Cr)'!$C:$FB,93)</f>
        <v>-54</v>
      </c>
      <c r="J135" s="92">
        <f>VLOOKUP($A135,'Data Vlaue (Cr)'!$C:$FB,94)</f>
        <v>-1.89E-2</v>
      </c>
      <c r="K135" s="91">
        <f>VLOOKUP($A135,'Data Vlaue (Cr)'!$C:$FB,95)</f>
        <v>1683</v>
      </c>
      <c r="L135" s="91">
        <f>VLOOKUP($A135,'Data Vlaue (Cr)'!$C:$FB,97)</f>
        <v>9</v>
      </c>
      <c r="M135" s="92">
        <f>VLOOKUP($A135,'Data Vlaue (Cr)'!$C:$FB,98)</f>
        <v>5.3E-3</v>
      </c>
      <c r="N135" s="91">
        <f>VLOOKUP($A135,'Data Vlaue (Cr)'!$C:$FB,79)</f>
        <v>3997</v>
      </c>
      <c r="O135" s="92">
        <f>VLOOKUP($A135,'Data Vlaue (Cr)'!$C:$FB,82)</f>
        <v>3.7000000000000002E-3</v>
      </c>
    </row>
    <row r="136" spans="1:15" x14ac:dyDescent="0.25">
      <c r="A136" s="97" t="str">
        <f>'Data Vlaue (Cr)'!C131</f>
        <v>MAXHEALTH</v>
      </c>
      <c r="B136" s="142">
        <f>VLOOKUP(A136,'Data Vlaue (Cr)'!C131:CW349,99,0)</f>
        <v>2119</v>
      </c>
      <c r="C136" s="90">
        <f>VLOOKUP(A136,'Data Vlaue (Cr)'!C131:CY349,101,0)</f>
        <v>-38</v>
      </c>
      <c r="D136" s="139">
        <f>VLOOKUP(A136,'Data Vlaue (Cr)'!C131:CZ349,102,0)</f>
        <v>-1.77E-2</v>
      </c>
      <c r="E136" s="91">
        <f>VLOOKUP($A136,'Data Vlaue (Cr)'!$C:$FB,75)</f>
        <v>1449</v>
      </c>
      <c r="F136" s="91">
        <f>VLOOKUP($A136,'Data Vlaue (Cr)'!$C:$FB,77)</f>
        <v>-20</v>
      </c>
      <c r="G136" s="92">
        <f>VLOOKUP(A136,'Data Vlaue (Cr)'!C131:CB349,78,0)</f>
        <v>-1.3599999999999999E-2</v>
      </c>
      <c r="H136" s="91">
        <f>VLOOKUP($A136,'Data Vlaue (Cr)'!$C:$FB,91)</f>
        <v>424</v>
      </c>
      <c r="I136" s="91">
        <f>VLOOKUP($A136,'Data Vlaue (Cr)'!$C:$FB,93)</f>
        <v>-18</v>
      </c>
      <c r="J136" s="92">
        <f>VLOOKUP($A136,'Data Vlaue (Cr)'!$C:$FB,94)</f>
        <v>-4.0899999999999999E-2</v>
      </c>
      <c r="K136" s="91">
        <f>VLOOKUP($A136,'Data Vlaue (Cr)'!$C:$FB,95)</f>
        <v>246</v>
      </c>
      <c r="L136" s="91">
        <f>VLOOKUP($A136,'Data Vlaue (Cr)'!$C:$FB,97)</f>
        <v>0</v>
      </c>
      <c r="M136" s="92">
        <f>VLOOKUP($A136,'Data Vlaue (Cr)'!$C:$FB,98)</f>
        <v>-2.0000000000000001E-4</v>
      </c>
      <c r="N136" s="91">
        <f>VLOOKUP($A136,'Data Vlaue (Cr)'!$C:$FB,79)</f>
        <v>1363</v>
      </c>
      <c r="O136" s="92">
        <f>VLOOKUP($A136,'Data Vlaue (Cr)'!$C:$FB,82)</f>
        <v>-1.7299999999999999E-2</v>
      </c>
    </row>
    <row r="137" spans="1:15" x14ac:dyDescent="0.25">
      <c r="A137" s="97" t="str">
        <f>'Data Vlaue (Cr)'!C132</f>
        <v>MAZDOCK</v>
      </c>
      <c r="B137" s="142">
        <f>VLOOKUP(A137,'Data Vlaue (Cr)'!C132:CW350,99,0)</f>
        <v>3089</v>
      </c>
      <c r="C137" s="90">
        <f>VLOOKUP(A137,'Data Vlaue (Cr)'!C132:CY350,101,0)</f>
        <v>198</v>
      </c>
      <c r="D137" s="139">
        <f>VLOOKUP(A137,'Data Vlaue (Cr)'!C132:CZ350,102,0)</f>
        <v>6.83E-2</v>
      </c>
      <c r="E137" s="91">
        <f>VLOOKUP($A137,'Data Vlaue (Cr)'!$C:$FB,75)</f>
        <v>1321</v>
      </c>
      <c r="F137" s="91">
        <f>VLOOKUP($A137,'Data Vlaue (Cr)'!$C:$FB,77)</f>
        <v>53</v>
      </c>
      <c r="G137" s="92">
        <f>VLOOKUP(A137,'Data Vlaue (Cr)'!C132:CB350,78,0)</f>
        <v>4.1599999999999998E-2</v>
      </c>
      <c r="H137" s="91">
        <f>VLOOKUP($A137,'Data Vlaue (Cr)'!$C:$FB,91)</f>
        <v>981</v>
      </c>
      <c r="I137" s="91">
        <f>VLOOKUP($A137,'Data Vlaue (Cr)'!$C:$FB,93)</f>
        <v>45</v>
      </c>
      <c r="J137" s="92">
        <f>VLOOKUP($A137,'Data Vlaue (Cr)'!$C:$FB,94)</f>
        <v>4.8000000000000001E-2</v>
      </c>
      <c r="K137" s="91">
        <f>VLOOKUP($A137,'Data Vlaue (Cr)'!$C:$FB,95)</f>
        <v>786</v>
      </c>
      <c r="L137" s="91">
        <f>VLOOKUP($A137,'Data Vlaue (Cr)'!$C:$FB,97)</f>
        <v>100</v>
      </c>
      <c r="M137" s="92">
        <f>VLOOKUP($A137,'Data Vlaue (Cr)'!$C:$FB,98)</f>
        <v>0.1454</v>
      </c>
      <c r="N137" s="91">
        <f>VLOOKUP($A137,'Data Vlaue (Cr)'!$C:$FB,79)</f>
        <v>1181</v>
      </c>
      <c r="O137" s="92">
        <f>VLOOKUP($A137,'Data Vlaue (Cr)'!$C:$FB,82)</f>
        <v>2.1000000000000001E-2</v>
      </c>
    </row>
    <row r="138" spans="1:15" x14ac:dyDescent="0.25">
      <c r="A138" s="97" t="str">
        <f>'Data Vlaue (Cr)'!C133</f>
        <v>MCX</v>
      </c>
      <c r="B138" s="142">
        <f>VLOOKUP(A138,'Data Vlaue (Cr)'!C133:CW351,99,0)</f>
        <v>8609</v>
      </c>
      <c r="C138" s="90">
        <f>VLOOKUP(A138,'Data Vlaue (Cr)'!C133:CY351,101,0)</f>
        <v>74</v>
      </c>
      <c r="D138" s="139">
        <f>VLOOKUP(A138,'Data Vlaue (Cr)'!C133:CZ351,102,0)</f>
        <v>8.6999999999999994E-3</v>
      </c>
      <c r="E138" s="91">
        <f>VLOOKUP($A138,'Data Vlaue (Cr)'!$C:$FB,75)</f>
        <v>3729</v>
      </c>
      <c r="F138" s="91">
        <f>VLOOKUP($A138,'Data Vlaue (Cr)'!$C:$FB,77)</f>
        <v>-22</v>
      </c>
      <c r="G138" s="92">
        <f>VLOOKUP(A138,'Data Vlaue (Cr)'!C133:CB351,78,0)</f>
        <v>-5.8999999999999999E-3</v>
      </c>
      <c r="H138" s="91">
        <f>VLOOKUP($A138,'Data Vlaue (Cr)'!$C:$FB,91)</f>
        <v>2552</v>
      </c>
      <c r="I138" s="91">
        <f>VLOOKUP($A138,'Data Vlaue (Cr)'!$C:$FB,93)</f>
        <v>47</v>
      </c>
      <c r="J138" s="92">
        <f>VLOOKUP($A138,'Data Vlaue (Cr)'!$C:$FB,94)</f>
        <v>1.89E-2</v>
      </c>
      <c r="K138" s="91">
        <f>VLOOKUP($A138,'Data Vlaue (Cr)'!$C:$FB,95)</f>
        <v>2328</v>
      </c>
      <c r="L138" s="91">
        <f>VLOOKUP($A138,'Data Vlaue (Cr)'!$C:$FB,97)</f>
        <v>49</v>
      </c>
      <c r="M138" s="92">
        <f>VLOOKUP($A138,'Data Vlaue (Cr)'!$C:$FB,98)</f>
        <v>2.1600000000000001E-2</v>
      </c>
      <c r="N138" s="91">
        <f>VLOOKUP($A138,'Data Vlaue (Cr)'!$C:$FB,79)</f>
        <v>3542</v>
      </c>
      <c r="O138" s="92">
        <f>VLOOKUP($A138,'Data Vlaue (Cr)'!$C:$FB,82)</f>
        <v>-1.18E-2</v>
      </c>
    </row>
    <row r="139" spans="1:15" x14ac:dyDescent="0.25">
      <c r="A139" s="97" t="str">
        <f>'Data Vlaue (Cr)'!C134</f>
        <v>MFSL</v>
      </c>
      <c r="B139" s="142">
        <f>VLOOKUP(A139,'Data Vlaue (Cr)'!C134:CW352,99,0)</f>
        <v>1815</v>
      </c>
      <c r="C139" s="90">
        <f>VLOOKUP(A139,'Data Vlaue (Cr)'!C134:CY352,101,0)</f>
        <v>-71</v>
      </c>
      <c r="D139" s="139">
        <f>VLOOKUP(A139,'Data Vlaue (Cr)'!C134:CZ352,102,0)</f>
        <v>-3.7499999999999999E-2</v>
      </c>
      <c r="E139" s="91">
        <f>VLOOKUP($A139,'Data Vlaue (Cr)'!$C:$FB,75)</f>
        <v>1537</v>
      </c>
      <c r="F139" s="91">
        <f>VLOOKUP($A139,'Data Vlaue (Cr)'!$C:$FB,77)</f>
        <v>-75</v>
      </c>
      <c r="G139" s="92">
        <f>VLOOKUP(A139,'Data Vlaue (Cr)'!C134:CB352,78,0)</f>
        <v>-4.6699999999999998E-2</v>
      </c>
      <c r="H139" s="91">
        <f>VLOOKUP($A139,'Data Vlaue (Cr)'!$C:$FB,91)</f>
        <v>172</v>
      </c>
      <c r="I139" s="91">
        <f>VLOOKUP($A139,'Data Vlaue (Cr)'!$C:$FB,93)</f>
        <v>3</v>
      </c>
      <c r="J139" s="92">
        <f>VLOOKUP($A139,'Data Vlaue (Cr)'!$C:$FB,94)</f>
        <v>1.5100000000000001E-2</v>
      </c>
      <c r="K139" s="91">
        <f>VLOOKUP($A139,'Data Vlaue (Cr)'!$C:$FB,95)</f>
        <v>105</v>
      </c>
      <c r="L139" s="91">
        <f>VLOOKUP($A139,'Data Vlaue (Cr)'!$C:$FB,97)</f>
        <v>2</v>
      </c>
      <c r="M139" s="92">
        <f>VLOOKUP($A139,'Data Vlaue (Cr)'!$C:$FB,98)</f>
        <v>1.8200000000000001E-2</v>
      </c>
      <c r="N139" s="91">
        <f>VLOOKUP($A139,'Data Vlaue (Cr)'!$C:$FB,79)</f>
        <v>1528</v>
      </c>
      <c r="O139" s="92">
        <f>VLOOKUP($A139,'Data Vlaue (Cr)'!$C:$FB,82)</f>
        <v>-4.8500000000000001E-2</v>
      </c>
    </row>
    <row r="140" spans="1:15" x14ac:dyDescent="0.25">
      <c r="A140" s="97" t="str">
        <f>'Data Vlaue (Cr)'!C135</f>
        <v>MIDCPNIFTY</v>
      </c>
      <c r="B140" s="142">
        <f>VLOOKUP(A140,'Data Vlaue (Cr)'!C135:CW353,99,0)</f>
        <v>21566</v>
      </c>
      <c r="C140" s="90">
        <f>VLOOKUP(A140,'Data Vlaue (Cr)'!C135:CY353,101,0)</f>
        <v>-70</v>
      </c>
      <c r="D140" s="139">
        <f>VLOOKUP(A140,'Data Vlaue (Cr)'!C135:CZ353,102,0)</f>
        <v>-3.2000000000000002E-3</v>
      </c>
      <c r="E140" s="91">
        <f>VLOOKUP($A140,'Data Vlaue (Cr)'!$C:$FB,75)</f>
        <v>3362</v>
      </c>
      <c r="F140" s="91">
        <f>VLOOKUP($A140,'Data Vlaue (Cr)'!$C:$FB,77)</f>
        <v>-99</v>
      </c>
      <c r="G140" s="92">
        <f>VLOOKUP(A140,'Data Vlaue (Cr)'!C135:CB353,78,0)</f>
        <v>-2.86E-2</v>
      </c>
      <c r="H140" s="91">
        <f>VLOOKUP($A140,'Data Vlaue (Cr)'!$C:$FB,91)</f>
        <v>8156</v>
      </c>
      <c r="I140" s="91">
        <f>VLOOKUP($A140,'Data Vlaue (Cr)'!$C:$FB,93)</f>
        <v>-53</v>
      </c>
      <c r="J140" s="92">
        <f>VLOOKUP($A140,'Data Vlaue (Cr)'!$C:$FB,94)</f>
        <v>-6.4999999999999997E-3</v>
      </c>
      <c r="K140" s="91">
        <f>VLOOKUP($A140,'Data Vlaue (Cr)'!$C:$FB,95)</f>
        <v>10048</v>
      </c>
      <c r="L140" s="91">
        <f>VLOOKUP($A140,'Data Vlaue (Cr)'!$C:$FB,97)</f>
        <v>83</v>
      </c>
      <c r="M140" s="92">
        <f>VLOOKUP($A140,'Data Vlaue (Cr)'!$C:$FB,98)</f>
        <v>8.3000000000000001E-3</v>
      </c>
      <c r="N140" s="91">
        <f>VLOOKUP($A140,'Data Vlaue (Cr)'!$C:$FB,79)</f>
        <v>3155</v>
      </c>
      <c r="O140" s="92">
        <f>VLOOKUP($A140,'Data Vlaue (Cr)'!$C:$FB,82)</f>
        <v>-3.8899999999999997E-2</v>
      </c>
    </row>
    <row r="141" spans="1:15" x14ac:dyDescent="0.25">
      <c r="A141" s="97" t="str">
        <f>'Data Vlaue (Cr)'!C136</f>
        <v>MOTHERSON</v>
      </c>
      <c r="B141" s="142">
        <f>VLOOKUP(A141,'Data Vlaue (Cr)'!C136:CW354,99,0)</f>
        <v>2547</v>
      </c>
      <c r="C141" s="90">
        <f>VLOOKUP(A141,'Data Vlaue (Cr)'!C136:CY354,101,0)</f>
        <v>26</v>
      </c>
      <c r="D141" s="139">
        <f>VLOOKUP(A141,'Data Vlaue (Cr)'!C136:CZ354,102,0)</f>
        <v>1.03E-2</v>
      </c>
      <c r="E141" s="91">
        <f>VLOOKUP($A141,'Data Vlaue (Cr)'!$C:$FB,75)</f>
        <v>1610</v>
      </c>
      <c r="F141" s="91">
        <f>VLOOKUP($A141,'Data Vlaue (Cr)'!$C:$FB,77)</f>
        <v>-16</v>
      </c>
      <c r="G141" s="92">
        <f>VLOOKUP(A141,'Data Vlaue (Cr)'!C136:CB354,78,0)</f>
        <v>-9.9000000000000008E-3</v>
      </c>
      <c r="H141" s="91">
        <f>VLOOKUP($A141,'Data Vlaue (Cr)'!$C:$FB,91)</f>
        <v>487</v>
      </c>
      <c r="I141" s="91">
        <f>VLOOKUP($A141,'Data Vlaue (Cr)'!$C:$FB,93)</f>
        <v>12</v>
      </c>
      <c r="J141" s="92">
        <f>VLOOKUP($A141,'Data Vlaue (Cr)'!$C:$FB,94)</f>
        <v>2.5899999999999999E-2</v>
      </c>
      <c r="K141" s="91">
        <f>VLOOKUP($A141,'Data Vlaue (Cr)'!$C:$FB,95)</f>
        <v>450</v>
      </c>
      <c r="L141" s="91">
        <f>VLOOKUP($A141,'Data Vlaue (Cr)'!$C:$FB,97)</f>
        <v>30</v>
      </c>
      <c r="M141" s="92">
        <f>VLOOKUP($A141,'Data Vlaue (Cr)'!$C:$FB,98)</f>
        <v>7.0999999999999994E-2</v>
      </c>
      <c r="N141" s="91">
        <f>VLOOKUP($A141,'Data Vlaue (Cr)'!$C:$FB,79)</f>
        <v>1448</v>
      </c>
      <c r="O141" s="92">
        <f>VLOOKUP($A141,'Data Vlaue (Cr)'!$C:$FB,82)</f>
        <v>-2.1600000000000001E-2</v>
      </c>
    </row>
    <row r="142" spans="1:15" x14ac:dyDescent="0.25">
      <c r="A142" s="97" t="str">
        <f>'Data Vlaue (Cr)'!C137</f>
        <v>MOTILALOFS</v>
      </c>
      <c r="B142" s="142">
        <f>VLOOKUP(A142,'Data Vlaue (Cr)'!C137:CW355,99,0)</f>
        <v>507</v>
      </c>
      <c r="C142" s="90">
        <f>VLOOKUP(A142,'Data Vlaue (Cr)'!C137:CY355,101,0)</f>
        <v>48</v>
      </c>
      <c r="D142" s="139">
        <f>VLOOKUP(A142,'Data Vlaue (Cr)'!C137:CZ355,102,0)</f>
        <v>0.1052</v>
      </c>
      <c r="E142" s="91">
        <f>VLOOKUP($A142,'Data Vlaue (Cr)'!$C:$FB,75)</f>
        <v>237</v>
      </c>
      <c r="F142" s="91">
        <f>VLOOKUP($A142,'Data Vlaue (Cr)'!$C:$FB,77)</f>
        <v>6</v>
      </c>
      <c r="G142" s="92">
        <f>VLOOKUP(A142,'Data Vlaue (Cr)'!C137:CB355,78,0)</f>
        <v>2.5999999999999999E-2</v>
      </c>
      <c r="H142" s="91">
        <f>VLOOKUP($A142,'Data Vlaue (Cr)'!$C:$FB,91)</f>
        <v>156</v>
      </c>
      <c r="I142" s="91">
        <f>VLOOKUP($A142,'Data Vlaue (Cr)'!$C:$FB,93)</f>
        <v>29</v>
      </c>
      <c r="J142" s="92">
        <f>VLOOKUP($A142,'Data Vlaue (Cr)'!$C:$FB,94)</f>
        <v>0.2273</v>
      </c>
      <c r="K142" s="91">
        <f>VLOOKUP($A142,'Data Vlaue (Cr)'!$C:$FB,95)</f>
        <v>113</v>
      </c>
      <c r="L142" s="91">
        <f>VLOOKUP($A142,'Data Vlaue (Cr)'!$C:$FB,97)</f>
        <v>13</v>
      </c>
      <c r="M142" s="92">
        <f>VLOOKUP($A142,'Data Vlaue (Cr)'!$C:$FB,98)</f>
        <v>0.1331</v>
      </c>
      <c r="N142" s="91">
        <f>VLOOKUP($A142,'Data Vlaue (Cr)'!$C:$FB,79)</f>
        <v>223</v>
      </c>
      <c r="O142" s="92">
        <f>VLOOKUP($A142,'Data Vlaue (Cr)'!$C:$FB,82)</f>
        <v>2.5000000000000001E-3</v>
      </c>
    </row>
    <row r="143" spans="1:15" x14ac:dyDescent="0.25">
      <c r="A143" s="97" t="str">
        <f>'Data Vlaue (Cr)'!C138</f>
        <v>MPHASIS</v>
      </c>
      <c r="B143" s="142">
        <f>VLOOKUP(A143,'Data Vlaue (Cr)'!C138:CW356,99,0)</f>
        <v>1637</v>
      </c>
      <c r="C143" s="90">
        <f>VLOOKUP(A143,'Data Vlaue (Cr)'!C138:CY356,101,0)</f>
        <v>-13</v>
      </c>
      <c r="D143" s="139">
        <f>VLOOKUP(A143,'Data Vlaue (Cr)'!C138:CZ356,102,0)</f>
        <v>-7.9000000000000008E-3</v>
      </c>
      <c r="E143" s="91">
        <f>VLOOKUP($A143,'Data Vlaue (Cr)'!$C:$FB,75)</f>
        <v>1144</v>
      </c>
      <c r="F143" s="91">
        <f>VLOOKUP($A143,'Data Vlaue (Cr)'!$C:$FB,77)</f>
        <v>4</v>
      </c>
      <c r="G143" s="92">
        <f>VLOOKUP(A143,'Data Vlaue (Cr)'!C138:CB356,78,0)</f>
        <v>3.7000000000000002E-3</v>
      </c>
      <c r="H143" s="91">
        <f>VLOOKUP($A143,'Data Vlaue (Cr)'!$C:$FB,91)</f>
        <v>281</v>
      </c>
      <c r="I143" s="91">
        <f>VLOOKUP($A143,'Data Vlaue (Cr)'!$C:$FB,93)</f>
        <v>-6</v>
      </c>
      <c r="J143" s="92">
        <f>VLOOKUP($A143,'Data Vlaue (Cr)'!$C:$FB,94)</f>
        <v>-2.1100000000000001E-2</v>
      </c>
      <c r="K143" s="91">
        <f>VLOOKUP($A143,'Data Vlaue (Cr)'!$C:$FB,95)</f>
        <v>212</v>
      </c>
      <c r="L143" s="91">
        <f>VLOOKUP($A143,'Data Vlaue (Cr)'!$C:$FB,97)</f>
        <v>-11</v>
      </c>
      <c r="M143" s="92">
        <f>VLOOKUP($A143,'Data Vlaue (Cr)'!$C:$FB,98)</f>
        <v>-4.9700000000000001E-2</v>
      </c>
      <c r="N143" s="91">
        <f>VLOOKUP($A143,'Data Vlaue (Cr)'!$C:$FB,79)</f>
        <v>1077</v>
      </c>
      <c r="O143" s="92">
        <f>VLOOKUP($A143,'Data Vlaue (Cr)'!$C:$FB,82)</f>
        <v>1.2999999999999999E-3</v>
      </c>
    </row>
    <row r="144" spans="1:15" x14ac:dyDescent="0.25">
      <c r="A144" s="97" t="str">
        <f>'Data Vlaue (Cr)'!C139</f>
        <v>MUTHOOTFIN</v>
      </c>
      <c r="B144" s="142">
        <f>VLOOKUP(A144,'Data Vlaue (Cr)'!C139:CW357,99,0)</f>
        <v>2711</v>
      </c>
      <c r="C144" s="90">
        <f>VLOOKUP(A144,'Data Vlaue (Cr)'!C139:CY357,101,0)</f>
        <v>-18</v>
      </c>
      <c r="D144" s="139">
        <f>VLOOKUP(A144,'Data Vlaue (Cr)'!C139:CZ357,102,0)</f>
        <v>-6.6E-3</v>
      </c>
      <c r="E144" s="91">
        <f>VLOOKUP($A144,'Data Vlaue (Cr)'!$C:$FB,75)</f>
        <v>1368</v>
      </c>
      <c r="F144" s="91">
        <f>VLOOKUP($A144,'Data Vlaue (Cr)'!$C:$FB,77)</f>
        <v>-16</v>
      </c>
      <c r="G144" s="92">
        <f>VLOOKUP(A144,'Data Vlaue (Cr)'!C139:CB357,78,0)</f>
        <v>-1.1299999999999999E-2</v>
      </c>
      <c r="H144" s="91">
        <f>VLOOKUP($A144,'Data Vlaue (Cr)'!$C:$FB,91)</f>
        <v>852</v>
      </c>
      <c r="I144" s="91">
        <f>VLOOKUP($A144,'Data Vlaue (Cr)'!$C:$FB,93)</f>
        <v>17</v>
      </c>
      <c r="J144" s="92">
        <f>VLOOKUP($A144,'Data Vlaue (Cr)'!$C:$FB,94)</f>
        <v>2.01E-2</v>
      </c>
      <c r="K144" s="91">
        <f>VLOOKUP($A144,'Data Vlaue (Cr)'!$C:$FB,95)</f>
        <v>490</v>
      </c>
      <c r="L144" s="91">
        <f>VLOOKUP($A144,'Data Vlaue (Cr)'!$C:$FB,97)</f>
        <v>-19</v>
      </c>
      <c r="M144" s="92">
        <f>VLOOKUP($A144,'Data Vlaue (Cr)'!$C:$FB,98)</f>
        <v>-3.7499999999999999E-2</v>
      </c>
      <c r="N144" s="91">
        <f>VLOOKUP($A144,'Data Vlaue (Cr)'!$C:$FB,79)</f>
        <v>1284</v>
      </c>
      <c r="O144" s="92">
        <f>VLOOKUP($A144,'Data Vlaue (Cr)'!$C:$FB,82)</f>
        <v>-1.38E-2</v>
      </c>
    </row>
    <row r="145" spans="1:15" x14ac:dyDescent="0.25">
      <c r="A145" s="97" t="str">
        <f>'Data Vlaue (Cr)'!C140</f>
        <v>NAM-INDIA</v>
      </c>
      <c r="B145" s="142">
        <f>VLOOKUP(A145,'Data Vlaue (Cr)'!C140:CW358,99,0)</f>
        <v>461</v>
      </c>
      <c r="C145" s="90">
        <f>VLOOKUP(A145,'Data Vlaue (Cr)'!C140:CY358,101,0)</f>
        <v>15</v>
      </c>
      <c r="D145" s="139">
        <f>VLOOKUP(A145,'Data Vlaue (Cr)'!C140:CZ358,102,0)</f>
        <v>3.3500000000000002E-2</v>
      </c>
      <c r="E145" s="91">
        <f>VLOOKUP($A145,'Data Vlaue (Cr)'!$C:$FB,75)</f>
        <v>334</v>
      </c>
      <c r="F145" s="91">
        <f>VLOOKUP($A145,'Data Vlaue (Cr)'!$C:$FB,77)</f>
        <v>14</v>
      </c>
      <c r="G145" s="92">
        <f>VLOOKUP(A145,'Data Vlaue (Cr)'!C140:CB358,78,0)</f>
        <v>4.5100000000000001E-2</v>
      </c>
      <c r="H145" s="91">
        <f>VLOOKUP($A145,'Data Vlaue (Cr)'!$C:$FB,91)</f>
        <v>77</v>
      </c>
      <c r="I145" s="91">
        <f>VLOOKUP($A145,'Data Vlaue (Cr)'!$C:$FB,93)</f>
        <v>3</v>
      </c>
      <c r="J145" s="92">
        <f>VLOOKUP($A145,'Data Vlaue (Cr)'!$C:$FB,94)</f>
        <v>4.7100000000000003E-2</v>
      </c>
      <c r="K145" s="91">
        <f>VLOOKUP($A145,'Data Vlaue (Cr)'!$C:$FB,95)</f>
        <v>50</v>
      </c>
      <c r="L145" s="91">
        <f>VLOOKUP($A145,'Data Vlaue (Cr)'!$C:$FB,97)</f>
        <v>-3</v>
      </c>
      <c r="M145" s="92">
        <f>VLOOKUP($A145,'Data Vlaue (Cr)'!$C:$FB,98)</f>
        <v>-5.5500000000000001E-2</v>
      </c>
      <c r="N145" s="91">
        <f>VLOOKUP($A145,'Data Vlaue (Cr)'!$C:$FB,79)</f>
        <v>299</v>
      </c>
      <c r="O145" s="92">
        <f>VLOOKUP($A145,'Data Vlaue (Cr)'!$C:$FB,82)</f>
        <v>2.2100000000000002E-2</v>
      </c>
    </row>
    <row r="146" spans="1:15" x14ac:dyDescent="0.25">
      <c r="A146" s="97" t="str">
        <f>'Data Vlaue (Cr)'!C141</f>
        <v>NATIONALUM</v>
      </c>
      <c r="B146" s="142">
        <f>VLOOKUP(A146,'Data Vlaue (Cr)'!C141:CW359,99,0)</f>
        <v>5311</v>
      </c>
      <c r="C146" s="90">
        <f>VLOOKUP(A146,'Data Vlaue (Cr)'!C141:CY359,101,0)</f>
        <v>89</v>
      </c>
      <c r="D146" s="139">
        <f>VLOOKUP(A146,'Data Vlaue (Cr)'!C141:CZ359,102,0)</f>
        <v>1.7000000000000001E-2</v>
      </c>
      <c r="E146" s="91">
        <f>VLOOKUP($A146,'Data Vlaue (Cr)'!$C:$FB,75)</f>
        <v>2347</v>
      </c>
      <c r="F146" s="91">
        <f>VLOOKUP($A146,'Data Vlaue (Cr)'!$C:$FB,77)</f>
        <v>36</v>
      </c>
      <c r="G146" s="92">
        <f>VLOOKUP(A146,'Data Vlaue (Cr)'!C141:CB359,78,0)</f>
        <v>1.55E-2</v>
      </c>
      <c r="H146" s="91">
        <f>VLOOKUP($A146,'Data Vlaue (Cr)'!$C:$FB,91)</f>
        <v>1549</v>
      </c>
      <c r="I146" s="91">
        <f>VLOOKUP($A146,'Data Vlaue (Cr)'!$C:$FB,93)</f>
        <v>93</v>
      </c>
      <c r="J146" s="92">
        <f>VLOOKUP($A146,'Data Vlaue (Cr)'!$C:$FB,94)</f>
        <v>6.3799999999999996E-2</v>
      </c>
      <c r="K146" s="91">
        <f>VLOOKUP($A146,'Data Vlaue (Cr)'!$C:$FB,95)</f>
        <v>1414</v>
      </c>
      <c r="L146" s="91">
        <f>VLOOKUP($A146,'Data Vlaue (Cr)'!$C:$FB,97)</f>
        <v>-40</v>
      </c>
      <c r="M146" s="92">
        <f>VLOOKUP($A146,'Data Vlaue (Cr)'!$C:$FB,98)</f>
        <v>-2.7400000000000001E-2</v>
      </c>
      <c r="N146" s="91">
        <f>VLOOKUP($A146,'Data Vlaue (Cr)'!$C:$FB,79)</f>
        <v>2159</v>
      </c>
      <c r="O146" s="92">
        <f>VLOOKUP($A146,'Data Vlaue (Cr)'!$C:$FB,82)</f>
        <v>-1.15E-2</v>
      </c>
    </row>
    <row r="147" spans="1:15" x14ac:dyDescent="0.25">
      <c r="A147" s="97" t="str">
        <f>'Data Vlaue (Cr)'!C142</f>
        <v>NAUKRI</v>
      </c>
      <c r="B147" s="142">
        <f>VLOOKUP(A147,'Data Vlaue (Cr)'!C142:CW360,99,0)</f>
        <v>1616</v>
      </c>
      <c r="C147" s="90">
        <f>VLOOKUP(A147,'Data Vlaue (Cr)'!C142:CY360,101,0)</f>
        <v>78</v>
      </c>
      <c r="D147" s="139">
        <f>VLOOKUP(A147,'Data Vlaue (Cr)'!C142:CZ360,102,0)</f>
        <v>5.0799999999999998E-2</v>
      </c>
      <c r="E147" s="91">
        <f>VLOOKUP($A147,'Data Vlaue (Cr)'!$C:$FB,75)</f>
        <v>1046</v>
      </c>
      <c r="F147" s="91">
        <f>VLOOKUP($A147,'Data Vlaue (Cr)'!$C:$FB,77)</f>
        <v>-17</v>
      </c>
      <c r="G147" s="92">
        <f>VLOOKUP(A147,'Data Vlaue (Cr)'!C142:CB360,78,0)</f>
        <v>-1.5699999999999999E-2</v>
      </c>
      <c r="H147" s="91">
        <f>VLOOKUP($A147,'Data Vlaue (Cr)'!$C:$FB,91)</f>
        <v>395</v>
      </c>
      <c r="I147" s="91">
        <f>VLOOKUP($A147,'Data Vlaue (Cr)'!$C:$FB,93)</f>
        <v>64</v>
      </c>
      <c r="J147" s="92">
        <f>VLOOKUP($A147,'Data Vlaue (Cr)'!$C:$FB,94)</f>
        <v>0.19259999999999999</v>
      </c>
      <c r="K147" s="91">
        <f>VLOOKUP($A147,'Data Vlaue (Cr)'!$C:$FB,95)</f>
        <v>175</v>
      </c>
      <c r="L147" s="91">
        <f>VLOOKUP($A147,'Data Vlaue (Cr)'!$C:$FB,97)</f>
        <v>31</v>
      </c>
      <c r="M147" s="92">
        <f>VLOOKUP($A147,'Data Vlaue (Cr)'!$C:$FB,98)</f>
        <v>0.216</v>
      </c>
      <c r="N147" s="91">
        <f>VLOOKUP($A147,'Data Vlaue (Cr)'!$C:$FB,79)</f>
        <v>941</v>
      </c>
      <c r="O147" s="92">
        <f>VLOOKUP($A147,'Data Vlaue (Cr)'!$C:$FB,82)</f>
        <v>-9.4399999999999998E-2</v>
      </c>
    </row>
    <row r="148" spans="1:15" x14ac:dyDescent="0.25">
      <c r="A148" s="97" t="str">
        <f>'Data Vlaue (Cr)'!C143</f>
        <v>NBCC</v>
      </c>
      <c r="B148" s="142">
        <f>VLOOKUP(A148,'Data Vlaue (Cr)'!C143:CW361,99,0)</f>
        <v>1059</v>
      </c>
      <c r="C148" s="90">
        <f>VLOOKUP(A148,'Data Vlaue (Cr)'!C143:CY361,101,0)</f>
        <v>6</v>
      </c>
      <c r="D148" s="139">
        <f>VLOOKUP(A148,'Data Vlaue (Cr)'!C143:CZ361,102,0)</f>
        <v>5.5999999999999999E-3</v>
      </c>
      <c r="E148" s="91">
        <f>VLOOKUP($A148,'Data Vlaue (Cr)'!$C:$FB,75)</f>
        <v>750</v>
      </c>
      <c r="F148" s="91">
        <f>VLOOKUP($A148,'Data Vlaue (Cr)'!$C:$FB,77)</f>
        <v>10</v>
      </c>
      <c r="G148" s="92">
        <f>VLOOKUP(A148,'Data Vlaue (Cr)'!C143:CB361,78,0)</f>
        <v>1.37E-2</v>
      </c>
      <c r="H148" s="91">
        <f>VLOOKUP($A148,'Data Vlaue (Cr)'!$C:$FB,91)</f>
        <v>185</v>
      </c>
      <c r="I148" s="91">
        <f>VLOOKUP($A148,'Data Vlaue (Cr)'!$C:$FB,93)</f>
        <v>-2</v>
      </c>
      <c r="J148" s="92">
        <f>VLOOKUP($A148,'Data Vlaue (Cr)'!$C:$FB,94)</f>
        <v>-8.0999999999999996E-3</v>
      </c>
      <c r="K148" s="91">
        <f>VLOOKUP($A148,'Data Vlaue (Cr)'!$C:$FB,95)</f>
        <v>123</v>
      </c>
      <c r="L148" s="91">
        <f>VLOOKUP($A148,'Data Vlaue (Cr)'!$C:$FB,97)</f>
        <v>-3</v>
      </c>
      <c r="M148" s="92">
        <f>VLOOKUP($A148,'Data Vlaue (Cr)'!$C:$FB,98)</f>
        <v>-2.1700000000000001E-2</v>
      </c>
      <c r="N148" s="91">
        <f>VLOOKUP($A148,'Data Vlaue (Cr)'!$C:$FB,79)</f>
        <v>679</v>
      </c>
      <c r="O148" s="92">
        <f>VLOOKUP($A148,'Data Vlaue (Cr)'!$C:$FB,82)</f>
        <v>-9.7999999999999997E-3</v>
      </c>
    </row>
    <row r="149" spans="1:15" x14ac:dyDescent="0.25">
      <c r="A149" s="97" t="str">
        <f>'Data Vlaue (Cr)'!C144</f>
        <v>NESTLEIND</v>
      </c>
      <c r="B149" s="142">
        <f>VLOOKUP(A149,'Data Vlaue (Cr)'!C144:CW362,99,0)</f>
        <v>3412</v>
      </c>
      <c r="C149" s="90">
        <f>VLOOKUP(A149,'Data Vlaue (Cr)'!C144:CY362,101,0)</f>
        <v>132</v>
      </c>
      <c r="D149" s="139">
        <f>VLOOKUP(A149,'Data Vlaue (Cr)'!C144:CZ362,102,0)</f>
        <v>4.0300000000000002E-2</v>
      </c>
      <c r="E149" s="91">
        <f>VLOOKUP($A149,'Data Vlaue (Cr)'!$C:$FB,75)</f>
        <v>2446</v>
      </c>
      <c r="F149" s="91">
        <f>VLOOKUP($A149,'Data Vlaue (Cr)'!$C:$FB,77)</f>
        <v>7</v>
      </c>
      <c r="G149" s="92">
        <f>VLOOKUP(A149,'Data Vlaue (Cr)'!C144:CB362,78,0)</f>
        <v>2.8999999999999998E-3</v>
      </c>
      <c r="H149" s="91">
        <f>VLOOKUP($A149,'Data Vlaue (Cr)'!$C:$FB,91)</f>
        <v>628</v>
      </c>
      <c r="I149" s="91">
        <f>VLOOKUP($A149,'Data Vlaue (Cr)'!$C:$FB,93)</f>
        <v>89</v>
      </c>
      <c r="J149" s="92">
        <f>VLOOKUP($A149,'Data Vlaue (Cr)'!$C:$FB,94)</f>
        <v>0.16600000000000001</v>
      </c>
      <c r="K149" s="91">
        <f>VLOOKUP($A149,'Data Vlaue (Cr)'!$C:$FB,95)</f>
        <v>339</v>
      </c>
      <c r="L149" s="91">
        <f>VLOOKUP($A149,'Data Vlaue (Cr)'!$C:$FB,97)</f>
        <v>36</v>
      </c>
      <c r="M149" s="92">
        <f>VLOOKUP($A149,'Data Vlaue (Cr)'!$C:$FB,98)</f>
        <v>0.11849999999999999</v>
      </c>
      <c r="N149" s="91">
        <f>VLOOKUP($A149,'Data Vlaue (Cr)'!$C:$FB,79)</f>
        <v>2274</v>
      </c>
      <c r="O149" s="92">
        <f>VLOOKUP($A149,'Data Vlaue (Cr)'!$C:$FB,82)</f>
        <v>1.8E-3</v>
      </c>
    </row>
    <row r="150" spans="1:15" x14ac:dyDescent="0.25">
      <c r="A150" s="97" t="str">
        <f>'Data Vlaue (Cr)'!C145</f>
        <v>NHPC</v>
      </c>
      <c r="B150" s="142">
        <f>VLOOKUP(A150,'Data Vlaue (Cr)'!C145:CW363,99,0)</f>
        <v>1266</v>
      </c>
      <c r="C150" s="90">
        <f>VLOOKUP(A150,'Data Vlaue (Cr)'!C145:CY363,101,0)</f>
        <v>-2</v>
      </c>
      <c r="D150" s="139">
        <f>VLOOKUP(A150,'Data Vlaue (Cr)'!C145:CZ363,102,0)</f>
        <v>-1.8E-3</v>
      </c>
      <c r="E150" s="91">
        <f>VLOOKUP($A150,'Data Vlaue (Cr)'!$C:$FB,75)</f>
        <v>720</v>
      </c>
      <c r="F150" s="91">
        <f>VLOOKUP($A150,'Data Vlaue (Cr)'!$C:$FB,77)</f>
        <v>15</v>
      </c>
      <c r="G150" s="92">
        <f>VLOOKUP(A150,'Data Vlaue (Cr)'!C145:CB363,78,0)</f>
        <v>2.12E-2</v>
      </c>
      <c r="H150" s="91">
        <f>VLOOKUP($A150,'Data Vlaue (Cr)'!$C:$FB,91)</f>
        <v>296</v>
      </c>
      <c r="I150" s="91">
        <f>VLOOKUP($A150,'Data Vlaue (Cr)'!$C:$FB,93)</f>
        <v>-16</v>
      </c>
      <c r="J150" s="92">
        <f>VLOOKUP($A150,'Data Vlaue (Cr)'!$C:$FB,94)</f>
        <v>-5.1700000000000003E-2</v>
      </c>
      <c r="K150" s="91">
        <f>VLOOKUP($A150,'Data Vlaue (Cr)'!$C:$FB,95)</f>
        <v>250</v>
      </c>
      <c r="L150" s="91">
        <f>VLOOKUP($A150,'Data Vlaue (Cr)'!$C:$FB,97)</f>
        <v>-1</v>
      </c>
      <c r="M150" s="92">
        <f>VLOOKUP($A150,'Data Vlaue (Cr)'!$C:$FB,98)</f>
        <v>-4.5999999999999999E-3</v>
      </c>
      <c r="N150" s="91">
        <f>VLOOKUP($A150,'Data Vlaue (Cr)'!$C:$FB,79)</f>
        <v>657</v>
      </c>
      <c r="O150" s="92">
        <f>VLOOKUP($A150,'Data Vlaue (Cr)'!$C:$FB,82)</f>
        <v>-2.5000000000000001E-3</v>
      </c>
    </row>
    <row r="151" spans="1:15" x14ac:dyDescent="0.25">
      <c r="A151" s="97" t="str">
        <f>'Data Vlaue (Cr)'!C146</f>
        <v>NIFTY</v>
      </c>
      <c r="B151" s="142">
        <f>VLOOKUP(A151,'Data Vlaue (Cr)'!C146:CW364,99,0)</f>
        <v>1266514</v>
      </c>
      <c r="C151" s="90">
        <f>VLOOKUP(A151,'Data Vlaue (Cr)'!C146:CY364,101,0)</f>
        <v>4000</v>
      </c>
      <c r="D151" s="139">
        <f>VLOOKUP(A151,'Data Vlaue (Cr)'!C146:CZ364,102,0)</f>
        <v>3.2000000000000002E-3</v>
      </c>
      <c r="E151" s="91">
        <f>VLOOKUP($A151,'Data Vlaue (Cr)'!$C:$FB,75)</f>
        <v>49141</v>
      </c>
      <c r="F151" s="91">
        <f>VLOOKUP($A151,'Data Vlaue (Cr)'!$C:$FB,77)</f>
        <v>-846</v>
      </c>
      <c r="G151" s="92">
        <f>VLOOKUP(A151,'Data Vlaue (Cr)'!C146:CB364,78,0)</f>
        <v>-1.6899999999999998E-2</v>
      </c>
      <c r="H151" s="91">
        <f>VLOOKUP($A151,'Data Vlaue (Cr)'!$C:$FB,91)</f>
        <v>570530</v>
      </c>
      <c r="I151" s="91">
        <f>VLOOKUP($A151,'Data Vlaue (Cr)'!$C:$FB,93)</f>
        <v>-8308</v>
      </c>
      <c r="J151" s="92">
        <f>VLOOKUP($A151,'Data Vlaue (Cr)'!$C:$FB,94)</f>
        <v>-1.44E-2</v>
      </c>
      <c r="K151" s="91">
        <f>VLOOKUP($A151,'Data Vlaue (Cr)'!$C:$FB,95)</f>
        <v>646843</v>
      </c>
      <c r="L151" s="91">
        <f>VLOOKUP($A151,'Data Vlaue (Cr)'!$C:$FB,97)</f>
        <v>13154</v>
      </c>
      <c r="M151" s="92">
        <f>VLOOKUP($A151,'Data Vlaue (Cr)'!$C:$FB,98)</f>
        <v>2.0799999999999999E-2</v>
      </c>
      <c r="N151" s="91">
        <f>VLOOKUP($A151,'Data Vlaue (Cr)'!$C:$FB,79)</f>
        <v>40722</v>
      </c>
      <c r="O151" s="92">
        <f>VLOOKUP($A151,'Data Vlaue (Cr)'!$C:$FB,82)</f>
        <v>-2.7099999999999999E-2</v>
      </c>
    </row>
    <row r="152" spans="1:15" x14ac:dyDescent="0.25">
      <c r="A152" s="97" t="str">
        <f>'Data Vlaue (Cr)'!C147</f>
        <v>NIFTYNXT50</v>
      </c>
      <c r="B152" s="142">
        <f>VLOOKUP(A152,'Data Vlaue (Cr)'!C147:CW365,99,0)</f>
        <v>289</v>
      </c>
      <c r="C152" s="90">
        <f>VLOOKUP(A152,'Data Vlaue (Cr)'!C147:CY365,101,0)</f>
        <v>13</v>
      </c>
      <c r="D152" s="139">
        <f>VLOOKUP(A152,'Data Vlaue (Cr)'!C147:CZ365,102,0)</f>
        <v>4.58E-2</v>
      </c>
      <c r="E152" s="91">
        <f>VLOOKUP($A152,'Data Vlaue (Cr)'!$C:$FB,75)</f>
        <v>155</v>
      </c>
      <c r="F152" s="91">
        <f>VLOOKUP($A152,'Data Vlaue (Cr)'!$C:$FB,77)</f>
        <v>9</v>
      </c>
      <c r="G152" s="92">
        <f>VLOOKUP(A152,'Data Vlaue (Cr)'!C147:CB365,78,0)</f>
        <v>6.3799999999999996E-2</v>
      </c>
      <c r="H152" s="91">
        <f>VLOOKUP($A152,'Data Vlaue (Cr)'!$C:$FB,91)</f>
        <v>96</v>
      </c>
      <c r="I152" s="91">
        <f>VLOOKUP($A152,'Data Vlaue (Cr)'!$C:$FB,93)</f>
        <v>0</v>
      </c>
      <c r="J152" s="92">
        <f>VLOOKUP($A152,'Data Vlaue (Cr)'!$C:$FB,94)</f>
        <v>0</v>
      </c>
      <c r="K152" s="91">
        <f>VLOOKUP($A152,'Data Vlaue (Cr)'!$C:$FB,95)</f>
        <v>38</v>
      </c>
      <c r="L152" s="91">
        <f>VLOOKUP($A152,'Data Vlaue (Cr)'!$C:$FB,97)</f>
        <v>3</v>
      </c>
      <c r="M152" s="92">
        <f>VLOOKUP($A152,'Data Vlaue (Cr)'!$C:$FB,98)</f>
        <v>9.69E-2</v>
      </c>
      <c r="N152" s="91">
        <f>VLOOKUP($A152,'Data Vlaue (Cr)'!$C:$FB,79)</f>
        <v>134</v>
      </c>
      <c r="O152" s="92">
        <f>VLOOKUP($A152,'Data Vlaue (Cr)'!$C:$FB,82)</f>
        <v>2.7E-2</v>
      </c>
    </row>
    <row r="153" spans="1:15" x14ac:dyDescent="0.25">
      <c r="A153" s="97" t="str">
        <f>'Data Vlaue (Cr)'!C148</f>
        <v>NMDC</v>
      </c>
      <c r="B153" s="142">
        <f>VLOOKUP(A153,'Data Vlaue (Cr)'!C148:CW366,99,0)</f>
        <v>4042</v>
      </c>
      <c r="C153" s="90">
        <f>VLOOKUP(A153,'Data Vlaue (Cr)'!C148:CY366,101,0)</f>
        <v>-56</v>
      </c>
      <c r="D153" s="139">
        <f>VLOOKUP(A153,'Data Vlaue (Cr)'!C148:CZ366,102,0)</f>
        <v>-1.3599999999999999E-2</v>
      </c>
      <c r="E153" s="91">
        <f>VLOOKUP($A153,'Data Vlaue (Cr)'!$C:$FB,75)</f>
        <v>2853</v>
      </c>
      <c r="F153" s="91">
        <f>VLOOKUP($A153,'Data Vlaue (Cr)'!$C:$FB,77)</f>
        <v>-45</v>
      </c>
      <c r="G153" s="92">
        <f>VLOOKUP(A153,'Data Vlaue (Cr)'!C148:CB366,78,0)</f>
        <v>-1.54E-2</v>
      </c>
      <c r="H153" s="91">
        <f>VLOOKUP($A153,'Data Vlaue (Cr)'!$C:$FB,91)</f>
        <v>721</v>
      </c>
      <c r="I153" s="91">
        <f>VLOOKUP($A153,'Data Vlaue (Cr)'!$C:$FB,93)</f>
        <v>10</v>
      </c>
      <c r="J153" s="92">
        <f>VLOOKUP($A153,'Data Vlaue (Cr)'!$C:$FB,94)</f>
        <v>1.34E-2</v>
      </c>
      <c r="K153" s="91">
        <f>VLOOKUP($A153,'Data Vlaue (Cr)'!$C:$FB,95)</f>
        <v>468</v>
      </c>
      <c r="L153" s="91">
        <f>VLOOKUP($A153,'Data Vlaue (Cr)'!$C:$FB,97)</f>
        <v>-21</v>
      </c>
      <c r="M153" s="92">
        <f>VLOOKUP($A153,'Data Vlaue (Cr)'!$C:$FB,98)</f>
        <v>-4.2099999999999999E-2</v>
      </c>
      <c r="N153" s="91">
        <f>VLOOKUP($A153,'Data Vlaue (Cr)'!$C:$FB,79)</f>
        <v>2644</v>
      </c>
      <c r="O153" s="92">
        <f>VLOOKUP($A153,'Data Vlaue (Cr)'!$C:$FB,82)</f>
        <v>-2.87E-2</v>
      </c>
    </row>
    <row r="154" spans="1:15" x14ac:dyDescent="0.25">
      <c r="A154" s="97" t="str">
        <f>'Data Vlaue (Cr)'!C149</f>
        <v>NTPC</v>
      </c>
      <c r="B154" s="142">
        <f>VLOOKUP(A154,'Data Vlaue (Cr)'!C149:CW367,99,0)</f>
        <v>8329</v>
      </c>
      <c r="C154" s="90">
        <f>VLOOKUP(A154,'Data Vlaue (Cr)'!C149:CY367,101,0)</f>
        <v>813</v>
      </c>
      <c r="D154" s="139">
        <f>VLOOKUP(A154,'Data Vlaue (Cr)'!C149:CZ367,102,0)</f>
        <v>0.1082</v>
      </c>
      <c r="E154" s="91">
        <f>VLOOKUP($A154,'Data Vlaue (Cr)'!$C:$FB,75)</f>
        <v>4158</v>
      </c>
      <c r="F154" s="91">
        <f>VLOOKUP($A154,'Data Vlaue (Cr)'!$C:$FB,77)</f>
        <v>254</v>
      </c>
      <c r="G154" s="92">
        <f>VLOOKUP(A154,'Data Vlaue (Cr)'!C149:CB367,78,0)</f>
        <v>6.5000000000000002E-2</v>
      </c>
      <c r="H154" s="91">
        <f>VLOOKUP($A154,'Data Vlaue (Cr)'!$C:$FB,91)</f>
        <v>2726</v>
      </c>
      <c r="I154" s="91">
        <f>VLOOKUP($A154,'Data Vlaue (Cr)'!$C:$FB,93)</f>
        <v>362</v>
      </c>
      <c r="J154" s="92">
        <f>VLOOKUP($A154,'Data Vlaue (Cr)'!$C:$FB,94)</f>
        <v>0.1532</v>
      </c>
      <c r="K154" s="91">
        <f>VLOOKUP($A154,'Data Vlaue (Cr)'!$C:$FB,95)</f>
        <v>1445</v>
      </c>
      <c r="L154" s="91">
        <f>VLOOKUP($A154,'Data Vlaue (Cr)'!$C:$FB,97)</f>
        <v>198</v>
      </c>
      <c r="M154" s="92">
        <f>VLOOKUP($A154,'Data Vlaue (Cr)'!$C:$FB,98)</f>
        <v>0.1583</v>
      </c>
      <c r="N154" s="91">
        <f>VLOOKUP($A154,'Data Vlaue (Cr)'!$C:$FB,79)</f>
        <v>3434</v>
      </c>
      <c r="O154" s="92">
        <f>VLOOKUP($A154,'Data Vlaue (Cr)'!$C:$FB,82)</f>
        <v>4.36E-2</v>
      </c>
    </row>
    <row r="155" spans="1:15" x14ac:dyDescent="0.25">
      <c r="A155" s="97" t="str">
        <f>'Data Vlaue (Cr)'!C150</f>
        <v>NUVAMA</v>
      </c>
      <c r="B155" s="142">
        <f>VLOOKUP(A155,'Data Vlaue (Cr)'!C150:CW368,99,0)</f>
        <v>530</v>
      </c>
      <c r="C155" s="90">
        <f>VLOOKUP(A155,'Data Vlaue (Cr)'!C150:CY368,101,0)</f>
        <v>3</v>
      </c>
      <c r="D155" s="139">
        <f>VLOOKUP(A155,'Data Vlaue (Cr)'!C150:CZ368,102,0)</f>
        <v>6.4000000000000003E-3</v>
      </c>
      <c r="E155" s="91">
        <f>VLOOKUP($A155,'Data Vlaue (Cr)'!$C:$FB,75)</f>
        <v>280</v>
      </c>
      <c r="F155" s="91">
        <f>VLOOKUP($A155,'Data Vlaue (Cr)'!$C:$FB,77)</f>
        <v>-2</v>
      </c>
      <c r="G155" s="92">
        <f>VLOOKUP(A155,'Data Vlaue (Cr)'!C150:CB368,78,0)</f>
        <v>-5.8999999999999999E-3</v>
      </c>
      <c r="H155" s="91">
        <f>VLOOKUP($A155,'Data Vlaue (Cr)'!$C:$FB,91)</f>
        <v>139</v>
      </c>
      <c r="I155" s="91">
        <f>VLOOKUP($A155,'Data Vlaue (Cr)'!$C:$FB,93)</f>
        <v>6</v>
      </c>
      <c r="J155" s="92">
        <f>VLOOKUP($A155,'Data Vlaue (Cr)'!$C:$FB,94)</f>
        <v>4.82E-2</v>
      </c>
      <c r="K155" s="91">
        <f>VLOOKUP($A155,'Data Vlaue (Cr)'!$C:$FB,95)</f>
        <v>111</v>
      </c>
      <c r="L155" s="91">
        <f>VLOOKUP($A155,'Data Vlaue (Cr)'!$C:$FB,97)</f>
        <v>-1</v>
      </c>
      <c r="M155" s="92">
        <f>VLOOKUP($A155,'Data Vlaue (Cr)'!$C:$FB,98)</f>
        <v>-1.23E-2</v>
      </c>
      <c r="N155" s="91">
        <f>VLOOKUP($A155,'Data Vlaue (Cr)'!$C:$FB,79)</f>
        <v>253</v>
      </c>
      <c r="O155" s="92">
        <f>VLOOKUP($A155,'Data Vlaue (Cr)'!$C:$FB,82)</f>
        <v>-2.3400000000000001E-2</v>
      </c>
    </row>
    <row r="156" spans="1:15" x14ac:dyDescent="0.25">
      <c r="A156" s="97" t="str">
        <f>'Data Vlaue (Cr)'!C151</f>
        <v>NYKAA</v>
      </c>
      <c r="B156" s="142">
        <f>VLOOKUP(A156,'Data Vlaue (Cr)'!C151:CW369,99,0)</f>
        <v>1635</v>
      </c>
      <c r="C156" s="90">
        <f>VLOOKUP(A156,'Data Vlaue (Cr)'!C151:CY369,101,0)</f>
        <v>80</v>
      </c>
      <c r="D156" s="139">
        <f>VLOOKUP(A156,'Data Vlaue (Cr)'!C151:CZ369,102,0)</f>
        <v>5.1299999999999998E-2</v>
      </c>
      <c r="E156" s="91">
        <f>VLOOKUP($A156,'Data Vlaue (Cr)'!$C:$FB,75)</f>
        <v>1209</v>
      </c>
      <c r="F156" s="91">
        <f>VLOOKUP($A156,'Data Vlaue (Cr)'!$C:$FB,77)</f>
        <v>1</v>
      </c>
      <c r="G156" s="92">
        <f>VLOOKUP(A156,'Data Vlaue (Cr)'!C151:CB369,78,0)</f>
        <v>5.0000000000000001E-4</v>
      </c>
      <c r="H156" s="91">
        <f>VLOOKUP($A156,'Data Vlaue (Cr)'!$C:$FB,91)</f>
        <v>292</v>
      </c>
      <c r="I156" s="91">
        <f>VLOOKUP($A156,'Data Vlaue (Cr)'!$C:$FB,93)</f>
        <v>89</v>
      </c>
      <c r="J156" s="92">
        <f>VLOOKUP($A156,'Data Vlaue (Cr)'!$C:$FB,94)</f>
        <v>0.43880000000000002</v>
      </c>
      <c r="K156" s="91">
        <f>VLOOKUP($A156,'Data Vlaue (Cr)'!$C:$FB,95)</f>
        <v>133</v>
      </c>
      <c r="L156" s="91">
        <f>VLOOKUP($A156,'Data Vlaue (Cr)'!$C:$FB,97)</f>
        <v>-10</v>
      </c>
      <c r="M156" s="92">
        <f>VLOOKUP($A156,'Data Vlaue (Cr)'!$C:$FB,98)</f>
        <v>-7.0499999999999993E-2</v>
      </c>
      <c r="N156" s="91">
        <f>VLOOKUP($A156,'Data Vlaue (Cr)'!$C:$FB,79)</f>
        <v>1166</v>
      </c>
      <c r="O156" s="92">
        <f>VLOOKUP($A156,'Data Vlaue (Cr)'!$C:$FB,82)</f>
        <v>-7.7000000000000002E-3</v>
      </c>
    </row>
    <row r="157" spans="1:15" x14ac:dyDescent="0.25">
      <c r="A157" s="97" t="str">
        <f>'Data Vlaue (Cr)'!C152</f>
        <v>OBEROIRLTY</v>
      </c>
      <c r="B157" s="142">
        <f>VLOOKUP(A157,'Data Vlaue (Cr)'!C152:CW370,99,0)</f>
        <v>2054</v>
      </c>
      <c r="C157" s="90">
        <f>VLOOKUP(A157,'Data Vlaue (Cr)'!C152:CY370,101,0)</f>
        <v>-28</v>
      </c>
      <c r="D157" s="139">
        <f>VLOOKUP(A157,'Data Vlaue (Cr)'!C152:CZ370,102,0)</f>
        <v>-1.3299999999999999E-2</v>
      </c>
      <c r="E157" s="91">
        <f>VLOOKUP($A157,'Data Vlaue (Cr)'!$C:$FB,75)</f>
        <v>1657</v>
      </c>
      <c r="F157" s="91">
        <f>VLOOKUP($A157,'Data Vlaue (Cr)'!$C:$FB,77)</f>
        <v>-35</v>
      </c>
      <c r="G157" s="92">
        <f>VLOOKUP(A157,'Data Vlaue (Cr)'!C152:CB370,78,0)</f>
        <v>-2.0899999999999998E-2</v>
      </c>
      <c r="H157" s="91">
        <f>VLOOKUP($A157,'Data Vlaue (Cr)'!$C:$FB,91)</f>
        <v>205</v>
      </c>
      <c r="I157" s="91">
        <f>VLOOKUP($A157,'Data Vlaue (Cr)'!$C:$FB,93)</f>
        <v>3</v>
      </c>
      <c r="J157" s="92">
        <f>VLOOKUP($A157,'Data Vlaue (Cr)'!$C:$FB,94)</f>
        <v>1.44E-2</v>
      </c>
      <c r="K157" s="91">
        <f>VLOOKUP($A157,'Data Vlaue (Cr)'!$C:$FB,95)</f>
        <v>193</v>
      </c>
      <c r="L157" s="91">
        <f>VLOOKUP($A157,'Data Vlaue (Cr)'!$C:$FB,97)</f>
        <v>5</v>
      </c>
      <c r="M157" s="92">
        <f>VLOOKUP($A157,'Data Vlaue (Cr)'!$C:$FB,98)</f>
        <v>2.53E-2</v>
      </c>
      <c r="N157" s="91">
        <f>VLOOKUP($A157,'Data Vlaue (Cr)'!$C:$FB,79)</f>
        <v>1443</v>
      </c>
      <c r="O157" s="92">
        <f>VLOOKUP($A157,'Data Vlaue (Cr)'!$C:$FB,82)</f>
        <v>-2.46E-2</v>
      </c>
    </row>
    <row r="158" spans="1:15" x14ac:dyDescent="0.25">
      <c r="A158" s="97" t="str">
        <f>'Data Vlaue (Cr)'!C153</f>
        <v>OFSS</v>
      </c>
      <c r="B158" s="142">
        <f>VLOOKUP(A158,'Data Vlaue (Cr)'!C153:CW371,99,0)</f>
        <v>2232</v>
      </c>
      <c r="C158" s="90">
        <f>VLOOKUP(A158,'Data Vlaue (Cr)'!C153:CY371,101,0)</f>
        <v>151</v>
      </c>
      <c r="D158" s="139">
        <f>VLOOKUP(A158,'Data Vlaue (Cr)'!C153:CZ371,102,0)</f>
        <v>7.2599999999999998E-2</v>
      </c>
      <c r="E158" s="91">
        <f>VLOOKUP($A158,'Data Vlaue (Cr)'!$C:$FB,75)</f>
        <v>1250</v>
      </c>
      <c r="F158" s="91">
        <f>VLOOKUP($A158,'Data Vlaue (Cr)'!$C:$FB,77)</f>
        <v>86</v>
      </c>
      <c r="G158" s="92">
        <f>VLOOKUP(A158,'Data Vlaue (Cr)'!C153:CB371,78,0)</f>
        <v>7.3700000000000002E-2</v>
      </c>
      <c r="H158" s="91">
        <f>VLOOKUP($A158,'Data Vlaue (Cr)'!$C:$FB,91)</f>
        <v>485</v>
      </c>
      <c r="I158" s="91">
        <f>VLOOKUP($A158,'Data Vlaue (Cr)'!$C:$FB,93)</f>
        <v>54</v>
      </c>
      <c r="J158" s="92">
        <f>VLOOKUP($A158,'Data Vlaue (Cr)'!$C:$FB,94)</f>
        <v>0.1255</v>
      </c>
      <c r="K158" s="91">
        <f>VLOOKUP($A158,'Data Vlaue (Cr)'!$C:$FB,95)</f>
        <v>498</v>
      </c>
      <c r="L158" s="91">
        <f>VLOOKUP($A158,'Data Vlaue (Cr)'!$C:$FB,97)</f>
        <v>11</v>
      </c>
      <c r="M158" s="92">
        <f>VLOOKUP($A158,'Data Vlaue (Cr)'!$C:$FB,98)</f>
        <v>2.3300000000000001E-2</v>
      </c>
      <c r="N158" s="91">
        <f>VLOOKUP($A158,'Data Vlaue (Cr)'!$C:$FB,79)</f>
        <v>1151</v>
      </c>
      <c r="O158" s="92">
        <f>VLOOKUP($A158,'Data Vlaue (Cr)'!$C:$FB,82)</f>
        <v>5.5100000000000003E-2</v>
      </c>
    </row>
    <row r="159" spans="1:15" x14ac:dyDescent="0.25">
      <c r="A159" s="97" t="str">
        <f>'Data Vlaue (Cr)'!C154</f>
        <v>OIL</v>
      </c>
      <c r="B159" s="142">
        <f>VLOOKUP(A159,'Data Vlaue (Cr)'!C154:CW372,99,0)</f>
        <v>1668</v>
      </c>
      <c r="C159" s="90">
        <f>VLOOKUP(A159,'Data Vlaue (Cr)'!C154:CY372,101,0)</f>
        <v>-101</v>
      </c>
      <c r="D159" s="139">
        <f>VLOOKUP(A159,'Data Vlaue (Cr)'!C154:CZ372,102,0)</f>
        <v>-5.6899999999999999E-2</v>
      </c>
      <c r="E159" s="91">
        <f>VLOOKUP($A159,'Data Vlaue (Cr)'!$C:$FB,75)</f>
        <v>959</v>
      </c>
      <c r="F159" s="91">
        <f>VLOOKUP($A159,'Data Vlaue (Cr)'!$C:$FB,77)</f>
        <v>-52</v>
      </c>
      <c r="G159" s="92">
        <f>VLOOKUP(A159,'Data Vlaue (Cr)'!C154:CB372,78,0)</f>
        <v>-5.1499999999999997E-2</v>
      </c>
      <c r="H159" s="91">
        <f>VLOOKUP($A159,'Data Vlaue (Cr)'!$C:$FB,91)</f>
        <v>489</v>
      </c>
      <c r="I159" s="91">
        <f>VLOOKUP($A159,'Data Vlaue (Cr)'!$C:$FB,93)</f>
        <v>-38</v>
      </c>
      <c r="J159" s="92">
        <f>VLOOKUP($A159,'Data Vlaue (Cr)'!$C:$FB,94)</f>
        <v>-7.1599999999999997E-2</v>
      </c>
      <c r="K159" s="91">
        <f>VLOOKUP($A159,'Data Vlaue (Cr)'!$C:$FB,95)</f>
        <v>220</v>
      </c>
      <c r="L159" s="91">
        <f>VLOOKUP($A159,'Data Vlaue (Cr)'!$C:$FB,97)</f>
        <v>-11</v>
      </c>
      <c r="M159" s="92">
        <f>VLOOKUP($A159,'Data Vlaue (Cr)'!$C:$FB,98)</f>
        <v>-4.7E-2</v>
      </c>
      <c r="N159" s="91">
        <f>VLOOKUP($A159,'Data Vlaue (Cr)'!$C:$FB,79)</f>
        <v>905</v>
      </c>
      <c r="O159" s="92">
        <f>VLOOKUP($A159,'Data Vlaue (Cr)'!$C:$FB,82)</f>
        <v>-0.06</v>
      </c>
    </row>
    <row r="160" spans="1:15" x14ac:dyDescent="0.25">
      <c r="A160" s="97" t="str">
        <f>'Data Vlaue (Cr)'!C155</f>
        <v>ONGC</v>
      </c>
      <c r="B160" s="142">
        <f>VLOOKUP(A160,'Data Vlaue (Cr)'!C155:CW373,99,0)</f>
        <v>6512</v>
      </c>
      <c r="C160" s="90">
        <f>VLOOKUP(A160,'Data Vlaue (Cr)'!C155:CY373,101,0)</f>
        <v>-17</v>
      </c>
      <c r="D160" s="139">
        <f>VLOOKUP(A160,'Data Vlaue (Cr)'!C155:CZ373,102,0)</f>
        <v>-2.5000000000000001E-3</v>
      </c>
      <c r="E160" s="91">
        <f>VLOOKUP($A160,'Data Vlaue (Cr)'!$C:$FB,75)</f>
        <v>2789</v>
      </c>
      <c r="F160" s="91">
        <f>VLOOKUP($A160,'Data Vlaue (Cr)'!$C:$FB,77)</f>
        <v>47</v>
      </c>
      <c r="G160" s="92">
        <f>VLOOKUP(A160,'Data Vlaue (Cr)'!C155:CB373,78,0)</f>
        <v>1.7299999999999999E-2</v>
      </c>
      <c r="H160" s="91">
        <f>VLOOKUP($A160,'Data Vlaue (Cr)'!$C:$FB,91)</f>
        <v>2707</v>
      </c>
      <c r="I160" s="91">
        <f>VLOOKUP($A160,'Data Vlaue (Cr)'!$C:$FB,93)</f>
        <v>-53</v>
      </c>
      <c r="J160" s="92">
        <f>VLOOKUP($A160,'Data Vlaue (Cr)'!$C:$FB,94)</f>
        <v>-1.9199999999999998E-2</v>
      </c>
      <c r="K160" s="91">
        <f>VLOOKUP($A160,'Data Vlaue (Cr)'!$C:$FB,95)</f>
        <v>1016</v>
      </c>
      <c r="L160" s="91">
        <f>VLOOKUP($A160,'Data Vlaue (Cr)'!$C:$FB,97)</f>
        <v>-11</v>
      </c>
      <c r="M160" s="92">
        <f>VLOOKUP($A160,'Data Vlaue (Cr)'!$C:$FB,98)</f>
        <v>-1.09E-2</v>
      </c>
      <c r="N160" s="91">
        <f>VLOOKUP($A160,'Data Vlaue (Cr)'!$C:$FB,79)</f>
        <v>2461</v>
      </c>
      <c r="O160" s="92">
        <f>VLOOKUP($A160,'Data Vlaue (Cr)'!$C:$FB,82)</f>
        <v>3.2000000000000002E-3</v>
      </c>
    </row>
    <row r="161" spans="1:15" x14ac:dyDescent="0.25">
      <c r="A161" s="97" t="str">
        <f>'Data Vlaue (Cr)'!C156</f>
        <v>PAGEIND</v>
      </c>
      <c r="B161" s="142">
        <f>VLOOKUP(A161,'Data Vlaue (Cr)'!C156:CW374,99,0)</f>
        <v>1946</v>
      </c>
      <c r="C161" s="90">
        <f>VLOOKUP(A161,'Data Vlaue (Cr)'!C156:CY374,101,0)</f>
        <v>15</v>
      </c>
      <c r="D161" s="139">
        <f>VLOOKUP(A161,'Data Vlaue (Cr)'!C156:CZ374,102,0)</f>
        <v>7.6E-3</v>
      </c>
      <c r="E161" s="91">
        <f>VLOOKUP($A161,'Data Vlaue (Cr)'!$C:$FB,75)</f>
        <v>1385</v>
      </c>
      <c r="F161" s="91">
        <f>VLOOKUP($A161,'Data Vlaue (Cr)'!$C:$FB,77)</f>
        <v>-3</v>
      </c>
      <c r="G161" s="92">
        <f>VLOOKUP(A161,'Data Vlaue (Cr)'!C156:CB374,78,0)</f>
        <v>-2.3999999999999998E-3</v>
      </c>
      <c r="H161" s="91">
        <f>VLOOKUP($A161,'Data Vlaue (Cr)'!$C:$FB,91)</f>
        <v>248</v>
      </c>
      <c r="I161" s="91">
        <f>VLOOKUP($A161,'Data Vlaue (Cr)'!$C:$FB,93)</f>
        <v>-11</v>
      </c>
      <c r="J161" s="92">
        <f>VLOOKUP($A161,'Data Vlaue (Cr)'!$C:$FB,94)</f>
        <v>-4.3499999999999997E-2</v>
      </c>
      <c r="K161" s="91">
        <f>VLOOKUP($A161,'Data Vlaue (Cr)'!$C:$FB,95)</f>
        <v>313</v>
      </c>
      <c r="L161" s="91">
        <f>VLOOKUP($A161,'Data Vlaue (Cr)'!$C:$FB,97)</f>
        <v>29</v>
      </c>
      <c r="M161" s="92">
        <f>VLOOKUP($A161,'Data Vlaue (Cr)'!$C:$FB,98)</f>
        <v>0.1038</v>
      </c>
      <c r="N161" s="91">
        <f>VLOOKUP($A161,'Data Vlaue (Cr)'!$C:$FB,79)</f>
        <v>1324</v>
      </c>
      <c r="O161" s="92">
        <f>VLOOKUP($A161,'Data Vlaue (Cr)'!$C:$FB,82)</f>
        <v>-1.26E-2</v>
      </c>
    </row>
    <row r="162" spans="1:15" x14ac:dyDescent="0.25">
      <c r="A162" s="97" t="str">
        <f>'Data Vlaue (Cr)'!C157</f>
        <v>PATANJALI</v>
      </c>
      <c r="B162" s="142">
        <f>VLOOKUP(A162,'Data Vlaue (Cr)'!C157:CW375,99,0)</f>
        <v>2013</v>
      </c>
      <c r="C162" s="90">
        <f>VLOOKUP(A162,'Data Vlaue (Cr)'!C157:CY375,101,0)</f>
        <v>51</v>
      </c>
      <c r="D162" s="139">
        <f>VLOOKUP(A162,'Data Vlaue (Cr)'!C157:CZ375,102,0)</f>
        <v>2.6200000000000001E-2</v>
      </c>
      <c r="E162" s="91">
        <f>VLOOKUP($A162,'Data Vlaue (Cr)'!$C:$FB,75)</f>
        <v>1608</v>
      </c>
      <c r="F162" s="91">
        <f>VLOOKUP($A162,'Data Vlaue (Cr)'!$C:$FB,77)</f>
        <v>24</v>
      </c>
      <c r="G162" s="92">
        <f>VLOOKUP(A162,'Data Vlaue (Cr)'!C157:CB375,78,0)</f>
        <v>1.49E-2</v>
      </c>
      <c r="H162" s="91">
        <f>VLOOKUP($A162,'Data Vlaue (Cr)'!$C:$FB,91)</f>
        <v>264</v>
      </c>
      <c r="I162" s="91">
        <f>VLOOKUP($A162,'Data Vlaue (Cr)'!$C:$FB,93)</f>
        <v>26</v>
      </c>
      <c r="J162" s="92">
        <f>VLOOKUP($A162,'Data Vlaue (Cr)'!$C:$FB,94)</f>
        <v>0.10730000000000001</v>
      </c>
      <c r="K162" s="91">
        <f>VLOOKUP($A162,'Data Vlaue (Cr)'!$C:$FB,95)</f>
        <v>141</v>
      </c>
      <c r="L162" s="91">
        <f>VLOOKUP($A162,'Data Vlaue (Cr)'!$C:$FB,97)</f>
        <v>2</v>
      </c>
      <c r="M162" s="92">
        <f>VLOOKUP($A162,'Data Vlaue (Cr)'!$C:$FB,98)</f>
        <v>1.5100000000000001E-2</v>
      </c>
      <c r="N162" s="91">
        <f>VLOOKUP($A162,'Data Vlaue (Cr)'!$C:$FB,79)</f>
        <v>1575</v>
      </c>
      <c r="O162" s="92">
        <f>VLOOKUP($A162,'Data Vlaue (Cr)'!$C:$FB,82)</f>
        <v>7.6E-3</v>
      </c>
    </row>
    <row r="163" spans="1:15" x14ac:dyDescent="0.25">
      <c r="A163" s="97" t="str">
        <f>'Data Vlaue (Cr)'!C158</f>
        <v>PAYTM</v>
      </c>
      <c r="B163" s="142">
        <f>VLOOKUP(A163,'Data Vlaue (Cr)'!C158:CW376,99,0)</f>
        <v>3288</v>
      </c>
      <c r="C163" s="90">
        <f>VLOOKUP(A163,'Data Vlaue (Cr)'!C158:CY376,101,0)</f>
        <v>22</v>
      </c>
      <c r="D163" s="139">
        <f>VLOOKUP(A163,'Data Vlaue (Cr)'!C158:CZ376,102,0)</f>
        <v>6.7999999999999996E-3</v>
      </c>
      <c r="E163" s="91">
        <f>VLOOKUP($A163,'Data Vlaue (Cr)'!$C:$FB,75)</f>
        <v>1784</v>
      </c>
      <c r="F163" s="91">
        <f>VLOOKUP($A163,'Data Vlaue (Cr)'!$C:$FB,77)</f>
        <v>-32</v>
      </c>
      <c r="G163" s="92">
        <f>VLOOKUP(A163,'Data Vlaue (Cr)'!C158:CB376,78,0)</f>
        <v>-1.7399999999999999E-2</v>
      </c>
      <c r="H163" s="91">
        <f>VLOOKUP($A163,'Data Vlaue (Cr)'!$C:$FB,91)</f>
        <v>760</v>
      </c>
      <c r="I163" s="91">
        <f>VLOOKUP($A163,'Data Vlaue (Cr)'!$C:$FB,93)</f>
        <v>21</v>
      </c>
      <c r="J163" s="92">
        <f>VLOOKUP($A163,'Data Vlaue (Cr)'!$C:$FB,94)</f>
        <v>2.8299999999999999E-2</v>
      </c>
      <c r="K163" s="91">
        <f>VLOOKUP($A163,'Data Vlaue (Cr)'!$C:$FB,95)</f>
        <v>743</v>
      </c>
      <c r="L163" s="91">
        <f>VLOOKUP($A163,'Data Vlaue (Cr)'!$C:$FB,97)</f>
        <v>33</v>
      </c>
      <c r="M163" s="92">
        <f>VLOOKUP($A163,'Data Vlaue (Cr)'!$C:$FB,98)</f>
        <v>4.6399999999999997E-2</v>
      </c>
      <c r="N163" s="91">
        <f>VLOOKUP($A163,'Data Vlaue (Cr)'!$C:$FB,79)</f>
        <v>1692</v>
      </c>
      <c r="O163" s="92">
        <f>VLOOKUP($A163,'Data Vlaue (Cr)'!$C:$FB,82)</f>
        <v>-2.2100000000000002E-2</v>
      </c>
    </row>
    <row r="164" spans="1:15" x14ac:dyDescent="0.25">
      <c r="A164" s="97" t="str">
        <f>'Data Vlaue (Cr)'!C159</f>
        <v>PERSISTENT</v>
      </c>
      <c r="B164" s="142">
        <f>VLOOKUP(A164,'Data Vlaue (Cr)'!C159:CW377,99,0)</f>
        <v>4562</v>
      </c>
      <c r="C164" s="90">
        <f>VLOOKUP(A164,'Data Vlaue (Cr)'!C159:CY377,101,0)</f>
        <v>107</v>
      </c>
      <c r="D164" s="139">
        <f>VLOOKUP(A164,'Data Vlaue (Cr)'!C159:CZ377,102,0)</f>
        <v>2.4E-2</v>
      </c>
      <c r="E164" s="91">
        <f>VLOOKUP($A164,'Data Vlaue (Cr)'!$C:$FB,75)</f>
        <v>3213</v>
      </c>
      <c r="F164" s="91">
        <f>VLOOKUP($A164,'Data Vlaue (Cr)'!$C:$FB,77)</f>
        <v>17</v>
      </c>
      <c r="G164" s="92">
        <f>VLOOKUP(A164,'Data Vlaue (Cr)'!C159:CB377,78,0)</f>
        <v>5.4000000000000003E-3</v>
      </c>
      <c r="H164" s="91">
        <f>VLOOKUP($A164,'Data Vlaue (Cr)'!$C:$FB,91)</f>
        <v>753</v>
      </c>
      <c r="I164" s="91">
        <f>VLOOKUP($A164,'Data Vlaue (Cr)'!$C:$FB,93)</f>
        <v>109</v>
      </c>
      <c r="J164" s="92">
        <f>VLOOKUP($A164,'Data Vlaue (Cr)'!$C:$FB,94)</f>
        <v>0.16930000000000001</v>
      </c>
      <c r="K164" s="91">
        <f>VLOOKUP($A164,'Data Vlaue (Cr)'!$C:$FB,95)</f>
        <v>596</v>
      </c>
      <c r="L164" s="91">
        <f>VLOOKUP($A164,'Data Vlaue (Cr)'!$C:$FB,97)</f>
        <v>-19</v>
      </c>
      <c r="M164" s="92">
        <f>VLOOKUP($A164,'Data Vlaue (Cr)'!$C:$FB,98)</f>
        <v>-3.1600000000000003E-2</v>
      </c>
      <c r="N164" s="91">
        <f>VLOOKUP($A164,'Data Vlaue (Cr)'!$C:$FB,79)</f>
        <v>2700</v>
      </c>
      <c r="O164" s="92">
        <f>VLOOKUP($A164,'Data Vlaue (Cr)'!$C:$FB,82)</f>
        <v>-2.52E-2</v>
      </c>
    </row>
    <row r="165" spans="1:15" x14ac:dyDescent="0.25">
      <c r="A165" s="97" t="str">
        <f>'Data Vlaue (Cr)'!C160</f>
        <v>PETRONET</v>
      </c>
      <c r="B165" s="142">
        <f>VLOOKUP(A165,'Data Vlaue (Cr)'!C160:CW378,99,0)</f>
        <v>1651</v>
      </c>
      <c r="C165" s="90">
        <f>VLOOKUP(A165,'Data Vlaue (Cr)'!C160:CY378,101,0)</f>
        <v>-31</v>
      </c>
      <c r="D165" s="139">
        <f>VLOOKUP(A165,'Data Vlaue (Cr)'!C160:CZ378,102,0)</f>
        <v>-1.8200000000000001E-2</v>
      </c>
      <c r="E165" s="91">
        <f>VLOOKUP($A165,'Data Vlaue (Cr)'!$C:$FB,75)</f>
        <v>963</v>
      </c>
      <c r="F165" s="91">
        <f>VLOOKUP($A165,'Data Vlaue (Cr)'!$C:$FB,77)</f>
        <v>-11</v>
      </c>
      <c r="G165" s="92">
        <f>VLOOKUP(A165,'Data Vlaue (Cr)'!C160:CB378,78,0)</f>
        <v>-1.1299999999999999E-2</v>
      </c>
      <c r="H165" s="91">
        <f>VLOOKUP($A165,'Data Vlaue (Cr)'!$C:$FB,91)</f>
        <v>417</v>
      </c>
      <c r="I165" s="91">
        <f>VLOOKUP($A165,'Data Vlaue (Cr)'!$C:$FB,93)</f>
        <v>-14</v>
      </c>
      <c r="J165" s="92">
        <f>VLOOKUP($A165,'Data Vlaue (Cr)'!$C:$FB,94)</f>
        <v>-3.3000000000000002E-2</v>
      </c>
      <c r="K165" s="91">
        <f>VLOOKUP($A165,'Data Vlaue (Cr)'!$C:$FB,95)</f>
        <v>272</v>
      </c>
      <c r="L165" s="91">
        <f>VLOOKUP($A165,'Data Vlaue (Cr)'!$C:$FB,97)</f>
        <v>-5</v>
      </c>
      <c r="M165" s="92">
        <f>VLOOKUP($A165,'Data Vlaue (Cr)'!$C:$FB,98)</f>
        <v>-1.9800000000000002E-2</v>
      </c>
      <c r="N165" s="91">
        <f>VLOOKUP($A165,'Data Vlaue (Cr)'!$C:$FB,79)</f>
        <v>924</v>
      </c>
      <c r="O165" s="92">
        <f>VLOOKUP($A165,'Data Vlaue (Cr)'!$C:$FB,82)</f>
        <v>-1.52E-2</v>
      </c>
    </row>
    <row r="166" spans="1:15" x14ac:dyDescent="0.25">
      <c r="A166" s="97" t="str">
        <f>'Data Vlaue (Cr)'!C161</f>
        <v>PFC</v>
      </c>
      <c r="B166" s="142">
        <f>VLOOKUP(A166,'Data Vlaue (Cr)'!C161:CW379,99,0)</f>
        <v>5193</v>
      </c>
      <c r="C166" s="90">
        <f>VLOOKUP(A166,'Data Vlaue (Cr)'!C161:CY379,101,0)</f>
        <v>209</v>
      </c>
      <c r="D166" s="139">
        <f>VLOOKUP(A166,'Data Vlaue (Cr)'!C161:CZ379,102,0)</f>
        <v>4.2000000000000003E-2</v>
      </c>
      <c r="E166" s="91">
        <f>VLOOKUP($A166,'Data Vlaue (Cr)'!$C:$FB,75)</f>
        <v>2896</v>
      </c>
      <c r="F166" s="91">
        <f>VLOOKUP($A166,'Data Vlaue (Cr)'!$C:$FB,77)</f>
        <v>141</v>
      </c>
      <c r="G166" s="92">
        <f>VLOOKUP(A166,'Data Vlaue (Cr)'!C161:CB379,78,0)</f>
        <v>5.11E-2</v>
      </c>
      <c r="H166" s="91">
        <f>VLOOKUP($A166,'Data Vlaue (Cr)'!$C:$FB,91)</f>
        <v>1250</v>
      </c>
      <c r="I166" s="91">
        <f>VLOOKUP($A166,'Data Vlaue (Cr)'!$C:$FB,93)</f>
        <v>-37</v>
      </c>
      <c r="J166" s="92">
        <f>VLOOKUP($A166,'Data Vlaue (Cr)'!$C:$FB,94)</f>
        <v>-2.8799999999999999E-2</v>
      </c>
      <c r="K166" s="91">
        <f>VLOOKUP($A166,'Data Vlaue (Cr)'!$C:$FB,95)</f>
        <v>1047</v>
      </c>
      <c r="L166" s="91">
        <f>VLOOKUP($A166,'Data Vlaue (Cr)'!$C:$FB,97)</f>
        <v>105</v>
      </c>
      <c r="M166" s="92">
        <f>VLOOKUP($A166,'Data Vlaue (Cr)'!$C:$FB,98)</f>
        <v>0.112</v>
      </c>
      <c r="N166" s="91">
        <f>VLOOKUP($A166,'Data Vlaue (Cr)'!$C:$FB,79)</f>
        <v>2407</v>
      </c>
      <c r="O166" s="92">
        <f>VLOOKUP($A166,'Data Vlaue (Cr)'!$C:$FB,82)</f>
        <v>1.5299999999999999E-2</v>
      </c>
    </row>
    <row r="167" spans="1:15" x14ac:dyDescent="0.25">
      <c r="A167" s="97" t="str">
        <f>'Data Vlaue (Cr)'!C162</f>
        <v>PGEL</v>
      </c>
      <c r="B167" s="142">
        <f>VLOOKUP(A167,'Data Vlaue (Cr)'!C162:CW380,99,0)</f>
        <v>1916</v>
      </c>
      <c r="C167" s="90">
        <f>VLOOKUP(A167,'Data Vlaue (Cr)'!C162:CY380,101,0)</f>
        <v>-22</v>
      </c>
      <c r="D167" s="139">
        <f>VLOOKUP(A167,'Data Vlaue (Cr)'!C162:CZ380,102,0)</f>
        <v>-1.1299999999999999E-2</v>
      </c>
      <c r="E167" s="91">
        <f>VLOOKUP($A167,'Data Vlaue (Cr)'!$C:$FB,75)</f>
        <v>899</v>
      </c>
      <c r="F167" s="91">
        <f>VLOOKUP($A167,'Data Vlaue (Cr)'!$C:$FB,77)</f>
        <v>5</v>
      </c>
      <c r="G167" s="92">
        <f>VLOOKUP(A167,'Data Vlaue (Cr)'!C162:CB380,78,0)</f>
        <v>5.4000000000000003E-3</v>
      </c>
      <c r="H167" s="91">
        <f>VLOOKUP($A167,'Data Vlaue (Cr)'!$C:$FB,91)</f>
        <v>469</v>
      </c>
      <c r="I167" s="91">
        <f>VLOOKUP($A167,'Data Vlaue (Cr)'!$C:$FB,93)</f>
        <v>-9</v>
      </c>
      <c r="J167" s="92">
        <f>VLOOKUP($A167,'Data Vlaue (Cr)'!$C:$FB,94)</f>
        <v>-1.8599999999999998E-2</v>
      </c>
      <c r="K167" s="91">
        <f>VLOOKUP($A167,'Data Vlaue (Cr)'!$C:$FB,95)</f>
        <v>548</v>
      </c>
      <c r="L167" s="91">
        <f>VLOOKUP($A167,'Data Vlaue (Cr)'!$C:$FB,97)</f>
        <v>-18</v>
      </c>
      <c r="M167" s="92">
        <f>VLOOKUP($A167,'Data Vlaue (Cr)'!$C:$FB,98)</f>
        <v>-3.1399999999999997E-2</v>
      </c>
      <c r="N167" s="91">
        <f>VLOOKUP($A167,'Data Vlaue (Cr)'!$C:$FB,79)</f>
        <v>751</v>
      </c>
      <c r="O167" s="92">
        <f>VLOOKUP($A167,'Data Vlaue (Cr)'!$C:$FB,82)</f>
        <v>-2.9999999999999997E-4</v>
      </c>
    </row>
    <row r="168" spans="1:15" x14ac:dyDescent="0.25">
      <c r="A168" s="97" t="str">
        <f>'Data Vlaue (Cr)'!C163</f>
        <v>PHOENIXLTD</v>
      </c>
      <c r="B168" s="142">
        <f>VLOOKUP(A168,'Data Vlaue (Cr)'!C163:CW381,99,0)</f>
        <v>928</v>
      </c>
      <c r="C168" s="90">
        <f>VLOOKUP(A168,'Data Vlaue (Cr)'!C163:CY381,101,0)</f>
        <v>14</v>
      </c>
      <c r="D168" s="139">
        <f>VLOOKUP(A168,'Data Vlaue (Cr)'!C163:CZ381,102,0)</f>
        <v>1.55E-2</v>
      </c>
      <c r="E168" s="91">
        <f>VLOOKUP($A168,'Data Vlaue (Cr)'!$C:$FB,75)</f>
        <v>682</v>
      </c>
      <c r="F168" s="91">
        <f>VLOOKUP($A168,'Data Vlaue (Cr)'!$C:$FB,77)</f>
        <v>11</v>
      </c>
      <c r="G168" s="92">
        <f>VLOOKUP(A168,'Data Vlaue (Cr)'!C163:CB381,78,0)</f>
        <v>1.6E-2</v>
      </c>
      <c r="H168" s="91">
        <f>VLOOKUP($A168,'Data Vlaue (Cr)'!$C:$FB,91)</f>
        <v>137</v>
      </c>
      <c r="I168" s="91">
        <f>VLOOKUP($A168,'Data Vlaue (Cr)'!$C:$FB,93)</f>
        <v>6</v>
      </c>
      <c r="J168" s="92">
        <f>VLOOKUP($A168,'Data Vlaue (Cr)'!$C:$FB,94)</f>
        <v>4.5100000000000001E-2</v>
      </c>
      <c r="K168" s="91">
        <f>VLOOKUP($A168,'Data Vlaue (Cr)'!$C:$FB,95)</f>
        <v>109</v>
      </c>
      <c r="L168" s="91">
        <f>VLOOKUP($A168,'Data Vlaue (Cr)'!$C:$FB,97)</f>
        <v>-2</v>
      </c>
      <c r="M168" s="92">
        <f>VLOOKUP($A168,'Data Vlaue (Cr)'!$C:$FB,98)</f>
        <v>-2.1600000000000001E-2</v>
      </c>
      <c r="N168" s="91">
        <f>VLOOKUP($A168,'Data Vlaue (Cr)'!$C:$FB,79)</f>
        <v>612</v>
      </c>
      <c r="O168" s="92">
        <f>VLOOKUP($A168,'Data Vlaue (Cr)'!$C:$FB,82)</f>
        <v>1.1599999999999999E-2</v>
      </c>
    </row>
    <row r="169" spans="1:15" x14ac:dyDescent="0.25">
      <c r="A169" s="97" t="str">
        <f>'Data Vlaue (Cr)'!C164</f>
        <v>PIDILITIND</v>
      </c>
      <c r="B169" s="142">
        <f>VLOOKUP(A169,'Data Vlaue (Cr)'!C164:CW382,99,0)</f>
        <v>1585</v>
      </c>
      <c r="C169" s="90">
        <f>VLOOKUP(A169,'Data Vlaue (Cr)'!C164:CY382,101,0)</f>
        <v>-32</v>
      </c>
      <c r="D169" s="139">
        <f>VLOOKUP(A169,'Data Vlaue (Cr)'!C164:CZ382,102,0)</f>
        <v>-1.9599999999999999E-2</v>
      </c>
      <c r="E169" s="91">
        <f>VLOOKUP($A169,'Data Vlaue (Cr)'!$C:$FB,75)</f>
        <v>1203</v>
      </c>
      <c r="F169" s="91">
        <f>VLOOKUP($A169,'Data Vlaue (Cr)'!$C:$FB,77)</f>
        <v>-8</v>
      </c>
      <c r="G169" s="92">
        <f>VLOOKUP(A169,'Data Vlaue (Cr)'!C164:CB382,78,0)</f>
        <v>-6.4999999999999997E-3</v>
      </c>
      <c r="H169" s="91">
        <f>VLOOKUP($A169,'Data Vlaue (Cr)'!$C:$FB,91)</f>
        <v>230</v>
      </c>
      <c r="I169" s="91">
        <f>VLOOKUP($A169,'Data Vlaue (Cr)'!$C:$FB,93)</f>
        <v>-15</v>
      </c>
      <c r="J169" s="92">
        <f>VLOOKUP($A169,'Data Vlaue (Cr)'!$C:$FB,94)</f>
        <v>-6.2700000000000006E-2</v>
      </c>
      <c r="K169" s="91">
        <f>VLOOKUP($A169,'Data Vlaue (Cr)'!$C:$FB,95)</f>
        <v>152</v>
      </c>
      <c r="L169" s="91">
        <f>VLOOKUP($A169,'Data Vlaue (Cr)'!$C:$FB,97)</f>
        <v>-8</v>
      </c>
      <c r="M169" s="92">
        <f>VLOOKUP($A169,'Data Vlaue (Cr)'!$C:$FB,98)</f>
        <v>-5.2400000000000002E-2</v>
      </c>
      <c r="N169" s="91">
        <f>VLOOKUP($A169,'Data Vlaue (Cr)'!$C:$FB,79)</f>
        <v>1162</v>
      </c>
      <c r="O169" s="92">
        <f>VLOOKUP($A169,'Data Vlaue (Cr)'!$C:$FB,82)</f>
        <v>-9.4999999999999998E-3</v>
      </c>
    </row>
    <row r="170" spans="1:15" x14ac:dyDescent="0.25">
      <c r="A170" s="97" t="str">
        <f>'Data Vlaue (Cr)'!C165</f>
        <v>PIIND</v>
      </c>
      <c r="B170" s="142">
        <f>VLOOKUP(A170,'Data Vlaue (Cr)'!C165:CW383,99,0)</f>
        <v>1254</v>
      </c>
      <c r="C170" s="90">
        <f>VLOOKUP(A170,'Data Vlaue (Cr)'!C165:CY383,101,0)</f>
        <v>41</v>
      </c>
      <c r="D170" s="139">
        <f>VLOOKUP(A170,'Data Vlaue (Cr)'!C165:CZ383,102,0)</f>
        <v>3.3599999999999998E-2</v>
      </c>
      <c r="E170" s="91">
        <f>VLOOKUP($A170,'Data Vlaue (Cr)'!$C:$FB,75)</f>
        <v>839</v>
      </c>
      <c r="F170" s="91">
        <f>VLOOKUP($A170,'Data Vlaue (Cr)'!$C:$FB,77)</f>
        <v>31</v>
      </c>
      <c r="G170" s="92">
        <f>VLOOKUP(A170,'Data Vlaue (Cr)'!C165:CB383,78,0)</f>
        <v>3.8699999999999998E-2</v>
      </c>
      <c r="H170" s="91">
        <f>VLOOKUP($A170,'Data Vlaue (Cr)'!$C:$FB,91)</f>
        <v>224</v>
      </c>
      <c r="I170" s="91">
        <f>VLOOKUP($A170,'Data Vlaue (Cr)'!$C:$FB,93)</f>
        <v>23</v>
      </c>
      <c r="J170" s="92">
        <f>VLOOKUP($A170,'Data Vlaue (Cr)'!$C:$FB,94)</f>
        <v>0.1115</v>
      </c>
      <c r="K170" s="91">
        <f>VLOOKUP($A170,'Data Vlaue (Cr)'!$C:$FB,95)</f>
        <v>190</v>
      </c>
      <c r="L170" s="91">
        <f>VLOOKUP($A170,'Data Vlaue (Cr)'!$C:$FB,97)</f>
        <v>-13</v>
      </c>
      <c r="M170" s="92">
        <f>VLOOKUP($A170,'Data Vlaue (Cr)'!$C:$FB,98)</f>
        <v>-6.3899999999999998E-2</v>
      </c>
      <c r="N170" s="91">
        <f>VLOOKUP($A170,'Data Vlaue (Cr)'!$C:$FB,79)</f>
        <v>769</v>
      </c>
      <c r="O170" s="92">
        <f>VLOOKUP($A170,'Data Vlaue (Cr)'!$C:$FB,82)</f>
        <v>1.9099999999999999E-2</v>
      </c>
    </row>
    <row r="171" spans="1:15" x14ac:dyDescent="0.25">
      <c r="A171" s="97" t="str">
        <f>'Data Vlaue (Cr)'!C166</f>
        <v>PNB</v>
      </c>
      <c r="B171" s="142">
        <f>VLOOKUP(A171,'Data Vlaue (Cr)'!C166:CW384,99,0)</f>
        <v>4806</v>
      </c>
      <c r="C171" s="90">
        <f>VLOOKUP(A171,'Data Vlaue (Cr)'!C166:CY384,101,0)</f>
        <v>-32</v>
      </c>
      <c r="D171" s="139">
        <f>VLOOKUP(A171,'Data Vlaue (Cr)'!C166:CZ384,102,0)</f>
        <v>-6.4999999999999997E-3</v>
      </c>
      <c r="E171" s="91">
        <f>VLOOKUP($A171,'Data Vlaue (Cr)'!$C:$FB,75)</f>
        <v>3008</v>
      </c>
      <c r="F171" s="91">
        <f>VLOOKUP($A171,'Data Vlaue (Cr)'!$C:$FB,77)</f>
        <v>-62</v>
      </c>
      <c r="G171" s="92">
        <f>VLOOKUP(A171,'Data Vlaue (Cr)'!C166:CB384,78,0)</f>
        <v>-0.02</v>
      </c>
      <c r="H171" s="91">
        <f>VLOOKUP($A171,'Data Vlaue (Cr)'!$C:$FB,91)</f>
        <v>962</v>
      </c>
      <c r="I171" s="91">
        <f>VLOOKUP($A171,'Data Vlaue (Cr)'!$C:$FB,93)</f>
        <v>21</v>
      </c>
      <c r="J171" s="92">
        <f>VLOOKUP($A171,'Data Vlaue (Cr)'!$C:$FB,94)</f>
        <v>2.23E-2</v>
      </c>
      <c r="K171" s="91">
        <f>VLOOKUP($A171,'Data Vlaue (Cr)'!$C:$FB,95)</f>
        <v>836</v>
      </c>
      <c r="L171" s="91">
        <f>VLOOKUP($A171,'Data Vlaue (Cr)'!$C:$FB,97)</f>
        <v>9</v>
      </c>
      <c r="M171" s="92">
        <f>VLOOKUP($A171,'Data Vlaue (Cr)'!$C:$FB,98)</f>
        <v>1.09E-2</v>
      </c>
      <c r="N171" s="91">
        <f>VLOOKUP($A171,'Data Vlaue (Cr)'!$C:$FB,79)</f>
        <v>2522</v>
      </c>
      <c r="O171" s="92">
        <f>VLOOKUP($A171,'Data Vlaue (Cr)'!$C:$FB,82)</f>
        <v>-4.7199999999999999E-2</v>
      </c>
    </row>
    <row r="172" spans="1:15" x14ac:dyDescent="0.25">
      <c r="A172" s="97" t="str">
        <f>'Data Vlaue (Cr)'!C167</f>
        <v>PNBHOUSING</v>
      </c>
      <c r="B172" s="142">
        <f>VLOOKUP(A172,'Data Vlaue (Cr)'!C167:CW385,99,0)</f>
        <v>2088</v>
      </c>
      <c r="C172" s="90">
        <f>VLOOKUP(A172,'Data Vlaue (Cr)'!C167:CY385,101,0)</f>
        <v>372</v>
      </c>
      <c r="D172" s="139">
        <f>VLOOKUP(A172,'Data Vlaue (Cr)'!C167:CZ385,102,0)</f>
        <v>0.2165</v>
      </c>
      <c r="E172" s="91">
        <f>VLOOKUP($A172,'Data Vlaue (Cr)'!$C:$FB,75)</f>
        <v>1276</v>
      </c>
      <c r="F172" s="91">
        <f>VLOOKUP($A172,'Data Vlaue (Cr)'!$C:$FB,77)</f>
        <v>25</v>
      </c>
      <c r="G172" s="92">
        <f>VLOOKUP(A172,'Data Vlaue (Cr)'!C167:CB385,78,0)</f>
        <v>2.01E-2</v>
      </c>
      <c r="H172" s="91">
        <f>VLOOKUP($A172,'Data Vlaue (Cr)'!$C:$FB,91)</f>
        <v>434</v>
      </c>
      <c r="I172" s="91">
        <f>VLOOKUP($A172,'Data Vlaue (Cr)'!$C:$FB,93)</f>
        <v>201</v>
      </c>
      <c r="J172" s="92">
        <f>VLOOKUP($A172,'Data Vlaue (Cr)'!$C:$FB,94)</f>
        <v>0.86370000000000002</v>
      </c>
      <c r="K172" s="91">
        <f>VLOOKUP($A172,'Data Vlaue (Cr)'!$C:$FB,95)</f>
        <v>378</v>
      </c>
      <c r="L172" s="91">
        <f>VLOOKUP($A172,'Data Vlaue (Cr)'!$C:$FB,97)</f>
        <v>145</v>
      </c>
      <c r="M172" s="92">
        <f>VLOOKUP($A172,'Data Vlaue (Cr)'!$C:$FB,98)</f>
        <v>0.62509999999999999</v>
      </c>
      <c r="N172" s="91">
        <f>VLOOKUP($A172,'Data Vlaue (Cr)'!$C:$FB,79)</f>
        <v>1234</v>
      </c>
      <c r="O172" s="92">
        <f>VLOOKUP($A172,'Data Vlaue (Cr)'!$C:$FB,82)</f>
        <v>1.3100000000000001E-2</v>
      </c>
    </row>
    <row r="173" spans="1:15" x14ac:dyDescent="0.25">
      <c r="A173" s="97" t="str">
        <f>'Data Vlaue (Cr)'!C168</f>
        <v>POLICYBZR</v>
      </c>
      <c r="B173" s="142">
        <f>VLOOKUP(A173,'Data Vlaue (Cr)'!C168:CW386,99,0)</f>
        <v>1849</v>
      </c>
      <c r="C173" s="90">
        <f>VLOOKUP(A173,'Data Vlaue (Cr)'!C168:CY386,101,0)</f>
        <v>-95</v>
      </c>
      <c r="D173" s="139">
        <f>VLOOKUP(A173,'Data Vlaue (Cr)'!C168:CZ386,102,0)</f>
        <v>-4.87E-2</v>
      </c>
      <c r="E173" s="91">
        <f>VLOOKUP($A173,'Data Vlaue (Cr)'!$C:$FB,75)</f>
        <v>1225</v>
      </c>
      <c r="F173" s="91">
        <f>VLOOKUP($A173,'Data Vlaue (Cr)'!$C:$FB,77)</f>
        <v>-74</v>
      </c>
      <c r="G173" s="92">
        <f>VLOOKUP(A173,'Data Vlaue (Cr)'!C168:CB386,78,0)</f>
        <v>-5.7000000000000002E-2</v>
      </c>
      <c r="H173" s="91">
        <f>VLOOKUP($A173,'Data Vlaue (Cr)'!$C:$FB,91)</f>
        <v>359</v>
      </c>
      <c r="I173" s="91">
        <f>VLOOKUP($A173,'Data Vlaue (Cr)'!$C:$FB,93)</f>
        <v>-29</v>
      </c>
      <c r="J173" s="92">
        <f>VLOOKUP($A173,'Data Vlaue (Cr)'!$C:$FB,94)</f>
        <v>-7.51E-2</v>
      </c>
      <c r="K173" s="91">
        <f>VLOOKUP($A173,'Data Vlaue (Cr)'!$C:$FB,95)</f>
        <v>265</v>
      </c>
      <c r="L173" s="91">
        <f>VLOOKUP($A173,'Data Vlaue (Cr)'!$C:$FB,97)</f>
        <v>8</v>
      </c>
      <c r="M173" s="92">
        <f>VLOOKUP($A173,'Data Vlaue (Cr)'!$C:$FB,98)</f>
        <v>3.3000000000000002E-2</v>
      </c>
      <c r="N173" s="91">
        <f>VLOOKUP($A173,'Data Vlaue (Cr)'!$C:$FB,79)</f>
        <v>1198</v>
      </c>
      <c r="O173" s="92">
        <f>VLOOKUP($A173,'Data Vlaue (Cr)'!$C:$FB,82)</f>
        <v>-5.9700000000000003E-2</v>
      </c>
    </row>
    <row r="174" spans="1:15" x14ac:dyDescent="0.25">
      <c r="A174" s="97" t="str">
        <f>'Data Vlaue (Cr)'!C169</f>
        <v>POLYCAB</v>
      </c>
      <c r="B174" s="142">
        <f>VLOOKUP(A174,'Data Vlaue (Cr)'!C169:CW387,99,0)</f>
        <v>3395</v>
      </c>
      <c r="C174" s="90">
        <f>VLOOKUP(A174,'Data Vlaue (Cr)'!C169:CY387,101,0)</f>
        <v>-254</v>
      </c>
      <c r="D174" s="139">
        <f>VLOOKUP(A174,'Data Vlaue (Cr)'!C169:CZ387,102,0)</f>
        <v>-6.9699999999999998E-2</v>
      </c>
      <c r="E174" s="91">
        <f>VLOOKUP($A174,'Data Vlaue (Cr)'!$C:$FB,75)</f>
        <v>1492</v>
      </c>
      <c r="F174" s="91">
        <f>VLOOKUP($A174,'Data Vlaue (Cr)'!$C:$FB,77)</f>
        <v>-37</v>
      </c>
      <c r="G174" s="92">
        <f>VLOOKUP(A174,'Data Vlaue (Cr)'!C169:CB387,78,0)</f>
        <v>-2.4199999999999999E-2</v>
      </c>
      <c r="H174" s="91">
        <f>VLOOKUP($A174,'Data Vlaue (Cr)'!$C:$FB,91)</f>
        <v>926</v>
      </c>
      <c r="I174" s="91">
        <f>VLOOKUP($A174,'Data Vlaue (Cr)'!$C:$FB,93)</f>
        <v>-20</v>
      </c>
      <c r="J174" s="92">
        <f>VLOOKUP($A174,'Data Vlaue (Cr)'!$C:$FB,94)</f>
        <v>-2.1399999999999999E-2</v>
      </c>
      <c r="K174" s="91">
        <f>VLOOKUP($A174,'Data Vlaue (Cr)'!$C:$FB,95)</f>
        <v>978</v>
      </c>
      <c r="L174" s="91">
        <f>VLOOKUP($A174,'Data Vlaue (Cr)'!$C:$FB,97)</f>
        <v>-197</v>
      </c>
      <c r="M174" s="92">
        <f>VLOOKUP($A174,'Data Vlaue (Cr)'!$C:$FB,98)</f>
        <v>-0.1678</v>
      </c>
      <c r="N174" s="91">
        <f>VLOOKUP($A174,'Data Vlaue (Cr)'!$C:$FB,79)</f>
        <v>1404</v>
      </c>
      <c r="O174" s="92">
        <f>VLOOKUP($A174,'Data Vlaue (Cr)'!$C:$FB,82)</f>
        <v>-2.92E-2</v>
      </c>
    </row>
    <row r="175" spans="1:15" x14ac:dyDescent="0.25">
      <c r="A175" s="97" t="str">
        <f>'Data Vlaue (Cr)'!C170</f>
        <v>POWERGRID</v>
      </c>
      <c r="B175" s="142">
        <f>VLOOKUP(A175,'Data Vlaue (Cr)'!C170:CW388,99,0)</f>
        <v>4586</v>
      </c>
      <c r="C175" s="90">
        <f>VLOOKUP(A175,'Data Vlaue (Cr)'!C170:CY388,101,0)</f>
        <v>113</v>
      </c>
      <c r="D175" s="139">
        <f>VLOOKUP(A175,'Data Vlaue (Cr)'!C170:CZ388,102,0)</f>
        <v>2.5399999999999999E-2</v>
      </c>
      <c r="E175" s="91">
        <f>VLOOKUP($A175,'Data Vlaue (Cr)'!$C:$FB,75)</f>
        <v>2517</v>
      </c>
      <c r="F175" s="91">
        <f>VLOOKUP($A175,'Data Vlaue (Cr)'!$C:$FB,77)</f>
        <v>-8</v>
      </c>
      <c r="G175" s="92">
        <f>VLOOKUP(A175,'Data Vlaue (Cr)'!C170:CB388,78,0)</f>
        <v>-3.3E-3</v>
      </c>
      <c r="H175" s="91">
        <f>VLOOKUP($A175,'Data Vlaue (Cr)'!$C:$FB,91)</f>
        <v>1280</v>
      </c>
      <c r="I175" s="91">
        <f>VLOOKUP($A175,'Data Vlaue (Cr)'!$C:$FB,93)</f>
        <v>87</v>
      </c>
      <c r="J175" s="92">
        <f>VLOOKUP($A175,'Data Vlaue (Cr)'!$C:$FB,94)</f>
        <v>7.2700000000000001E-2</v>
      </c>
      <c r="K175" s="91">
        <f>VLOOKUP($A175,'Data Vlaue (Cr)'!$C:$FB,95)</f>
        <v>788</v>
      </c>
      <c r="L175" s="91">
        <f>VLOOKUP($A175,'Data Vlaue (Cr)'!$C:$FB,97)</f>
        <v>35</v>
      </c>
      <c r="M175" s="92">
        <f>VLOOKUP($A175,'Data Vlaue (Cr)'!$C:$FB,98)</f>
        <v>4.6600000000000003E-2</v>
      </c>
      <c r="N175" s="91">
        <f>VLOOKUP($A175,'Data Vlaue (Cr)'!$C:$FB,79)</f>
        <v>2080</v>
      </c>
      <c r="O175" s="92">
        <f>VLOOKUP($A175,'Data Vlaue (Cr)'!$C:$FB,82)</f>
        <v>-7.4999999999999997E-2</v>
      </c>
    </row>
    <row r="176" spans="1:15" x14ac:dyDescent="0.25">
      <c r="A176" s="97" t="str">
        <f>'Data Vlaue (Cr)'!C171</f>
        <v>POWERINDIA</v>
      </c>
      <c r="B176" s="142">
        <f>VLOOKUP(A176,'Data Vlaue (Cr)'!C171:CW389,99,0)</f>
        <v>2943</v>
      </c>
      <c r="C176" s="90">
        <f>VLOOKUP(A176,'Data Vlaue (Cr)'!C171:CY389,101,0)</f>
        <v>262</v>
      </c>
      <c r="D176" s="139">
        <f>VLOOKUP(A176,'Data Vlaue (Cr)'!C171:CZ389,102,0)</f>
        <v>9.7799999999999998E-2</v>
      </c>
      <c r="E176" s="91">
        <f>VLOOKUP($A176,'Data Vlaue (Cr)'!$C:$FB,75)</f>
        <v>1169</v>
      </c>
      <c r="F176" s="91">
        <f>VLOOKUP($A176,'Data Vlaue (Cr)'!$C:$FB,77)</f>
        <v>14</v>
      </c>
      <c r="G176" s="92">
        <f>VLOOKUP(A176,'Data Vlaue (Cr)'!C171:CB389,78,0)</f>
        <v>1.17E-2</v>
      </c>
      <c r="H176" s="91">
        <f>VLOOKUP($A176,'Data Vlaue (Cr)'!$C:$FB,91)</f>
        <v>815</v>
      </c>
      <c r="I176" s="91">
        <f>VLOOKUP($A176,'Data Vlaue (Cr)'!$C:$FB,93)</f>
        <v>72</v>
      </c>
      <c r="J176" s="92">
        <f>VLOOKUP($A176,'Data Vlaue (Cr)'!$C:$FB,94)</f>
        <v>9.6699999999999994E-2</v>
      </c>
      <c r="K176" s="91">
        <f>VLOOKUP($A176,'Data Vlaue (Cr)'!$C:$FB,95)</f>
        <v>959</v>
      </c>
      <c r="L176" s="91">
        <f>VLOOKUP($A176,'Data Vlaue (Cr)'!$C:$FB,97)</f>
        <v>177</v>
      </c>
      <c r="M176" s="92">
        <f>VLOOKUP($A176,'Data Vlaue (Cr)'!$C:$FB,98)</f>
        <v>0.22589999999999999</v>
      </c>
      <c r="N176" s="91">
        <f>VLOOKUP($A176,'Data Vlaue (Cr)'!$C:$FB,79)</f>
        <v>1080</v>
      </c>
      <c r="O176" s="92">
        <f>VLOOKUP($A176,'Data Vlaue (Cr)'!$C:$FB,82)</f>
        <v>2.3E-3</v>
      </c>
    </row>
    <row r="177" spans="1:15" x14ac:dyDescent="0.25">
      <c r="A177" s="97" t="str">
        <f>'Data Vlaue (Cr)'!C172</f>
        <v>PPLPHARMA</v>
      </c>
      <c r="B177" s="142">
        <f>VLOOKUP(A177,'Data Vlaue (Cr)'!C172:CW390,99,0)</f>
        <v>293</v>
      </c>
      <c r="C177" s="90">
        <f>VLOOKUP(A177,'Data Vlaue (Cr)'!C172:CY390,101,0)</f>
        <v>-14</v>
      </c>
      <c r="D177" s="139">
        <f>VLOOKUP(A177,'Data Vlaue (Cr)'!C172:CZ390,102,0)</f>
        <v>-4.4999999999999998E-2</v>
      </c>
      <c r="E177" s="91">
        <f>VLOOKUP($A177,'Data Vlaue (Cr)'!$C:$FB,75)</f>
        <v>167</v>
      </c>
      <c r="F177" s="91">
        <f>VLOOKUP($A177,'Data Vlaue (Cr)'!$C:$FB,77)</f>
        <v>-9</v>
      </c>
      <c r="G177" s="92">
        <f>VLOOKUP(A177,'Data Vlaue (Cr)'!C172:CB390,78,0)</f>
        <v>-4.8500000000000001E-2</v>
      </c>
      <c r="H177" s="91">
        <f>VLOOKUP($A177,'Data Vlaue (Cr)'!$C:$FB,91)</f>
        <v>78</v>
      </c>
      <c r="I177" s="91">
        <f>VLOOKUP($A177,'Data Vlaue (Cr)'!$C:$FB,93)</f>
        <v>-4</v>
      </c>
      <c r="J177" s="92">
        <f>VLOOKUP($A177,'Data Vlaue (Cr)'!$C:$FB,94)</f>
        <v>-4.6100000000000002E-2</v>
      </c>
      <c r="K177" s="91">
        <f>VLOOKUP($A177,'Data Vlaue (Cr)'!$C:$FB,95)</f>
        <v>48</v>
      </c>
      <c r="L177" s="91">
        <f>VLOOKUP($A177,'Data Vlaue (Cr)'!$C:$FB,97)</f>
        <v>-2</v>
      </c>
      <c r="M177" s="92">
        <f>VLOOKUP($A177,'Data Vlaue (Cr)'!$C:$FB,98)</f>
        <v>-3.0800000000000001E-2</v>
      </c>
      <c r="N177" s="91">
        <f>VLOOKUP($A177,'Data Vlaue (Cr)'!$C:$FB,79)</f>
        <v>167</v>
      </c>
      <c r="O177" s="92">
        <f>VLOOKUP($A177,'Data Vlaue (Cr)'!$C:$FB,82)</f>
        <v>-4.8500000000000001E-2</v>
      </c>
    </row>
    <row r="178" spans="1:15" x14ac:dyDescent="0.25">
      <c r="A178" s="97" t="str">
        <f>'Data Vlaue (Cr)'!C173</f>
        <v>PREMIERENE</v>
      </c>
      <c r="B178" s="142">
        <f>VLOOKUP(A178,'Data Vlaue (Cr)'!C173:CW391,99,0)</f>
        <v>1823</v>
      </c>
      <c r="C178" s="90">
        <f>VLOOKUP(A178,'Data Vlaue (Cr)'!C173:CY391,101,0)</f>
        <v>98</v>
      </c>
      <c r="D178" s="139">
        <f>VLOOKUP(A178,'Data Vlaue (Cr)'!C173:CZ391,102,0)</f>
        <v>5.6599999999999998E-2</v>
      </c>
      <c r="E178" s="91">
        <f>VLOOKUP($A178,'Data Vlaue (Cr)'!$C:$FB,75)</f>
        <v>1350</v>
      </c>
      <c r="F178" s="91">
        <f>VLOOKUP($A178,'Data Vlaue (Cr)'!$C:$FB,77)</f>
        <v>27</v>
      </c>
      <c r="G178" s="92">
        <f>VLOOKUP(A178,'Data Vlaue (Cr)'!C173:CB391,78,0)</f>
        <v>2.0500000000000001E-2</v>
      </c>
      <c r="H178" s="91">
        <f>VLOOKUP($A178,'Data Vlaue (Cr)'!$C:$FB,91)</f>
        <v>268</v>
      </c>
      <c r="I178" s="91">
        <f>VLOOKUP($A178,'Data Vlaue (Cr)'!$C:$FB,93)</f>
        <v>46</v>
      </c>
      <c r="J178" s="92">
        <f>VLOOKUP($A178,'Data Vlaue (Cr)'!$C:$FB,94)</f>
        <v>0.2074</v>
      </c>
      <c r="K178" s="91">
        <f>VLOOKUP($A178,'Data Vlaue (Cr)'!$C:$FB,95)</f>
        <v>205</v>
      </c>
      <c r="L178" s="91">
        <f>VLOOKUP($A178,'Data Vlaue (Cr)'!$C:$FB,97)</f>
        <v>25</v>
      </c>
      <c r="M178" s="92">
        <f>VLOOKUP($A178,'Data Vlaue (Cr)'!$C:$FB,98)</f>
        <v>0.1358</v>
      </c>
      <c r="N178" s="91">
        <f>VLOOKUP($A178,'Data Vlaue (Cr)'!$C:$FB,79)</f>
        <v>1105</v>
      </c>
      <c r="O178" s="92">
        <f>VLOOKUP($A178,'Data Vlaue (Cr)'!$C:$FB,82)</f>
        <v>-1.77E-2</v>
      </c>
    </row>
    <row r="179" spans="1:15" x14ac:dyDescent="0.25">
      <c r="A179" s="97" t="str">
        <f>'Data Vlaue (Cr)'!C174</f>
        <v>PRESTIGE</v>
      </c>
      <c r="B179" s="142">
        <f>VLOOKUP(A179,'Data Vlaue (Cr)'!C174:CW392,99,0)</f>
        <v>1404</v>
      </c>
      <c r="C179" s="90">
        <f>VLOOKUP(A179,'Data Vlaue (Cr)'!C174:CY392,101,0)</f>
        <v>-77</v>
      </c>
      <c r="D179" s="139">
        <f>VLOOKUP(A179,'Data Vlaue (Cr)'!C174:CZ392,102,0)</f>
        <v>-5.1700000000000003E-2</v>
      </c>
      <c r="E179" s="91">
        <f>VLOOKUP($A179,'Data Vlaue (Cr)'!$C:$FB,75)</f>
        <v>919</v>
      </c>
      <c r="F179" s="91">
        <f>VLOOKUP($A179,'Data Vlaue (Cr)'!$C:$FB,77)</f>
        <v>-33</v>
      </c>
      <c r="G179" s="92">
        <f>VLOOKUP(A179,'Data Vlaue (Cr)'!C174:CB392,78,0)</f>
        <v>-3.4700000000000002E-2</v>
      </c>
      <c r="H179" s="91">
        <f>VLOOKUP($A179,'Data Vlaue (Cr)'!$C:$FB,91)</f>
        <v>296</v>
      </c>
      <c r="I179" s="91">
        <f>VLOOKUP($A179,'Data Vlaue (Cr)'!$C:$FB,93)</f>
        <v>-7</v>
      </c>
      <c r="J179" s="92">
        <f>VLOOKUP($A179,'Data Vlaue (Cr)'!$C:$FB,94)</f>
        <v>-2.3199999999999998E-2</v>
      </c>
      <c r="K179" s="91">
        <f>VLOOKUP($A179,'Data Vlaue (Cr)'!$C:$FB,95)</f>
        <v>189</v>
      </c>
      <c r="L179" s="91">
        <f>VLOOKUP($A179,'Data Vlaue (Cr)'!$C:$FB,97)</f>
        <v>-36</v>
      </c>
      <c r="M179" s="92">
        <f>VLOOKUP($A179,'Data Vlaue (Cr)'!$C:$FB,98)</f>
        <v>-0.16170000000000001</v>
      </c>
      <c r="N179" s="91">
        <f>VLOOKUP($A179,'Data Vlaue (Cr)'!$C:$FB,79)</f>
        <v>903</v>
      </c>
      <c r="O179" s="92">
        <f>VLOOKUP($A179,'Data Vlaue (Cr)'!$C:$FB,82)</f>
        <v>-3.8800000000000001E-2</v>
      </c>
    </row>
    <row r="180" spans="1:15" x14ac:dyDescent="0.25">
      <c r="A180" s="97" t="str">
        <f>'Data Vlaue (Cr)'!C175</f>
        <v>RBLBANK</v>
      </c>
      <c r="B180" s="142">
        <f>VLOOKUP(A180,'Data Vlaue (Cr)'!C175:CW393,99,0)</f>
        <v>3669</v>
      </c>
      <c r="C180" s="90">
        <f>VLOOKUP(A180,'Data Vlaue (Cr)'!C175:CY393,101,0)</f>
        <v>-138</v>
      </c>
      <c r="D180" s="139">
        <f>VLOOKUP(A180,'Data Vlaue (Cr)'!C175:CZ393,102,0)</f>
        <v>-3.6200000000000003E-2</v>
      </c>
      <c r="E180" s="91">
        <f>VLOOKUP($A180,'Data Vlaue (Cr)'!$C:$FB,75)</f>
        <v>1894</v>
      </c>
      <c r="F180" s="91">
        <f>VLOOKUP($A180,'Data Vlaue (Cr)'!$C:$FB,77)</f>
        <v>-58</v>
      </c>
      <c r="G180" s="92">
        <f>VLOOKUP(A180,'Data Vlaue (Cr)'!C175:CB393,78,0)</f>
        <v>-2.9700000000000001E-2</v>
      </c>
      <c r="H180" s="91">
        <f>VLOOKUP($A180,'Data Vlaue (Cr)'!$C:$FB,91)</f>
        <v>930</v>
      </c>
      <c r="I180" s="91">
        <f>VLOOKUP($A180,'Data Vlaue (Cr)'!$C:$FB,93)</f>
        <v>-45</v>
      </c>
      <c r="J180" s="92">
        <f>VLOOKUP($A180,'Data Vlaue (Cr)'!$C:$FB,94)</f>
        <v>-4.65E-2</v>
      </c>
      <c r="K180" s="91">
        <f>VLOOKUP($A180,'Data Vlaue (Cr)'!$C:$FB,95)</f>
        <v>844</v>
      </c>
      <c r="L180" s="91">
        <f>VLOOKUP($A180,'Data Vlaue (Cr)'!$C:$FB,97)</f>
        <v>-34</v>
      </c>
      <c r="M180" s="92">
        <f>VLOOKUP($A180,'Data Vlaue (Cr)'!$C:$FB,98)</f>
        <v>-3.9100000000000003E-2</v>
      </c>
      <c r="N180" s="91">
        <f>VLOOKUP($A180,'Data Vlaue (Cr)'!$C:$FB,79)</f>
        <v>1793</v>
      </c>
      <c r="O180" s="92">
        <f>VLOOKUP($A180,'Data Vlaue (Cr)'!$C:$FB,82)</f>
        <v>-6.1100000000000002E-2</v>
      </c>
    </row>
    <row r="181" spans="1:15" x14ac:dyDescent="0.25">
      <c r="A181" s="97" t="str">
        <f>'Data Vlaue (Cr)'!C176</f>
        <v>RECLTD</v>
      </c>
      <c r="B181" s="142">
        <f>VLOOKUP(A181,'Data Vlaue (Cr)'!C176:CW394,99,0)</f>
        <v>4593</v>
      </c>
      <c r="C181" s="90">
        <f>VLOOKUP(A181,'Data Vlaue (Cr)'!C176:CY394,101,0)</f>
        <v>21</v>
      </c>
      <c r="D181" s="139">
        <f>VLOOKUP(A181,'Data Vlaue (Cr)'!C176:CZ394,102,0)</f>
        <v>4.7000000000000002E-3</v>
      </c>
      <c r="E181" s="91">
        <f>VLOOKUP($A181,'Data Vlaue (Cr)'!$C:$FB,75)</f>
        <v>2537</v>
      </c>
      <c r="F181" s="91">
        <f>VLOOKUP($A181,'Data Vlaue (Cr)'!$C:$FB,77)</f>
        <v>-37</v>
      </c>
      <c r="G181" s="92">
        <f>VLOOKUP(A181,'Data Vlaue (Cr)'!C176:CB394,78,0)</f>
        <v>-1.44E-2</v>
      </c>
      <c r="H181" s="91">
        <f>VLOOKUP($A181,'Data Vlaue (Cr)'!$C:$FB,91)</f>
        <v>1079</v>
      </c>
      <c r="I181" s="91">
        <f>VLOOKUP($A181,'Data Vlaue (Cr)'!$C:$FB,93)</f>
        <v>38</v>
      </c>
      <c r="J181" s="92">
        <f>VLOOKUP($A181,'Data Vlaue (Cr)'!$C:$FB,94)</f>
        <v>3.6600000000000001E-2</v>
      </c>
      <c r="K181" s="91">
        <f>VLOOKUP($A181,'Data Vlaue (Cr)'!$C:$FB,95)</f>
        <v>977</v>
      </c>
      <c r="L181" s="91">
        <f>VLOOKUP($A181,'Data Vlaue (Cr)'!$C:$FB,97)</f>
        <v>20</v>
      </c>
      <c r="M181" s="92">
        <f>VLOOKUP($A181,'Data Vlaue (Cr)'!$C:$FB,98)</f>
        <v>2.1299999999999999E-2</v>
      </c>
      <c r="N181" s="91">
        <f>VLOOKUP($A181,'Data Vlaue (Cr)'!$C:$FB,79)</f>
        <v>2075</v>
      </c>
      <c r="O181" s="92">
        <f>VLOOKUP($A181,'Data Vlaue (Cr)'!$C:$FB,82)</f>
        <v>-7.4099999999999999E-2</v>
      </c>
    </row>
    <row r="182" spans="1:15" x14ac:dyDescent="0.25">
      <c r="A182" s="97" t="str">
        <f>'Data Vlaue (Cr)'!C177</f>
        <v>RELIANCE</v>
      </c>
      <c r="B182" s="142">
        <f>VLOOKUP(A182,'Data Vlaue (Cr)'!C177:CW395,99,0)</f>
        <v>28903</v>
      </c>
      <c r="C182" s="90">
        <f>VLOOKUP(A182,'Data Vlaue (Cr)'!C177:CY395,101,0)</f>
        <v>-330</v>
      </c>
      <c r="D182" s="139">
        <f>VLOOKUP(A182,'Data Vlaue (Cr)'!C177:CZ395,102,0)</f>
        <v>-1.1299999999999999E-2</v>
      </c>
      <c r="E182" s="91">
        <f>VLOOKUP($A182,'Data Vlaue (Cr)'!$C:$FB,75)</f>
        <v>13025</v>
      </c>
      <c r="F182" s="91">
        <f>VLOOKUP($A182,'Data Vlaue (Cr)'!$C:$FB,77)</f>
        <v>-89</v>
      </c>
      <c r="G182" s="92">
        <f>VLOOKUP(A182,'Data Vlaue (Cr)'!C177:CB395,78,0)</f>
        <v>-6.7999999999999996E-3</v>
      </c>
      <c r="H182" s="91">
        <f>VLOOKUP($A182,'Data Vlaue (Cr)'!$C:$FB,91)</f>
        <v>10670</v>
      </c>
      <c r="I182" s="91">
        <f>VLOOKUP($A182,'Data Vlaue (Cr)'!$C:$FB,93)</f>
        <v>-195</v>
      </c>
      <c r="J182" s="92">
        <f>VLOOKUP($A182,'Data Vlaue (Cr)'!$C:$FB,94)</f>
        <v>-1.7999999999999999E-2</v>
      </c>
      <c r="K182" s="91">
        <f>VLOOKUP($A182,'Data Vlaue (Cr)'!$C:$FB,95)</f>
        <v>5209</v>
      </c>
      <c r="L182" s="91">
        <f>VLOOKUP($A182,'Data Vlaue (Cr)'!$C:$FB,97)</f>
        <v>-45</v>
      </c>
      <c r="M182" s="92">
        <f>VLOOKUP($A182,'Data Vlaue (Cr)'!$C:$FB,98)</f>
        <v>-8.6E-3</v>
      </c>
      <c r="N182" s="91">
        <f>VLOOKUP($A182,'Data Vlaue (Cr)'!$C:$FB,79)</f>
        <v>10088</v>
      </c>
      <c r="O182" s="92">
        <f>VLOOKUP($A182,'Data Vlaue (Cr)'!$C:$FB,82)</f>
        <v>-2.8199999999999999E-2</v>
      </c>
    </row>
    <row r="183" spans="1:15" x14ac:dyDescent="0.25">
      <c r="A183" s="97" t="str">
        <f>'Data Vlaue (Cr)'!C178</f>
        <v>RVNL</v>
      </c>
      <c r="B183" s="142">
        <f>VLOOKUP(A183,'Data Vlaue (Cr)'!C178:CW396,99,0)</f>
        <v>3207</v>
      </c>
      <c r="C183" s="90">
        <f>VLOOKUP(A183,'Data Vlaue (Cr)'!C178:CY396,101,0)</f>
        <v>63</v>
      </c>
      <c r="D183" s="139">
        <f>VLOOKUP(A183,'Data Vlaue (Cr)'!C178:CZ396,102,0)</f>
        <v>2.01E-2</v>
      </c>
      <c r="E183" s="91">
        <f>VLOOKUP($A183,'Data Vlaue (Cr)'!$C:$FB,75)</f>
        <v>2005</v>
      </c>
      <c r="F183" s="91">
        <f>VLOOKUP($A183,'Data Vlaue (Cr)'!$C:$FB,77)</f>
        <v>66</v>
      </c>
      <c r="G183" s="92">
        <f>VLOOKUP(A183,'Data Vlaue (Cr)'!C178:CB396,78,0)</f>
        <v>3.4099999999999998E-2</v>
      </c>
      <c r="H183" s="91">
        <f>VLOOKUP($A183,'Data Vlaue (Cr)'!$C:$FB,91)</f>
        <v>725</v>
      </c>
      <c r="I183" s="91">
        <f>VLOOKUP($A183,'Data Vlaue (Cr)'!$C:$FB,93)</f>
        <v>-1</v>
      </c>
      <c r="J183" s="92">
        <f>VLOOKUP($A183,'Data Vlaue (Cr)'!$C:$FB,94)</f>
        <v>-6.9999999999999999E-4</v>
      </c>
      <c r="K183" s="91">
        <f>VLOOKUP($A183,'Data Vlaue (Cr)'!$C:$FB,95)</f>
        <v>477</v>
      </c>
      <c r="L183" s="91">
        <f>VLOOKUP($A183,'Data Vlaue (Cr)'!$C:$FB,97)</f>
        <v>-2</v>
      </c>
      <c r="M183" s="92">
        <f>VLOOKUP($A183,'Data Vlaue (Cr)'!$C:$FB,98)</f>
        <v>-4.7999999999999996E-3</v>
      </c>
      <c r="N183" s="91">
        <f>VLOOKUP($A183,'Data Vlaue (Cr)'!$C:$FB,79)</f>
        <v>1480</v>
      </c>
      <c r="O183" s="92">
        <f>VLOOKUP($A183,'Data Vlaue (Cr)'!$C:$FB,82)</f>
        <v>6.0000000000000001E-3</v>
      </c>
    </row>
    <row r="184" spans="1:15" x14ac:dyDescent="0.25">
      <c r="A184" s="97" t="str">
        <f>'Data Vlaue (Cr)'!C179</f>
        <v>SAIL</v>
      </c>
      <c r="B184" s="142">
        <f>VLOOKUP(A184,'Data Vlaue (Cr)'!C179:CW397,99,0)</f>
        <v>3766</v>
      </c>
      <c r="C184" s="90">
        <f>VLOOKUP(A184,'Data Vlaue (Cr)'!C179:CY397,101,0)</f>
        <v>-26</v>
      </c>
      <c r="D184" s="139">
        <f>VLOOKUP(A184,'Data Vlaue (Cr)'!C179:CZ397,102,0)</f>
        <v>-6.7999999999999996E-3</v>
      </c>
      <c r="E184" s="91">
        <f>VLOOKUP($A184,'Data Vlaue (Cr)'!$C:$FB,75)</f>
        <v>3449</v>
      </c>
      <c r="F184" s="91">
        <f>VLOOKUP($A184,'Data Vlaue (Cr)'!$C:$FB,77)</f>
        <v>-23</v>
      </c>
      <c r="G184" s="92">
        <f>VLOOKUP(A184,'Data Vlaue (Cr)'!C179:CB397,78,0)</f>
        <v>-6.7000000000000002E-3</v>
      </c>
      <c r="H184" s="91">
        <f>VLOOKUP($A184,'Data Vlaue (Cr)'!$C:$FB,91)</f>
        <v>182</v>
      </c>
      <c r="I184" s="91">
        <f>VLOOKUP($A184,'Data Vlaue (Cr)'!$C:$FB,93)</f>
        <v>-1</v>
      </c>
      <c r="J184" s="92">
        <f>VLOOKUP($A184,'Data Vlaue (Cr)'!$C:$FB,94)</f>
        <v>-6.6E-3</v>
      </c>
      <c r="K184" s="91">
        <f>VLOOKUP($A184,'Data Vlaue (Cr)'!$C:$FB,95)</f>
        <v>135</v>
      </c>
      <c r="L184" s="91">
        <f>VLOOKUP($A184,'Data Vlaue (Cr)'!$C:$FB,97)</f>
        <v>-1</v>
      </c>
      <c r="M184" s="92">
        <f>VLOOKUP($A184,'Data Vlaue (Cr)'!$C:$FB,98)</f>
        <v>-9.4999999999999998E-3</v>
      </c>
      <c r="N184" s="91">
        <f>VLOOKUP($A184,'Data Vlaue (Cr)'!$C:$FB,79)</f>
        <v>2834</v>
      </c>
      <c r="O184" s="92">
        <f>VLOOKUP($A184,'Data Vlaue (Cr)'!$C:$FB,82)</f>
        <v>-5.8999999999999999E-3</v>
      </c>
    </row>
    <row r="185" spans="1:15" x14ac:dyDescent="0.25">
      <c r="A185" s="97" t="str">
        <f>'Data Vlaue (Cr)'!C180</f>
        <v>SAMMAANCAP</v>
      </c>
      <c r="B185" s="142">
        <f>VLOOKUP(A185,'Data Vlaue (Cr)'!C180:CW398,99,0)</f>
        <v>2044</v>
      </c>
      <c r="C185" s="90">
        <f>VLOOKUP(A185,'Data Vlaue (Cr)'!C180:CY398,101,0)</f>
        <v>-19</v>
      </c>
      <c r="D185" s="139">
        <f>VLOOKUP(A185,'Data Vlaue (Cr)'!C180:CZ398,102,0)</f>
        <v>-9.1000000000000004E-3</v>
      </c>
      <c r="E185" s="91">
        <f>VLOOKUP($A185,'Data Vlaue (Cr)'!$C:$FB,75)</f>
        <v>1488</v>
      </c>
      <c r="F185" s="91">
        <f>VLOOKUP($A185,'Data Vlaue (Cr)'!$C:$FB,77)</f>
        <v>-18</v>
      </c>
      <c r="G185" s="92">
        <f>VLOOKUP(A185,'Data Vlaue (Cr)'!C180:CB398,78,0)</f>
        <v>-1.17E-2</v>
      </c>
      <c r="H185" s="91">
        <f>VLOOKUP($A185,'Data Vlaue (Cr)'!$C:$FB,91)</f>
        <v>267</v>
      </c>
      <c r="I185" s="91">
        <f>VLOOKUP($A185,'Data Vlaue (Cr)'!$C:$FB,93)</f>
        <v>-1</v>
      </c>
      <c r="J185" s="92">
        <f>VLOOKUP($A185,'Data Vlaue (Cr)'!$C:$FB,94)</f>
        <v>-2.2000000000000001E-3</v>
      </c>
      <c r="K185" s="91">
        <f>VLOOKUP($A185,'Data Vlaue (Cr)'!$C:$FB,95)</f>
        <v>289</v>
      </c>
      <c r="L185" s="91">
        <f>VLOOKUP($A185,'Data Vlaue (Cr)'!$C:$FB,97)</f>
        <v>-1</v>
      </c>
      <c r="M185" s="92">
        <f>VLOOKUP($A185,'Data Vlaue (Cr)'!$C:$FB,98)</f>
        <v>-2E-3</v>
      </c>
      <c r="N185" s="91">
        <f>VLOOKUP($A185,'Data Vlaue (Cr)'!$C:$FB,79)</f>
        <v>1425</v>
      </c>
      <c r="O185" s="92">
        <f>VLOOKUP($A185,'Data Vlaue (Cr)'!$C:$FB,82)</f>
        <v>-1.2500000000000001E-2</v>
      </c>
    </row>
    <row r="186" spans="1:15" x14ac:dyDescent="0.25">
      <c r="A186" s="97" t="str">
        <f>'Data Vlaue (Cr)'!C181</f>
        <v>SBICARD</v>
      </c>
      <c r="B186" s="142">
        <f>VLOOKUP(A186,'Data Vlaue (Cr)'!C181:CW399,99,0)</f>
        <v>3013</v>
      </c>
      <c r="C186" s="90">
        <f>VLOOKUP(A186,'Data Vlaue (Cr)'!C181:CY399,101,0)</f>
        <v>260</v>
      </c>
      <c r="D186" s="139">
        <f>VLOOKUP(A186,'Data Vlaue (Cr)'!C181:CZ399,102,0)</f>
        <v>9.4299999999999995E-2</v>
      </c>
      <c r="E186" s="91">
        <f>VLOOKUP($A186,'Data Vlaue (Cr)'!$C:$FB,75)</f>
        <v>2008</v>
      </c>
      <c r="F186" s="91">
        <f>VLOOKUP($A186,'Data Vlaue (Cr)'!$C:$FB,77)</f>
        <v>151</v>
      </c>
      <c r="G186" s="92">
        <f>VLOOKUP(A186,'Data Vlaue (Cr)'!C181:CB399,78,0)</f>
        <v>8.1199999999999994E-2</v>
      </c>
      <c r="H186" s="91">
        <f>VLOOKUP($A186,'Data Vlaue (Cr)'!$C:$FB,91)</f>
        <v>561</v>
      </c>
      <c r="I186" s="91">
        <f>VLOOKUP($A186,'Data Vlaue (Cr)'!$C:$FB,93)</f>
        <v>47</v>
      </c>
      <c r="J186" s="92">
        <f>VLOOKUP($A186,'Data Vlaue (Cr)'!$C:$FB,94)</f>
        <v>9.1200000000000003E-2</v>
      </c>
      <c r="K186" s="91">
        <f>VLOOKUP($A186,'Data Vlaue (Cr)'!$C:$FB,95)</f>
        <v>444</v>
      </c>
      <c r="L186" s="91">
        <f>VLOOKUP($A186,'Data Vlaue (Cr)'!$C:$FB,97)</f>
        <v>62</v>
      </c>
      <c r="M186" s="92">
        <f>VLOOKUP($A186,'Data Vlaue (Cr)'!$C:$FB,98)</f>
        <v>0.16220000000000001</v>
      </c>
      <c r="N186" s="91">
        <f>VLOOKUP($A186,'Data Vlaue (Cr)'!$C:$FB,79)</f>
        <v>1638</v>
      </c>
      <c r="O186" s="92">
        <f>VLOOKUP($A186,'Data Vlaue (Cr)'!$C:$FB,82)</f>
        <v>4.8099999999999997E-2</v>
      </c>
    </row>
    <row r="187" spans="1:15" x14ac:dyDescent="0.25">
      <c r="A187" s="97" t="str">
        <f>'Data Vlaue (Cr)'!C182</f>
        <v>SBILIFE</v>
      </c>
      <c r="B187" s="142">
        <f>VLOOKUP(A187,'Data Vlaue (Cr)'!C182:CW400,99,0)</f>
        <v>3314</v>
      </c>
      <c r="C187" s="90">
        <f>VLOOKUP(A187,'Data Vlaue (Cr)'!C182:CY400,101,0)</f>
        <v>33</v>
      </c>
      <c r="D187" s="139">
        <f>VLOOKUP(A187,'Data Vlaue (Cr)'!C182:CZ400,102,0)</f>
        <v>0.01</v>
      </c>
      <c r="E187" s="91">
        <f>VLOOKUP($A187,'Data Vlaue (Cr)'!$C:$FB,75)</f>
        <v>2115</v>
      </c>
      <c r="F187" s="91">
        <f>VLOOKUP($A187,'Data Vlaue (Cr)'!$C:$FB,77)</f>
        <v>15</v>
      </c>
      <c r="G187" s="92">
        <f>VLOOKUP(A187,'Data Vlaue (Cr)'!C182:CB400,78,0)</f>
        <v>7.1999999999999998E-3</v>
      </c>
      <c r="H187" s="91">
        <f>VLOOKUP($A187,'Data Vlaue (Cr)'!$C:$FB,91)</f>
        <v>742</v>
      </c>
      <c r="I187" s="91">
        <f>VLOOKUP($A187,'Data Vlaue (Cr)'!$C:$FB,93)</f>
        <v>6</v>
      </c>
      <c r="J187" s="92">
        <f>VLOOKUP($A187,'Data Vlaue (Cr)'!$C:$FB,94)</f>
        <v>8.0999999999999996E-3</v>
      </c>
      <c r="K187" s="91">
        <f>VLOOKUP($A187,'Data Vlaue (Cr)'!$C:$FB,95)</f>
        <v>458</v>
      </c>
      <c r="L187" s="91">
        <f>VLOOKUP($A187,'Data Vlaue (Cr)'!$C:$FB,97)</f>
        <v>12</v>
      </c>
      <c r="M187" s="92">
        <f>VLOOKUP($A187,'Data Vlaue (Cr)'!$C:$FB,98)</f>
        <v>2.6499999999999999E-2</v>
      </c>
      <c r="N187" s="91">
        <f>VLOOKUP($A187,'Data Vlaue (Cr)'!$C:$FB,79)</f>
        <v>1904</v>
      </c>
      <c r="O187" s="92">
        <f>VLOOKUP($A187,'Data Vlaue (Cr)'!$C:$FB,82)</f>
        <v>-0.03</v>
      </c>
    </row>
    <row r="188" spans="1:15" x14ac:dyDescent="0.25">
      <c r="A188" s="97" t="str">
        <f>'Data Vlaue (Cr)'!C183</f>
        <v>SBIN</v>
      </c>
      <c r="B188" s="142">
        <f>VLOOKUP(A188,'Data Vlaue (Cr)'!C183:CW401,99,0)</f>
        <v>18085</v>
      </c>
      <c r="C188" s="90">
        <f>VLOOKUP(A188,'Data Vlaue (Cr)'!C183:CY401,101,0)</f>
        <v>211</v>
      </c>
      <c r="D188" s="139">
        <f>VLOOKUP(A188,'Data Vlaue (Cr)'!C183:CZ401,102,0)</f>
        <v>1.18E-2</v>
      </c>
      <c r="E188" s="91">
        <f>VLOOKUP($A188,'Data Vlaue (Cr)'!$C:$FB,75)</f>
        <v>8636</v>
      </c>
      <c r="F188" s="91">
        <f>VLOOKUP($A188,'Data Vlaue (Cr)'!$C:$FB,77)</f>
        <v>-280</v>
      </c>
      <c r="G188" s="92">
        <f>VLOOKUP(A188,'Data Vlaue (Cr)'!C183:CB401,78,0)</f>
        <v>-3.1399999999999997E-2</v>
      </c>
      <c r="H188" s="91">
        <f>VLOOKUP($A188,'Data Vlaue (Cr)'!$C:$FB,91)</f>
        <v>5001</v>
      </c>
      <c r="I188" s="91">
        <f>VLOOKUP($A188,'Data Vlaue (Cr)'!$C:$FB,93)</f>
        <v>40</v>
      </c>
      <c r="J188" s="92">
        <f>VLOOKUP($A188,'Data Vlaue (Cr)'!$C:$FB,94)</f>
        <v>8.0999999999999996E-3</v>
      </c>
      <c r="K188" s="91">
        <f>VLOOKUP($A188,'Data Vlaue (Cr)'!$C:$FB,95)</f>
        <v>4447</v>
      </c>
      <c r="L188" s="91">
        <f>VLOOKUP($A188,'Data Vlaue (Cr)'!$C:$FB,97)</f>
        <v>450</v>
      </c>
      <c r="M188" s="92">
        <f>VLOOKUP($A188,'Data Vlaue (Cr)'!$C:$FB,98)</f>
        <v>0.11269999999999999</v>
      </c>
      <c r="N188" s="91">
        <f>VLOOKUP($A188,'Data Vlaue (Cr)'!$C:$FB,79)</f>
        <v>7347</v>
      </c>
      <c r="O188" s="92">
        <f>VLOOKUP($A188,'Data Vlaue (Cr)'!$C:$FB,82)</f>
        <v>-7.4800000000000005E-2</v>
      </c>
    </row>
    <row r="189" spans="1:15" x14ac:dyDescent="0.25">
      <c r="A189" s="97" t="str">
        <f>'Data Vlaue (Cr)'!C184</f>
        <v>SHREECEM</v>
      </c>
      <c r="B189" s="142">
        <f>VLOOKUP(A189,'Data Vlaue (Cr)'!C184:CW402,99,0)</f>
        <v>1291</v>
      </c>
      <c r="C189" s="90">
        <f>VLOOKUP(A189,'Data Vlaue (Cr)'!C184:CY402,101,0)</f>
        <v>67</v>
      </c>
      <c r="D189" s="139">
        <f>VLOOKUP(A189,'Data Vlaue (Cr)'!C184:CZ402,102,0)</f>
        <v>5.4399999999999997E-2</v>
      </c>
      <c r="E189" s="91">
        <f>VLOOKUP($A189,'Data Vlaue (Cr)'!$C:$FB,75)</f>
        <v>1013</v>
      </c>
      <c r="F189" s="91">
        <f>VLOOKUP($A189,'Data Vlaue (Cr)'!$C:$FB,77)</f>
        <v>52</v>
      </c>
      <c r="G189" s="92">
        <f>VLOOKUP(A189,'Data Vlaue (Cr)'!C184:CB402,78,0)</f>
        <v>5.3999999999999999E-2</v>
      </c>
      <c r="H189" s="91">
        <f>VLOOKUP($A189,'Data Vlaue (Cr)'!$C:$FB,91)</f>
        <v>148</v>
      </c>
      <c r="I189" s="91">
        <f>VLOOKUP($A189,'Data Vlaue (Cr)'!$C:$FB,93)</f>
        <v>5</v>
      </c>
      <c r="J189" s="92">
        <f>VLOOKUP($A189,'Data Vlaue (Cr)'!$C:$FB,94)</f>
        <v>3.3799999999999997E-2</v>
      </c>
      <c r="K189" s="91">
        <f>VLOOKUP($A189,'Data Vlaue (Cr)'!$C:$FB,95)</f>
        <v>131</v>
      </c>
      <c r="L189" s="91">
        <f>VLOOKUP($A189,'Data Vlaue (Cr)'!$C:$FB,97)</f>
        <v>10</v>
      </c>
      <c r="M189" s="92">
        <f>VLOOKUP($A189,'Data Vlaue (Cr)'!$C:$FB,98)</f>
        <v>8.1500000000000003E-2</v>
      </c>
      <c r="N189" s="91">
        <f>VLOOKUP($A189,'Data Vlaue (Cr)'!$C:$FB,79)</f>
        <v>965</v>
      </c>
      <c r="O189" s="92">
        <f>VLOOKUP($A189,'Data Vlaue (Cr)'!$C:$FB,82)</f>
        <v>5.1400000000000001E-2</v>
      </c>
    </row>
    <row r="190" spans="1:15" x14ac:dyDescent="0.25">
      <c r="A190" s="97" t="str">
        <f>'Data Vlaue (Cr)'!C185</f>
        <v>SHRIRAMFIN</v>
      </c>
      <c r="B190" s="142">
        <f>VLOOKUP(A190,'Data Vlaue (Cr)'!C185:CW403,99,0)</f>
        <v>6715</v>
      </c>
      <c r="C190" s="90">
        <f>VLOOKUP(A190,'Data Vlaue (Cr)'!C185:CY403,101,0)</f>
        <v>-56</v>
      </c>
      <c r="D190" s="139">
        <f>VLOOKUP(A190,'Data Vlaue (Cr)'!C185:CZ403,102,0)</f>
        <v>-8.3000000000000001E-3</v>
      </c>
      <c r="E190" s="91">
        <f>VLOOKUP($A190,'Data Vlaue (Cr)'!$C:$FB,75)</f>
        <v>4206</v>
      </c>
      <c r="F190" s="91">
        <f>VLOOKUP($A190,'Data Vlaue (Cr)'!$C:$FB,77)</f>
        <v>-43</v>
      </c>
      <c r="G190" s="92">
        <f>VLOOKUP(A190,'Data Vlaue (Cr)'!C185:CB403,78,0)</f>
        <v>-1.0200000000000001E-2</v>
      </c>
      <c r="H190" s="91">
        <f>VLOOKUP($A190,'Data Vlaue (Cr)'!$C:$FB,91)</f>
        <v>1448</v>
      </c>
      <c r="I190" s="91">
        <f>VLOOKUP($A190,'Data Vlaue (Cr)'!$C:$FB,93)</f>
        <v>-15</v>
      </c>
      <c r="J190" s="92">
        <f>VLOOKUP($A190,'Data Vlaue (Cr)'!$C:$FB,94)</f>
        <v>-0.01</v>
      </c>
      <c r="K190" s="91">
        <f>VLOOKUP($A190,'Data Vlaue (Cr)'!$C:$FB,95)</f>
        <v>1062</v>
      </c>
      <c r="L190" s="91">
        <f>VLOOKUP($A190,'Data Vlaue (Cr)'!$C:$FB,97)</f>
        <v>1</v>
      </c>
      <c r="M190" s="92">
        <f>VLOOKUP($A190,'Data Vlaue (Cr)'!$C:$FB,98)</f>
        <v>1.2999999999999999E-3</v>
      </c>
      <c r="N190" s="91">
        <f>VLOOKUP($A190,'Data Vlaue (Cr)'!$C:$FB,79)</f>
        <v>3564</v>
      </c>
      <c r="O190" s="92">
        <f>VLOOKUP($A190,'Data Vlaue (Cr)'!$C:$FB,82)</f>
        <v>-4.8800000000000003E-2</v>
      </c>
    </row>
    <row r="191" spans="1:15" x14ac:dyDescent="0.25">
      <c r="A191" s="97" t="str">
        <f>'Data Vlaue (Cr)'!C186</f>
        <v>SIEMENS</v>
      </c>
      <c r="B191" s="142">
        <f>VLOOKUP(A191,'Data Vlaue (Cr)'!C186:CW404,99,0)</f>
        <v>2349</v>
      </c>
      <c r="C191" s="90">
        <f>VLOOKUP(A191,'Data Vlaue (Cr)'!C186:CY404,101,0)</f>
        <v>55</v>
      </c>
      <c r="D191" s="139">
        <f>VLOOKUP(A191,'Data Vlaue (Cr)'!C186:CZ404,102,0)</f>
        <v>2.4199999999999999E-2</v>
      </c>
      <c r="E191" s="91">
        <f>VLOOKUP($A191,'Data Vlaue (Cr)'!$C:$FB,75)</f>
        <v>1285</v>
      </c>
      <c r="F191" s="91">
        <f>VLOOKUP($A191,'Data Vlaue (Cr)'!$C:$FB,77)</f>
        <v>3</v>
      </c>
      <c r="G191" s="92">
        <f>VLOOKUP(A191,'Data Vlaue (Cr)'!C186:CB404,78,0)</f>
        <v>2.3999999999999998E-3</v>
      </c>
      <c r="H191" s="91">
        <f>VLOOKUP($A191,'Data Vlaue (Cr)'!$C:$FB,91)</f>
        <v>564</v>
      </c>
      <c r="I191" s="91">
        <f>VLOOKUP($A191,'Data Vlaue (Cr)'!$C:$FB,93)</f>
        <v>46</v>
      </c>
      <c r="J191" s="92">
        <f>VLOOKUP($A191,'Data Vlaue (Cr)'!$C:$FB,94)</f>
        <v>8.8300000000000003E-2</v>
      </c>
      <c r="K191" s="91">
        <f>VLOOKUP($A191,'Data Vlaue (Cr)'!$C:$FB,95)</f>
        <v>500</v>
      </c>
      <c r="L191" s="91">
        <f>VLOOKUP($A191,'Data Vlaue (Cr)'!$C:$FB,97)</f>
        <v>7</v>
      </c>
      <c r="M191" s="92">
        <f>VLOOKUP($A191,'Data Vlaue (Cr)'!$C:$FB,98)</f>
        <v>1.3299999999999999E-2</v>
      </c>
      <c r="N191" s="91">
        <f>VLOOKUP($A191,'Data Vlaue (Cr)'!$C:$FB,79)</f>
        <v>1162</v>
      </c>
      <c r="O191" s="92">
        <f>VLOOKUP($A191,'Data Vlaue (Cr)'!$C:$FB,82)</f>
        <v>-1.8599999999999998E-2</v>
      </c>
    </row>
    <row r="192" spans="1:15" x14ac:dyDescent="0.25">
      <c r="A192" s="97" t="str">
        <f>'Data Vlaue (Cr)'!C187</f>
        <v>SOLARINDS</v>
      </c>
      <c r="B192" s="142">
        <f>VLOOKUP(A192,'Data Vlaue (Cr)'!C187:CW405,99,0)</f>
        <v>1960</v>
      </c>
      <c r="C192" s="90">
        <f>VLOOKUP(A192,'Data Vlaue (Cr)'!C187:CY405,101,0)</f>
        <v>-8</v>
      </c>
      <c r="D192" s="139">
        <f>VLOOKUP(A192,'Data Vlaue (Cr)'!C187:CZ405,102,0)</f>
        <v>-3.8999999999999998E-3</v>
      </c>
      <c r="E192" s="91">
        <f>VLOOKUP($A192,'Data Vlaue (Cr)'!$C:$FB,75)</f>
        <v>1183</v>
      </c>
      <c r="F192" s="91">
        <f>VLOOKUP($A192,'Data Vlaue (Cr)'!$C:$FB,77)</f>
        <v>11</v>
      </c>
      <c r="G192" s="92">
        <f>VLOOKUP(A192,'Data Vlaue (Cr)'!C187:CB405,78,0)</f>
        <v>9.5999999999999992E-3</v>
      </c>
      <c r="H192" s="91">
        <f>VLOOKUP($A192,'Data Vlaue (Cr)'!$C:$FB,91)</f>
        <v>460</v>
      </c>
      <c r="I192" s="91">
        <f>VLOOKUP($A192,'Data Vlaue (Cr)'!$C:$FB,93)</f>
        <v>9</v>
      </c>
      <c r="J192" s="92">
        <f>VLOOKUP($A192,'Data Vlaue (Cr)'!$C:$FB,94)</f>
        <v>2.0199999999999999E-2</v>
      </c>
      <c r="K192" s="91">
        <f>VLOOKUP($A192,'Data Vlaue (Cr)'!$C:$FB,95)</f>
        <v>317</v>
      </c>
      <c r="L192" s="91">
        <f>VLOOKUP($A192,'Data Vlaue (Cr)'!$C:$FB,97)</f>
        <v>-28</v>
      </c>
      <c r="M192" s="92">
        <f>VLOOKUP($A192,'Data Vlaue (Cr)'!$C:$FB,98)</f>
        <v>-8.1699999999999995E-2</v>
      </c>
      <c r="N192" s="91">
        <f>VLOOKUP($A192,'Data Vlaue (Cr)'!$C:$FB,79)</f>
        <v>983</v>
      </c>
      <c r="O192" s="92">
        <f>VLOOKUP($A192,'Data Vlaue (Cr)'!$C:$FB,82)</f>
        <v>-8.0000000000000004E-4</v>
      </c>
    </row>
    <row r="193" spans="1:15" x14ac:dyDescent="0.25">
      <c r="A193" s="97" t="str">
        <f>'Data Vlaue (Cr)'!C188</f>
        <v>SONACOMS</v>
      </c>
      <c r="B193" s="142">
        <f>VLOOKUP(A193,'Data Vlaue (Cr)'!C188:CW406,99,0)</f>
        <v>1272</v>
      </c>
      <c r="C193" s="90">
        <f>VLOOKUP(A193,'Data Vlaue (Cr)'!C188:CY406,101,0)</f>
        <v>-17</v>
      </c>
      <c r="D193" s="139">
        <f>VLOOKUP(A193,'Data Vlaue (Cr)'!C188:CZ406,102,0)</f>
        <v>-1.2999999999999999E-2</v>
      </c>
      <c r="E193" s="91">
        <f>VLOOKUP($A193,'Data Vlaue (Cr)'!$C:$FB,75)</f>
        <v>828</v>
      </c>
      <c r="F193" s="91">
        <f>VLOOKUP($A193,'Data Vlaue (Cr)'!$C:$FB,77)</f>
        <v>5</v>
      </c>
      <c r="G193" s="92">
        <f>VLOOKUP(A193,'Data Vlaue (Cr)'!C188:CB406,78,0)</f>
        <v>5.7000000000000002E-3</v>
      </c>
      <c r="H193" s="91">
        <f>VLOOKUP($A193,'Data Vlaue (Cr)'!$C:$FB,91)</f>
        <v>250</v>
      </c>
      <c r="I193" s="91">
        <f>VLOOKUP($A193,'Data Vlaue (Cr)'!$C:$FB,93)</f>
        <v>-11</v>
      </c>
      <c r="J193" s="92">
        <f>VLOOKUP($A193,'Data Vlaue (Cr)'!$C:$FB,94)</f>
        <v>-4.3299999999999998E-2</v>
      </c>
      <c r="K193" s="91">
        <f>VLOOKUP($A193,'Data Vlaue (Cr)'!$C:$FB,95)</f>
        <v>195</v>
      </c>
      <c r="L193" s="91">
        <f>VLOOKUP($A193,'Data Vlaue (Cr)'!$C:$FB,97)</f>
        <v>-10</v>
      </c>
      <c r="M193" s="92">
        <f>VLOOKUP($A193,'Data Vlaue (Cr)'!$C:$FB,98)</f>
        <v>-4.9700000000000001E-2</v>
      </c>
      <c r="N193" s="91">
        <f>VLOOKUP($A193,'Data Vlaue (Cr)'!$C:$FB,79)</f>
        <v>793</v>
      </c>
      <c r="O193" s="92">
        <f>VLOOKUP($A193,'Data Vlaue (Cr)'!$C:$FB,82)</f>
        <v>-5.4000000000000003E-3</v>
      </c>
    </row>
    <row r="194" spans="1:15" x14ac:dyDescent="0.25">
      <c r="A194" s="97" t="str">
        <f>'Data Vlaue (Cr)'!C189</f>
        <v>SRF</v>
      </c>
      <c r="B194" s="142">
        <f>VLOOKUP(A194,'Data Vlaue (Cr)'!C189:CW407,99,0)</f>
        <v>1854</v>
      </c>
      <c r="C194" s="90">
        <f>VLOOKUP(A194,'Data Vlaue (Cr)'!C189:CY407,101,0)</f>
        <v>7</v>
      </c>
      <c r="D194" s="139">
        <f>VLOOKUP(A194,'Data Vlaue (Cr)'!C189:CZ407,102,0)</f>
        <v>3.5999999999999999E-3</v>
      </c>
      <c r="E194" s="91">
        <f>VLOOKUP($A194,'Data Vlaue (Cr)'!$C:$FB,75)</f>
        <v>1049</v>
      </c>
      <c r="F194" s="91">
        <f>VLOOKUP($A194,'Data Vlaue (Cr)'!$C:$FB,77)</f>
        <v>6</v>
      </c>
      <c r="G194" s="92">
        <f>VLOOKUP(A194,'Data Vlaue (Cr)'!C189:CB407,78,0)</f>
        <v>5.4999999999999997E-3</v>
      </c>
      <c r="H194" s="91">
        <f>VLOOKUP($A194,'Data Vlaue (Cr)'!$C:$FB,91)</f>
        <v>519</v>
      </c>
      <c r="I194" s="91">
        <f>VLOOKUP($A194,'Data Vlaue (Cr)'!$C:$FB,93)</f>
        <v>12</v>
      </c>
      <c r="J194" s="92">
        <f>VLOOKUP($A194,'Data Vlaue (Cr)'!$C:$FB,94)</f>
        <v>2.35E-2</v>
      </c>
      <c r="K194" s="91">
        <f>VLOOKUP($A194,'Data Vlaue (Cr)'!$C:$FB,95)</f>
        <v>286</v>
      </c>
      <c r="L194" s="91">
        <f>VLOOKUP($A194,'Data Vlaue (Cr)'!$C:$FB,97)</f>
        <v>-11</v>
      </c>
      <c r="M194" s="92">
        <f>VLOOKUP($A194,'Data Vlaue (Cr)'!$C:$FB,98)</f>
        <v>-3.7600000000000001E-2</v>
      </c>
      <c r="N194" s="91">
        <f>VLOOKUP($A194,'Data Vlaue (Cr)'!$C:$FB,79)</f>
        <v>991</v>
      </c>
      <c r="O194" s="92">
        <f>VLOOKUP($A194,'Data Vlaue (Cr)'!$C:$FB,82)</f>
        <v>-5.8999999999999999E-3</v>
      </c>
    </row>
    <row r="195" spans="1:15" x14ac:dyDescent="0.25">
      <c r="A195" s="97" t="str">
        <f>'Data Vlaue (Cr)'!C190</f>
        <v>SUNPHARMA</v>
      </c>
      <c r="B195" s="142">
        <f>VLOOKUP(A195,'Data Vlaue (Cr)'!C190:CW408,99,0)</f>
        <v>5424</v>
      </c>
      <c r="C195" s="90">
        <f>VLOOKUP(A195,'Data Vlaue (Cr)'!C190:CY408,101,0)</f>
        <v>-35</v>
      </c>
      <c r="D195" s="139">
        <f>VLOOKUP(A195,'Data Vlaue (Cr)'!C190:CZ408,102,0)</f>
        <v>-6.4000000000000003E-3</v>
      </c>
      <c r="E195" s="91">
        <f>VLOOKUP($A195,'Data Vlaue (Cr)'!$C:$FB,75)</f>
        <v>3124</v>
      </c>
      <c r="F195" s="91">
        <f>VLOOKUP($A195,'Data Vlaue (Cr)'!$C:$FB,77)</f>
        <v>6</v>
      </c>
      <c r="G195" s="92">
        <f>VLOOKUP(A195,'Data Vlaue (Cr)'!C190:CB408,78,0)</f>
        <v>1.9E-3</v>
      </c>
      <c r="H195" s="91">
        <f>VLOOKUP($A195,'Data Vlaue (Cr)'!$C:$FB,91)</f>
        <v>1383</v>
      </c>
      <c r="I195" s="91">
        <f>VLOOKUP($A195,'Data Vlaue (Cr)'!$C:$FB,93)</f>
        <v>15</v>
      </c>
      <c r="J195" s="92">
        <f>VLOOKUP($A195,'Data Vlaue (Cr)'!$C:$FB,94)</f>
        <v>1.12E-2</v>
      </c>
      <c r="K195" s="91">
        <f>VLOOKUP($A195,'Data Vlaue (Cr)'!$C:$FB,95)</f>
        <v>918</v>
      </c>
      <c r="L195" s="91">
        <f>VLOOKUP($A195,'Data Vlaue (Cr)'!$C:$FB,97)</f>
        <v>-56</v>
      </c>
      <c r="M195" s="92">
        <f>VLOOKUP($A195,'Data Vlaue (Cr)'!$C:$FB,98)</f>
        <v>-5.7599999999999998E-2</v>
      </c>
      <c r="N195" s="91">
        <f>VLOOKUP($A195,'Data Vlaue (Cr)'!$C:$FB,79)</f>
        <v>2419</v>
      </c>
      <c r="O195" s="92">
        <f>VLOOKUP($A195,'Data Vlaue (Cr)'!$C:$FB,82)</f>
        <v>-2.6700000000000002E-2</v>
      </c>
    </row>
    <row r="196" spans="1:15" x14ac:dyDescent="0.25">
      <c r="A196" s="97" t="str">
        <f>'Data Vlaue (Cr)'!C191</f>
        <v>SUPREMEIND</v>
      </c>
      <c r="B196" s="142">
        <f>VLOOKUP(A196,'Data Vlaue (Cr)'!C191:CW409,99,0)</f>
        <v>1292</v>
      </c>
      <c r="C196" s="90">
        <f>VLOOKUP(A196,'Data Vlaue (Cr)'!C191:CY409,101,0)</f>
        <v>45</v>
      </c>
      <c r="D196" s="139">
        <f>VLOOKUP(A196,'Data Vlaue (Cr)'!C191:CZ409,102,0)</f>
        <v>3.5900000000000001E-2</v>
      </c>
      <c r="E196" s="91">
        <f>VLOOKUP($A196,'Data Vlaue (Cr)'!$C:$FB,75)</f>
        <v>811</v>
      </c>
      <c r="F196" s="91">
        <f>VLOOKUP($A196,'Data Vlaue (Cr)'!$C:$FB,77)</f>
        <v>8</v>
      </c>
      <c r="G196" s="92">
        <f>VLOOKUP(A196,'Data Vlaue (Cr)'!C191:CB409,78,0)</f>
        <v>1.04E-2</v>
      </c>
      <c r="H196" s="91">
        <f>VLOOKUP($A196,'Data Vlaue (Cr)'!$C:$FB,91)</f>
        <v>320</v>
      </c>
      <c r="I196" s="91">
        <f>VLOOKUP($A196,'Data Vlaue (Cr)'!$C:$FB,93)</f>
        <v>28</v>
      </c>
      <c r="J196" s="92">
        <f>VLOOKUP($A196,'Data Vlaue (Cr)'!$C:$FB,94)</f>
        <v>9.7299999999999998E-2</v>
      </c>
      <c r="K196" s="91">
        <f>VLOOKUP($A196,'Data Vlaue (Cr)'!$C:$FB,95)</f>
        <v>161</v>
      </c>
      <c r="L196" s="91">
        <f>VLOOKUP($A196,'Data Vlaue (Cr)'!$C:$FB,97)</f>
        <v>8</v>
      </c>
      <c r="M196" s="92">
        <f>VLOOKUP($A196,'Data Vlaue (Cr)'!$C:$FB,98)</f>
        <v>5.2900000000000003E-2</v>
      </c>
      <c r="N196" s="91">
        <f>VLOOKUP($A196,'Data Vlaue (Cr)'!$C:$FB,79)</f>
        <v>782</v>
      </c>
      <c r="O196" s="92">
        <f>VLOOKUP($A196,'Data Vlaue (Cr)'!$C:$FB,82)</f>
        <v>6.8999999999999999E-3</v>
      </c>
    </row>
    <row r="197" spans="1:15" x14ac:dyDescent="0.25">
      <c r="A197" s="97" t="str">
        <f>'Data Vlaue (Cr)'!C192</f>
        <v>SUZLON</v>
      </c>
      <c r="B197" s="142">
        <f>VLOOKUP(A197,'Data Vlaue (Cr)'!C192:CW410,99,0)</f>
        <v>3914</v>
      </c>
      <c r="C197" s="90">
        <f>VLOOKUP(A197,'Data Vlaue (Cr)'!C192:CY410,101,0)</f>
        <v>193</v>
      </c>
      <c r="D197" s="139">
        <f>VLOOKUP(A197,'Data Vlaue (Cr)'!C192:CZ410,102,0)</f>
        <v>5.1799999999999999E-2</v>
      </c>
      <c r="E197" s="91">
        <f>VLOOKUP($A197,'Data Vlaue (Cr)'!$C:$FB,75)</f>
        <v>1938</v>
      </c>
      <c r="F197" s="91">
        <f>VLOOKUP($A197,'Data Vlaue (Cr)'!$C:$FB,77)</f>
        <v>51</v>
      </c>
      <c r="G197" s="92">
        <f>VLOOKUP(A197,'Data Vlaue (Cr)'!C192:CB410,78,0)</f>
        <v>2.69E-2</v>
      </c>
      <c r="H197" s="91">
        <f>VLOOKUP($A197,'Data Vlaue (Cr)'!$C:$FB,91)</f>
        <v>1086</v>
      </c>
      <c r="I197" s="91">
        <f>VLOOKUP($A197,'Data Vlaue (Cr)'!$C:$FB,93)</f>
        <v>156</v>
      </c>
      <c r="J197" s="92">
        <f>VLOOKUP($A197,'Data Vlaue (Cr)'!$C:$FB,94)</f>
        <v>0.16800000000000001</v>
      </c>
      <c r="K197" s="91">
        <f>VLOOKUP($A197,'Data Vlaue (Cr)'!$C:$FB,95)</f>
        <v>890</v>
      </c>
      <c r="L197" s="91">
        <f>VLOOKUP($A197,'Data Vlaue (Cr)'!$C:$FB,97)</f>
        <v>-14</v>
      </c>
      <c r="M197" s="92">
        <f>VLOOKUP($A197,'Data Vlaue (Cr)'!$C:$FB,98)</f>
        <v>-1.5900000000000001E-2</v>
      </c>
      <c r="N197" s="91">
        <f>VLOOKUP($A197,'Data Vlaue (Cr)'!$C:$FB,79)</f>
        <v>1601</v>
      </c>
      <c r="O197" s="92">
        <f>VLOOKUP($A197,'Data Vlaue (Cr)'!$C:$FB,82)</f>
        <v>-1.3899999999999999E-2</v>
      </c>
    </row>
    <row r="198" spans="1:15" x14ac:dyDescent="0.25">
      <c r="A198" s="97" t="str">
        <f>'Data Vlaue (Cr)'!C193</f>
        <v>SWIGGY</v>
      </c>
      <c r="B198" s="142">
        <f>VLOOKUP(A198,'Data Vlaue (Cr)'!C193:CW411,99,0)</f>
        <v>1947</v>
      </c>
      <c r="C198" s="90">
        <f>VLOOKUP(A198,'Data Vlaue (Cr)'!C193:CY411,101,0)</f>
        <v>-4</v>
      </c>
      <c r="D198" s="139">
        <f>VLOOKUP(A198,'Data Vlaue (Cr)'!C193:CZ411,102,0)</f>
        <v>-2.0999999999999999E-3</v>
      </c>
      <c r="E198" s="91">
        <f>VLOOKUP($A198,'Data Vlaue (Cr)'!$C:$FB,75)</f>
        <v>1455</v>
      </c>
      <c r="F198" s="91">
        <f>VLOOKUP($A198,'Data Vlaue (Cr)'!$C:$FB,77)</f>
        <v>17</v>
      </c>
      <c r="G198" s="92">
        <f>VLOOKUP(A198,'Data Vlaue (Cr)'!C193:CB411,78,0)</f>
        <v>1.21E-2</v>
      </c>
      <c r="H198" s="91">
        <f>VLOOKUP($A198,'Data Vlaue (Cr)'!$C:$FB,91)</f>
        <v>315</v>
      </c>
      <c r="I198" s="91">
        <f>VLOOKUP($A198,'Data Vlaue (Cr)'!$C:$FB,93)</f>
        <v>-16</v>
      </c>
      <c r="J198" s="92">
        <f>VLOOKUP($A198,'Data Vlaue (Cr)'!$C:$FB,94)</f>
        <v>-4.7600000000000003E-2</v>
      </c>
      <c r="K198" s="91">
        <f>VLOOKUP($A198,'Data Vlaue (Cr)'!$C:$FB,95)</f>
        <v>178</v>
      </c>
      <c r="L198" s="91">
        <f>VLOOKUP($A198,'Data Vlaue (Cr)'!$C:$FB,97)</f>
        <v>-6</v>
      </c>
      <c r="M198" s="92">
        <f>VLOOKUP($A198,'Data Vlaue (Cr)'!$C:$FB,98)</f>
        <v>-3.1600000000000003E-2</v>
      </c>
      <c r="N198" s="91">
        <f>VLOOKUP($A198,'Data Vlaue (Cr)'!$C:$FB,79)</f>
        <v>1377</v>
      </c>
      <c r="O198" s="92">
        <f>VLOOKUP($A198,'Data Vlaue (Cr)'!$C:$FB,82)</f>
        <v>-5.4000000000000003E-3</v>
      </c>
    </row>
    <row r="199" spans="1:15" x14ac:dyDescent="0.25">
      <c r="A199" s="97" t="str">
        <f>'Data Vlaue (Cr)'!C194</f>
        <v>TATACONSUM</v>
      </c>
      <c r="B199" s="142">
        <f>VLOOKUP(A199,'Data Vlaue (Cr)'!C194:CW412,99,0)</f>
        <v>2016</v>
      </c>
      <c r="C199" s="90">
        <f>VLOOKUP(A199,'Data Vlaue (Cr)'!C194:CY412,101,0)</f>
        <v>-17</v>
      </c>
      <c r="D199" s="139">
        <f>VLOOKUP(A199,'Data Vlaue (Cr)'!C194:CZ412,102,0)</f>
        <v>-8.0999999999999996E-3</v>
      </c>
      <c r="E199" s="91">
        <f>VLOOKUP($A199,'Data Vlaue (Cr)'!$C:$FB,75)</f>
        <v>1464</v>
      </c>
      <c r="F199" s="91">
        <f>VLOOKUP($A199,'Data Vlaue (Cr)'!$C:$FB,77)</f>
        <v>-19</v>
      </c>
      <c r="G199" s="92">
        <f>VLOOKUP(A199,'Data Vlaue (Cr)'!C194:CB412,78,0)</f>
        <v>-1.29E-2</v>
      </c>
      <c r="H199" s="91">
        <f>VLOOKUP($A199,'Data Vlaue (Cr)'!$C:$FB,91)</f>
        <v>259</v>
      </c>
      <c r="I199" s="91">
        <f>VLOOKUP($A199,'Data Vlaue (Cr)'!$C:$FB,93)</f>
        <v>-15</v>
      </c>
      <c r="J199" s="92">
        <f>VLOOKUP($A199,'Data Vlaue (Cr)'!$C:$FB,94)</f>
        <v>-5.5899999999999998E-2</v>
      </c>
      <c r="K199" s="91">
        <f>VLOOKUP($A199,'Data Vlaue (Cr)'!$C:$FB,95)</f>
        <v>293</v>
      </c>
      <c r="L199" s="91">
        <f>VLOOKUP($A199,'Data Vlaue (Cr)'!$C:$FB,97)</f>
        <v>18</v>
      </c>
      <c r="M199" s="92">
        <f>VLOOKUP($A199,'Data Vlaue (Cr)'!$C:$FB,98)</f>
        <v>6.4899999999999999E-2</v>
      </c>
      <c r="N199" s="91">
        <f>VLOOKUP($A199,'Data Vlaue (Cr)'!$C:$FB,79)</f>
        <v>1361</v>
      </c>
      <c r="O199" s="92">
        <f>VLOOKUP($A199,'Data Vlaue (Cr)'!$C:$FB,82)</f>
        <v>-1.7600000000000001E-2</v>
      </c>
    </row>
    <row r="200" spans="1:15" x14ac:dyDescent="0.25">
      <c r="A200" s="97" t="str">
        <f>'Data Vlaue (Cr)'!C195</f>
        <v>TATAELXSI</v>
      </c>
      <c r="B200" s="142">
        <f>VLOOKUP(A200,'Data Vlaue (Cr)'!C195:CW413,99,0)</f>
        <v>1544</v>
      </c>
      <c r="C200" s="90">
        <f>VLOOKUP(A200,'Data Vlaue (Cr)'!C195:CY413,101,0)</f>
        <v>86</v>
      </c>
      <c r="D200" s="139">
        <f>VLOOKUP(A200,'Data Vlaue (Cr)'!C195:CZ413,102,0)</f>
        <v>5.91E-2</v>
      </c>
      <c r="E200" s="91">
        <f>VLOOKUP($A200,'Data Vlaue (Cr)'!$C:$FB,75)</f>
        <v>827</v>
      </c>
      <c r="F200" s="91">
        <f>VLOOKUP($A200,'Data Vlaue (Cr)'!$C:$FB,77)</f>
        <v>11</v>
      </c>
      <c r="G200" s="92">
        <f>VLOOKUP(A200,'Data Vlaue (Cr)'!C195:CB413,78,0)</f>
        <v>1.37E-2</v>
      </c>
      <c r="H200" s="91">
        <f>VLOOKUP($A200,'Data Vlaue (Cr)'!$C:$FB,91)</f>
        <v>475</v>
      </c>
      <c r="I200" s="91">
        <f>VLOOKUP($A200,'Data Vlaue (Cr)'!$C:$FB,93)</f>
        <v>61</v>
      </c>
      <c r="J200" s="92">
        <f>VLOOKUP($A200,'Data Vlaue (Cr)'!$C:$FB,94)</f>
        <v>0.14649999999999999</v>
      </c>
      <c r="K200" s="91">
        <f>VLOOKUP($A200,'Data Vlaue (Cr)'!$C:$FB,95)</f>
        <v>242</v>
      </c>
      <c r="L200" s="91">
        <f>VLOOKUP($A200,'Data Vlaue (Cr)'!$C:$FB,97)</f>
        <v>14</v>
      </c>
      <c r="M200" s="92">
        <f>VLOOKUP($A200,'Data Vlaue (Cr)'!$C:$FB,98)</f>
        <v>6.2600000000000003E-2</v>
      </c>
      <c r="N200" s="91">
        <f>VLOOKUP($A200,'Data Vlaue (Cr)'!$C:$FB,79)</f>
        <v>646</v>
      </c>
      <c r="O200" s="92">
        <f>VLOOKUP($A200,'Data Vlaue (Cr)'!$C:$FB,82)</f>
        <v>-1.3599999999999999E-2</v>
      </c>
    </row>
    <row r="201" spans="1:15" x14ac:dyDescent="0.25">
      <c r="A201" s="97" t="str">
        <f>'Data Vlaue (Cr)'!C196</f>
        <v>TATAPOWER</v>
      </c>
      <c r="B201" s="142">
        <f>VLOOKUP(A201,'Data Vlaue (Cr)'!C196:CW414,99,0)</f>
        <v>5408</v>
      </c>
      <c r="C201" s="90">
        <f>VLOOKUP(A201,'Data Vlaue (Cr)'!C196:CY414,101,0)</f>
        <v>-21</v>
      </c>
      <c r="D201" s="139">
        <f>VLOOKUP(A201,'Data Vlaue (Cr)'!C196:CZ414,102,0)</f>
        <v>-3.8E-3</v>
      </c>
      <c r="E201" s="91">
        <f>VLOOKUP($A201,'Data Vlaue (Cr)'!$C:$FB,75)</f>
        <v>2544</v>
      </c>
      <c r="F201" s="91">
        <f>VLOOKUP($A201,'Data Vlaue (Cr)'!$C:$FB,77)</f>
        <v>66</v>
      </c>
      <c r="G201" s="92">
        <f>VLOOKUP(A201,'Data Vlaue (Cr)'!C196:CB414,78,0)</f>
        <v>2.6800000000000001E-2</v>
      </c>
      <c r="H201" s="91">
        <f>VLOOKUP($A201,'Data Vlaue (Cr)'!$C:$FB,91)</f>
        <v>1553</v>
      </c>
      <c r="I201" s="91">
        <f>VLOOKUP($A201,'Data Vlaue (Cr)'!$C:$FB,93)</f>
        <v>-38</v>
      </c>
      <c r="J201" s="92">
        <f>VLOOKUP($A201,'Data Vlaue (Cr)'!$C:$FB,94)</f>
        <v>-2.3599999999999999E-2</v>
      </c>
      <c r="K201" s="91">
        <f>VLOOKUP($A201,'Data Vlaue (Cr)'!$C:$FB,95)</f>
        <v>1312</v>
      </c>
      <c r="L201" s="91">
        <f>VLOOKUP($A201,'Data Vlaue (Cr)'!$C:$FB,97)</f>
        <v>-49</v>
      </c>
      <c r="M201" s="92">
        <f>VLOOKUP($A201,'Data Vlaue (Cr)'!$C:$FB,98)</f>
        <v>-3.6299999999999999E-2</v>
      </c>
      <c r="N201" s="91">
        <f>VLOOKUP($A201,'Data Vlaue (Cr)'!$C:$FB,79)</f>
        <v>2232</v>
      </c>
      <c r="O201" s="92">
        <f>VLOOKUP($A201,'Data Vlaue (Cr)'!$C:$FB,82)</f>
        <v>6.0000000000000001E-3</v>
      </c>
    </row>
    <row r="202" spans="1:15" x14ac:dyDescent="0.25">
      <c r="A202" s="97" t="str">
        <f>'Data Vlaue (Cr)'!C197</f>
        <v>TATASTEEL</v>
      </c>
      <c r="B202" s="142">
        <f>VLOOKUP(A202,'Data Vlaue (Cr)'!C197:CW415,99,0)</f>
        <v>8449</v>
      </c>
      <c r="C202" s="90">
        <f>VLOOKUP(A202,'Data Vlaue (Cr)'!C197:CY415,101,0)</f>
        <v>101</v>
      </c>
      <c r="D202" s="139">
        <f>VLOOKUP(A202,'Data Vlaue (Cr)'!C197:CZ415,102,0)</f>
        <v>1.21E-2</v>
      </c>
      <c r="E202" s="91">
        <f>VLOOKUP($A202,'Data Vlaue (Cr)'!$C:$FB,75)</f>
        <v>3793</v>
      </c>
      <c r="F202" s="91">
        <f>VLOOKUP($A202,'Data Vlaue (Cr)'!$C:$FB,77)</f>
        <v>21</v>
      </c>
      <c r="G202" s="92">
        <f>VLOOKUP(A202,'Data Vlaue (Cr)'!C197:CB415,78,0)</f>
        <v>5.5999999999999999E-3</v>
      </c>
      <c r="H202" s="91">
        <f>VLOOKUP($A202,'Data Vlaue (Cr)'!$C:$FB,91)</f>
        <v>2523</v>
      </c>
      <c r="I202" s="91">
        <f>VLOOKUP($A202,'Data Vlaue (Cr)'!$C:$FB,93)</f>
        <v>60</v>
      </c>
      <c r="J202" s="92">
        <f>VLOOKUP($A202,'Data Vlaue (Cr)'!$C:$FB,94)</f>
        <v>2.46E-2</v>
      </c>
      <c r="K202" s="91">
        <f>VLOOKUP($A202,'Data Vlaue (Cr)'!$C:$FB,95)</f>
        <v>2132</v>
      </c>
      <c r="L202" s="91">
        <f>VLOOKUP($A202,'Data Vlaue (Cr)'!$C:$FB,97)</f>
        <v>20</v>
      </c>
      <c r="M202" s="92">
        <f>VLOOKUP($A202,'Data Vlaue (Cr)'!$C:$FB,98)</f>
        <v>9.4000000000000004E-3</v>
      </c>
      <c r="N202" s="91">
        <f>VLOOKUP($A202,'Data Vlaue (Cr)'!$C:$FB,79)</f>
        <v>3190</v>
      </c>
      <c r="O202" s="92">
        <f>VLOOKUP($A202,'Data Vlaue (Cr)'!$C:$FB,82)</f>
        <v>-1.83E-2</v>
      </c>
    </row>
    <row r="203" spans="1:15" x14ac:dyDescent="0.25">
      <c r="A203" s="97" t="str">
        <f>'Data Vlaue (Cr)'!C198</f>
        <v>TATATECH</v>
      </c>
      <c r="B203" s="142">
        <f>VLOOKUP(A203,'Data Vlaue (Cr)'!C198:CW416,99,0)</f>
        <v>609</v>
      </c>
      <c r="C203" s="90">
        <f>VLOOKUP(A203,'Data Vlaue (Cr)'!C198:CY416,101,0)</f>
        <v>-6</v>
      </c>
      <c r="D203" s="139">
        <f>VLOOKUP(A203,'Data Vlaue (Cr)'!C198:CZ416,102,0)</f>
        <v>-9.1999999999999998E-3</v>
      </c>
      <c r="E203" s="91">
        <f>VLOOKUP($A203,'Data Vlaue (Cr)'!$C:$FB,75)</f>
        <v>340</v>
      </c>
      <c r="F203" s="91">
        <f>VLOOKUP($A203,'Data Vlaue (Cr)'!$C:$FB,77)</f>
        <v>-12</v>
      </c>
      <c r="G203" s="92">
        <f>VLOOKUP(A203,'Data Vlaue (Cr)'!C198:CB416,78,0)</f>
        <v>-3.4599999999999999E-2</v>
      </c>
      <c r="H203" s="91">
        <f>VLOOKUP($A203,'Data Vlaue (Cr)'!$C:$FB,91)</f>
        <v>164</v>
      </c>
      <c r="I203" s="91">
        <f>VLOOKUP($A203,'Data Vlaue (Cr)'!$C:$FB,93)</f>
        <v>6</v>
      </c>
      <c r="J203" s="92">
        <f>VLOOKUP($A203,'Data Vlaue (Cr)'!$C:$FB,94)</f>
        <v>3.8300000000000001E-2</v>
      </c>
      <c r="K203" s="91">
        <f>VLOOKUP($A203,'Data Vlaue (Cr)'!$C:$FB,95)</f>
        <v>105</v>
      </c>
      <c r="L203" s="91">
        <f>VLOOKUP($A203,'Data Vlaue (Cr)'!$C:$FB,97)</f>
        <v>0</v>
      </c>
      <c r="M203" s="92">
        <f>VLOOKUP($A203,'Data Vlaue (Cr)'!$C:$FB,98)</f>
        <v>4.4000000000000003E-3</v>
      </c>
      <c r="N203" s="91">
        <f>VLOOKUP($A203,'Data Vlaue (Cr)'!$C:$FB,79)</f>
        <v>340</v>
      </c>
      <c r="O203" s="92">
        <f>VLOOKUP($A203,'Data Vlaue (Cr)'!$C:$FB,82)</f>
        <v>-3.4599999999999999E-2</v>
      </c>
    </row>
    <row r="204" spans="1:15" x14ac:dyDescent="0.25">
      <c r="A204" s="97" t="str">
        <f>'Data Vlaue (Cr)'!C199</f>
        <v>TCS</v>
      </c>
      <c r="B204" s="142">
        <f>VLOOKUP(A204,'Data Vlaue (Cr)'!C199:CW417,99,0)</f>
        <v>16495</v>
      </c>
      <c r="C204" s="90">
        <f>VLOOKUP(A204,'Data Vlaue (Cr)'!C199:CY417,101,0)</f>
        <v>-301</v>
      </c>
      <c r="D204" s="139">
        <f>VLOOKUP(A204,'Data Vlaue (Cr)'!C199:CZ417,102,0)</f>
        <v>-1.7899999999999999E-2</v>
      </c>
      <c r="E204" s="91">
        <f>VLOOKUP($A204,'Data Vlaue (Cr)'!$C:$FB,75)</f>
        <v>9123</v>
      </c>
      <c r="F204" s="91">
        <f>VLOOKUP($A204,'Data Vlaue (Cr)'!$C:$FB,77)</f>
        <v>2</v>
      </c>
      <c r="G204" s="92">
        <f>VLOOKUP(A204,'Data Vlaue (Cr)'!C199:CB417,78,0)</f>
        <v>2.0000000000000001E-4</v>
      </c>
      <c r="H204" s="91">
        <f>VLOOKUP($A204,'Data Vlaue (Cr)'!$C:$FB,91)</f>
        <v>4401</v>
      </c>
      <c r="I204" s="91">
        <f>VLOOKUP($A204,'Data Vlaue (Cr)'!$C:$FB,93)</f>
        <v>-239</v>
      </c>
      <c r="J204" s="92">
        <f>VLOOKUP($A204,'Data Vlaue (Cr)'!$C:$FB,94)</f>
        <v>-5.1499999999999997E-2</v>
      </c>
      <c r="K204" s="91">
        <f>VLOOKUP($A204,'Data Vlaue (Cr)'!$C:$FB,95)</f>
        <v>2971</v>
      </c>
      <c r="L204" s="91">
        <f>VLOOKUP($A204,'Data Vlaue (Cr)'!$C:$FB,97)</f>
        <v>-64</v>
      </c>
      <c r="M204" s="92">
        <f>VLOOKUP($A204,'Data Vlaue (Cr)'!$C:$FB,98)</f>
        <v>-2.12E-2</v>
      </c>
      <c r="N204" s="91">
        <f>VLOOKUP($A204,'Data Vlaue (Cr)'!$C:$FB,79)</f>
        <v>8156</v>
      </c>
      <c r="O204" s="92">
        <f>VLOOKUP($A204,'Data Vlaue (Cr)'!$C:$FB,82)</f>
        <v>-9.2999999999999992E-3</v>
      </c>
    </row>
    <row r="205" spans="1:15" x14ac:dyDescent="0.25">
      <c r="A205" s="97" t="str">
        <f>'Data Vlaue (Cr)'!C200</f>
        <v>TECHM</v>
      </c>
      <c r="B205" s="142">
        <f>VLOOKUP(A205,'Data Vlaue (Cr)'!C200:CW418,99,0)</f>
        <v>4088</v>
      </c>
      <c r="C205" s="90">
        <f>VLOOKUP(A205,'Data Vlaue (Cr)'!C200:CY418,101,0)</f>
        <v>-74</v>
      </c>
      <c r="D205" s="139">
        <f>VLOOKUP(A205,'Data Vlaue (Cr)'!C200:CZ418,102,0)</f>
        <v>-1.77E-2</v>
      </c>
      <c r="E205" s="91">
        <f>VLOOKUP($A205,'Data Vlaue (Cr)'!$C:$FB,75)</f>
        <v>2782</v>
      </c>
      <c r="F205" s="91">
        <f>VLOOKUP($A205,'Data Vlaue (Cr)'!$C:$FB,77)</f>
        <v>-7</v>
      </c>
      <c r="G205" s="92">
        <f>VLOOKUP(A205,'Data Vlaue (Cr)'!C200:CB418,78,0)</f>
        <v>-2.5000000000000001E-3</v>
      </c>
      <c r="H205" s="91">
        <f>VLOOKUP($A205,'Data Vlaue (Cr)'!$C:$FB,91)</f>
        <v>720</v>
      </c>
      <c r="I205" s="91">
        <f>VLOOKUP($A205,'Data Vlaue (Cr)'!$C:$FB,93)</f>
        <v>-25</v>
      </c>
      <c r="J205" s="92">
        <f>VLOOKUP($A205,'Data Vlaue (Cr)'!$C:$FB,94)</f>
        <v>-3.4099999999999998E-2</v>
      </c>
      <c r="K205" s="91">
        <f>VLOOKUP($A205,'Data Vlaue (Cr)'!$C:$FB,95)</f>
        <v>586</v>
      </c>
      <c r="L205" s="91">
        <f>VLOOKUP($A205,'Data Vlaue (Cr)'!$C:$FB,97)</f>
        <v>-41</v>
      </c>
      <c r="M205" s="92">
        <f>VLOOKUP($A205,'Data Vlaue (Cr)'!$C:$FB,98)</f>
        <v>-6.59E-2</v>
      </c>
      <c r="N205" s="91">
        <f>VLOOKUP($A205,'Data Vlaue (Cr)'!$C:$FB,79)</f>
        <v>2647</v>
      </c>
      <c r="O205" s="92">
        <f>VLOOKUP($A205,'Data Vlaue (Cr)'!$C:$FB,82)</f>
        <v>-7.0000000000000001E-3</v>
      </c>
    </row>
    <row r="206" spans="1:15" x14ac:dyDescent="0.25">
      <c r="A206" s="97" t="str">
        <f>'Data Vlaue (Cr)'!C201</f>
        <v>TIINDIA</v>
      </c>
      <c r="B206" s="142">
        <f>VLOOKUP(A206,'Data Vlaue (Cr)'!C201:CW419,99,0)</f>
        <v>1070</v>
      </c>
      <c r="C206" s="90">
        <f>VLOOKUP(A206,'Data Vlaue (Cr)'!C201:CY419,101,0)</f>
        <v>79</v>
      </c>
      <c r="D206" s="139">
        <f>VLOOKUP(A206,'Data Vlaue (Cr)'!C201:CZ419,102,0)</f>
        <v>0.08</v>
      </c>
      <c r="E206" s="91">
        <f>VLOOKUP($A206,'Data Vlaue (Cr)'!$C:$FB,75)</f>
        <v>759</v>
      </c>
      <c r="F206" s="91">
        <f>VLOOKUP($A206,'Data Vlaue (Cr)'!$C:$FB,77)</f>
        <v>-3</v>
      </c>
      <c r="G206" s="92">
        <f>VLOOKUP(A206,'Data Vlaue (Cr)'!C201:CB419,78,0)</f>
        <v>-4.3E-3</v>
      </c>
      <c r="H206" s="91">
        <f>VLOOKUP($A206,'Data Vlaue (Cr)'!$C:$FB,91)</f>
        <v>210</v>
      </c>
      <c r="I206" s="91">
        <f>VLOOKUP($A206,'Data Vlaue (Cr)'!$C:$FB,93)</f>
        <v>51</v>
      </c>
      <c r="J206" s="92">
        <f>VLOOKUP($A206,'Data Vlaue (Cr)'!$C:$FB,94)</f>
        <v>0.32250000000000001</v>
      </c>
      <c r="K206" s="91">
        <f>VLOOKUP($A206,'Data Vlaue (Cr)'!$C:$FB,95)</f>
        <v>100</v>
      </c>
      <c r="L206" s="91">
        <f>VLOOKUP($A206,'Data Vlaue (Cr)'!$C:$FB,97)</f>
        <v>31</v>
      </c>
      <c r="M206" s="92">
        <f>VLOOKUP($A206,'Data Vlaue (Cr)'!$C:$FB,98)</f>
        <v>0.45300000000000001</v>
      </c>
      <c r="N206" s="91">
        <f>VLOOKUP($A206,'Data Vlaue (Cr)'!$C:$FB,79)</f>
        <v>740</v>
      </c>
      <c r="O206" s="92">
        <f>VLOOKUP($A206,'Data Vlaue (Cr)'!$C:$FB,82)</f>
        <v>-1.4800000000000001E-2</v>
      </c>
    </row>
    <row r="207" spans="1:15" x14ac:dyDescent="0.25">
      <c r="A207" s="97" t="str">
        <f>'Data Vlaue (Cr)'!C202</f>
        <v>TITAN</v>
      </c>
      <c r="B207" s="142">
        <f>VLOOKUP(A207,'Data Vlaue (Cr)'!C202:CW420,99,0)</f>
        <v>7208</v>
      </c>
      <c r="C207" s="90">
        <f>VLOOKUP(A207,'Data Vlaue (Cr)'!C202:CY420,101,0)</f>
        <v>-61</v>
      </c>
      <c r="D207" s="139">
        <f>VLOOKUP(A207,'Data Vlaue (Cr)'!C202:CZ420,102,0)</f>
        <v>-8.3999999999999995E-3</v>
      </c>
      <c r="E207" s="91">
        <f>VLOOKUP($A207,'Data Vlaue (Cr)'!$C:$FB,75)</f>
        <v>3995</v>
      </c>
      <c r="F207" s="91">
        <f>VLOOKUP($A207,'Data Vlaue (Cr)'!$C:$FB,77)</f>
        <v>-54</v>
      </c>
      <c r="G207" s="92">
        <f>VLOOKUP(A207,'Data Vlaue (Cr)'!C202:CB420,78,0)</f>
        <v>-1.3299999999999999E-2</v>
      </c>
      <c r="H207" s="91">
        <f>VLOOKUP($A207,'Data Vlaue (Cr)'!$C:$FB,91)</f>
        <v>1791</v>
      </c>
      <c r="I207" s="91">
        <f>VLOOKUP($A207,'Data Vlaue (Cr)'!$C:$FB,93)</f>
        <v>16</v>
      </c>
      <c r="J207" s="92">
        <f>VLOOKUP($A207,'Data Vlaue (Cr)'!$C:$FB,94)</f>
        <v>8.9999999999999993E-3</v>
      </c>
      <c r="K207" s="91">
        <f>VLOOKUP($A207,'Data Vlaue (Cr)'!$C:$FB,95)</f>
        <v>1422</v>
      </c>
      <c r="L207" s="91">
        <f>VLOOKUP($A207,'Data Vlaue (Cr)'!$C:$FB,97)</f>
        <v>-23</v>
      </c>
      <c r="M207" s="92">
        <f>VLOOKUP($A207,'Data Vlaue (Cr)'!$C:$FB,98)</f>
        <v>-1.5800000000000002E-2</v>
      </c>
      <c r="N207" s="91">
        <f>VLOOKUP($A207,'Data Vlaue (Cr)'!$C:$FB,79)</f>
        <v>3555</v>
      </c>
      <c r="O207" s="92">
        <f>VLOOKUP($A207,'Data Vlaue (Cr)'!$C:$FB,82)</f>
        <v>-2.0199999999999999E-2</v>
      </c>
    </row>
    <row r="208" spans="1:15" x14ac:dyDescent="0.25">
      <c r="A208" s="97" t="str">
        <f>'Data Vlaue (Cr)'!C203</f>
        <v>TMPV</v>
      </c>
      <c r="B208" s="142">
        <f>VLOOKUP(A208,'Data Vlaue (Cr)'!C203:CW421,99,0)</f>
        <v>4452</v>
      </c>
      <c r="C208" s="90">
        <f>VLOOKUP(A208,'Data Vlaue (Cr)'!C203:CY421,101,0)</f>
        <v>77</v>
      </c>
      <c r="D208" s="139">
        <f>VLOOKUP(A208,'Data Vlaue (Cr)'!C203:CZ421,102,0)</f>
        <v>1.77E-2</v>
      </c>
      <c r="E208" s="91">
        <f>VLOOKUP($A208,'Data Vlaue (Cr)'!$C:$FB,75)</f>
        <v>2125</v>
      </c>
      <c r="F208" s="91">
        <f>VLOOKUP($A208,'Data Vlaue (Cr)'!$C:$FB,77)</f>
        <v>48</v>
      </c>
      <c r="G208" s="92">
        <f>VLOOKUP(A208,'Data Vlaue (Cr)'!C203:CB421,78,0)</f>
        <v>2.3E-2</v>
      </c>
      <c r="H208" s="91">
        <f>VLOOKUP($A208,'Data Vlaue (Cr)'!$C:$FB,91)</f>
        <v>1298</v>
      </c>
      <c r="I208" s="91">
        <f>VLOOKUP($A208,'Data Vlaue (Cr)'!$C:$FB,93)</f>
        <v>25</v>
      </c>
      <c r="J208" s="92">
        <f>VLOOKUP($A208,'Data Vlaue (Cr)'!$C:$FB,94)</f>
        <v>1.95E-2</v>
      </c>
      <c r="K208" s="91">
        <f>VLOOKUP($A208,'Data Vlaue (Cr)'!$C:$FB,95)</f>
        <v>1029</v>
      </c>
      <c r="L208" s="91">
        <f>VLOOKUP($A208,'Data Vlaue (Cr)'!$C:$FB,97)</f>
        <v>5</v>
      </c>
      <c r="M208" s="92">
        <f>VLOOKUP($A208,'Data Vlaue (Cr)'!$C:$FB,98)</f>
        <v>4.7000000000000002E-3</v>
      </c>
      <c r="N208" s="91">
        <f>VLOOKUP($A208,'Data Vlaue (Cr)'!$C:$FB,79)</f>
        <v>1833</v>
      </c>
      <c r="O208" s="92">
        <f>VLOOKUP($A208,'Data Vlaue (Cr)'!$C:$FB,82)</f>
        <v>3.2000000000000002E-3</v>
      </c>
    </row>
    <row r="209" spans="1:15" x14ac:dyDescent="0.25">
      <c r="A209" s="97" t="str">
        <f>'Data Vlaue (Cr)'!C204</f>
        <v>TORNTPHARM</v>
      </c>
      <c r="B209" s="142">
        <f>VLOOKUP(A209,'Data Vlaue (Cr)'!C204:CW422,99,0)</f>
        <v>1820</v>
      </c>
      <c r="C209" s="90">
        <f>VLOOKUP(A209,'Data Vlaue (Cr)'!C204:CY422,101,0)</f>
        <v>17</v>
      </c>
      <c r="D209" s="139">
        <f>VLOOKUP(A209,'Data Vlaue (Cr)'!C204:CZ422,102,0)</f>
        <v>9.2999999999999992E-3</v>
      </c>
      <c r="E209" s="91">
        <f>VLOOKUP($A209,'Data Vlaue (Cr)'!$C:$FB,75)</f>
        <v>1358</v>
      </c>
      <c r="F209" s="91">
        <f>VLOOKUP($A209,'Data Vlaue (Cr)'!$C:$FB,77)</f>
        <v>30</v>
      </c>
      <c r="G209" s="92">
        <f>VLOOKUP(A209,'Data Vlaue (Cr)'!C204:CB422,78,0)</f>
        <v>2.24E-2</v>
      </c>
      <c r="H209" s="91">
        <f>VLOOKUP($A209,'Data Vlaue (Cr)'!$C:$FB,91)</f>
        <v>271</v>
      </c>
      <c r="I209" s="91">
        <f>VLOOKUP($A209,'Data Vlaue (Cr)'!$C:$FB,93)</f>
        <v>-8</v>
      </c>
      <c r="J209" s="92">
        <f>VLOOKUP($A209,'Data Vlaue (Cr)'!$C:$FB,94)</f>
        <v>-2.9899999999999999E-2</v>
      </c>
      <c r="K209" s="91">
        <f>VLOOKUP($A209,'Data Vlaue (Cr)'!$C:$FB,95)</f>
        <v>192</v>
      </c>
      <c r="L209" s="91">
        <f>VLOOKUP($A209,'Data Vlaue (Cr)'!$C:$FB,97)</f>
        <v>-5</v>
      </c>
      <c r="M209" s="92">
        <f>VLOOKUP($A209,'Data Vlaue (Cr)'!$C:$FB,98)</f>
        <v>-2.3400000000000001E-2</v>
      </c>
      <c r="N209" s="91">
        <f>VLOOKUP($A209,'Data Vlaue (Cr)'!$C:$FB,79)</f>
        <v>1295</v>
      </c>
      <c r="O209" s="92">
        <f>VLOOKUP($A209,'Data Vlaue (Cr)'!$C:$FB,82)</f>
        <v>-9.2999999999999992E-3</v>
      </c>
    </row>
    <row r="210" spans="1:15" s="88" customFormat="1" ht="15.75" customHeight="1" x14ac:dyDescent="0.2">
      <c r="A210" s="97" t="str">
        <f>'Data Vlaue (Cr)'!C205</f>
        <v>TORNTPOWER</v>
      </c>
      <c r="B210" s="142">
        <f>VLOOKUP(A210,'Data Vlaue (Cr)'!C205:CW423,99,0)</f>
        <v>1009</v>
      </c>
      <c r="C210" s="90">
        <f>VLOOKUP(A210,'Data Vlaue (Cr)'!C205:CY423,101,0)</f>
        <v>190</v>
      </c>
      <c r="D210" s="139">
        <f>VLOOKUP(A210,'Data Vlaue (Cr)'!C205:CZ423,102,0)</f>
        <v>0.23130000000000001</v>
      </c>
      <c r="E210" s="91">
        <f>VLOOKUP($A210,'Data Vlaue (Cr)'!$C:$FB,75)</f>
        <v>504</v>
      </c>
      <c r="F210" s="91">
        <f>VLOOKUP($A210,'Data Vlaue (Cr)'!$C:$FB,77)</f>
        <v>-2</v>
      </c>
      <c r="G210" s="92">
        <f>VLOOKUP(A210,'Data Vlaue (Cr)'!C205:CB423,78,0)</f>
        <v>-4.3E-3</v>
      </c>
      <c r="H210" s="91">
        <f>VLOOKUP($A210,'Data Vlaue (Cr)'!$C:$FB,91)</f>
        <v>285</v>
      </c>
      <c r="I210" s="91">
        <f>VLOOKUP($A210,'Data Vlaue (Cr)'!$C:$FB,93)</f>
        <v>104</v>
      </c>
      <c r="J210" s="92">
        <f>VLOOKUP($A210,'Data Vlaue (Cr)'!$C:$FB,94)</f>
        <v>0.57110000000000005</v>
      </c>
      <c r="K210" s="91">
        <f>VLOOKUP($A210,'Data Vlaue (Cr)'!$C:$FB,95)</f>
        <v>220</v>
      </c>
      <c r="L210" s="91">
        <f>VLOOKUP($A210,'Data Vlaue (Cr)'!$C:$FB,97)</f>
        <v>88</v>
      </c>
      <c r="M210" s="92">
        <f>VLOOKUP($A210,'Data Vlaue (Cr)'!$C:$FB,98)</f>
        <v>0.66910000000000003</v>
      </c>
      <c r="N210" s="91">
        <f>VLOOKUP($A210,'Data Vlaue (Cr)'!$C:$FB,79)</f>
        <v>504</v>
      </c>
      <c r="O210" s="92">
        <f>VLOOKUP($A210,'Data Vlaue (Cr)'!$C:$FB,82)</f>
        <v>-4.3E-3</v>
      </c>
    </row>
    <row r="211" spans="1:15" x14ac:dyDescent="0.25">
      <c r="A211" s="97" t="str">
        <f>'Data Vlaue (Cr)'!C206</f>
        <v>TRENT</v>
      </c>
      <c r="B211" s="142">
        <f>VLOOKUP(A211,'Data Vlaue (Cr)'!C206:CW424,99,0)</f>
        <v>6038</v>
      </c>
      <c r="C211" s="90">
        <f>VLOOKUP(A211,'Data Vlaue (Cr)'!C206:CY424,101,0)</f>
        <v>274</v>
      </c>
      <c r="D211" s="139">
        <f>VLOOKUP(A211,'Data Vlaue (Cr)'!C206:CZ424,102,0)</f>
        <v>4.7500000000000001E-2</v>
      </c>
      <c r="E211" s="91">
        <f>VLOOKUP($A211,'Data Vlaue (Cr)'!$C:$FB,75)</f>
        <v>3430</v>
      </c>
      <c r="F211" s="91">
        <f>VLOOKUP($A211,'Data Vlaue (Cr)'!$C:$FB,77)</f>
        <v>-30</v>
      </c>
      <c r="G211" s="92">
        <f>VLOOKUP(A211,'Data Vlaue (Cr)'!C206:CB424,78,0)</f>
        <v>-8.8000000000000005E-3</v>
      </c>
      <c r="H211" s="91">
        <f>VLOOKUP($A211,'Data Vlaue (Cr)'!$C:$FB,91)</f>
        <v>1414</v>
      </c>
      <c r="I211" s="91">
        <f>VLOOKUP($A211,'Data Vlaue (Cr)'!$C:$FB,93)</f>
        <v>175</v>
      </c>
      <c r="J211" s="92">
        <f>VLOOKUP($A211,'Data Vlaue (Cr)'!$C:$FB,94)</f>
        <v>0.1411</v>
      </c>
      <c r="K211" s="91">
        <f>VLOOKUP($A211,'Data Vlaue (Cr)'!$C:$FB,95)</f>
        <v>1194</v>
      </c>
      <c r="L211" s="91">
        <f>VLOOKUP($A211,'Data Vlaue (Cr)'!$C:$FB,97)</f>
        <v>130</v>
      </c>
      <c r="M211" s="92">
        <f>VLOOKUP($A211,'Data Vlaue (Cr)'!$C:$FB,98)</f>
        <v>0.12180000000000001</v>
      </c>
      <c r="N211" s="91">
        <f>VLOOKUP($A211,'Data Vlaue (Cr)'!$C:$FB,79)</f>
        <v>2890</v>
      </c>
      <c r="O211" s="92">
        <f>VLOOKUP($A211,'Data Vlaue (Cr)'!$C:$FB,82)</f>
        <v>-2.64E-2</v>
      </c>
    </row>
    <row r="212" spans="1:15" x14ac:dyDescent="0.25">
      <c r="A212" s="97" t="str">
        <f>'Data Vlaue (Cr)'!C207</f>
        <v>TVSMOTOR</v>
      </c>
      <c r="B212" s="142">
        <f>VLOOKUP(A212,'Data Vlaue (Cr)'!C207:CW425,99,0)</f>
        <v>4114</v>
      </c>
      <c r="C212" s="90">
        <f>VLOOKUP(A212,'Data Vlaue (Cr)'!C207:CY425,101,0)</f>
        <v>-46</v>
      </c>
      <c r="D212" s="139">
        <f>VLOOKUP(A212,'Data Vlaue (Cr)'!C207:CZ425,102,0)</f>
        <v>-1.0999999999999999E-2</v>
      </c>
      <c r="E212" s="91">
        <f>VLOOKUP($A212,'Data Vlaue (Cr)'!$C:$FB,75)</f>
        <v>3078</v>
      </c>
      <c r="F212" s="91">
        <f>VLOOKUP($A212,'Data Vlaue (Cr)'!$C:$FB,77)</f>
        <v>-33</v>
      </c>
      <c r="G212" s="92">
        <f>VLOOKUP(A212,'Data Vlaue (Cr)'!C207:CB425,78,0)</f>
        <v>-1.0500000000000001E-2</v>
      </c>
      <c r="H212" s="91">
        <f>VLOOKUP($A212,'Data Vlaue (Cr)'!$C:$FB,91)</f>
        <v>588</v>
      </c>
      <c r="I212" s="91">
        <f>VLOOKUP($A212,'Data Vlaue (Cr)'!$C:$FB,93)</f>
        <v>-29</v>
      </c>
      <c r="J212" s="92">
        <f>VLOOKUP($A212,'Data Vlaue (Cr)'!$C:$FB,94)</f>
        <v>-4.6800000000000001E-2</v>
      </c>
      <c r="K212" s="91">
        <f>VLOOKUP($A212,'Data Vlaue (Cr)'!$C:$FB,95)</f>
        <v>448</v>
      </c>
      <c r="L212" s="91">
        <f>VLOOKUP($A212,'Data Vlaue (Cr)'!$C:$FB,97)</f>
        <v>16</v>
      </c>
      <c r="M212" s="92">
        <f>VLOOKUP($A212,'Data Vlaue (Cr)'!$C:$FB,98)</f>
        <v>3.5900000000000001E-2</v>
      </c>
      <c r="N212" s="91">
        <f>VLOOKUP($A212,'Data Vlaue (Cr)'!$C:$FB,79)</f>
        <v>2844</v>
      </c>
      <c r="O212" s="92">
        <f>VLOOKUP($A212,'Data Vlaue (Cr)'!$C:$FB,82)</f>
        <v>-1.46E-2</v>
      </c>
    </row>
    <row r="213" spans="1:15" x14ac:dyDescent="0.25">
      <c r="A213" s="97" t="str">
        <f>'Data Vlaue (Cr)'!C208</f>
        <v>ULTRACEMCO</v>
      </c>
      <c r="B213" s="142">
        <f>VLOOKUP(A213,'Data Vlaue (Cr)'!C208:CW426,99,0)</f>
        <v>4280</v>
      </c>
      <c r="C213" s="90">
        <f>VLOOKUP(A213,'Data Vlaue (Cr)'!C208:CY426,101,0)</f>
        <v>75</v>
      </c>
      <c r="D213" s="139">
        <f>VLOOKUP(A213,'Data Vlaue (Cr)'!C208:CZ426,102,0)</f>
        <v>1.77E-2</v>
      </c>
      <c r="E213" s="91">
        <f>VLOOKUP($A213,'Data Vlaue (Cr)'!$C:$FB,75)</f>
        <v>2895</v>
      </c>
      <c r="F213" s="91">
        <f>VLOOKUP($A213,'Data Vlaue (Cr)'!$C:$FB,77)</f>
        <v>29</v>
      </c>
      <c r="G213" s="92">
        <f>VLOOKUP(A213,'Data Vlaue (Cr)'!C208:CB426,78,0)</f>
        <v>1.0200000000000001E-2</v>
      </c>
      <c r="H213" s="91">
        <f>VLOOKUP($A213,'Data Vlaue (Cr)'!$C:$FB,91)</f>
        <v>852</v>
      </c>
      <c r="I213" s="91">
        <f>VLOOKUP($A213,'Data Vlaue (Cr)'!$C:$FB,93)</f>
        <v>24</v>
      </c>
      <c r="J213" s="92">
        <f>VLOOKUP($A213,'Data Vlaue (Cr)'!$C:$FB,94)</f>
        <v>2.8400000000000002E-2</v>
      </c>
      <c r="K213" s="91">
        <f>VLOOKUP($A213,'Data Vlaue (Cr)'!$C:$FB,95)</f>
        <v>533</v>
      </c>
      <c r="L213" s="91">
        <f>VLOOKUP($A213,'Data Vlaue (Cr)'!$C:$FB,97)</f>
        <v>22</v>
      </c>
      <c r="M213" s="92">
        <f>VLOOKUP($A213,'Data Vlaue (Cr)'!$C:$FB,98)</f>
        <v>4.2900000000000001E-2</v>
      </c>
      <c r="N213" s="91">
        <f>VLOOKUP($A213,'Data Vlaue (Cr)'!$C:$FB,79)</f>
        <v>2316</v>
      </c>
      <c r="O213" s="92">
        <f>VLOOKUP($A213,'Data Vlaue (Cr)'!$C:$FB,82)</f>
        <v>-7.4000000000000003E-3</v>
      </c>
    </row>
    <row r="214" spans="1:15" x14ac:dyDescent="0.25">
      <c r="A214" s="97" t="str">
        <f>'Data Vlaue (Cr)'!C209</f>
        <v>UNIONBANK</v>
      </c>
      <c r="B214" s="142">
        <f>VLOOKUP(A214,'Data Vlaue (Cr)'!C209:CW427,99,0)</f>
        <v>3383</v>
      </c>
      <c r="C214" s="90">
        <f>VLOOKUP(A214,'Data Vlaue (Cr)'!C209:CY427,101,0)</f>
        <v>-12</v>
      </c>
      <c r="D214" s="139">
        <f>VLOOKUP(A214,'Data Vlaue (Cr)'!C209:CZ427,102,0)</f>
        <v>-3.5000000000000001E-3</v>
      </c>
      <c r="E214" s="91">
        <f>VLOOKUP($A214,'Data Vlaue (Cr)'!$C:$FB,75)</f>
        <v>2172</v>
      </c>
      <c r="F214" s="91">
        <f>VLOOKUP($A214,'Data Vlaue (Cr)'!$C:$FB,77)</f>
        <v>-1</v>
      </c>
      <c r="G214" s="92">
        <f>VLOOKUP(A214,'Data Vlaue (Cr)'!C209:CB427,78,0)</f>
        <v>-5.0000000000000001E-4</v>
      </c>
      <c r="H214" s="91">
        <f>VLOOKUP($A214,'Data Vlaue (Cr)'!$C:$FB,91)</f>
        <v>689</v>
      </c>
      <c r="I214" s="91">
        <f>VLOOKUP($A214,'Data Vlaue (Cr)'!$C:$FB,93)</f>
        <v>6</v>
      </c>
      <c r="J214" s="92">
        <f>VLOOKUP($A214,'Data Vlaue (Cr)'!$C:$FB,94)</f>
        <v>8.2000000000000007E-3</v>
      </c>
      <c r="K214" s="91">
        <f>VLOOKUP($A214,'Data Vlaue (Cr)'!$C:$FB,95)</f>
        <v>522</v>
      </c>
      <c r="L214" s="91">
        <f>VLOOKUP($A214,'Data Vlaue (Cr)'!$C:$FB,97)</f>
        <v>-16</v>
      </c>
      <c r="M214" s="92">
        <f>VLOOKUP($A214,'Data Vlaue (Cr)'!$C:$FB,98)</f>
        <v>-3.0499999999999999E-2</v>
      </c>
      <c r="N214" s="91">
        <f>VLOOKUP($A214,'Data Vlaue (Cr)'!$C:$FB,79)</f>
        <v>1801</v>
      </c>
      <c r="O214" s="92">
        <f>VLOOKUP($A214,'Data Vlaue (Cr)'!$C:$FB,82)</f>
        <v>-2.0299999999999999E-2</v>
      </c>
    </row>
    <row r="215" spans="1:15" x14ac:dyDescent="0.25">
      <c r="A215" s="97" t="str">
        <f>'Data Vlaue (Cr)'!C210</f>
        <v>UNITDSPR</v>
      </c>
      <c r="B215" s="142">
        <f>VLOOKUP(A215,'Data Vlaue (Cr)'!C210:CW428,99,0)</f>
        <v>2728</v>
      </c>
      <c r="C215" s="90">
        <f>VLOOKUP(A215,'Data Vlaue (Cr)'!C210:CY428,101,0)</f>
        <v>31</v>
      </c>
      <c r="D215" s="139">
        <f>VLOOKUP(A215,'Data Vlaue (Cr)'!C210:CZ428,102,0)</f>
        <v>1.1599999999999999E-2</v>
      </c>
      <c r="E215" s="91">
        <f>VLOOKUP($A215,'Data Vlaue (Cr)'!$C:$FB,75)</f>
        <v>1693</v>
      </c>
      <c r="F215" s="91">
        <f>VLOOKUP($A215,'Data Vlaue (Cr)'!$C:$FB,77)</f>
        <v>-3</v>
      </c>
      <c r="G215" s="92">
        <f>VLOOKUP(A215,'Data Vlaue (Cr)'!C210:CB428,78,0)</f>
        <v>-1.5E-3</v>
      </c>
      <c r="H215" s="91">
        <f>VLOOKUP($A215,'Data Vlaue (Cr)'!$C:$FB,91)</f>
        <v>612</v>
      </c>
      <c r="I215" s="91">
        <f>VLOOKUP($A215,'Data Vlaue (Cr)'!$C:$FB,93)</f>
        <v>7</v>
      </c>
      <c r="J215" s="92">
        <f>VLOOKUP($A215,'Data Vlaue (Cr)'!$C:$FB,94)</f>
        <v>1.1299999999999999E-2</v>
      </c>
      <c r="K215" s="91">
        <f>VLOOKUP($A215,'Data Vlaue (Cr)'!$C:$FB,95)</f>
        <v>423</v>
      </c>
      <c r="L215" s="91">
        <f>VLOOKUP($A215,'Data Vlaue (Cr)'!$C:$FB,97)</f>
        <v>27</v>
      </c>
      <c r="M215" s="92">
        <f>VLOOKUP($A215,'Data Vlaue (Cr)'!$C:$FB,98)</f>
        <v>6.7799999999999999E-2</v>
      </c>
      <c r="N215" s="91">
        <f>VLOOKUP($A215,'Data Vlaue (Cr)'!$C:$FB,79)</f>
        <v>1601</v>
      </c>
      <c r="O215" s="92">
        <f>VLOOKUP($A215,'Data Vlaue (Cr)'!$C:$FB,82)</f>
        <v>-1.23E-2</v>
      </c>
    </row>
    <row r="216" spans="1:15" x14ac:dyDescent="0.25">
      <c r="A216" s="97" t="str">
        <f>'Data Vlaue (Cr)'!C211</f>
        <v>UNOMINDA</v>
      </c>
      <c r="B216" s="142">
        <f>VLOOKUP(A216,'Data Vlaue (Cr)'!C211:CW429,99,0)</f>
        <v>816</v>
      </c>
      <c r="C216" s="90">
        <f>VLOOKUP(A216,'Data Vlaue (Cr)'!C211:CY429,101,0)</f>
        <v>13</v>
      </c>
      <c r="D216" s="139">
        <f>VLOOKUP(A216,'Data Vlaue (Cr)'!C211:CZ429,102,0)</f>
        <v>1.6799999999999999E-2</v>
      </c>
      <c r="E216" s="91">
        <f>VLOOKUP($A216,'Data Vlaue (Cr)'!$C:$FB,75)</f>
        <v>521</v>
      </c>
      <c r="F216" s="91">
        <f>VLOOKUP($A216,'Data Vlaue (Cr)'!$C:$FB,77)</f>
        <v>-1</v>
      </c>
      <c r="G216" s="92">
        <f>VLOOKUP(A216,'Data Vlaue (Cr)'!C211:CB429,78,0)</f>
        <v>-2.5999999999999999E-3</v>
      </c>
      <c r="H216" s="91">
        <f>VLOOKUP($A216,'Data Vlaue (Cr)'!$C:$FB,91)</f>
        <v>208</v>
      </c>
      <c r="I216" s="91">
        <f>VLOOKUP($A216,'Data Vlaue (Cr)'!$C:$FB,93)</f>
        <v>9</v>
      </c>
      <c r="J216" s="92">
        <f>VLOOKUP($A216,'Data Vlaue (Cr)'!$C:$FB,94)</f>
        <v>4.6699999999999998E-2</v>
      </c>
      <c r="K216" s="91">
        <f>VLOOKUP($A216,'Data Vlaue (Cr)'!$C:$FB,95)</f>
        <v>86</v>
      </c>
      <c r="L216" s="91">
        <f>VLOOKUP($A216,'Data Vlaue (Cr)'!$C:$FB,97)</f>
        <v>6</v>
      </c>
      <c r="M216" s="92">
        <f>VLOOKUP($A216,'Data Vlaue (Cr)'!$C:$FB,98)</f>
        <v>6.83E-2</v>
      </c>
      <c r="N216" s="91">
        <f>VLOOKUP($A216,'Data Vlaue (Cr)'!$C:$FB,79)</f>
        <v>509</v>
      </c>
      <c r="O216" s="92">
        <f>VLOOKUP($A216,'Data Vlaue (Cr)'!$C:$FB,82)</f>
        <v>-6.4999999999999997E-3</v>
      </c>
    </row>
    <row r="217" spans="1:15" x14ac:dyDescent="0.25">
      <c r="A217" s="97" t="str">
        <f>'Data Vlaue (Cr)'!C212</f>
        <v>UPL</v>
      </c>
      <c r="B217" s="142">
        <f>VLOOKUP(A217,'Data Vlaue (Cr)'!C212:CW430,99,0)</f>
        <v>3133</v>
      </c>
      <c r="C217" s="90">
        <f>VLOOKUP(A217,'Data Vlaue (Cr)'!C212:CY430,101,0)</f>
        <v>20</v>
      </c>
      <c r="D217" s="139">
        <f>VLOOKUP(A217,'Data Vlaue (Cr)'!C212:CZ430,102,0)</f>
        <v>6.6E-3</v>
      </c>
      <c r="E217" s="91">
        <f>VLOOKUP($A217,'Data Vlaue (Cr)'!$C:$FB,75)</f>
        <v>1993</v>
      </c>
      <c r="F217" s="91">
        <f>VLOOKUP($A217,'Data Vlaue (Cr)'!$C:$FB,77)</f>
        <v>14</v>
      </c>
      <c r="G217" s="92">
        <f>VLOOKUP(A217,'Data Vlaue (Cr)'!C212:CB430,78,0)</f>
        <v>7.0000000000000001E-3</v>
      </c>
      <c r="H217" s="91">
        <f>VLOOKUP($A217,'Data Vlaue (Cr)'!$C:$FB,91)</f>
        <v>652</v>
      </c>
      <c r="I217" s="91">
        <f>VLOOKUP($A217,'Data Vlaue (Cr)'!$C:$FB,93)</f>
        <v>3</v>
      </c>
      <c r="J217" s="92">
        <f>VLOOKUP($A217,'Data Vlaue (Cr)'!$C:$FB,94)</f>
        <v>4.7999999999999996E-3</v>
      </c>
      <c r="K217" s="91">
        <f>VLOOKUP($A217,'Data Vlaue (Cr)'!$C:$FB,95)</f>
        <v>488</v>
      </c>
      <c r="L217" s="91">
        <f>VLOOKUP($A217,'Data Vlaue (Cr)'!$C:$FB,97)</f>
        <v>3</v>
      </c>
      <c r="M217" s="92">
        <f>VLOOKUP($A217,'Data Vlaue (Cr)'!$C:$FB,98)</f>
        <v>7.1999999999999998E-3</v>
      </c>
      <c r="N217" s="91">
        <f>VLOOKUP($A217,'Data Vlaue (Cr)'!$C:$FB,79)</f>
        <v>1921</v>
      </c>
      <c r="O217" s="92">
        <f>VLOOKUP($A217,'Data Vlaue (Cr)'!$C:$FB,82)</f>
        <v>1E-4</v>
      </c>
    </row>
    <row r="218" spans="1:15" x14ac:dyDescent="0.25">
      <c r="A218" s="97" t="str">
        <f>'Data Vlaue (Cr)'!C213</f>
        <v>VBL</v>
      </c>
      <c r="B218" s="142">
        <f>VLOOKUP(A218,'Data Vlaue (Cr)'!C213:CW431,99,0)</f>
        <v>3650</v>
      </c>
      <c r="C218" s="90">
        <f>VLOOKUP(A218,'Data Vlaue (Cr)'!C213:CY431,101,0)</f>
        <v>188</v>
      </c>
      <c r="D218" s="139">
        <f>VLOOKUP(A218,'Data Vlaue (Cr)'!C213:CZ431,102,0)</f>
        <v>5.4300000000000001E-2</v>
      </c>
      <c r="E218" s="91">
        <f>VLOOKUP($A218,'Data Vlaue (Cr)'!$C:$FB,75)</f>
        <v>2303</v>
      </c>
      <c r="F218" s="91">
        <f>VLOOKUP($A218,'Data Vlaue (Cr)'!$C:$FB,77)</f>
        <v>75</v>
      </c>
      <c r="G218" s="92">
        <f>VLOOKUP(A218,'Data Vlaue (Cr)'!C213:CB431,78,0)</f>
        <v>3.3799999999999997E-2</v>
      </c>
      <c r="H218" s="91">
        <f>VLOOKUP($A218,'Data Vlaue (Cr)'!$C:$FB,91)</f>
        <v>851</v>
      </c>
      <c r="I218" s="91">
        <f>VLOOKUP($A218,'Data Vlaue (Cr)'!$C:$FB,93)</f>
        <v>89</v>
      </c>
      <c r="J218" s="92">
        <f>VLOOKUP($A218,'Data Vlaue (Cr)'!$C:$FB,94)</f>
        <v>0.1163</v>
      </c>
      <c r="K218" s="91">
        <f>VLOOKUP($A218,'Data Vlaue (Cr)'!$C:$FB,95)</f>
        <v>496</v>
      </c>
      <c r="L218" s="91">
        <f>VLOOKUP($A218,'Data Vlaue (Cr)'!$C:$FB,97)</f>
        <v>24</v>
      </c>
      <c r="M218" s="92">
        <f>VLOOKUP($A218,'Data Vlaue (Cr)'!$C:$FB,98)</f>
        <v>5.11E-2</v>
      </c>
      <c r="N218" s="91">
        <f>VLOOKUP($A218,'Data Vlaue (Cr)'!$C:$FB,79)</f>
        <v>2188</v>
      </c>
      <c r="O218" s="92">
        <f>VLOOKUP($A218,'Data Vlaue (Cr)'!$C:$FB,82)</f>
        <v>2.53E-2</v>
      </c>
    </row>
    <row r="219" spans="1:15" x14ac:dyDescent="0.25">
      <c r="A219" s="97" t="str">
        <f>'Data Vlaue (Cr)'!C214</f>
        <v>VEDL</v>
      </c>
      <c r="B219" s="142">
        <f>VLOOKUP(A219,'Data Vlaue (Cr)'!C214:CW432,99,0)</f>
        <v>9033</v>
      </c>
      <c r="C219" s="90">
        <f>VLOOKUP(A219,'Data Vlaue (Cr)'!C214:CY432,101,0)</f>
        <v>245</v>
      </c>
      <c r="D219" s="139">
        <f>VLOOKUP(A219,'Data Vlaue (Cr)'!C214:CZ432,102,0)</f>
        <v>2.7900000000000001E-2</v>
      </c>
      <c r="E219" s="91">
        <f>VLOOKUP($A219,'Data Vlaue (Cr)'!$C:$FB,75)</f>
        <v>4089</v>
      </c>
      <c r="F219" s="91">
        <f>VLOOKUP($A219,'Data Vlaue (Cr)'!$C:$FB,77)</f>
        <v>71</v>
      </c>
      <c r="G219" s="92">
        <f>VLOOKUP(A219,'Data Vlaue (Cr)'!C214:CB432,78,0)</f>
        <v>1.7600000000000001E-2</v>
      </c>
      <c r="H219" s="91">
        <f>VLOOKUP($A219,'Data Vlaue (Cr)'!$C:$FB,91)</f>
        <v>2609</v>
      </c>
      <c r="I219" s="91">
        <f>VLOOKUP($A219,'Data Vlaue (Cr)'!$C:$FB,93)</f>
        <v>204</v>
      </c>
      <c r="J219" s="92">
        <f>VLOOKUP($A219,'Data Vlaue (Cr)'!$C:$FB,94)</f>
        <v>8.48E-2</v>
      </c>
      <c r="K219" s="91">
        <f>VLOOKUP($A219,'Data Vlaue (Cr)'!$C:$FB,95)</f>
        <v>2336</v>
      </c>
      <c r="L219" s="91">
        <f>VLOOKUP($A219,'Data Vlaue (Cr)'!$C:$FB,97)</f>
        <v>-30</v>
      </c>
      <c r="M219" s="92">
        <f>VLOOKUP($A219,'Data Vlaue (Cr)'!$C:$FB,98)</f>
        <v>-1.26E-2</v>
      </c>
      <c r="N219" s="91">
        <f>VLOOKUP($A219,'Data Vlaue (Cr)'!$C:$FB,79)</f>
        <v>3709</v>
      </c>
      <c r="O219" s="92">
        <f>VLOOKUP($A219,'Data Vlaue (Cr)'!$C:$FB,82)</f>
        <v>-1.47E-2</v>
      </c>
    </row>
    <row r="220" spans="1:15" x14ac:dyDescent="0.25">
      <c r="A220" s="97" t="str">
        <f>'Data Vlaue (Cr)'!C215</f>
        <v>VMM</v>
      </c>
      <c r="B220" s="142">
        <f>VLOOKUP(A220,'Data Vlaue (Cr)'!C215:CW433,99,0)</f>
        <v>472</v>
      </c>
      <c r="C220" s="90">
        <f>VLOOKUP(A220,'Data Vlaue (Cr)'!C215:CY433,101,0)</f>
        <v>20</v>
      </c>
      <c r="D220" s="139">
        <f>VLOOKUP(A220,'Data Vlaue (Cr)'!C215:CZ433,102,0)</f>
        <v>4.4900000000000002E-2</v>
      </c>
      <c r="E220" s="91">
        <f>VLOOKUP($A220,'Data Vlaue (Cr)'!$C:$FB,75)</f>
        <v>334</v>
      </c>
      <c r="F220" s="91">
        <f>VLOOKUP($A220,'Data Vlaue (Cr)'!$C:$FB,77)</f>
        <v>7</v>
      </c>
      <c r="G220" s="92">
        <f>VLOOKUP(A220,'Data Vlaue (Cr)'!C215:CB433,78,0)</f>
        <v>2.0400000000000001E-2</v>
      </c>
      <c r="H220" s="91">
        <f>VLOOKUP($A220,'Data Vlaue (Cr)'!$C:$FB,91)</f>
        <v>90</v>
      </c>
      <c r="I220" s="91">
        <f>VLOOKUP($A220,'Data Vlaue (Cr)'!$C:$FB,93)</f>
        <v>13</v>
      </c>
      <c r="J220" s="92">
        <f>VLOOKUP($A220,'Data Vlaue (Cr)'!$C:$FB,94)</f>
        <v>0.1658</v>
      </c>
      <c r="K220" s="91">
        <f>VLOOKUP($A220,'Data Vlaue (Cr)'!$C:$FB,95)</f>
        <v>48</v>
      </c>
      <c r="L220" s="91">
        <f>VLOOKUP($A220,'Data Vlaue (Cr)'!$C:$FB,97)</f>
        <v>1</v>
      </c>
      <c r="M220" s="92">
        <f>VLOOKUP($A220,'Data Vlaue (Cr)'!$C:$FB,98)</f>
        <v>1.7000000000000001E-2</v>
      </c>
      <c r="N220" s="91">
        <f>VLOOKUP($A220,'Data Vlaue (Cr)'!$C:$FB,79)</f>
        <v>322</v>
      </c>
      <c r="O220" s="92">
        <f>VLOOKUP($A220,'Data Vlaue (Cr)'!$C:$FB,82)</f>
        <v>1.7399999999999999E-2</v>
      </c>
    </row>
    <row r="221" spans="1:15" x14ac:dyDescent="0.25">
      <c r="A221" s="97" t="str">
        <f>'Data Vlaue (Cr)'!C216</f>
        <v>VOLTAS</v>
      </c>
      <c r="B221" s="142">
        <f>VLOOKUP(A221,'Data Vlaue (Cr)'!C216:CW434,99,0)</f>
        <v>3027</v>
      </c>
      <c r="C221" s="90">
        <f>VLOOKUP(A221,'Data Vlaue (Cr)'!C216:CY434,101,0)</f>
        <v>49</v>
      </c>
      <c r="D221" s="139">
        <f>VLOOKUP(A221,'Data Vlaue (Cr)'!C216:CZ434,102,0)</f>
        <v>1.6299999999999999E-2</v>
      </c>
      <c r="E221" s="91">
        <f>VLOOKUP($A221,'Data Vlaue (Cr)'!$C:$FB,75)</f>
        <v>1745</v>
      </c>
      <c r="F221" s="91">
        <f>VLOOKUP($A221,'Data Vlaue (Cr)'!$C:$FB,77)</f>
        <v>-34</v>
      </c>
      <c r="G221" s="92">
        <f>VLOOKUP(A221,'Data Vlaue (Cr)'!C216:CB434,78,0)</f>
        <v>-1.9E-2</v>
      </c>
      <c r="H221" s="91">
        <f>VLOOKUP($A221,'Data Vlaue (Cr)'!$C:$FB,91)</f>
        <v>689</v>
      </c>
      <c r="I221" s="91">
        <f>VLOOKUP($A221,'Data Vlaue (Cr)'!$C:$FB,93)</f>
        <v>73</v>
      </c>
      <c r="J221" s="92">
        <f>VLOOKUP($A221,'Data Vlaue (Cr)'!$C:$FB,94)</f>
        <v>0.1177</v>
      </c>
      <c r="K221" s="91">
        <f>VLOOKUP($A221,'Data Vlaue (Cr)'!$C:$FB,95)</f>
        <v>593</v>
      </c>
      <c r="L221" s="91">
        <f>VLOOKUP($A221,'Data Vlaue (Cr)'!$C:$FB,97)</f>
        <v>10</v>
      </c>
      <c r="M221" s="92">
        <f>VLOOKUP($A221,'Data Vlaue (Cr)'!$C:$FB,98)</f>
        <v>1.7000000000000001E-2</v>
      </c>
      <c r="N221" s="91">
        <f>VLOOKUP($A221,'Data Vlaue (Cr)'!$C:$FB,79)</f>
        <v>1464</v>
      </c>
      <c r="O221" s="92">
        <f>VLOOKUP($A221,'Data Vlaue (Cr)'!$C:$FB,82)</f>
        <v>-4.8899999999999999E-2</v>
      </c>
    </row>
    <row r="222" spans="1:15" x14ac:dyDescent="0.25">
      <c r="A222" s="97" t="str">
        <f>'Data Vlaue (Cr)'!C217</f>
        <v>WAAREEENER</v>
      </c>
      <c r="B222" s="142">
        <f>VLOOKUP(A222,'Data Vlaue (Cr)'!C217:CW435,99,0)</f>
        <v>3031</v>
      </c>
      <c r="C222" s="90">
        <f>VLOOKUP(A222,'Data Vlaue (Cr)'!C217:CY435,101,0)</f>
        <v>55</v>
      </c>
      <c r="D222" s="139">
        <f>VLOOKUP(A222,'Data Vlaue (Cr)'!C217:CZ435,102,0)</f>
        <v>1.8499999999999999E-2</v>
      </c>
      <c r="E222" s="91">
        <f>VLOOKUP($A222,'Data Vlaue (Cr)'!$C:$FB,75)</f>
        <v>1767</v>
      </c>
      <c r="F222" s="91">
        <f>VLOOKUP($A222,'Data Vlaue (Cr)'!$C:$FB,77)</f>
        <v>93</v>
      </c>
      <c r="G222" s="92">
        <f>VLOOKUP(A222,'Data Vlaue (Cr)'!C217:CB435,78,0)</f>
        <v>5.5399999999999998E-2</v>
      </c>
      <c r="H222" s="91">
        <f>VLOOKUP($A222,'Data Vlaue (Cr)'!$C:$FB,91)</f>
        <v>717</v>
      </c>
      <c r="I222" s="91">
        <f>VLOOKUP($A222,'Data Vlaue (Cr)'!$C:$FB,93)</f>
        <v>-33</v>
      </c>
      <c r="J222" s="92">
        <f>VLOOKUP($A222,'Data Vlaue (Cr)'!$C:$FB,94)</f>
        <v>-4.41E-2</v>
      </c>
      <c r="K222" s="91">
        <f>VLOOKUP($A222,'Data Vlaue (Cr)'!$C:$FB,95)</f>
        <v>547</v>
      </c>
      <c r="L222" s="91">
        <f>VLOOKUP($A222,'Data Vlaue (Cr)'!$C:$FB,97)</f>
        <v>-5</v>
      </c>
      <c r="M222" s="92">
        <f>VLOOKUP($A222,'Data Vlaue (Cr)'!$C:$FB,98)</f>
        <v>-8.6E-3</v>
      </c>
      <c r="N222" s="91">
        <f>VLOOKUP($A222,'Data Vlaue (Cr)'!$C:$FB,79)</f>
        <v>1591</v>
      </c>
      <c r="O222" s="92">
        <f>VLOOKUP($A222,'Data Vlaue (Cr)'!$C:$FB,82)</f>
        <v>3.5200000000000002E-2</v>
      </c>
    </row>
    <row r="223" spans="1:15" x14ac:dyDescent="0.25">
      <c r="A223" s="97" t="str">
        <f>'Data Vlaue (Cr)'!C218</f>
        <v>WIPRO</v>
      </c>
      <c r="B223" s="142">
        <f>VLOOKUP(A223,'Data Vlaue (Cr)'!C218:CW436,99,0)</f>
        <v>11697</v>
      </c>
      <c r="C223" s="90">
        <f>VLOOKUP(A223,'Data Vlaue (Cr)'!C218:CY436,101,0)</f>
        <v>81</v>
      </c>
      <c r="D223" s="139">
        <f>VLOOKUP(A223,'Data Vlaue (Cr)'!C218:CZ436,102,0)</f>
        <v>6.8999999999999999E-3</v>
      </c>
      <c r="E223" s="91">
        <f>VLOOKUP($A223,'Data Vlaue (Cr)'!$C:$FB,75)</f>
        <v>6607</v>
      </c>
      <c r="F223" s="91">
        <f>VLOOKUP($A223,'Data Vlaue (Cr)'!$C:$FB,77)</f>
        <v>112</v>
      </c>
      <c r="G223" s="92">
        <f>VLOOKUP(A223,'Data Vlaue (Cr)'!C218:CB436,78,0)</f>
        <v>1.72E-2</v>
      </c>
      <c r="H223" s="91">
        <f>VLOOKUP($A223,'Data Vlaue (Cr)'!$C:$FB,91)</f>
        <v>3429</v>
      </c>
      <c r="I223" s="91">
        <f>VLOOKUP($A223,'Data Vlaue (Cr)'!$C:$FB,93)</f>
        <v>-6</v>
      </c>
      <c r="J223" s="92">
        <f>VLOOKUP($A223,'Data Vlaue (Cr)'!$C:$FB,94)</f>
        <v>-1.9E-3</v>
      </c>
      <c r="K223" s="91">
        <f>VLOOKUP($A223,'Data Vlaue (Cr)'!$C:$FB,95)</f>
        <v>1661</v>
      </c>
      <c r="L223" s="91">
        <f>VLOOKUP($A223,'Data Vlaue (Cr)'!$C:$FB,97)</f>
        <v>-25</v>
      </c>
      <c r="M223" s="92">
        <f>VLOOKUP($A223,'Data Vlaue (Cr)'!$C:$FB,98)</f>
        <v>-1.49E-2</v>
      </c>
      <c r="N223" s="91">
        <f>VLOOKUP($A223,'Data Vlaue (Cr)'!$C:$FB,79)</f>
        <v>5073</v>
      </c>
      <c r="O223" s="92">
        <f>VLOOKUP($A223,'Data Vlaue (Cr)'!$C:$FB,82)</f>
        <v>4.5999999999999999E-3</v>
      </c>
    </row>
    <row r="224" spans="1:15" x14ac:dyDescent="0.25">
      <c r="A224" s="97" t="str">
        <f>'Data Vlaue (Cr)'!C219</f>
        <v>YESBANK</v>
      </c>
      <c r="B224" s="142">
        <f>VLOOKUP(A224,'Data Vlaue (Cr)'!C219:CW437,99,0)</f>
        <v>4618</v>
      </c>
      <c r="C224" s="90">
        <f>VLOOKUP(A224,'Data Vlaue (Cr)'!C219:CY437,101,0)</f>
        <v>538</v>
      </c>
      <c r="D224" s="139">
        <f>VLOOKUP(A224,'Data Vlaue (Cr)'!C219:CZ437,102,0)</f>
        <v>0.13200000000000001</v>
      </c>
      <c r="E224" s="91">
        <f>VLOOKUP($A224,'Data Vlaue (Cr)'!$C:$FB,75)</f>
        <v>2616</v>
      </c>
      <c r="F224" s="91">
        <f>VLOOKUP($A224,'Data Vlaue (Cr)'!$C:$FB,77)</f>
        <v>115</v>
      </c>
      <c r="G224" s="92">
        <f>VLOOKUP(A224,'Data Vlaue (Cr)'!C219:CB437,78,0)</f>
        <v>4.5999999999999999E-2</v>
      </c>
      <c r="H224" s="91">
        <f>VLOOKUP($A224,'Data Vlaue (Cr)'!$C:$FB,91)</f>
        <v>1310</v>
      </c>
      <c r="I224" s="91">
        <f>VLOOKUP($A224,'Data Vlaue (Cr)'!$C:$FB,93)</f>
        <v>342</v>
      </c>
      <c r="J224" s="92">
        <f>VLOOKUP($A224,'Data Vlaue (Cr)'!$C:$FB,94)</f>
        <v>0.35339999999999999</v>
      </c>
      <c r="K224" s="91">
        <f>VLOOKUP($A224,'Data Vlaue (Cr)'!$C:$FB,95)</f>
        <v>692</v>
      </c>
      <c r="L224" s="91">
        <f>VLOOKUP($A224,'Data Vlaue (Cr)'!$C:$FB,97)</f>
        <v>81</v>
      </c>
      <c r="M224" s="92">
        <f>VLOOKUP($A224,'Data Vlaue (Cr)'!$C:$FB,98)</f>
        <v>0.1331</v>
      </c>
      <c r="N224" s="91">
        <f>VLOOKUP($A224,'Data Vlaue (Cr)'!$C:$FB,79)</f>
        <v>2088</v>
      </c>
      <c r="O224" s="92">
        <f>VLOOKUP($A224,'Data Vlaue (Cr)'!$C:$FB,82)</f>
        <v>-3.4000000000000002E-2</v>
      </c>
    </row>
    <row r="225" spans="1:15" x14ac:dyDescent="0.25">
      <c r="A225" s="97" t="str">
        <f>'Data Vlaue (Cr)'!C220</f>
        <v>ZYDUSLIFE</v>
      </c>
      <c r="B225" s="142">
        <f>VLOOKUP(A225,'Data Vlaue (Cr)'!C220:CW438,99,0)</f>
        <v>1378</v>
      </c>
      <c r="C225" s="90">
        <f>VLOOKUP(A225,'Data Vlaue (Cr)'!C220:CY438,101,0)</f>
        <v>22</v>
      </c>
      <c r="D225" s="139">
        <f>VLOOKUP(A225,'Data Vlaue (Cr)'!C220:CZ438,102,0)</f>
        <v>1.6299999999999999E-2</v>
      </c>
      <c r="E225" s="91">
        <f>VLOOKUP($A225,'Data Vlaue (Cr)'!$C:$FB,75)</f>
        <v>862</v>
      </c>
      <c r="F225" s="91">
        <f>VLOOKUP($A225,'Data Vlaue (Cr)'!$C:$FB,77)</f>
        <v>-7</v>
      </c>
      <c r="G225" s="92">
        <f>VLOOKUP(A225,'Data Vlaue (Cr)'!C220:CB438,78,0)</f>
        <v>-7.7999999999999996E-3</v>
      </c>
      <c r="H225" s="91">
        <f>VLOOKUP($A225,'Data Vlaue (Cr)'!$C:$FB,91)</f>
        <v>303</v>
      </c>
      <c r="I225" s="91">
        <f>VLOOKUP($A225,'Data Vlaue (Cr)'!$C:$FB,93)</f>
        <v>27</v>
      </c>
      <c r="J225" s="92">
        <f>VLOOKUP($A225,'Data Vlaue (Cr)'!$C:$FB,94)</f>
        <v>9.8900000000000002E-2</v>
      </c>
      <c r="K225" s="91">
        <f>VLOOKUP($A225,'Data Vlaue (Cr)'!$C:$FB,95)</f>
        <v>213</v>
      </c>
      <c r="L225" s="91">
        <f>VLOOKUP($A225,'Data Vlaue (Cr)'!$C:$FB,97)</f>
        <v>2</v>
      </c>
      <c r="M225" s="92">
        <f>VLOOKUP($A225,'Data Vlaue (Cr)'!$C:$FB,98)</f>
        <v>7.6E-3</v>
      </c>
      <c r="N225" s="91">
        <f>VLOOKUP($A225,'Data Vlaue (Cr)'!$C:$FB,79)</f>
        <v>812</v>
      </c>
      <c r="O225" s="92">
        <f>VLOOKUP($A225,'Data Vlaue (Cr)'!$C:$FB,82)</f>
        <v>-3.5200000000000002E-2</v>
      </c>
    </row>
    <row r="226" spans="1:15" x14ac:dyDescent="0.25">
      <c r="A226" s="97"/>
      <c r="B226" s="142"/>
      <c r="C226" s="90"/>
      <c r="D226" s="139"/>
      <c r="E226" s="91"/>
      <c r="F226" s="91"/>
      <c r="G226" s="92"/>
      <c r="H226" s="91"/>
      <c r="I226" s="91"/>
      <c r="J226" s="92"/>
      <c r="K226" s="91"/>
      <c r="L226" s="91"/>
      <c r="M226" s="92"/>
      <c r="N226" s="91"/>
      <c r="O226" s="92"/>
    </row>
    <row r="227" spans="1:15" x14ac:dyDescent="0.25">
      <c r="A227" s="97"/>
      <c r="B227" s="142"/>
      <c r="C227" s="90"/>
      <c r="D227" s="139"/>
      <c r="E227" s="91"/>
      <c r="F227" s="91"/>
      <c r="G227" s="92"/>
      <c r="H227" s="91"/>
      <c r="I227" s="91"/>
      <c r="J227" s="92"/>
      <c r="K227" s="91"/>
      <c r="L227" s="91"/>
      <c r="M227" s="92"/>
      <c r="N227" s="91"/>
      <c r="O227" s="92"/>
    </row>
    <row r="228" spans="1:15" x14ac:dyDescent="0.25">
      <c r="A228" s="97"/>
      <c r="B228" s="142"/>
      <c r="C228" s="90"/>
      <c r="D228" s="139"/>
      <c r="E228" s="91"/>
      <c r="F228" s="91"/>
      <c r="G228" s="92"/>
      <c r="H228" s="91"/>
      <c r="I228" s="91"/>
      <c r="J228" s="92"/>
      <c r="K228" s="91"/>
      <c r="L228" s="91"/>
      <c r="M228" s="92"/>
      <c r="N228" s="91"/>
      <c r="O228" s="92"/>
    </row>
    <row r="229" spans="1:15" x14ac:dyDescent="0.25">
      <c r="A229" s="97"/>
      <c r="B229" s="142"/>
      <c r="C229" s="90"/>
      <c r="D229" s="139"/>
      <c r="E229" s="91"/>
      <c r="F229" s="91"/>
      <c r="G229" s="92"/>
      <c r="H229" s="91"/>
      <c r="I229" s="91"/>
      <c r="J229" s="92"/>
      <c r="K229" s="91"/>
      <c r="L229" s="91"/>
      <c r="M229" s="92"/>
      <c r="N229" s="91"/>
      <c r="O229" s="92"/>
    </row>
    <row r="230" spans="1:15" x14ac:dyDescent="0.25">
      <c r="A230" s="97"/>
      <c r="B230" s="142"/>
      <c r="C230" s="90"/>
      <c r="D230" s="139"/>
      <c r="E230" s="91"/>
      <c r="F230" s="91"/>
      <c r="G230" s="92"/>
      <c r="H230" s="91"/>
      <c r="I230" s="91"/>
      <c r="J230" s="92"/>
      <c r="K230" s="91"/>
      <c r="L230" s="91"/>
      <c r="M230" s="92"/>
      <c r="N230" s="91"/>
      <c r="O230" s="92"/>
    </row>
    <row r="231" spans="1:15" x14ac:dyDescent="0.25">
      <c r="A231" s="97"/>
      <c r="B231" s="142"/>
      <c r="C231" s="90"/>
      <c r="D231" s="139"/>
      <c r="E231" s="91"/>
      <c r="F231" s="91"/>
      <c r="G231" s="92"/>
      <c r="H231" s="91"/>
      <c r="I231" s="91"/>
      <c r="J231" s="92"/>
      <c r="K231" s="91"/>
      <c r="L231" s="91"/>
      <c r="M231" s="92"/>
      <c r="N231" s="91"/>
      <c r="O231" s="92"/>
    </row>
    <row r="232" spans="1:15" x14ac:dyDescent="0.25">
      <c r="A232" s="102"/>
      <c r="B232" s="142"/>
      <c r="C232" s="90"/>
      <c r="D232" s="139"/>
      <c r="E232" s="91"/>
      <c r="F232" s="91"/>
      <c r="G232" s="92"/>
      <c r="H232" s="91"/>
      <c r="I232" s="91"/>
      <c r="J232" s="92"/>
      <c r="K232" s="91"/>
      <c r="L232" s="91"/>
      <c r="M232" s="92"/>
      <c r="N232" s="91"/>
      <c r="O232" s="92"/>
    </row>
    <row r="233" spans="1:15" x14ac:dyDescent="0.25">
      <c r="A233" s="122" t="s">
        <v>391</v>
      </c>
      <c r="B233" s="123">
        <f>SUM(B7:B227)</f>
        <v>2406467</v>
      </c>
      <c r="C233" s="123">
        <f>SUM(C7:C230)</f>
        <v>16660</v>
      </c>
      <c r="D233" s="124">
        <f>'Snapshot (Value)'!K241</f>
        <v>6.9788588030156636E-3</v>
      </c>
      <c r="E233" s="123">
        <f>SUM(E7:E228)</f>
        <v>585895</v>
      </c>
      <c r="F233" s="123">
        <f>SUM(F7:F228)</f>
        <v>-1601</v>
      </c>
      <c r="G233" s="149">
        <f>F233*100/(E233-F233)</f>
        <v>-0.2725124937020848</v>
      </c>
      <c r="H233" s="123">
        <f>SUM(H7:H228)</f>
        <v>898795</v>
      </c>
      <c r="I233" s="123">
        <f>SUM(I7:I228)</f>
        <v>-3294</v>
      </c>
      <c r="J233" s="149">
        <f>I233/(H233-I233)</f>
        <v>-3.6515244061284418E-3</v>
      </c>
      <c r="K233" s="123">
        <f>SUM(K7:K228)</f>
        <v>921758</v>
      </c>
      <c r="L233" s="123">
        <f>SUM(L7:L228)</f>
        <v>21565</v>
      </c>
      <c r="M233" s="149">
        <f>L233/(K233-L233)</f>
        <v>2.3955973885600088E-2</v>
      </c>
      <c r="N233" s="123">
        <f>SUM(N7:N228)</f>
        <v>499950</v>
      </c>
      <c r="O233" s="149">
        <f>(N233-FII!V2)/N233</f>
        <v>-2.5966596659665966E-2</v>
      </c>
    </row>
    <row r="238" spans="1:15" x14ac:dyDescent="0.25">
      <c r="A238" s="274" t="s">
        <v>408</v>
      </c>
      <c r="B238" s="274"/>
      <c r="C238" s="274"/>
      <c r="D238" s="274"/>
    </row>
    <row r="239" spans="1:15" x14ac:dyDescent="0.25">
      <c r="A239" s="35" t="s">
        <v>401</v>
      </c>
      <c r="B239" s="35" t="s">
        <v>402</v>
      </c>
      <c r="C239" s="35" t="s">
        <v>369</v>
      </c>
      <c r="D239" s="35" t="s">
        <v>407</v>
      </c>
    </row>
    <row r="240" spans="1:15" x14ac:dyDescent="0.25">
      <c r="A240" s="36" t="s">
        <v>403</v>
      </c>
      <c r="B240" s="37">
        <f>E233</f>
        <v>585895</v>
      </c>
      <c r="C240" s="37">
        <f>F233</f>
        <v>-1601</v>
      </c>
      <c r="D240" s="39">
        <f>C240/B240</f>
        <v>-2.7325715358554009E-3</v>
      </c>
    </row>
    <row r="241" spans="1:4" x14ac:dyDescent="0.25">
      <c r="A241" s="36" t="s">
        <v>404</v>
      </c>
      <c r="B241" s="37">
        <f>H233</f>
        <v>898795</v>
      </c>
      <c r="C241" s="37">
        <f>I233</f>
        <v>-3294</v>
      </c>
      <c r="D241" s="150">
        <f>C241/B241</f>
        <v>-3.664906903131415E-3</v>
      </c>
    </row>
    <row r="242" spans="1:4" x14ac:dyDescent="0.25">
      <c r="A242" s="36" t="s">
        <v>405</v>
      </c>
      <c r="B242" s="37">
        <f>K233</f>
        <v>921758</v>
      </c>
      <c r="C242" s="37">
        <f>L233</f>
        <v>21565</v>
      </c>
      <c r="D242" s="150">
        <f>C242/B242</f>
        <v>2.3395511620186642E-2</v>
      </c>
    </row>
    <row r="243" spans="1:4" x14ac:dyDescent="0.25">
      <c r="A243" s="36" t="s">
        <v>406</v>
      </c>
      <c r="B243" s="37">
        <f>B240+B241+B242</f>
        <v>2406448</v>
      </c>
      <c r="C243" s="37">
        <f>C240+C241+C242</f>
        <v>16670</v>
      </c>
      <c r="D243" s="150">
        <f>C243/B243</f>
        <v>6.9272221963657642E-3</v>
      </c>
    </row>
  </sheetData>
  <autoFilter ref="A6:O6">
    <sortState ref="A7:O154">
      <sortCondition ref="A6"/>
    </sortState>
  </autoFilter>
  <mergeCells count="9">
    <mergeCell ref="A238:D238"/>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workbookViewId="0">
      <pane ySplit="6" topLeftCell="A26" activePane="bottomLeft" state="frozen"/>
      <selection pane="bottomLeft" activeCell="A7" sqref="A7:A56"/>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2" t="s">
        <v>343</v>
      </c>
      <c r="B3" s="293"/>
      <c r="C3" s="293"/>
      <c r="D3" s="293"/>
      <c r="E3" s="293"/>
      <c r="F3" s="293"/>
      <c r="G3" s="294"/>
      <c r="H3" s="294"/>
      <c r="I3" s="294"/>
      <c r="J3" s="295"/>
    </row>
    <row r="4" spans="1:10" s="93" customFormat="1" x14ac:dyDescent="0.25">
      <c r="A4" s="296" t="s">
        <v>330</v>
      </c>
      <c r="B4" s="296" t="s">
        <v>308</v>
      </c>
      <c r="C4" s="296"/>
      <c r="D4" s="296"/>
      <c r="E4" s="296" t="s">
        <v>340</v>
      </c>
      <c r="F4" s="296"/>
      <c r="G4" s="296"/>
      <c r="H4" s="296" t="s">
        <v>458</v>
      </c>
      <c r="I4" s="296"/>
      <c r="J4" s="296"/>
    </row>
    <row r="5" spans="1:10" s="93" customFormat="1" x14ac:dyDescent="0.25">
      <c r="A5" s="297"/>
      <c r="B5" s="94" t="s">
        <v>312</v>
      </c>
      <c r="C5" s="94" t="s">
        <v>313</v>
      </c>
      <c r="D5" s="94"/>
      <c r="E5" s="297" t="s">
        <v>314</v>
      </c>
      <c r="F5" s="297"/>
      <c r="G5" s="297"/>
      <c r="H5" s="297" t="s">
        <v>314</v>
      </c>
      <c r="I5" s="297"/>
      <c r="J5" s="297"/>
    </row>
    <row r="6" spans="1:10" s="93" customFormat="1" x14ac:dyDescent="0.25">
      <c r="A6" s="94" t="s">
        <v>318</v>
      </c>
      <c r="B6" s="3">
        <f>'OI(Volume)'!B6</f>
        <v>46132</v>
      </c>
      <c r="C6" s="3">
        <f>B6</f>
        <v>46132</v>
      </c>
      <c r="D6" s="94" t="s">
        <v>328</v>
      </c>
      <c r="E6" s="3">
        <f>B6</f>
        <v>46132</v>
      </c>
      <c r="F6" s="94" t="s">
        <v>322</v>
      </c>
      <c r="G6" s="94" t="s">
        <v>328</v>
      </c>
      <c r="H6" s="3">
        <f>E6</f>
        <v>46132</v>
      </c>
      <c r="I6" s="94" t="s">
        <v>322</v>
      </c>
      <c r="J6" s="94" t="s">
        <v>328</v>
      </c>
    </row>
    <row r="7" spans="1:10" x14ac:dyDescent="0.25">
      <c r="A7" s="101" t="str">
        <f>'NIFTY GRP'!C2</f>
        <v>ADANIENT</v>
      </c>
      <c r="B7" s="140">
        <f>VLOOKUP($A7,'Data shares'!$C:$FA,7)</f>
        <v>2229.6</v>
      </c>
      <c r="C7" s="140">
        <f>VLOOKUP($A7,'Data shares'!$C:$FA,3)</f>
        <v>2230.5</v>
      </c>
      <c r="D7" s="50">
        <f>VLOOKUP($A7,'Data shares'!$C:$FA,6)*100</f>
        <v>0.25</v>
      </c>
      <c r="E7" s="51">
        <f>VLOOKUP($A7,'Data shares'!$C:$FA,98)</f>
        <v>31771071</v>
      </c>
      <c r="F7" s="51">
        <f>VLOOKUP($A7,'Data shares'!$C:$FA,99)</f>
        <v>31390692</v>
      </c>
      <c r="G7" s="50">
        <f>VLOOKUP($A7,'Data shares'!$C:$FA,101)*100</f>
        <v>1.21</v>
      </c>
      <c r="H7" s="49">
        <f>VLOOKUP($A7,'Data Vlaue (Cr)'!$C:$FB,99)</f>
        <v>7087</v>
      </c>
      <c r="I7" s="49">
        <f>VLOOKUP($A7,'Data Vlaue (Cr)'!$C:$FB,100)</f>
        <v>7002</v>
      </c>
      <c r="J7" s="49">
        <f>VLOOKUP($A7,'Data Vlaue (Cr)'!$C:$FB,102)*100</f>
        <v>1.21</v>
      </c>
    </row>
    <row r="8" spans="1:10" x14ac:dyDescent="0.25">
      <c r="A8" s="101" t="str">
        <f>'NIFTY GRP'!C3</f>
        <v>ADANIPORTS</v>
      </c>
      <c r="B8" s="140">
        <f>VLOOKUP($A8,'Data shares'!$C:$FA,7)</f>
        <v>1578.4</v>
      </c>
      <c r="C8" s="140">
        <f>VLOOKUP($A8,'Data shares'!$C:$FA,3)</f>
        <v>1581.1</v>
      </c>
      <c r="D8" s="50">
        <f>VLOOKUP($A8,'Data shares'!$C:$FA,6)*100</f>
        <v>0.5</v>
      </c>
      <c r="E8" s="51">
        <f>VLOOKUP($A8,'Data shares'!$C:$FA,98)</f>
        <v>37489850</v>
      </c>
      <c r="F8" s="51">
        <f>VLOOKUP($A8,'Data shares'!$C:$FA,99)</f>
        <v>37163525</v>
      </c>
      <c r="G8" s="50">
        <f>VLOOKUP($A8,'Data shares'!$C:$FA,101)*100</f>
        <v>0.88</v>
      </c>
      <c r="H8" s="49">
        <f>VLOOKUP($A8,'Data Vlaue (Cr)'!$C:$FB,99)</f>
        <v>5928</v>
      </c>
      <c r="I8" s="49">
        <f>VLOOKUP($A8,'Data Vlaue (Cr)'!$C:$FB,100)</f>
        <v>5876</v>
      </c>
      <c r="J8" s="49">
        <f>VLOOKUP($A8,'Data Vlaue (Cr)'!$C:$FB,102)*100</f>
        <v>0.88</v>
      </c>
    </row>
    <row r="9" spans="1:10" x14ac:dyDescent="0.25">
      <c r="A9" s="101" t="str">
        <f>'NIFTY GRP'!C4</f>
        <v>APOLLOHOSP</v>
      </c>
      <c r="B9" s="140">
        <f>VLOOKUP($A9,'Data shares'!$C:$FA,7)</f>
        <v>7657</v>
      </c>
      <c r="C9" s="140">
        <f>VLOOKUP($A9,'Data shares'!$C:$FA,3)</f>
        <v>7650</v>
      </c>
      <c r="D9" s="50">
        <f>VLOOKUP($A9,'Data shares'!$C:$FA,6)*100</f>
        <v>-0.62</v>
      </c>
      <c r="E9" s="51">
        <f>VLOOKUP($A9,'Data shares'!$C:$FA,98)</f>
        <v>4046375</v>
      </c>
      <c r="F9" s="51">
        <f>VLOOKUP($A9,'Data shares'!$C:$FA,99)</f>
        <v>4065750</v>
      </c>
      <c r="G9" s="50">
        <f>VLOOKUP($A9,'Data shares'!$C:$FA,101)*100</f>
        <v>-0.48</v>
      </c>
      <c r="H9" s="49">
        <f>VLOOKUP($A9,'Data Vlaue (Cr)'!$C:$FB,99)</f>
        <v>3095</v>
      </c>
      <c r="I9" s="49">
        <f>VLOOKUP($A9,'Data Vlaue (Cr)'!$C:$FB,100)</f>
        <v>3110</v>
      </c>
      <c r="J9" s="49">
        <f>VLOOKUP($A9,'Data Vlaue (Cr)'!$C:$FB,102)*100</f>
        <v>-0.48</v>
      </c>
    </row>
    <row r="10" spans="1:10" x14ac:dyDescent="0.25">
      <c r="A10" s="101" t="str">
        <f>'NIFTY GRP'!C5</f>
        <v>ASIANPAINT</v>
      </c>
      <c r="B10" s="140">
        <f>VLOOKUP($A10,'Data shares'!$C:$FA,7)</f>
        <v>2516.8000000000002</v>
      </c>
      <c r="C10" s="140">
        <f>VLOOKUP($A10,'Data shares'!$C:$FA,3)</f>
        <v>2514.6</v>
      </c>
      <c r="D10" s="50">
        <f>VLOOKUP($A10,'Data shares'!$C:$FA,6)*100</f>
        <v>2.04</v>
      </c>
      <c r="E10" s="51">
        <f>VLOOKUP($A10,'Data shares'!$C:$FA,98)</f>
        <v>25262500</v>
      </c>
      <c r="F10" s="51">
        <f>VLOOKUP($A10,'Data shares'!$C:$FA,99)</f>
        <v>24184500</v>
      </c>
      <c r="G10" s="50">
        <f>VLOOKUP($A10,'Data shares'!$C:$FA,101)*100</f>
        <v>4.46</v>
      </c>
      <c r="H10" s="49">
        <f>VLOOKUP($A10,'Data Vlaue (Cr)'!$C:$FB,99)</f>
        <v>6353</v>
      </c>
      <c r="I10" s="49">
        <f>VLOOKUP($A10,'Data Vlaue (Cr)'!$C:$FB,100)</f>
        <v>6081</v>
      </c>
      <c r="J10" s="49">
        <f>VLOOKUP($A10,'Data Vlaue (Cr)'!$C:$FB,102)*100</f>
        <v>4.46</v>
      </c>
    </row>
    <row r="11" spans="1:10" x14ac:dyDescent="0.25">
      <c r="A11" s="101" t="str">
        <f>'NIFTY GRP'!C6</f>
        <v>AXISBANK</v>
      </c>
      <c r="B11" s="140">
        <f>VLOOKUP($A11,'Data shares'!$C:$FA,7)</f>
        <v>1354.7</v>
      </c>
      <c r="C11" s="140">
        <f>VLOOKUP($A11,'Data shares'!$C:$FA,3)</f>
        <v>1356.2</v>
      </c>
      <c r="D11" s="50">
        <f>VLOOKUP($A11,'Data shares'!$C:$FA,6)*100</f>
        <v>-0.52</v>
      </c>
      <c r="E11" s="51">
        <f>VLOOKUP($A11,'Data shares'!$C:$FA,98)</f>
        <v>95133125</v>
      </c>
      <c r="F11" s="51">
        <f>VLOOKUP($A11,'Data shares'!$C:$FA,99)</f>
        <v>95240000</v>
      </c>
      <c r="G11" s="50">
        <f>VLOOKUP($A11,'Data shares'!$C:$FA,101)*100</f>
        <v>-0.11</v>
      </c>
      <c r="H11" s="49">
        <f>VLOOKUP($A11,'Data Vlaue (Cr)'!$C:$FB,99)</f>
        <v>12902</v>
      </c>
      <c r="I11" s="49">
        <f>VLOOKUP($A11,'Data Vlaue (Cr)'!$C:$FB,100)</f>
        <v>12916</v>
      </c>
      <c r="J11" s="49">
        <f>VLOOKUP($A11,'Data Vlaue (Cr)'!$C:$FB,102)*100</f>
        <v>-0.11</v>
      </c>
    </row>
    <row r="12" spans="1:10" x14ac:dyDescent="0.25">
      <c r="A12" s="101" t="str">
        <f>'NIFTY GRP'!C7</f>
        <v>BAJAJ-AUTO</v>
      </c>
      <c r="B12" s="140">
        <f>VLOOKUP($A12,'Data shares'!$C:$FA,7)</f>
        <v>9803</v>
      </c>
      <c r="C12" s="140">
        <f>VLOOKUP($A12,'Data shares'!$C:$FA,3)</f>
        <v>9811</v>
      </c>
      <c r="D12" s="50">
        <f>VLOOKUP($A12,'Data shares'!$C:$FA,6)*100</f>
        <v>0.51</v>
      </c>
      <c r="E12" s="51">
        <f>VLOOKUP($A12,'Data shares'!$C:$FA,98)</f>
        <v>5395800</v>
      </c>
      <c r="F12" s="51">
        <f>VLOOKUP($A12,'Data shares'!$C:$FA,99)</f>
        <v>5486775</v>
      </c>
      <c r="G12" s="50">
        <f>VLOOKUP($A12,'Data shares'!$C:$FA,101)*100</f>
        <v>-1.66</v>
      </c>
      <c r="H12" s="49">
        <f>VLOOKUP($A12,'Data Vlaue (Cr)'!$C:$FB,99)</f>
        <v>5294</v>
      </c>
      <c r="I12" s="49">
        <f>VLOOKUP($A12,'Data Vlaue (Cr)'!$C:$FB,100)</f>
        <v>5383</v>
      </c>
      <c r="J12" s="49">
        <f>VLOOKUP($A12,'Data Vlaue (Cr)'!$C:$FB,102)*100</f>
        <v>-1.66</v>
      </c>
    </row>
    <row r="13" spans="1:10" x14ac:dyDescent="0.25">
      <c r="A13" s="101" t="str">
        <f>'NIFTY GRP'!C8</f>
        <v>BAJAJFINSV</v>
      </c>
      <c r="B13" s="140">
        <f>VLOOKUP($A13,'Data shares'!$C:$FA,7)</f>
        <v>1830.6</v>
      </c>
      <c r="C13" s="140">
        <f>VLOOKUP($A13,'Data shares'!$C:$FA,3)</f>
        <v>1828.1</v>
      </c>
      <c r="D13" s="50">
        <f>VLOOKUP($A13,'Data shares'!$C:$FA,6)*100</f>
        <v>-0.61</v>
      </c>
      <c r="E13" s="51">
        <f>VLOOKUP($A13,'Data shares'!$C:$FA,98)</f>
        <v>18117250</v>
      </c>
      <c r="F13" s="51">
        <f>VLOOKUP($A13,'Data shares'!$C:$FA,99)</f>
        <v>18279500</v>
      </c>
      <c r="G13" s="50">
        <f>VLOOKUP($A13,'Data shares'!$C:$FA,101)*100</f>
        <v>-0.89</v>
      </c>
      <c r="H13" s="49">
        <f>VLOOKUP($A13,'Data Vlaue (Cr)'!$C:$FB,99)</f>
        <v>3312</v>
      </c>
      <c r="I13" s="49">
        <f>VLOOKUP($A13,'Data Vlaue (Cr)'!$C:$FB,100)</f>
        <v>3342</v>
      </c>
      <c r="J13" s="49">
        <f>VLOOKUP($A13,'Data Vlaue (Cr)'!$C:$FB,102)*100</f>
        <v>-0.89</v>
      </c>
    </row>
    <row r="14" spans="1:10" x14ac:dyDescent="0.25">
      <c r="A14" s="101" t="str">
        <f>'NIFTY GRP'!C9</f>
        <v>BAJFINANCE</v>
      </c>
      <c r="B14" s="140">
        <f>VLOOKUP($A14,'Data shares'!$C:$FA,7)</f>
        <v>917.75</v>
      </c>
      <c r="C14" s="140">
        <f>VLOOKUP($A14,'Data shares'!$C:$FA,3)</f>
        <v>916.95</v>
      </c>
      <c r="D14" s="50">
        <f>VLOOKUP($A14,'Data shares'!$C:$FA,6)*100</f>
        <v>0.66</v>
      </c>
      <c r="E14" s="51">
        <f>VLOOKUP($A14,'Data shares'!$C:$FA,98)</f>
        <v>108551250</v>
      </c>
      <c r="F14" s="51">
        <f>VLOOKUP($A14,'Data shares'!$C:$FA,99)</f>
        <v>109996500</v>
      </c>
      <c r="G14" s="50">
        <f>VLOOKUP($A14,'Data shares'!$C:$FA,101)*100</f>
        <v>-1.31</v>
      </c>
      <c r="H14" s="49">
        <f>VLOOKUP($A14,'Data Vlaue (Cr)'!$C:$FB,99)</f>
        <v>9954</v>
      </c>
      <c r="I14" s="49">
        <f>VLOOKUP($A14,'Data Vlaue (Cr)'!$C:$FB,100)</f>
        <v>10086</v>
      </c>
      <c r="J14" s="49">
        <f>VLOOKUP($A14,'Data Vlaue (Cr)'!$C:$FB,102)*100</f>
        <v>-1.31</v>
      </c>
    </row>
    <row r="15" spans="1:10" x14ac:dyDescent="0.25">
      <c r="A15" s="101" t="str">
        <f>'NIFTY GRP'!C10</f>
        <v>BEL</v>
      </c>
      <c r="B15" s="140">
        <f>VLOOKUP($A15,'Data shares'!$C:$FA,7)</f>
        <v>457.55</v>
      </c>
      <c r="C15" s="140">
        <f>VLOOKUP($A15,'Data shares'!$C:$FA,3)</f>
        <v>457.8</v>
      </c>
      <c r="D15" s="50">
        <f>VLOOKUP($A15,'Data shares'!$C:$FA,6)*100</f>
        <v>-1.0999999999999999</v>
      </c>
      <c r="E15" s="51">
        <f>VLOOKUP($A15,'Data shares'!$C:$FA,98)</f>
        <v>179621250</v>
      </c>
      <c r="F15" s="51">
        <f>VLOOKUP($A15,'Data shares'!$C:$FA,99)</f>
        <v>179190900</v>
      </c>
      <c r="G15" s="50">
        <f>VLOOKUP($A15,'Data shares'!$C:$FA,101)*100</f>
        <v>0.24</v>
      </c>
      <c r="H15" s="49">
        <f>VLOOKUP($A15,'Data Vlaue (Cr)'!$C:$FB,99)</f>
        <v>8223</v>
      </c>
      <c r="I15" s="49">
        <f>VLOOKUP($A15,'Data Vlaue (Cr)'!$C:$FB,100)</f>
        <v>8203</v>
      </c>
      <c r="J15" s="49">
        <f>VLOOKUP($A15,'Data Vlaue (Cr)'!$C:$FB,102)*100</f>
        <v>0.24</v>
      </c>
    </row>
    <row r="16" spans="1:10" x14ac:dyDescent="0.25">
      <c r="A16" s="101" t="str">
        <f>'NIFTY GRP'!C11</f>
        <v>BHARTIARTL</v>
      </c>
      <c r="B16" s="140">
        <f>VLOOKUP($A16,'Data shares'!$C:$FA,7)</f>
        <v>1846.1</v>
      </c>
      <c r="C16" s="140">
        <f>VLOOKUP($A16,'Data shares'!$C:$FA,3)</f>
        <v>1845.6</v>
      </c>
      <c r="D16" s="50">
        <f>VLOOKUP($A16,'Data shares'!$C:$FA,6)*100</f>
        <v>-0.18</v>
      </c>
      <c r="E16" s="51">
        <f>VLOOKUP($A16,'Data shares'!$C:$FA,98)</f>
        <v>83023350</v>
      </c>
      <c r="F16" s="51">
        <f>VLOOKUP($A16,'Data shares'!$C:$FA,99)</f>
        <v>82734550</v>
      </c>
      <c r="G16" s="50">
        <f>VLOOKUP($A16,'Data shares'!$C:$FA,101)*100</f>
        <v>0.35000000000000003</v>
      </c>
      <c r="H16" s="49">
        <f>VLOOKUP($A16,'Data Vlaue (Cr)'!$C:$FB,99)</f>
        <v>15323</v>
      </c>
      <c r="I16" s="49">
        <f>VLOOKUP($A16,'Data Vlaue (Cr)'!$C:$FB,100)</f>
        <v>15269</v>
      </c>
      <c r="J16" s="49">
        <f>VLOOKUP($A16,'Data Vlaue (Cr)'!$C:$FB,102)*100</f>
        <v>0.35000000000000003</v>
      </c>
    </row>
    <row r="17" spans="1:10" x14ac:dyDescent="0.25">
      <c r="A17" s="101" t="str">
        <f>'NIFTY GRP'!C12</f>
        <v>CIPLA</v>
      </c>
      <c r="B17" s="140">
        <f>VLOOKUP($A17,'Data shares'!$C:$FA,7)</f>
        <v>1229.5</v>
      </c>
      <c r="C17" s="140">
        <f>VLOOKUP($A17,'Data shares'!$C:$FA,3)</f>
        <v>1230.0999999999999</v>
      </c>
      <c r="D17" s="50">
        <f>VLOOKUP($A17,'Data shares'!$C:$FA,6)*100</f>
        <v>-1.2</v>
      </c>
      <c r="E17" s="51">
        <f>VLOOKUP($A17,'Data shares'!$C:$FA,98)</f>
        <v>24539250</v>
      </c>
      <c r="F17" s="51">
        <f>VLOOKUP($A17,'Data shares'!$C:$FA,99)</f>
        <v>23799375</v>
      </c>
      <c r="G17" s="50">
        <f>VLOOKUP($A17,'Data shares'!$C:$FA,101)*100</f>
        <v>3.11</v>
      </c>
      <c r="H17" s="49">
        <f>VLOOKUP($A17,'Data Vlaue (Cr)'!$C:$FB,99)</f>
        <v>3019</v>
      </c>
      <c r="I17" s="49">
        <f>VLOOKUP($A17,'Data Vlaue (Cr)'!$C:$FB,100)</f>
        <v>2928</v>
      </c>
      <c r="J17" s="49">
        <f>VLOOKUP($A17,'Data Vlaue (Cr)'!$C:$FB,102)*100</f>
        <v>3.11</v>
      </c>
    </row>
    <row r="18" spans="1:10" x14ac:dyDescent="0.25">
      <c r="A18" s="101" t="str">
        <f>'NIFTY GRP'!C13</f>
        <v>COALINDIA</v>
      </c>
      <c r="B18" s="140">
        <f>VLOOKUP($A18,'Data shares'!$C:$FA,7)</f>
        <v>441.75</v>
      </c>
      <c r="C18" s="140">
        <f>VLOOKUP($A18,'Data shares'!$C:$FA,3)</f>
        <v>442.35</v>
      </c>
      <c r="D18" s="50">
        <f>VLOOKUP($A18,'Data shares'!$C:$FA,6)*100</f>
        <v>0.64</v>
      </c>
      <c r="E18" s="51">
        <f>VLOOKUP($A18,'Data shares'!$C:$FA,98)</f>
        <v>139598100</v>
      </c>
      <c r="F18" s="51">
        <f>VLOOKUP($A18,'Data shares'!$C:$FA,99)</f>
        <v>142797600</v>
      </c>
      <c r="G18" s="50">
        <f>VLOOKUP($A18,'Data shares'!$C:$FA,101)*100</f>
        <v>-2.2399999999999998</v>
      </c>
      <c r="H18" s="49">
        <f>VLOOKUP($A18,'Data Vlaue (Cr)'!$C:$FB,99)</f>
        <v>6175</v>
      </c>
      <c r="I18" s="49">
        <f>VLOOKUP($A18,'Data Vlaue (Cr)'!$C:$FB,100)</f>
        <v>6317</v>
      </c>
      <c r="J18" s="49">
        <f>VLOOKUP($A18,'Data Vlaue (Cr)'!$C:$FB,102)*100</f>
        <v>-2.2399999999999998</v>
      </c>
    </row>
    <row r="19" spans="1:10" x14ac:dyDescent="0.25">
      <c r="A19" s="101" t="str">
        <f>'NIFTY GRP'!C14</f>
        <v>DRREDDY</v>
      </c>
      <c r="B19" s="140">
        <f>VLOOKUP($A19,'Data shares'!$C:$FA,7)</f>
        <v>1232.5999999999999</v>
      </c>
      <c r="C19" s="140">
        <f>VLOOKUP($A19,'Data shares'!$C:$FA,3)</f>
        <v>1224.0999999999999</v>
      </c>
      <c r="D19" s="50">
        <f>VLOOKUP($A19,'Data shares'!$C:$FA,6)*100</f>
        <v>-0.63</v>
      </c>
      <c r="E19" s="51">
        <f>VLOOKUP($A19,'Data shares'!$C:$FA,98)</f>
        <v>26352500</v>
      </c>
      <c r="F19" s="51">
        <f>VLOOKUP($A19,'Data shares'!$C:$FA,99)</f>
        <v>26233125</v>
      </c>
      <c r="G19" s="50">
        <f>VLOOKUP($A19,'Data shares'!$C:$FA,101)*100</f>
        <v>0.45999999999999996</v>
      </c>
      <c r="H19" s="49">
        <f>VLOOKUP($A19,'Data Vlaue (Cr)'!$C:$FB,99)</f>
        <v>3226</v>
      </c>
      <c r="I19" s="49">
        <f>VLOOKUP($A19,'Data Vlaue (Cr)'!$C:$FB,100)</f>
        <v>3211</v>
      </c>
      <c r="J19" s="49">
        <f>VLOOKUP($A19,'Data Vlaue (Cr)'!$C:$FB,102)*100</f>
        <v>0.45999999999999996</v>
      </c>
    </row>
    <row r="20" spans="1:10" x14ac:dyDescent="0.25">
      <c r="A20" s="101" t="str">
        <f>'NIFTY GRP'!C15</f>
        <v>EICHERMOT</v>
      </c>
      <c r="B20" s="140">
        <f>VLOOKUP($A20,'Data shares'!$C:$FA,7)</f>
        <v>7243</v>
      </c>
      <c r="C20" s="140">
        <f>VLOOKUP($A20,'Data shares'!$C:$FA,3)</f>
        <v>7233</v>
      </c>
      <c r="D20" s="50">
        <f>VLOOKUP($A20,'Data shares'!$C:$FA,6)*100</f>
        <v>0.61</v>
      </c>
      <c r="E20" s="51">
        <f>VLOOKUP($A20,'Data shares'!$C:$FA,98)</f>
        <v>8014600</v>
      </c>
      <c r="F20" s="51">
        <f>VLOOKUP($A20,'Data shares'!$C:$FA,99)</f>
        <v>8195200</v>
      </c>
      <c r="G20" s="50">
        <f>VLOOKUP($A20,'Data shares'!$C:$FA,101)*100</f>
        <v>-2.1999999999999997</v>
      </c>
      <c r="H20" s="49">
        <f>VLOOKUP($A20,'Data Vlaue (Cr)'!$C:$FB,99)</f>
        <v>5797</v>
      </c>
      <c r="I20" s="49">
        <f>VLOOKUP($A20,'Data Vlaue (Cr)'!$C:$FB,100)</f>
        <v>5928</v>
      </c>
      <c r="J20" s="49">
        <f>VLOOKUP($A20,'Data Vlaue (Cr)'!$C:$FB,102)*100</f>
        <v>-2.1999999999999997</v>
      </c>
    </row>
    <row r="21" spans="1:10" x14ac:dyDescent="0.25">
      <c r="A21" s="101" t="str">
        <f>'NIFTY GRP'!C16</f>
        <v>ETERNAL</v>
      </c>
      <c r="B21" s="140">
        <f>VLOOKUP($A21,'Data shares'!$C:$FA,7)</f>
        <v>254.88</v>
      </c>
      <c r="C21" s="140">
        <f>VLOOKUP($A21,'Data shares'!$C:$FA,3)</f>
        <v>254.72</v>
      </c>
      <c r="D21" s="50">
        <f>VLOOKUP($A21,'Data shares'!$C:$FA,6)*100</f>
        <v>0.84</v>
      </c>
      <c r="E21" s="51">
        <f>VLOOKUP($A21,'Data shares'!$C:$FA,98)</f>
        <v>306798875</v>
      </c>
      <c r="F21" s="51">
        <f>VLOOKUP($A21,'Data shares'!$C:$FA,99)</f>
        <v>310545500</v>
      </c>
      <c r="G21" s="50">
        <f>VLOOKUP($A21,'Data shares'!$C:$FA,101)*100</f>
        <v>-1.21</v>
      </c>
      <c r="H21" s="49">
        <f>VLOOKUP($A21,'Data Vlaue (Cr)'!$C:$FB,99)</f>
        <v>7815</v>
      </c>
      <c r="I21" s="49">
        <f>VLOOKUP($A21,'Data Vlaue (Cr)'!$C:$FB,100)</f>
        <v>7910</v>
      </c>
      <c r="J21" s="49">
        <f>VLOOKUP($A21,'Data Vlaue (Cr)'!$C:$FB,102)*100</f>
        <v>-1.21</v>
      </c>
    </row>
    <row r="22" spans="1:10" x14ac:dyDescent="0.25">
      <c r="A22" s="101" t="str">
        <f>'NIFTY GRP'!C17</f>
        <v>GRASIM</v>
      </c>
      <c r="B22" s="140">
        <f>VLOOKUP($A22,'Data shares'!$C:$FA,7)</f>
        <v>2760.1</v>
      </c>
      <c r="C22" s="140">
        <f>VLOOKUP($A22,'Data shares'!$C:$FA,3)</f>
        <v>2757</v>
      </c>
      <c r="D22" s="50">
        <f>VLOOKUP($A22,'Data shares'!$C:$FA,6)*100</f>
        <v>1.1100000000000001</v>
      </c>
      <c r="E22" s="51">
        <f>VLOOKUP($A22,'Data shares'!$C:$FA,98)</f>
        <v>16909750</v>
      </c>
      <c r="F22" s="51">
        <f>VLOOKUP($A22,'Data shares'!$C:$FA,99)</f>
        <v>17083750</v>
      </c>
      <c r="G22" s="50">
        <f>VLOOKUP($A22,'Data shares'!$C:$FA,101)*100</f>
        <v>-1.02</v>
      </c>
      <c r="H22" s="49">
        <f>VLOOKUP($A22,'Data Vlaue (Cr)'!$C:$FB,99)</f>
        <v>4662</v>
      </c>
      <c r="I22" s="49">
        <f>VLOOKUP($A22,'Data Vlaue (Cr)'!$C:$FB,100)</f>
        <v>4710</v>
      </c>
      <c r="J22" s="49">
        <f>VLOOKUP($A22,'Data Vlaue (Cr)'!$C:$FB,102)*100</f>
        <v>-1.02</v>
      </c>
    </row>
    <row r="23" spans="1:10" x14ac:dyDescent="0.25">
      <c r="A23" s="101" t="str">
        <f>'NIFTY GRP'!C18</f>
        <v>HCLTECH</v>
      </c>
      <c r="B23" s="140">
        <f>VLOOKUP($A23,'Data shares'!$C:$FA,7)</f>
        <v>1428.3</v>
      </c>
      <c r="C23" s="140">
        <f>VLOOKUP($A23,'Data shares'!$C:$FA,3)</f>
        <v>1407.1</v>
      </c>
      <c r="D23" s="50">
        <f>VLOOKUP($A23,'Data shares'!$C:$FA,6)*100</f>
        <v>-0.57999999999999996</v>
      </c>
      <c r="E23" s="51">
        <f>VLOOKUP($A23,'Data shares'!$C:$FA,98)</f>
        <v>58397850</v>
      </c>
      <c r="F23" s="51">
        <f>VLOOKUP($A23,'Data shares'!$C:$FA,99)</f>
        <v>55914950</v>
      </c>
      <c r="G23" s="50">
        <f>VLOOKUP($A23,'Data shares'!$C:$FA,101)*100</f>
        <v>4.4400000000000004</v>
      </c>
      <c r="H23" s="49">
        <f>VLOOKUP($A23,'Data Vlaue (Cr)'!$C:$FB,99)</f>
        <v>8217</v>
      </c>
      <c r="I23" s="49">
        <f>VLOOKUP($A23,'Data Vlaue (Cr)'!$C:$FB,100)</f>
        <v>7868</v>
      </c>
      <c r="J23" s="49">
        <f>VLOOKUP($A23,'Data Vlaue (Cr)'!$C:$FB,102)*100</f>
        <v>4.4400000000000004</v>
      </c>
    </row>
    <row r="24" spans="1:10" x14ac:dyDescent="0.25">
      <c r="A24" s="101" t="str">
        <f>'NIFTY GRP'!C19</f>
        <v>HDFCBANK</v>
      </c>
      <c r="B24" s="140">
        <f>VLOOKUP($A24,'Data shares'!$C:$FA,7)</f>
        <v>795.45</v>
      </c>
      <c r="C24" s="140">
        <f>VLOOKUP($A24,'Data shares'!$C:$FA,3)</f>
        <v>794.9</v>
      </c>
      <c r="D24" s="50">
        <f>VLOOKUP($A24,'Data shares'!$C:$FA,6)*100</f>
        <v>-0.84</v>
      </c>
      <c r="E24" s="51">
        <f>VLOOKUP($A24,'Data shares'!$C:$FA,98)</f>
        <v>488415950</v>
      </c>
      <c r="F24" s="51">
        <f>VLOOKUP($A24,'Data shares'!$C:$FA,99)</f>
        <v>484162800</v>
      </c>
      <c r="G24" s="50">
        <f>VLOOKUP($A24,'Data shares'!$C:$FA,101)*100</f>
        <v>0.88</v>
      </c>
      <c r="H24" s="49">
        <f>VLOOKUP($A24,'Data Vlaue (Cr)'!$C:$FB,99)</f>
        <v>38824</v>
      </c>
      <c r="I24" s="49">
        <f>VLOOKUP($A24,'Data Vlaue (Cr)'!$C:$FB,100)</f>
        <v>38486</v>
      </c>
      <c r="J24" s="49">
        <f>VLOOKUP($A24,'Data Vlaue (Cr)'!$C:$FB,102)*100</f>
        <v>0.88</v>
      </c>
    </row>
    <row r="25" spans="1:10" x14ac:dyDescent="0.25">
      <c r="A25" s="101" t="str">
        <f>'NIFTY GRP'!C20</f>
        <v>HDFCLIFE</v>
      </c>
      <c r="B25" s="140">
        <f>VLOOKUP($A25,'Data shares'!$C:$FA,7)</f>
        <v>609.75</v>
      </c>
      <c r="C25" s="140">
        <f>VLOOKUP($A25,'Data shares'!$C:$FA,3)</f>
        <v>611</v>
      </c>
      <c r="D25" s="50">
        <f>VLOOKUP($A25,'Data shares'!$C:$FA,6)*100</f>
        <v>-0.86</v>
      </c>
      <c r="E25" s="51">
        <f>VLOOKUP($A25,'Data shares'!$C:$FA,98)</f>
        <v>75318100</v>
      </c>
      <c r="F25" s="51">
        <f>VLOOKUP($A25,'Data shares'!$C:$FA,99)</f>
        <v>76832800</v>
      </c>
      <c r="G25" s="50">
        <f>VLOOKUP($A25,'Data shares'!$C:$FA,101)*100</f>
        <v>-1.97</v>
      </c>
      <c r="H25" s="49">
        <f>VLOOKUP($A25,'Data Vlaue (Cr)'!$C:$FB,99)</f>
        <v>4602</v>
      </c>
      <c r="I25" s="49">
        <f>VLOOKUP($A25,'Data Vlaue (Cr)'!$C:$FB,100)</f>
        <v>4694</v>
      </c>
      <c r="J25" s="49">
        <f>VLOOKUP($A25,'Data Vlaue (Cr)'!$C:$FB,102)*100</f>
        <v>-1.97</v>
      </c>
    </row>
    <row r="26" spans="1:10" x14ac:dyDescent="0.25">
      <c r="A26" s="101" t="str">
        <f>'NIFTY GRP'!C21</f>
        <v>HINDALCO</v>
      </c>
      <c r="B26" s="140">
        <f>VLOOKUP($A26,'Data shares'!$C:$FA,7)</f>
        <v>1015.25</v>
      </c>
      <c r="C26" s="140">
        <f>VLOOKUP($A26,'Data shares'!$C:$FA,3)</f>
        <v>1015.8</v>
      </c>
      <c r="D26" s="50">
        <f>VLOOKUP($A26,'Data shares'!$C:$FA,6)*100</f>
        <v>-2.42</v>
      </c>
      <c r="E26" s="51">
        <f>VLOOKUP($A26,'Data shares'!$C:$FA,98)</f>
        <v>63278600</v>
      </c>
      <c r="F26" s="51">
        <f>VLOOKUP($A26,'Data shares'!$C:$FA,99)</f>
        <v>63815500</v>
      </c>
      <c r="G26" s="50">
        <f>VLOOKUP($A26,'Data shares'!$C:$FA,101)*100</f>
        <v>-0.84</v>
      </c>
      <c r="H26" s="49">
        <f>VLOOKUP($A26,'Data Vlaue (Cr)'!$C:$FB,99)</f>
        <v>6428</v>
      </c>
      <c r="I26" s="49">
        <f>VLOOKUP($A26,'Data Vlaue (Cr)'!$C:$FB,100)</f>
        <v>6482</v>
      </c>
      <c r="J26" s="49">
        <f>VLOOKUP($A26,'Data Vlaue (Cr)'!$C:$FB,102)*100</f>
        <v>-0.84</v>
      </c>
    </row>
    <row r="27" spans="1:10" x14ac:dyDescent="0.25">
      <c r="A27" s="101" t="str">
        <f>'NIFTY GRP'!C22</f>
        <v>HINDUNILVR</v>
      </c>
      <c r="B27" s="140">
        <f>VLOOKUP($A27,'Data shares'!$C:$FA,7)</f>
        <v>2231.5</v>
      </c>
      <c r="C27" s="140">
        <f>VLOOKUP($A27,'Data shares'!$C:$FA,3)</f>
        <v>2235.1999999999998</v>
      </c>
      <c r="D27" s="50">
        <f>VLOOKUP($A27,'Data shares'!$C:$FA,6)*100</f>
        <v>-0.25</v>
      </c>
      <c r="E27" s="51">
        <f>VLOOKUP($A27,'Data shares'!$C:$FA,98)</f>
        <v>29578500</v>
      </c>
      <c r="F27" s="51">
        <f>VLOOKUP($A27,'Data shares'!$C:$FA,99)</f>
        <v>29977800</v>
      </c>
      <c r="G27" s="50">
        <f>VLOOKUP($A27,'Data shares'!$C:$FA,101)*100</f>
        <v>-1.3299999999999998</v>
      </c>
      <c r="H27" s="49">
        <f>VLOOKUP($A27,'Data Vlaue (Cr)'!$C:$FB,99)</f>
        <v>6611</v>
      </c>
      <c r="I27" s="49">
        <f>VLOOKUP($A27,'Data Vlaue (Cr)'!$C:$FB,100)</f>
        <v>6701</v>
      </c>
      <c r="J27" s="49">
        <f>VLOOKUP($A27,'Data Vlaue (Cr)'!$C:$FB,102)*100</f>
        <v>-1.3299999999999998</v>
      </c>
    </row>
    <row r="28" spans="1:10" x14ac:dyDescent="0.25">
      <c r="A28" s="101" t="str">
        <f>'NIFTY GRP'!C23</f>
        <v>ICICIBANK</v>
      </c>
      <c r="B28" s="140">
        <f>VLOOKUP($A28,'Data shares'!$C:$FA,7)</f>
        <v>1356.2</v>
      </c>
      <c r="C28" s="140">
        <f>VLOOKUP($A28,'Data shares'!$C:$FA,3)</f>
        <v>1357.3</v>
      </c>
      <c r="D28" s="50">
        <f>VLOOKUP($A28,'Data shares'!$C:$FA,6)*100</f>
        <v>0.42</v>
      </c>
      <c r="E28" s="51">
        <f>VLOOKUP($A28,'Data shares'!$C:$FA,98)</f>
        <v>173072900</v>
      </c>
      <c r="F28" s="51">
        <f>VLOOKUP($A28,'Data shares'!$C:$FA,99)</f>
        <v>171844400</v>
      </c>
      <c r="G28" s="50">
        <f>VLOOKUP($A28,'Data shares'!$C:$FA,101)*100</f>
        <v>0.71000000000000008</v>
      </c>
      <c r="H28" s="49">
        <f>VLOOKUP($A28,'Data Vlaue (Cr)'!$C:$FB,99)</f>
        <v>23491</v>
      </c>
      <c r="I28" s="49">
        <f>VLOOKUP($A28,'Data Vlaue (Cr)'!$C:$FB,100)</f>
        <v>23324</v>
      </c>
      <c r="J28" s="49">
        <f>VLOOKUP($A28,'Data Vlaue (Cr)'!$C:$FB,102)*100</f>
        <v>0.71000000000000008</v>
      </c>
    </row>
    <row r="29" spans="1:10" x14ac:dyDescent="0.25">
      <c r="A29" s="101" t="str">
        <f>'NIFTY GRP'!C24</f>
        <v>INDIGO</v>
      </c>
      <c r="B29" s="140">
        <f>VLOOKUP($A29,'Data shares'!$C:$FA,7)</f>
        <v>4678.2</v>
      </c>
      <c r="C29" s="140">
        <f>VLOOKUP($A29,'Data shares'!$C:$FA,3)</f>
        <v>4672.3</v>
      </c>
      <c r="D29" s="50">
        <f>VLOOKUP($A29,'Data shares'!$C:$FA,6)*100</f>
        <v>0.52</v>
      </c>
      <c r="E29" s="51">
        <f>VLOOKUP($A29,'Data shares'!$C:$FA,98)</f>
        <v>17881950</v>
      </c>
      <c r="F29" s="51">
        <f>VLOOKUP($A29,'Data shares'!$C:$FA,99)</f>
        <v>17672400</v>
      </c>
      <c r="G29" s="50">
        <f>VLOOKUP($A29,'Data shares'!$C:$FA,101)*100</f>
        <v>1.1900000000000002</v>
      </c>
      <c r="H29" s="49">
        <f>VLOOKUP($A29,'Data Vlaue (Cr)'!$C:$FB,99)</f>
        <v>8355</v>
      </c>
      <c r="I29" s="49">
        <f>VLOOKUP($A29,'Data Vlaue (Cr)'!$C:$FB,100)</f>
        <v>8257</v>
      </c>
      <c r="J29" s="49">
        <f>VLOOKUP($A29,'Data Vlaue (Cr)'!$C:$FB,102)*100</f>
        <v>1.1900000000000002</v>
      </c>
    </row>
    <row r="30" spans="1:10" x14ac:dyDescent="0.25">
      <c r="A30" s="101" t="str">
        <f>'NIFTY GRP'!C25</f>
        <v>INFY</v>
      </c>
      <c r="B30" s="140">
        <f>VLOOKUP($A30,'Data shares'!$C:$FA,7)</f>
        <v>1312.6</v>
      </c>
      <c r="C30" s="140">
        <f>VLOOKUP($A30,'Data shares'!$C:$FA,3)</f>
        <v>1309.3</v>
      </c>
      <c r="D30" s="50">
        <f>VLOOKUP($A30,'Data shares'!$C:$FA,6)*100</f>
        <v>-0.89</v>
      </c>
      <c r="E30" s="51">
        <f>VLOOKUP($A30,'Data shares'!$C:$FA,98)</f>
        <v>129382000</v>
      </c>
      <c r="F30" s="51">
        <f>VLOOKUP($A30,'Data shares'!$C:$FA,99)</f>
        <v>128380400</v>
      </c>
      <c r="G30" s="50">
        <f>VLOOKUP($A30,'Data shares'!$C:$FA,101)*100</f>
        <v>0.77999999999999992</v>
      </c>
      <c r="H30" s="49">
        <f>VLOOKUP($A30,'Data Vlaue (Cr)'!$C:$FB,99)</f>
        <v>16940</v>
      </c>
      <c r="I30" s="49">
        <f>VLOOKUP($A30,'Data Vlaue (Cr)'!$C:$FB,100)</f>
        <v>16809</v>
      </c>
      <c r="J30" s="49">
        <f>VLOOKUP($A30,'Data Vlaue (Cr)'!$C:$FB,102)*100</f>
        <v>0.77999999999999992</v>
      </c>
    </row>
    <row r="31" spans="1:10" x14ac:dyDescent="0.25">
      <c r="A31" s="101" t="str">
        <f>'NIFTY GRP'!C26</f>
        <v>ITC</v>
      </c>
      <c r="B31" s="140">
        <f>VLOOKUP($A31,'Data shares'!$C:$FA,7)</f>
        <v>305</v>
      </c>
      <c r="C31" s="140">
        <f>VLOOKUP($A31,'Data shares'!$C:$FA,3)</f>
        <v>305.25</v>
      </c>
      <c r="D31" s="50">
        <f>VLOOKUP($A31,'Data shares'!$C:$FA,6)*100</f>
        <v>-0.73</v>
      </c>
      <c r="E31" s="51">
        <f>VLOOKUP($A31,'Data shares'!$C:$FA,98)</f>
        <v>339188800</v>
      </c>
      <c r="F31" s="51">
        <f>VLOOKUP($A31,'Data shares'!$C:$FA,99)</f>
        <v>336720000</v>
      </c>
      <c r="G31" s="50">
        <f>VLOOKUP($A31,'Data shares'!$C:$FA,101)*100</f>
        <v>0.73</v>
      </c>
      <c r="H31" s="49">
        <f>VLOOKUP($A31,'Data Vlaue (Cr)'!$C:$FB,99)</f>
        <v>10354</v>
      </c>
      <c r="I31" s="49">
        <f>VLOOKUP($A31,'Data Vlaue (Cr)'!$C:$FB,100)</f>
        <v>10278</v>
      </c>
      <c r="J31" s="49">
        <f>VLOOKUP($A31,'Data Vlaue (Cr)'!$C:$FB,102)*100</f>
        <v>0.73</v>
      </c>
    </row>
    <row r="32" spans="1:10" x14ac:dyDescent="0.25">
      <c r="A32" s="101" t="str">
        <f>'NIFTY GRP'!C27</f>
        <v>JIOFIN</v>
      </c>
      <c r="B32" s="140">
        <f>VLOOKUP($A32,'Data shares'!$C:$FA,7)</f>
        <v>237.15</v>
      </c>
      <c r="C32" s="140">
        <f>VLOOKUP($A32,'Data shares'!$C:$FA,3)</f>
        <v>236.9</v>
      </c>
      <c r="D32" s="50">
        <f>VLOOKUP($A32,'Data shares'!$C:$FA,6)*100</f>
        <v>-3.15</v>
      </c>
      <c r="E32" s="51">
        <f>VLOOKUP($A32,'Data shares'!$C:$FA,98)</f>
        <v>290584550</v>
      </c>
      <c r="F32" s="51">
        <f>VLOOKUP($A32,'Data shares'!$C:$FA,99)</f>
        <v>285449800</v>
      </c>
      <c r="G32" s="50">
        <f>VLOOKUP($A32,'Data shares'!$C:$FA,101)*100</f>
        <v>1.7999999999999998</v>
      </c>
      <c r="H32" s="49">
        <f>VLOOKUP($A32,'Data Vlaue (Cr)'!$C:$FB,99)</f>
        <v>6884</v>
      </c>
      <c r="I32" s="49">
        <f>VLOOKUP($A32,'Data Vlaue (Cr)'!$C:$FB,100)</f>
        <v>6762</v>
      </c>
      <c r="J32" s="49">
        <f>VLOOKUP($A32,'Data Vlaue (Cr)'!$C:$FB,102)*100</f>
        <v>1.7999999999999998</v>
      </c>
    </row>
    <row r="33" spans="1:10" x14ac:dyDescent="0.25">
      <c r="A33" s="101" t="str">
        <f>'NIFTY GRP'!C28</f>
        <v>JSWSTEEL</v>
      </c>
      <c r="B33" s="140">
        <f>VLOOKUP($A33,'Data shares'!$C:$FA,7)</f>
        <v>1274.5</v>
      </c>
      <c r="C33" s="140">
        <f>VLOOKUP($A33,'Data shares'!$C:$FA,3)</f>
        <v>1273.2</v>
      </c>
      <c r="D33" s="50">
        <f>VLOOKUP($A33,'Data shares'!$C:$FA,6)*100</f>
        <v>2.6599999999999997</v>
      </c>
      <c r="E33" s="51">
        <f>VLOOKUP($A33,'Data shares'!$C:$FA,98)</f>
        <v>61580250</v>
      </c>
      <c r="F33" s="51">
        <f>VLOOKUP($A33,'Data shares'!$C:$FA,99)</f>
        <v>61297425</v>
      </c>
      <c r="G33" s="50">
        <f>VLOOKUP($A33,'Data shares'!$C:$FA,101)*100</f>
        <v>0.45999999999999996</v>
      </c>
      <c r="H33" s="49">
        <f>VLOOKUP($A33,'Data Vlaue (Cr)'!$C:$FB,99)</f>
        <v>7840</v>
      </c>
      <c r="I33" s="49">
        <f>VLOOKUP($A33,'Data Vlaue (Cr)'!$C:$FB,100)</f>
        <v>7804</v>
      </c>
      <c r="J33" s="49">
        <f>VLOOKUP($A33,'Data Vlaue (Cr)'!$C:$FB,102)*100</f>
        <v>0.45999999999999996</v>
      </c>
    </row>
    <row r="34" spans="1:10" x14ac:dyDescent="0.25">
      <c r="A34" s="101" t="str">
        <f>'NIFTY GRP'!C29</f>
        <v>KOTAKBANK</v>
      </c>
      <c r="B34" s="140">
        <f>VLOOKUP($A34,'Data shares'!$C:$FA,7)</f>
        <v>379.2</v>
      </c>
      <c r="C34" s="140">
        <f>VLOOKUP($A34,'Data shares'!$C:$FA,3)</f>
        <v>378.9</v>
      </c>
      <c r="D34" s="50">
        <f>VLOOKUP($A34,'Data shares'!$C:$FA,6)*100</f>
        <v>-1.23</v>
      </c>
      <c r="E34" s="51">
        <f>VLOOKUP($A34,'Data shares'!$C:$FA,98)</f>
        <v>276082000</v>
      </c>
      <c r="F34" s="51">
        <f>VLOOKUP($A34,'Data shares'!$C:$FA,99)</f>
        <v>276060000</v>
      </c>
      <c r="G34" s="50">
        <f>VLOOKUP($A34,'Data shares'!$C:$FA,101)*100</f>
        <v>0.01</v>
      </c>
      <c r="H34" s="49">
        <f>VLOOKUP($A34,'Data Vlaue (Cr)'!$C:$FB,99)</f>
        <v>10461</v>
      </c>
      <c r="I34" s="49">
        <f>VLOOKUP($A34,'Data Vlaue (Cr)'!$C:$FB,100)</f>
        <v>10460</v>
      </c>
      <c r="J34" s="49">
        <f>VLOOKUP($A34,'Data Vlaue (Cr)'!$C:$FB,102)*100</f>
        <v>0.01</v>
      </c>
    </row>
    <row r="35" spans="1:10" x14ac:dyDescent="0.25">
      <c r="A35" s="101" t="str">
        <f>'NIFTY GRP'!C30</f>
        <v>LT</v>
      </c>
      <c r="B35" s="140">
        <f>VLOOKUP($A35,'Data shares'!$C:$FA,7)</f>
        <v>4051</v>
      </c>
      <c r="C35" s="140">
        <f>VLOOKUP($A35,'Data shares'!$C:$FA,3)</f>
        <v>4056.4</v>
      </c>
      <c r="D35" s="50">
        <f>VLOOKUP($A35,'Data shares'!$C:$FA,6)*100</f>
        <v>-1.23</v>
      </c>
      <c r="E35" s="51">
        <f>VLOOKUP($A35,'Data shares'!$C:$FA,98)</f>
        <v>32882675</v>
      </c>
      <c r="F35" s="51">
        <f>VLOOKUP($A35,'Data shares'!$C:$FA,99)</f>
        <v>32313225</v>
      </c>
      <c r="G35" s="50">
        <f>VLOOKUP($A35,'Data shares'!$C:$FA,101)*100</f>
        <v>1.76</v>
      </c>
      <c r="H35" s="49">
        <f>VLOOKUP($A35,'Data Vlaue (Cr)'!$C:$FB,99)</f>
        <v>13339</v>
      </c>
      <c r="I35" s="49">
        <f>VLOOKUP($A35,'Data Vlaue (Cr)'!$C:$FB,100)</f>
        <v>13108</v>
      </c>
      <c r="J35" s="49">
        <f>VLOOKUP($A35,'Data Vlaue (Cr)'!$C:$FB,102)*100</f>
        <v>1.76</v>
      </c>
    </row>
    <row r="36" spans="1:10" x14ac:dyDescent="0.25">
      <c r="A36" s="101" t="str">
        <f>'NIFTY GRP'!C31</f>
        <v>M&amp;M</v>
      </c>
      <c r="B36" s="140">
        <f>VLOOKUP($A36,'Data shares'!$C:$FA,7)</f>
        <v>3221.6</v>
      </c>
      <c r="C36" s="140">
        <f>VLOOKUP($A36,'Data shares'!$C:$FA,3)</f>
        <v>3218.3</v>
      </c>
      <c r="D36" s="50">
        <f>VLOOKUP($A36,'Data shares'!$C:$FA,6)*100</f>
        <v>0.35000000000000003</v>
      </c>
      <c r="E36" s="51">
        <f>VLOOKUP($A36,'Data shares'!$C:$FA,98)</f>
        <v>28771800</v>
      </c>
      <c r="F36" s="51">
        <f>VLOOKUP($A36,'Data shares'!$C:$FA,99)</f>
        <v>28887000</v>
      </c>
      <c r="G36" s="50">
        <f>VLOOKUP($A36,'Data shares'!$C:$FA,101)*100</f>
        <v>-0.4</v>
      </c>
      <c r="H36" s="49">
        <f>VLOOKUP($A36,'Data Vlaue (Cr)'!$C:$FB,99)</f>
        <v>9260</v>
      </c>
      <c r="I36" s="49">
        <f>VLOOKUP($A36,'Data Vlaue (Cr)'!$C:$FB,100)</f>
        <v>9297</v>
      </c>
      <c r="J36" s="49">
        <f>VLOOKUP($A36,'Data Vlaue (Cr)'!$C:$FB,102)*100</f>
        <v>-0.4</v>
      </c>
    </row>
    <row r="37" spans="1:10" x14ac:dyDescent="0.25">
      <c r="A37" s="101" t="str">
        <f>'NIFTY GRP'!C32</f>
        <v>MARUTI</v>
      </c>
      <c r="B37" s="140">
        <f>VLOOKUP($A37,'Data shares'!$C:$FA,7)</f>
        <v>13450</v>
      </c>
      <c r="C37" s="140">
        <f>VLOOKUP($A37,'Data shares'!$C:$FA,3)</f>
        <v>13442</v>
      </c>
      <c r="D37" s="50">
        <f>VLOOKUP($A37,'Data shares'!$C:$FA,6)*100</f>
        <v>-0.36</v>
      </c>
      <c r="E37" s="51">
        <f>VLOOKUP($A37,'Data shares'!$C:$FA,98)</f>
        <v>6852750</v>
      </c>
      <c r="F37" s="51">
        <f>VLOOKUP($A37,'Data shares'!$C:$FA,99)</f>
        <v>6842600</v>
      </c>
      <c r="G37" s="50">
        <f>VLOOKUP($A37,'Data shares'!$C:$FA,101)*100</f>
        <v>0.15</v>
      </c>
      <c r="H37" s="49">
        <f>VLOOKUP($A37,'Data Vlaue (Cr)'!$C:$FB,99)</f>
        <v>9211</v>
      </c>
      <c r="I37" s="49">
        <f>VLOOKUP($A37,'Data Vlaue (Cr)'!$C:$FB,100)</f>
        <v>9198</v>
      </c>
      <c r="J37" s="49">
        <f>VLOOKUP($A37,'Data Vlaue (Cr)'!$C:$FB,102)*100</f>
        <v>0.15</v>
      </c>
    </row>
    <row r="38" spans="1:10" x14ac:dyDescent="0.25">
      <c r="A38" s="101" t="str">
        <f>'NIFTY GRP'!C33</f>
        <v>MAXHEALTH</v>
      </c>
      <c r="B38" s="140">
        <f>VLOOKUP($A38,'Data shares'!$C:$FA,7)</f>
        <v>1011.35</v>
      </c>
      <c r="C38" s="140">
        <f>VLOOKUP($A38,'Data shares'!$C:$FA,3)</f>
        <v>1009.95</v>
      </c>
      <c r="D38" s="50">
        <f>VLOOKUP($A38,'Data shares'!$C:$FA,6)*100</f>
        <v>0.25</v>
      </c>
      <c r="E38" s="51">
        <f>VLOOKUP($A38,'Data shares'!$C:$FA,98)</f>
        <v>20984775</v>
      </c>
      <c r="F38" s="51">
        <f>VLOOKUP($A38,'Data shares'!$C:$FA,99)</f>
        <v>21362250</v>
      </c>
      <c r="G38" s="50">
        <f>VLOOKUP($A38,'Data shares'!$C:$FA,101)*100</f>
        <v>-1.77</v>
      </c>
      <c r="H38" s="49">
        <f>VLOOKUP($A38,'Data Vlaue (Cr)'!$C:$FB,99)</f>
        <v>2119</v>
      </c>
      <c r="I38" s="49">
        <f>VLOOKUP($A38,'Data Vlaue (Cr)'!$C:$FB,100)</f>
        <v>2157</v>
      </c>
      <c r="J38" s="49">
        <f>VLOOKUP($A38,'Data Vlaue (Cr)'!$C:$FB,102)*100</f>
        <v>-1.77</v>
      </c>
    </row>
    <row r="39" spans="1:10" x14ac:dyDescent="0.25">
      <c r="A39" s="101" t="str">
        <f>'NIFTY GRP'!C34</f>
        <v>NESTLEIND</v>
      </c>
      <c r="B39" s="140">
        <f>VLOOKUP($A39,'Data shares'!$C:$FA,7)</f>
        <v>1286.4000000000001</v>
      </c>
      <c r="C39" s="140">
        <f>VLOOKUP($A39,'Data shares'!$C:$FA,3)</f>
        <v>1287.7</v>
      </c>
      <c r="D39" s="50">
        <f>VLOOKUP($A39,'Data shares'!$C:$FA,6)*100</f>
        <v>0.13</v>
      </c>
      <c r="E39" s="51">
        <f>VLOOKUP($A39,'Data shares'!$C:$FA,98)</f>
        <v>26499500</v>
      </c>
      <c r="F39" s="51">
        <f>VLOOKUP($A39,'Data shares'!$C:$FA,99)</f>
        <v>25472500</v>
      </c>
      <c r="G39" s="50">
        <f>VLOOKUP($A39,'Data shares'!$C:$FA,101)*100</f>
        <v>4.03</v>
      </c>
      <c r="H39" s="49">
        <f>VLOOKUP($A39,'Data Vlaue (Cr)'!$C:$FB,99)</f>
        <v>3412</v>
      </c>
      <c r="I39" s="49">
        <f>VLOOKUP($A39,'Data Vlaue (Cr)'!$C:$FB,100)</f>
        <v>3280</v>
      </c>
      <c r="J39" s="49">
        <f>VLOOKUP($A39,'Data Vlaue (Cr)'!$C:$FB,102)*100</f>
        <v>4.03</v>
      </c>
    </row>
    <row r="40" spans="1:10" x14ac:dyDescent="0.25">
      <c r="A40" s="101" t="str">
        <f>'NIFTY GRP'!C35</f>
        <v>NTPC</v>
      </c>
      <c r="B40" s="140">
        <f>VLOOKUP($A40,'Data shares'!$C:$FA,7)</f>
        <v>398</v>
      </c>
      <c r="C40" s="140">
        <f>VLOOKUP($A40,'Data shares'!$C:$FA,3)</f>
        <v>398.3</v>
      </c>
      <c r="D40" s="50">
        <f>VLOOKUP($A40,'Data shares'!$C:$FA,6)*100</f>
        <v>0.77999999999999992</v>
      </c>
      <c r="E40" s="51">
        <f>VLOOKUP($A40,'Data shares'!$C:$FA,98)</f>
        <v>209124000</v>
      </c>
      <c r="F40" s="51">
        <f>VLOOKUP($A40,'Data shares'!$C:$FA,99)</f>
        <v>188704500</v>
      </c>
      <c r="G40" s="50">
        <f>VLOOKUP($A40,'Data shares'!$C:$FA,101)*100</f>
        <v>10.82</v>
      </c>
      <c r="H40" s="49">
        <f>VLOOKUP($A40,'Data Vlaue (Cr)'!$C:$FB,99)</f>
        <v>8329</v>
      </c>
      <c r="I40" s="49">
        <f>VLOOKUP($A40,'Data Vlaue (Cr)'!$C:$FB,100)</f>
        <v>7516</v>
      </c>
      <c r="J40" s="49">
        <f>VLOOKUP($A40,'Data Vlaue (Cr)'!$C:$FB,102)*100</f>
        <v>10.82</v>
      </c>
    </row>
    <row r="41" spans="1:10" x14ac:dyDescent="0.25">
      <c r="A41" s="101" t="str">
        <f>'NIFTY GRP'!C36</f>
        <v>ONGC</v>
      </c>
      <c r="B41" s="140">
        <f>VLOOKUP($A41,'Data shares'!$C:$FA,7)</f>
        <v>283.35000000000002</v>
      </c>
      <c r="C41" s="140">
        <f>VLOOKUP($A41,'Data shares'!$C:$FA,3)</f>
        <v>284</v>
      </c>
      <c r="D41" s="50">
        <f>VLOOKUP($A41,'Data shares'!$C:$FA,6)*100</f>
        <v>-0.32</v>
      </c>
      <c r="E41" s="51">
        <f>VLOOKUP($A41,'Data shares'!$C:$FA,98)</f>
        <v>229290750</v>
      </c>
      <c r="F41" s="51">
        <f>VLOOKUP($A41,'Data shares'!$C:$FA,99)</f>
        <v>229875750</v>
      </c>
      <c r="G41" s="50">
        <f>VLOOKUP($A41,'Data shares'!$C:$FA,101)*100</f>
        <v>-0.25</v>
      </c>
      <c r="H41" s="49">
        <f>VLOOKUP($A41,'Data Vlaue (Cr)'!$C:$FB,99)</f>
        <v>6512</v>
      </c>
      <c r="I41" s="49">
        <f>VLOOKUP($A41,'Data Vlaue (Cr)'!$C:$FB,100)</f>
        <v>6528</v>
      </c>
      <c r="J41" s="49">
        <f>VLOOKUP($A41,'Data Vlaue (Cr)'!$C:$FB,102)*100</f>
        <v>-0.25</v>
      </c>
    </row>
    <row r="42" spans="1:10" x14ac:dyDescent="0.25">
      <c r="A42" s="101" t="str">
        <f>'NIFTY GRP'!C37</f>
        <v>POWERGRID</v>
      </c>
      <c r="B42" s="140">
        <f>VLOOKUP($A42,'Data shares'!$C:$FA,7)</f>
        <v>319.7</v>
      </c>
      <c r="C42" s="140">
        <f>VLOOKUP($A42,'Data shares'!$C:$FA,3)</f>
        <v>318.85000000000002</v>
      </c>
      <c r="D42" s="50">
        <f>VLOOKUP($A42,'Data shares'!$C:$FA,6)*100</f>
        <v>0.38</v>
      </c>
      <c r="E42" s="51">
        <f>VLOOKUP($A42,'Data shares'!$C:$FA,98)</f>
        <v>143828100</v>
      </c>
      <c r="F42" s="51">
        <f>VLOOKUP($A42,'Data shares'!$C:$FA,99)</f>
        <v>140269400</v>
      </c>
      <c r="G42" s="50">
        <f>VLOOKUP($A42,'Data shares'!$C:$FA,101)*100</f>
        <v>2.54</v>
      </c>
      <c r="H42" s="49">
        <f>VLOOKUP($A42,'Data Vlaue (Cr)'!$C:$FB,99)</f>
        <v>4586</v>
      </c>
      <c r="I42" s="49">
        <f>VLOOKUP($A42,'Data Vlaue (Cr)'!$C:$FB,100)</f>
        <v>4472</v>
      </c>
      <c r="J42" s="49">
        <f>VLOOKUP($A42,'Data Vlaue (Cr)'!$C:$FB,102)*100</f>
        <v>2.54</v>
      </c>
    </row>
    <row r="43" spans="1:10" x14ac:dyDescent="0.25">
      <c r="A43" s="101" t="str">
        <f>'NIFTY GRP'!C38</f>
        <v>RELIANCE</v>
      </c>
      <c r="B43" s="140">
        <f>VLOOKUP($A43,'Data shares'!$C:$FA,7)</f>
        <v>1363.3</v>
      </c>
      <c r="C43" s="140">
        <f>VLOOKUP($A43,'Data shares'!$C:$FA,3)</f>
        <v>1362.4</v>
      </c>
      <c r="D43" s="50">
        <f>VLOOKUP($A43,'Data shares'!$C:$FA,6)*100</f>
        <v>-0.28999999999999998</v>
      </c>
      <c r="E43" s="51">
        <f>VLOOKUP($A43,'Data shares'!$C:$FA,98)</f>
        <v>212150500</v>
      </c>
      <c r="F43" s="51">
        <f>VLOOKUP($A43,'Data shares'!$C:$FA,99)</f>
        <v>214571500</v>
      </c>
      <c r="G43" s="50">
        <f>VLOOKUP($A43,'Data shares'!$C:$FA,101)*100</f>
        <v>-1.1299999999999999</v>
      </c>
      <c r="H43" s="49">
        <f>VLOOKUP($A43,'Data Vlaue (Cr)'!$C:$FB,99)</f>
        <v>28903</v>
      </c>
      <c r="I43" s="49">
        <f>VLOOKUP($A43,'Data Vlaue (Cr)'!$C:$FB,100)</f>
        <v>29233</v>
      </c>
      <c r="J43" s="49">
        <f>VLOOKUP($A43,'Data Vlaue (Cr)'!$C:$FB,102)*100</f>
        <v>-1.1299999999999999</v>
      </c>
    </row>
    <row r="44" spans="1:10" x14ac:dyDescent="0.25">
      <c r="A44" s="101" t="str">
        <f>'NIFTY GRP'!C39</f>
        <v>SBILIFE</v>
      </c>
      <c r="B44" s="140">
        <f>VLOOKUP($A44,'Data shares'!$C:$FA,7)</f>
        <v>1982.5</v>
      </c>
      <c r="C44" s="140">
        <f>VLOOKUP($A44,'Data shares'!$C:$FA,3)</f>
        <v>1984.3</v>
      </c>
      <c r="D44" s="50">
        <f>VLOOKUP($A44,'Data shares'!$C:$FA,6)*100</f>
        <v>0.71000000000000008</v>
      </c>
      <c r="E44" s="51">
        <f>VLOOKUP($A44,'Data shares'!$C:$FA,98)</f>
        <v>16702125</v>
      </c>
      <c r="F44" s="51">
        <f>VLOOKUP($A44,'Data shares'!$C:$FA,99)</f>
        <v>16536375</v>
      </c>
      <c r="G44" s="50">
        <f>VLOOKUP($A44,'Data shares'!$C:$FA,101)*100</f>
        <v>1</v>
      </c>
      <c r="H44" s="49">
        <f>VLOOKUP($A44,'Data Vlaue (Cr)'!$C:$FB,99)</f>
        <v>3314</v>
      </c>
      <c r="I44" s="49">
        <f>VLOOKUP($A44,'Data Vlaue (Cr)'!$C:$FB,100)</f>
        <v>3281</v>
      </c>
      <c r="J44" s="49">
        <f>VLOOKUP($A44,'Data Vlaue (Cr)'!$C:$FB,102)*100</f>
        <v>1</v>
      </c>
    </row>
    <row r="45" spans="1:10" x14ac:dyDescent="0.25">
      <c r="A45" s="101" t="str">
        <f>'NIFTY GRP'!C40</f>
        <v>SBIN</v>
      </c>
      <c r="B45" s="140">
        <f>VLOOKUP($A45,'Data shares'!$C:$FA,7)</f>
        <v>1107.8499999999999</v>
      </c>
      <c r="C45" s="140">
        <f>VLOOKUP($A45,'Data shares'!$C:$FA,3)</f>
        <v>1106.3</v>
      </c>
      <c r="D45" s="50">
        <f>VLOOKUP($A45,'Data shares'!$C:$FA,6)*100</f>
        <v>2.17</v>
      </c>
      <c r="E45" s="51">
        <f>VLOOKUP($A45,'Data shares'!$C:$FA,98)</f>
        <v>163468500</v>
      </c>
      <c r="F45" s="51">
        <f>VLOOKUP($A45,'Data shares'!$C:$FA,99)</f>
        <v>161564250</v>
      </c>
      <c r="G45" s="50">
        <f>VLOOKUP($A45,'Data shares'!$C:$FA,101)*100</f>
        <v>1.18</v>
      </c>
      <c r="H45" s="49">
        <f>VLOOKUP($A45,'Data Vlaue (Cr)'!$C:$FB,99)</f>
        <v>18085</v>
      </c>
      <c r="I45" s="49">
        <f>VLOOKUP($A45,'Data Vlaue (Cr)'!$C:$FB,100)</f>
        <v>17874</v>
      </c>
      <c r="J45" s="49">
        <f>VLOOKUP($A45,'Data Vlaue (Cr)'!$C:$FB,102)*100</f>
        <v>1.18</v>
      </c>
    </row>
    <row r="46" spans="1:10" x14ac:dyDescent="0.25">
      <c r="A46" s="101" t="str">
        <f>'NIFTY GRP'!C41</f>
        <v>SHRIRAMFIN</v>
      </c>
      <c r="B46" s="140">
        <f>VLOOKUP($A46,'Data shares'!$C:$FA,7)</f>
        <v>1045.1500000000001</v>
      </c>
      <c r="C46" s="140">
        <f>VLOOKUP($A46,'Data shares'!$C:$FA,3)</f>
        <v>1043.9000000000001</v>
      </c>
      <c r="D46" s="50">
        <f>VLOOKUP($A46,'Data shares'!$C:$FA,6)*100</f>
        <v>0.69</v>
      </c>
      <c r="E46" s="51">
        <f>VLOOKUP($A46,'Data shares'!$C:$FA,98)</f>
        <v>64325250</v>
      </c>
      <c r="F46" s="51">
        <f>VLOOKUP($A46,'Data shares'!$C:$FA,99)</f>
        <v>64866450</v>
      </c>
      <c r="G46" s="50">
        <f>VLOOKUP($A46,'Data shares'!$C:$FA,101)*100</f>
        <v>-0.83</v>
      </c>
      <c r="H46" s="49">
        <f>VLOOKUP($A46,'Data Vlaue (Cr)'!$C:$FB,99)</f>
        <v>6715</v>
      </c>
      <c r="I46" s="49">
        <f>VLOOKUP($A46,'Data Vlaue (Cr)'!$C:$FB,100)</f>
        <v>6771</v>
      </c>
      <c r="J46" s="49">
        <f>VLOOKUP($A46,'Data Vlaue (Cr)'!$C:$FB,102)*100</f>
        <v>-0.83</v>
      </c>
    </row>
    <row r="47" spans="1:10" x14ac:dyDescent="0.25">
      <c r="A47" s="101" t="str">
        <f>'NIFTY GRP'!C42</f>
        <v>SUNPHARMA</v>
      </c>
      <c r="B47" s="140">
        <f>VLOOKUP($A47,'Data shares'!$C:$FA,7)</f>
        <v>1668.6</v>
      </c>
      <c r="C47" s="140">
        <f>VLOOKUP($A47,'Data shares'!$C:$FA,3)</f>
        <v>1667.3</v>
      </c>
      <c r="D47" s="50">
        <f>VLOOKUP($A47,'Data shares'!$C:$FA,6)*100</f>
        <v>-0.44999999999999996</v>
      </c>
      <c r="E47" s="51">
        <f>VLOOKUP($A47,'Data shares'!$C:$FA,98)</f>
        <v>32531800</v>
      </c>
      <c r="F47" s="51">
        <f>VLOOKUP($A47,'Data shares'!$C:$FA,99)</f>
        <v>32741800</v>
      </c>
      <c r="G47" s="50">
        <f>VLOOKUP($A47,'Data shares'!$C:$FA,101)*100</f>
        <v>-0.64</v>
      </c>
      <c r="H47" s="49">
        <f>VLOOKUP($A47,'Data Vlaue (Cr)'!$C:$FB,99)</f>
        <v>5424</v>
      </c>
      <c r="I47" s="49">
        <f>VLOOKUP($A47,'Data Vlaue (Cr)'!$C:$FB,100)</f>
        <v>5459</v>
      </c>
      <c r="J47" s="49">
        <f>VLOOKUP($A47,'Data Vlaue (Cr)'!$C:$FB,102)*100</f>
        <v>-0.64</v>
      </c>
    </row>
    <row r="48" spans="1:10" x14ac:dyDescent="0.25">
      <c r="A48" s="101" t="str">
        <f>'NIFTY GRP'!C43</f>
        <v>TATACONSUM</v>
      </c>
      <c r="B48" s="140">
        <f>VLOOKUP($A48,'Data shares'!$C:$FA,7)</f>
        <v>1120.4000000000001</v>
      </c>
      <c r="C48" s="140">
        <f>VLOOKUP($A48,'Data shares'!$C:$FA,3)</f>
        <v>1119.4000000000001</v>
      </c>
      <c r="D48" s="50">
        <f>VLOOKUP($A48,'Data shares'!$C:$FA,6)*100</f>
        <v>0.49</v>
      </c>
      <c r="E48" s="51">
        <f>VLOOKUP($A48,'Data shares'!$C:$FA,98)</f>
        <v>18013050</v>
      </c>
      <c r="F48" s="51">
        <f>VLOOKUP($A48,'Data shares'!$C:$FA,99)</f>
        <v>18161000</v>
      </c>
      <c r="G48" s="50">
        <f>VLOOKUP($A48,'Data shares'!$C:$FA,101)*100</f>
        <v>-0.80999999999999994</v>
      </c>
      <c r="H48" s="49">
        <f>VLOOKUP($A48,'Data Vlaue (Cr)'!$C:$FB,99)</f>
        <v>2016</v>
      </c>
      <c r="I48" s="49">
        <f>VLOOKUP($A48,'Data Vlaue (Cr)'!$C:$FB,100)</f>
        <v>2033</v>
      </c>
      <c r="J48" s="49">
        <f>VLOOKUP($A48,'Data Vlaue (Cr)'!$C:$FB,102)*100</f>
        <v>-0.80999999999999994</v>
      </c>
    </row>
    <row r="49" spans="1:10" x14ac:dyDescent="0.25">
      <c r="A49" s="101" t="str">
        <f>'NIFTY GRP'!C44</f>
        <v>TATASTEEL</v>
      </c>
      <c r="B49" s="140">
        <f>VLOOKUP($A49,'Data shares'!$C:$FA,7)</f>
        <v>211.72</v>
      </c>
      <c r="C49" s="140">
        <f>VLOOKUP($A49,'Data shares'!$C:$FA,3)</f>
        <v>211.52</v>
      </c>
      <c r="D49" s="50">
        <f>VLOOKUP($A49,'Data shares'!$C:$FA,6)*100</f>
        <v>-0.37</v>
      </c>
      <c r="E49" s="51">
        <f>VLOOKUP($A49,'Data shares'!$C:$FA,98)</f>
        <v>399443000</v>
      </c>
      <c r="F49" s="51">
        <f>VLOOKUP($A49,'Data shares'!$C:$FA,99)</f>
        <v>394652500</v>
      </c>
      <c r="G49" s="50">
        <f>VLOOKUP($A49,'Data shares'!$C:$FA,101)*100</f>
        <v>1.21</v>
      </c>
      <c r="H49" s="49">
        <f>VLOOKUP($A49,'Data Vlaue (Cr)'!$C:$FB,99)</f>
        <v>8449</v>
      </c>
      <c r="I49" s="49">
        <f>VLOOKUP($A49,'Data Vlaue (Cr)'!$C:$FB,100)</f>
        <v>8348</v>
      </c>
      <c r="J49" s="49">
        <f>VLOOKUP($A49,'Data Vlaue (Cr)'!$C:$FB,102)*100</f>
        <v>1.21</v>
      </c>
    </row>
    <row r="50" spans="1:10" x14ac:dyDescent="0.25">
      <c r="A50" s="101" t="str">
        <f>'NIFTY GRP'!C45</f>
        <v>TCS</v>
      </c>
      <c r="B50" s="140">
        <f>VLOOKUP($A50,'Data shares'!$C:$FA,7)</f>
        <v>2579.6</v>
      </c>
      <c r="C50" s="140">
        <f>VLOOKUP($A50,'Data shares'!$C:$FA,3)</f>
        <v>2565</v>
      </c>
      <c r="D50" s="50">
        <f>VLOOKUP($A50,'Data shares'!$C:$FA,6)*100</f>
        <v>0.15</v>
      </c>
      <c r="E50" s="51">
        <f>VLOOKUP($A50,'Data shares'!$C:$FA,98)</f>
        <v>64308825</v>
      </c>
      <c r="F50" s="51">
        <f>VLOOKUP($A50,'Data shares'!$C:$FA,99)</f>
        <v>65483075</v>
      </c>
      <c r="G50" s="50">
        <f>VLOOKUP($A50,'Data shares'!$C:$FA,101)*100</f>
        <v>-1.79</v>
      </c>
      <c r="H50" s="49">
        <f>VLOOKUP($A50,'Data Vlaue (Cr)'!$C:$FB,99)</f>
        <v>16495</v>
      </c>
      <c r="I50" s="49">
        <f>VLOOKUP($A50,'Data Vlaue (Cr)'!$C:$FB,100)</f>
        <v>16796</v>
      </c>
      <c r="J50" s="49">
        <f>VLOOKUP($A50,'Data Vlaue (Cr)'!$C:$FB,102)*100</f>
        <v>-1.79</v>
      </c>
    </row>
    <row r="51" spans="1:10" x14ac:dyDescent="0.25">
      <c r="A51" s="101" t="str">
        <f>'NIFTY GRP'!C46</f>
        <v>TECHM</v>
      </c>
      <c r="B51" s="140">
        <f>VLOOKUP($A51,'Data shares'!$C:$FA,7)</f>
        <v>1504.4</v>
      </c>
      <c r="C51" s="140">
        <f>VLOOKUP($A51,'Data shares'!$C:$FA,3)</f>
        <v>1497.7</v>
      </c>
      <c r="D51" s="50">
        <f>VLOOKUP($A51,'Data shares'!$C:$FA,6)*100</f>
        <v>-0.36</v>
      </c>
      <c r="E51" s="51">
        <f>VLOOKUP($A51,'Data shares'!$C:$FA,98)</f>
        <v>27295200</v>
      </c>
      <c r="F51" s="51">
        <f>VLOOKUP($A51,'Data shares'!$C:$FA,99)</f>
        <v>27787800</v>
      </c>
      <c r="G51" s="50">
        <f>VLOOKUP($A51,'Data shares'!$C:$FA,101)*100</f>
        <v>-1.77</v>
      </c>
      <c r="H51" s="49">
        <f>VLOOKUP($A51,'Data Vlaue (Cr)'!$C:$FB,99)</f>
        <v>4088</v>
      </c>
      <c r="I51" s="49">
        <f>VLOOKUP($A51,'Data Vlaue (Cr)'!$C:$FB,100)</f>
        <v>4162</v>
      </c>
      <c r="J51" s="49">
        <f>VLOOKUP($A51,'Data Vlaue (Cr)'!$C:$FB,102)*100</f>
        <v>-1.77</v>
      </c>
    </row>
    <row r="52" spans="1:10" x14ac:dyDescent="0.25">
      <c r="A52" s="101" t="str">
        <f>'NIFTY GRP'!C47</f>
        <v>TITAN</v>
      </c>
      <c r="B52" s="140">
        <f>VLOOKUP($A52,'Data shares'!$C:$FA,7)</f>
        <v>4513</v>
      </c>
      <c r="C52" s="140">
        <f>VLOOKUP($A52,'Data shares'!$C:$FA,3)</f>
        <v>4510.2</v>
      </c>
      <c r="D52" s="50">
        <f>VLOOKUP($A52,'Data shares'!$C:$FA,6)*100</f>
        <v>-0.33</v>
      </c>
      <c r="E52" s="51">
        <f>VLOOKUP($A52,'Data shares'!$C:$FA,98)</f>
        <v>15980475</v>
      </c>
      <c r="F52" s="51">
        <f>VLOOKUP($A52,'Data shares'!$C:$FA,99)</f>
        <v>16115225</v>
      </c>
      <c r="G52" s="50">
        <f>VLOOKUP($A52,'Data shares'!$C:$FA,101)*100</f>
        <v>-0.84</v>
      </c>
      <c r="H52" s="49">
        <f>VLOOKUP($A52,'Data Vlaue (Cr)'!$C:$FB,99)</f>
        <v>7208</v>
      </c>
      <c r="I52" s="49">
        <f>VLOOKUP($A52,'Data Vlaue (Cr)'!$C:$FB,100)</f>
        <v>7268</v>
      </c>
      <c r="J52" s="49">
        <f>VLOOKUP($A52,'Data Vlaue (Cr)'!$C:$FB,102)*100</f>
        <v>-0.84</v>
      </c>
    </row>
    <row r="53" spans="1:10" x14ac:dyDescent="0.25">
      <c r="A53" s="101" t="str">
        <f>'NIFTY GRP'!C48</f>
        <v>TMPV</v>
      </c>
      <c r="B53" s="140">
        <f>VLOOKUP($A53,'Data shares'!$C:$FA,7)</f>
        <v>355.7</v>
      </c>
      <c r="C53" s="140">
        <f>VLOOKUP($A53,'Data shares'!$C:$FA,3)</f>
        <v>354.55</v>
      </c>
      <c r="D53" s="50">
        <f>VLOOKUP($A53,'Data shares'!$C:$FA,6)*100</f>
        <v>-1.58</v>
      </c>
      <c r="E53" s="51">
        <f>VLOOKUP($A53,'Data shares'!$C:$FA,98)</f>
        <v>125559200</v>
      </c>
      <c r="F53" s="51">
        <f>VLOOKUP($A53,'Data shares'!$C:$FA,99)</f>
        <v>123376000</v>
      </c>
      <c r="G53" s="50">
        <f>VLOOKUP($A53,'Data shares'!$C:$FA,101)*100</f>
        <v>1.77</v>
      </c>
      <c r="H53" s="49">
        <f>VLOOKUP($A53,'Data Vlaue (Cr)'!$C:$FB,99)</f>
        <v>4452</v>
      </c>
      <c r="I53" s="49">
        <f>VLOOKUP($A53,'Data Vlaue (Cr)'!$C:$FB,100)</f>
        <v>4374</v>
      </c>
      <c r="J53" s="49">
        <f>VLOOKUP($A53,'Data Vlaue (Cr)'!$C:$FB,102)*100</f>
        <v>1.77</v>
      </c>
    </row>
    <row r="54" spans="1:10" x14ac:dyDescent="0.25">
      <c r="A54" s="101" t="str">
        <f>'NIFTY GRP'!C49</f>
        <v>TRENT</v>
      </c>
      <c r="B54" s="140">
        <f>VLOOKUP($A54,'Data shares'!$C:$FA,7)</f>
        <v>4242.8</v>
      </c>
      <c r="C54" s="140">
        <f>VLOOKUP($A54,'Data shares'!$C:$FA,3)</f>
        <v>4238</v>
      </c>
      <c r="D54" s="50">
        <f>VLOOKUP($A54,'Data shares'!$C:$FA,6)*100</f>
        <v>3.15</v>
      </c>
      <c r="E54" s="51">
        <f>VLOOKUP($A54,'Data shares'!$C:$FA,98)</f>
        <v>14247400</v>
      </c>
      <c r="F54" s="51">
        <f>VLOOKUP($A54,'Data shares'!$C:$FA,99)</f>
        <v>13600800</v>
      </c>
      <c r="G54" s="50">
        <f>VLOOKUP($A54,'Data shares'!$C:$FA,101)*100</f>
        <v>4.75</v>
      </c>
      <c r="H54" s="49">
        <f>VLOOKUP($A54,'Data Vlaue (Cr)'!$C:$FB,99)</f>
        <v>6038</v>
      </c>
      <c r="I54" s="49">
        <f>VLOOKUP($A54,'Data Vlaue (Cr)'!$C:$FB,100)</f>
        <v>5764</v>
      </c>
      <c r="J54" s="49">
        <f>VLOOKUP($A54,'Data Vlaue (Cr)'!$C:$FB,102)*100</f>
        <v>4.75</v>
      </c>
    </row>
    <row r="55" spans="1:10" x14ac:dyDescent="0.25">
      <c r="A55" s="101" t="str">
        <f>'NIFTY GRP'!C50</f>
        <v>ULTRACEMCO</v>
      </c>
      <c r="B55" s="140">
        <f>VLOOKUP($A55,'Data shares'!$C:$FA,7)</f>
        <v>11917</v>
      </c>
      <c r="C55" s="140">
        <f>VLOOKUP($A55,'Data shares'!$C:$FA,3)</f>
        <v>11897</v>
      </c>
      <c r="D55" s="50">
        <f>VLOOKUP($A55,'Data shares'!$C:$FA,6)*100</f>
        <v>0.11</v>
      </c>
      <c r="E55" s="51">
        <f>VLOOKUP($A55,'Data shares'!$C:$FA,98)</f>
        <v>3597300</v>
      </c>
      <c r="F55" s="51">
        <f>VLOOKUP($A55,'Data shares'!$C:$FA,99)</f>
        <v>3534650</v>
      </c>
      <c r="G55" s="50">
        <f>VLOOKUP($A55,'Data shares'!$C:$FA,101)*100</f>
        <v>1.77</v>
      </c>
      <c r="H55" s="49">
        <f>VLOOKUP($A55,'Data Vlaue (Cr)'!$C:$FB,99)</f>
        <v>4280</v>
      </c>
      <c r="I55" s="49">
        <f>VLOOKUP($A55,'Data Vlaue (Cr)'!$C:$FB,100)</f>
        <v>4205</v>
      </c>
      <c r="J55" s="49">
        <f>VLOOKUP($A55,'Data Vlaue (Cr)'!$C:$FB,102)*100</f>
        <v>1.77</v>
      </c>
    </row>
    <row r="56" spans="1:10" x14ac:dyDescent="0.25">
      <c r="A56" s="101" t="str">
        <f>'NIFTY GRP'!C51</f>
        <v>WIPRO</v>
      </c>
      <c r="B56" s="140">
        <f>VLOOKUP($A56,'Data shares'!$C:$FA,7)</f>
        <v>202.48</v>
      </c>
      <c r="C56" s="140">
        <f>VLOOKUP($A56,'Data shares'!$C:$FA,3)</f>
        <v>201.8</v>
      </c>
      <c r="D56" s="50">
        <f>VLOOKUP($A56,'Data shares'!$C:$FA,6)*100</f>
        <v>-0.27999999999999997</v>
      </c>
      <c r="E56" s="51">
        <f>VLOOKUP($A56,'Data shares'!$C:$FA,98)</f>
        <v>579645000</v>
      </c>
      <c r="F56" s="51">
        <f>VLOOKUP($A56,'Data shares'!$C:$FA,99)</f>
        <v>575652000</v>
      </c>
      <c r="G56" s="50">
        <f>VLOOKUP($A56,'Data shares'!$C:$FA,101)*100</f>
        <v>0.69</v>
      </c>
      <c r="H56" s="49">
        <f>VLOOKUP($A56,'Data Vlaue (Cr)'!$C:$FB,99)</f>
        <v>11697</v>
      </c>
      <c r="I56" s="49">
        <f>VLOOKUP($A56,'Data Vlaue (Cr)'!$C:$FB,100)</f>
        <v>11617</v>
      </c>
      <c r="J56" s="49">
        <f>VLOOKUP($A56,'Data Vlaue (Cr)'!$C:$FB,102)*100</f>
        <v>0.69</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2"/>
      <c r="B62" s="17"/>
      <c r="C62" s="17"/>
      <c r="D62" s="17"/>
      <c r="E62" s="17"/>
      <c r="F62" s="17"/>
      <c r="G62" s="17"/>
      <c r="H62" s="17"/>
      <c r="I62" s="17"/>
      <c r="J62" s="17"/>
    </row>
    <row r="63" spans="1:10" x14ac:dyDescent="0.25">
      <c r="A63" s="102"/>
      <c r="B63" s="17"/>
      <c r="C63" s="17"/>
      <c r="D63" s="17"/>
      <c r="E63" s="17"/>
      <c r="F63" s="17"/>
      <c r="G63" s="17"/>
      <c r="H63" s="17"/>
      <c r="I63" s="17"/>
      <c r="J63" s="17"/>
    </row>
    <row r="64" spans="1:10" x14ac:dyDescent="0.25">
      <c r="A64" s="126" t="s">
        <v>391</v>
      </c>
      <c r="B64" s="122"/>
      <c r="C64" s="122"/>
      <c r="D64" s="122"/>
      <c r="E64" s="127">
        <f>SUM(E7:E62)</f>
        <v>5548888321</v>
      </c>
      <c r="F64" s="127">
        <f>SUM(F7:F62)</f>
        <v>5506886167</v>
      </c>
      <c r="G64" s="128">
        <f>(E64-F64)/F64</f>
        <v>7.627205779501634E-3</v>
      </c>
      <c r="H64" s="127">
        <f>SUM(H7:H62)</f>
        <v>441104</v>
      </c>
      <c r="I64" s="127">
        <f>SUM(I7:I62)</f>
        <v>438938</v>
      </c>
      <c r="J64" s="128">
        <f>(H64-I64)/I64</f>
        <v>4.9346376937061728E-3</v>
      </c>
    </row>
    <row r="65" spans="1:10" x14ac:dyDescent="0.25">
      <c r="A65" s="126" t="s">
        <v>398</v>
      </c>
      <c r="B65" s="122"/>
      <c r="C65" s="122"/>
      <c r="D65" s="122"/>
      <c r="E65" s="125">
        <f>E64/10000000</f>
        <v>554.88883209999995</v>
      </c>
      <c r="F65" s="125">
        <f>F64/10000000</f>
        <v>550.68861670000001</v>
      </c>
      <c r="G65" s="128">
        <f>(E65-F65)/F65</f>
        <v>7.6272057795015134E-3</v>
      </c>
      <c r="H65" s="129">
        <f>H64/10000000</f>
        <v>4.4110400000000001E-2</v>
      </c>
      <c r="I65" s="129">
        <f>I64/10000000</f>
        <v>4.3893799999999997E-2</v>
      </c>
      <c r="J65" s="128">
        <f>(H65-I65)/I65</f>
        <v>4.9346376937062708E-3</v>
      </c>
    </row>
    <row r="70" spans="1:10" x14ac:dyDescent="0.25">
      <c r="A70" s="43"/>
      <c r="B70" s="43"/>
      <c r="C70" s="44"/>
    </row>
    <row r="71" spans="1:10" ht="34.5" x14ac:dyDescent="0.25">
      <c r="A71" s="95" t="s">
        <v>411</v>
      </c>
      <c r="B71" s="45"/>
      <c r="C71" s="45" t="s">
        <v>385</v>
      </c>
    </row>
    <row r="72" spans="1:10" x14ac:dyDescent="0.25">
      <c r="A72" s="22" t="s">
        <v>412</v>
      </c>
      <c r="B72" s="22" t="s">
        <v>413</v>
      </c>
      <c r="C72" s="22" t="s">
        <v>414</v>
      </c>
    </row>
    <row r="73" spans="1:10" x14ac:dyDescent="0.25">
      <c r="A73" s="38">
        <f>H64</f>
        <v>441104</v>
      </c>
      <c r="B73" s="38">
        <f>I64</f>
        <v>438938</v>
      </c>
      <c r="C73" s="42">
        <f>J64</f>
        <v>4.9346376937061728E-3</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2"/>
  <sheetViews>
    <sheetView workbookViewId="0">
      <pane ySplit="6" topLeftCell="A7" activePane="bottomLeft" state="frozen"/>
      <selection pane="bottomLeft" activeCell="A7" sqref="A7:A225"/>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8" t="s">
        <v>356</v>
      </c>
      <c r="B3" s="299"/>
      <c r="C3" s="299"/>
      <c r="D3" s="299"/>
      <c r="E3" s="299"/>
      <c r="F3" s="299"/>
      <c r="G3" s="299"/>
      <c r="H3" s="299"/>
      <c r="I3" s="299"/>
      <c r="J3" s="299"/>
      <c r="K3" s="299"/>
      <c r="L3" s="299"/>
      <c r="M3" s="299"/>
      <c r="N3" s="299"/>
      <c r="O3" s="300"/>
    </row>
    <row r="4" spans="1:15" s="93" customFormat="1" x14ac:dyDescent="0.25">
      <c r="A4" s="285" t="s">
        <v>330</v>
      </c>
      <c r="B4" s="287" t="s">
        <v>308</v>
      </c>
      <c r="C4" s="289"/>
      <c r="D4" s="287" t="s">
        <v>357</v>
      </c>
      <c r="E4" s="288"/>
      <c r="F4" s="288"/>
      <c r="G4" s="288"/>
      <c r="H4" s="288"/>
      <c r="I4" s="288"/>
      <c r="J4" s="288"/>
      <c r="K4" s="288"/>
      <c r="L4" s="288"/>
      <c r="M4" s="288"/>
      <c r="N4" s="288"/>
      <c r="O4" s="289"/>
    </row>
    <row r="5" spans="1:15" s="93" customFormat="1" x14ac:dyDescent="0.25">
      <c r="A5" s="286"/>
      <c r="B5" s="301" t="s">
        <v>312</v>
      </c>
      <c r="C5" s="291"/>
      <c r="D5" s="301" t="s">
        <v>357</v>
      </c>
      <c r="E5" s="290"/>
      <c r="F5" s="291"/>
      <c r="G5" s="301" t="s">
        <v>358</v>
      </c>
      <c r="H5" s="290"/>
      <c r="I5" s="291"/>
      <c r="J5" s="301" t="s">
        <v>359</v>
      </c>
      <c r="K5" s="290"/>
      <c r="L5" s="291"/>
      <c r="M5" s="301" t="s">
        <v>360</v>
      </c>
      <c r="N5" s="290"/>
      <c r="O5" s="291"/>
    </row>
    <row r="6" spans="1:15" s="93" customFormat="1" x14ac:dyDescent="0.25">
      <c r="A6" s="76" t="s">
        <v>318</v>
      </c>
      <c r="B6" s="3">
        <f>'Nifty Baskets'!B6</f>
        <v>46132</v>
      </c>
      <c r="C6" s="76" t="s">
        <v>328</v>
      </c>
      <c r="D6" s="3">
        <f>B6</f>
        <v>46132</v>
      </c>
      <c r="E6" s="76" t="s">
        <v>322</v>
      </c>
      <c r="F6" s="76" t="s">
        <v>328</v>
      </c>
      <c r="G6" s="3">
        <f>D6</f>
        <v>46132</v>
      </c>
      <c r="H6" s="76" t="s">
        <v>322</v>
      </c>
      <c r="I6" s="76" t="s">
        <v>328</v>
      </c>
      <c r="J6" s="3">
        <f>D6</f>
        <v>46132</v>
      </c>
      <c r="K6" s="76" t="s">
        <v>322</v>
      </c>
      <c r="L6" s="76" t="s">
        <v>328</v>
      </c>
      <c r="M6" s="3">
        <f>D6</f>
        <v>46132</v>
      </c>
      <c r="N6" s="76" t="s">
        <v>322</v>
      </c>
      <c r="O6" s="76" t="s">
        <v>328</v>
      </c>
    </row>
    <row r="7" spans="1:15" x14ac:dyDescent="0.25">
      <c r="A7" s="101" t="str">
        <f>'Data Vlaue (Cr)'!C2</f>
        <v>360ONE</v>
      </c>
      <c r="B7" s="50">
        <f>VLOOKUP($A7,'Data Vlaue (Cr)'!$C:$FB,8)</f>
        <v>1109.25</v>
      </c>
      <c r="C7" s="50">
        <f>VLOOKUP($A7,'Data Vlaue (Cr)'!$C:$FB,11)*100</f>
        <v>-0.36</v>
      </c>
      <c r="D7" s="50">
        <f>VLOOKUP($A7,'Data Vlaue (Cr)'!$C:$FB,143)</f>
        <v>608.78</v>
      </c>
      <c r="E7" s="50">
        <f>VLOOKUP($A7,'Data Vlaue (Cr)'!$C:$FB,144)</f>
        <v>1167.02</v>
      </c>
      <c r="F7" s="50">
        <f>VLOOKUP($A7,'Data Vlaue (Cr)'!$C:$FB,146)*100</f>
        <v>-47.83</v>
      </c>
      <c r="G7" s="49">
        <f>VLOOKUP($A7,'Data Vlaue (Cr)'!$C:$FB,43)</f>
        <v>118</v>
      </c>
      <c r="H7" s="49">
        <f>VLOOKUP($A7,'Data Vlaue (Cr)'!$C:$FB,44)</f>
        <v>278</v>
      </c>
      <c r="I7" s="49">
        <f>VLOOKUP($A7,'Data Vlaue (Cr)'!$C:$FB,46)*100</f>
        <v>-57.410000000000004</v>
      </c>
      <c r="J7" s="51">
        <f>VLOOKUP($A7,'Data Vlaue (Cr)'!$C:$FB,59)</f>
        <v>337</v>
      </c>
      <c r="K7" s="51">
        <f>VLOOKUP($A7,'Data Vlaue (Cr)'!$C:$FB,60)</f>
        <v>568</v>
      </c>
      <c r="L7" s="51">
        <f>VLOOKUP($A7,'Data Vlaue (Cr)'!$C:$FB,62)*100</f>
        <v>-40.699999999999996</v>
      </c>
      <c r="M7" s="51">
        <f>VLOOKUP($A7,'Data Vlaue (Cr)'!$C:$FB,63)</f>
        <v>134</v>
      </c>
      <c r="N7" s="51">
        <f>VLOOKUP($A7,'Data Vlaue (Cr)'!$C:$FB,64)</f>
        <v>308</v>
      </c>
      <c r="O7" s="51">
        <f>VLOOKUP($A7,'Data Vlaue (Cr)'!$C:$FB,66)*100</f>
        <v>-56.63</v>
      </c>
    </row>
    <row r="8" spans="1:15" x14ac:dyDescent="0.25">
      <c r="A8" s="101" t="str">
        <f>'Data Vlaue (Cr)'!C3</f>
        <v>ABB</v>
      </c>
      <c r="B8" s="50">
        <f>VLOOKUP($A8,'Data Vlaue (Cr)'!$C:$FB,8)</f>
        <v>7158</v>
      </c>
      <c r="C8" s="50">
        <f>VLOOKUP($A8,'Data Vlaue (Cr)'!$C:$FB,11)*100</f>
        <v>1.83</v>
      </c>
      <c r="D8" s="50">
        <f>VLOOKUP($A8,'Data Vlaue (Cr)'!$C:$FB,143)</f>
        <v>9320.7800000000007</v>
      </c>
      <c r="E8" s="50">
        <f>VLOOKUP($A8,'Data Vlaue (Cr)'!$C:$FB,144)</f>
        <v>4831.58</v>
      </c>
      <c r="F8" s="50">
        <f>VLOOKUP($A8,'Data Vlaue (Cr)'!$C:$FB,146)*100</f>
        <v>92.91</v>
      </c>
      <c r="G8" s="49">
        <f>VLOOKUP($A8,'Data Vlaue (Cr)'!$C:$FB,43)</f>
        <v>534</v>
      </c>
      <c r="H8" s="49">
        <f>VLOOKUP($A8,'Data Vlaue (Cr)'!$C:$FB,44)</f>
        <v>447</v>
      </c>
      <c r="I8" s="49">
        <f>VLOOKUP($A8,'Data Vlaue (Cr)'!$C:$FB,46)*100</f>
        <v>19.420000000000002</v>
      </c>
      <c r="J8" s="51">
        <f>VLOOKUP($A8,'Data Vlaue (Cr)'!$C:$FB,59)</f>
        <v>6301</v>
      </c>
      <c r="K8" s="51">
        <f>VLOOKUP($A8,'Data Vlaue (Cr)'!$C:$FB,60)</f>
        <v>2996</v>
      </c>
      <c r="L8" s="51">
        <f>VLOOKUP($A8,'Data Vlaue (Cr)'!$C:$FB,62)*100</f>
        <v>110.28</v>
      </c>
      <c r="M8" s="51">
        <f>VLOOKUP($A8,'Data Vlaue (Cr)'!$C:$FB,63)</f>
        <v>2254</v>
      </c>
      <c r="N8" s="51">
        <f>VLOOKUP($A8,'Data Vlaue (Cr)'!$C:$FB,64)</f>
        <v>1428</v>
      </c>
      <c r="O8" s="51">
        <f>VLOOKUP($A8,'Data Vlaue (Cr)'!$C:$FB,66)*100</f>
        <v>57.879999999999995</v>
      </c>
    </row>
    <row r="9" spans="1:15" x14ac:dyDescent="0.25">
      <c r="A9" s="101" t="str">
        <f>'Data Vlaue (Cr)'!C4</f>
        <v>ABCAPITAL</v>
      </c>
      <c r="B9" s="50">
        <f>VLOOKUP($A9,'Data Vlaue (Cr)'!$C:$FB,8)</f>
        <v>341.6</v>
      </c>
      <c r="C9" s="50">
        <f>VLOOKUP($A9,'Data Vlaue (Cr)'!$C:$FB,11)*100</f>
        <v>0.35000000000000003</v>
      </c>
      <c r="D9" s="50">
        <f>VLOOKUP($A9,'Data Vlaue (Cr)'!$C:$FB,143)</f>
        <v>1356.18</v>
      </c>
      <c r="E9" s="50">
        <f>VLOOKUP($A9,'Data Vlaue (Cr)'!$C:$FB,144)</f>
        <v>2555.19</v>
      </c>
      <c r="F9" s="50">
        <f>VLOOKUP($A9,'Data Vlaue (Cr)'!$C:$FB,146)*100</f>
        <v>-46.92</v>
      </c>
      <c r="G9" s="49">
        <f>VLOOKUP($A9,'Data Vlaue (Cr)'!$C:$FB,43)</f>
        <v>181</v>
      </c>
      <c r="H9" s="49">
        <f>VLOOKUP($A9,'Data Vlaue (Cr)'!$C:$FB,44)</f>
        <v>221</v>
      </c>
      <c r="I9" s="49">
        <f>VLOOKUP($A9,'Data Vlaue (Cr)'!$C:$FB,46)*100</f>
        <v>-17.82</v>
      </c>
      <c r="J9" s="51">
        <f>VLOOKUP($A9,'Data Vlaue (Cr)'!$C:$FB,59)</f>
        <v>786</v>
      </c>
      <c r="K9" s="51">
        <f>VLOOKUP($A9,'Data Vlaue (Cr)'!$C:$FB,60)</f>
        <v>1830</v>
      </c>
      <c r="L9" s="51">
        <f>VLOOKUP($A9,'Data Vlaue (Cr)'!$C:$FB,62)*100</f>
        <v>-57.03</v>
      </c>
      <c r="M9" s="51">
        <f>VLOOKUP($A9,'Data Vlaue (Cr)'!$C:$FB,63)</f>
        <v>357</v>
      </c>
      <c r="N9" s="51">
        <f>VLOOKUP($A9,'Data Vlaue (Cr)'!$C:$FB,64)</f>
        <v>433</v>
      </c>
      <c r="O9" s="51">
        <f>VLOOKUP($A9,'Data Vlaue (Cr)'!$C:$FB,66)*100</f>
        <v>-17.5</v>
      </c>
    </row>
    <row r="10" spans="1:15" x14ac:dyDescent="0.25">
      <c r="A10" s="101" t="str">
        <f>'Data Vlaue (Cr)'!C5</f>
        <v>ADANIENSOL</v>
      </c>
      <c r="B10" s="50">
        <f>VLOOKUP($A10,'Data Vlaue (Cr)'!$C:$FB,8)</f>
        <v>1259.4000000000001</v>
      </c>
      <c r="C10" s="50">
        <f>VLOOKUP($A10,'Data Vlaue (Cr)'!$C:$FB,11)*100</f>
        <v>-0.03</v>
      </c>
      <c r="D10" s="50">
        <f>VLOOKUP($A10,'Data Vlaue (Cr)'!$C:$FB,143)</f>
        <v>2069.36</v>
      </c>
      <c r="E10" s="50">
        <f>VLOOKUP($A10,'Data Vlaue (Cr)'!$C:$FB,144)</f>
        <v>3326.75</v>
      </c>
      <c r="F10" s="50">
        <f>VLOOKUP($A10,'Data Vlaue (Cr)'!$C:$FB,146)*100</f>
        <v>-37.799999999999997</v>
      </c>
      <c r="G10" s="49">
        <f>VLOOKUP($A10,'Data Vlaue (Cr)'!$C:$FB,43)</f>
        <v>361</v>
      </c>
      <c r="H10" s="49">
        <f>VLOOKUP($A10,'Data Vlaue (Cr)'!$C:$FB,44)</f>
        <v>832</v>
      </c>
      <c r="I10" s="49">
        <f>VLOOKUP($A10,'Data Vlaue (Cr)'!$C:$FB,46)*100</f>
        <v>-56.589999999999996</v>
      </c>
      <c r="J10" s="51">
        <f>VLOOKUP($A10,'Data Vlaue (Cr)'!$C:$FB,59)</f>
        <v>1180</v>
      </c>
      <c r="K10" s="51">
        <f>VLOOKUP($A10,'Data Vlaue (Cr)'!$C:$FB,60)</f>
        <v>1600</v>
      </c>
      <c r="L10" s="51">
        <f>VLOOKUP($A10,'Data Vlaue (Cr)'!$C:$FB,62)*100</f>
        <v>-26.240000000000002</v>
      </c>
      <c r="M10" s="51">
        <f>VLOOKUP($A10,'Data Vlaue (Cr)'!$C:$FB,63)</f>
        <v>453</v>
      </c>
      <c r="N10" s="51">
        <f>VLOOKUP($A10,'Data Vlaue (Cr)'!$C:$FB,64)</f>
        <v>880</v>
      </c>
      <c r="O10" s="51">
        <f>VLOOKUP($A10,'Data Vlaue (Cr)'!$C:$FB,66)*100</f>
        <v>-48.59</v>
      </c>
    </row>
    <row r="11" spans="1:15" x14ac:dyDescent="0.25">
      <c r="A11" s="101" t="str">
        <f>'Data Vlaue (Cr)'!C6</f>
        <v>ADANIENT</v>
      </c>
      <c r="B11" s="50">
        <f>VLOOKUP($A11,'Data Vlaue (Cr)'!$C:$FB,8)</f>
        <v>2229.6</v>
      </c>
      <c r="C11" s="50">
        <f>VLOOKUP($A11,'Data Vlaue (Cr)'!$C:$FB,11)*100</f>
        <v>0.51</v>
      </c>
      <c r="D11" s="50">
        <f>VLOOKUP($A11,'Data Vlaue (Cr)'!$C:$FB,143)</f>
        <v>5762.22</v>
      </c>
      <c r="E11" s="50">
        <f>VLOOKUP($A11,'Data Vlaue (Cr)'!$C:$FB,144)</f>
        <v>5506.59</v>
      </c>
      <c r="F11" s="50">
        <f>VLOOKUP($A11,'Data Vlaue (Cr)'!$C:$FB,146)*100</f>
        <v>4.6399999999999997</v>
      </c>
      <c r="G11" s="49">
        <f>VLOOKUP($A11,'Data Vlaue (Cr)'!$C:$FB,43)</f>
        <v>764</v>
      </c>
      <c r="H11" s="49">
        <f>VLOOKUP($A11,'Data Vlaue (Cr)'!$C:$FB,44)</f>
        <v>766</v>
      </c>
      <c r="I11" s="49">
        <f>VLOOKUP($A11,'Data Vlaue (Cr)'!$C:$FB,46)*100</f>
        <v>-0.2</v>
      </c>
      <c r="J11" s="51">
        <f>VLOOKUP($A11,'Data Vlaue (Cr)'!$C:$FB,59)</f>
        <v>3200</v>
      </c>
      <c r="K11" s="51">
        <f>VLOOKUP($A11,'Data Vlaue (Cr)'!$C:$FB,60)</f>
        <v>3162</v>
      </c>
      <c r="L11" s="51">
        <f>VLOOKUP($A11,'Data Vlaue (Cr)'!$C:$FB,62)*100</f>
        <v>1.22</v>
      </c>
      <c r="M11" s="51">
        <f>VLOOKUP($A11,'Data Vlaue (Cr)'!$C:$FB,63)</f>
        <v>1656</v>
      </c>
      <c r="N11" s="51">
        <f>VLOOKUP($A11,'Data Vlaue (Cr)'!$C:$FB,64)</f>
        <v>1520</v>
      </c>
      <c r="O11" s="51">
        <f>VLOOKUP($A11,'Data Vlaue (Cr)'!$C:$FB,66)*100</f>
        <v>8.9499999999999993</v>
      </c>
    </row>
    <row r="12" spans="1:15" x14ac:dyDescent="0.25">
      <c r="A12" s="101" t="str">
        <f>'Data Vlaue (Cr)'!C7</f>
        <v>ADANIGREEN</v>
      </c>
      <c r="B12" s="50">
        <f>VLOOKUP($A12,'Data Vlaue (Cr)'!$C:$FB,8)</f>
        <v>1152.7</v>
      </c>
      <c r="C12" s="50">
        <f>VLOOKUP($A12,'Data Vlaue (Cr)'!$C:$FB,11)*100</f>
        <v>2.25</v>
      </c>
      <c r="D12" s="50">
        <f>VLOOKUP($A12,'Data Vlaue (Cr)'!$C:$FB,143)</f>
        <v>5933.36</v>
      </c>
      <c r="E12" s="50">
        <f>VLOOKUP($A12,'Data Vlaue (Cr)'!$C:$FB,144)</f>
        <v>2769.26</v>
      </c>
      <c r="F12" s="50">
        <f>VLOOKUP($A12,'Data Vlaue (Cr)'!$C:$FB,146)*100</f>
        <v>114.26</v>
      </c>
      <c r="G12" s="49">
        <f>VLOOKUP($A12,'Data Vlaue (Cr)'!$C:$FB,43)</f>
        <v>694</v>
      </c>
      <c r="H12" s="49">
        <f>VLOOKUP($A12,'Data Vlaue (Cr)'!$C:$FB,44)</f>
        <v>433</v>
      </c>
      <c r="I12" s="49">
        <f>VLOOKUP($A12,'Data Vlaue (Cr)'!$C:$FB,46)*100</f>
        <v>60.4</v>
      </c>
      <c r="J12" s="51">
        <f>VLOOKUP($A12,'Data Vlaue (Cr)'!$C:$FB,59)</f>
        <v>3565</v>
      </c>
      <c r="K12" s="51">
        <f>VLOOKUP($A12,'Data Vlaue (Cr)'!$C:$FB,60)</f>
        <v>1573</v>
      </c>
      <c r="L12" s="51">
        <f>VLOOKUP($A12,'Data Vlaue (Cr)'!$C:$FB,62)*100</f>
        <v>126.66</v>
      </c>
      <c r="M12" s="51">
        <f>VLOOKUP($A12,'Data Vlaue (Cr)'!$C:$FB,63)</f>
        <v>1522</v>
      </c>
      <c r="N12" s="51">
        <f>VLOOKUP($A12,'Data Vlaue (Cr)'!$C:$FB,64)</f>
        <v>784</v>
      </c>
      <c r="O12" s="51">
        <f>VLOOKUP($A12,'Data Vlaue (Cr)'!$C:$FB,66)*100</f>
        <v>94.25</v>
      </c>
    </row>
    <row r="13" spans="1:15" x14ac:dyDescent="0.25">
      <c r="A13" s="101" t="str">
        <f>'Data Vlaue (Cr)'!C8</f>
        <v>ADANIPORTS</v>
      </c>
      <c r="B13" s="50">
        <f>VLOOKUP($A13,'Data Vlaue (Cr)'!$C:$FB,8)</f>
        <v>1578.4</v>
      </c>
      <c r="C13" s="50">
        <f>VLOOKUP($A13,'Data Vlaue (Cr)'!$C:$FB,11)*100</f>
        <v>0.32</v>
      </c>
      <c r="D13" s="50">
        <f>VLOOKUP($A13,'Data Vlaue (Cr)'!$C:$FB,143)</f>
        <v>4976.8599999999997</v>
      </c>
      <c r="E13" s="50">
        <f>VLOOKUP($A13,'Data Vlaue (Cr)'!$C:$FB,144)</f>
        <v>6595.08</v>
      </c>
      <c r="F13" s="50">
        <f>VLOOKUP($A13,'Data Vlaue (Cr)'!$C:$FB,146)*100</f>
        <v>-24.54</v>
      </c>
      <c r="G13" s="49">
        <f>VLOOKUP($A13,'Data Vlaue (Cr)'!$C:$FB,43)</f>
        <v>562</v>
      </c>
      <c r="H13" s="49">
        <f>VLOOKUP($A13,'Data Vlaue (Cr)'!$C:$FB,44)</f>
        <v>631</v>
      </c>
      <c r="I13" s="49">
        <f>VLOOKUP($A13,'Data Vlaue (Cr)'!$C:$FB,46)*100</f>
        <v>-10.870000000000001</v>
      </c>
      <c r="J13" s="51">
        <f>VLOOKUP($A13,'Data Vlaue (Cr)'!$C:$FB,59)</f>
        <v>2747</v>
      </c>
      <c r="K13" s="51">
        <f>VLOOKUP($A13,'Data Vlaue (Cr)'!$C:$FB,60)</f>
        <v>3992</v>
      </c>
      <c r="L13" s="51">
        <f>VLOOKUP($A13,'Data Vlaue (Cr)'!$C:$FB,62)*100</f>
        <v>-31.19</v>
      </c>
      <c r="M13" s="51">
        <f>VLOOKUP($A13,'Data Vlaue (Cr)'!$C:$FB,63)</f>
        <v>1591</v>
      </c>
      <c r="N13" s="51">
        <f>VLOOKUP($A13,'Data Vlaue (Cr)'!$C:$FB,64)</f>
        <v>1920</v>
      </c>
      <c r="O13" s="51">
        <f>VLOOKUP($A13,'Data Vlaue (Cr)'!$C:$FB,66)*100</f>
        <v>-17.150000000000002</v>
      </c>
    </row>
    <row r="14" spans="1:15" x14ac:dyDescent="0.25">
      <c r="A14" s="101" t="str">
        <f>'Data Vlaue (Cr)'!C9</f>
        <v>ADANIPOWER</v>
      </c>
      <c r="B14" s="50">
        <f>VLOOKUP($A14,'Data Vlaue (Cr)'!$C:$FB,8)</f>
        <v>200.83</v>
      </c>
      <c r="C14" s="50">
        <f>VLOOKUP($A14,'Data Vlaue (Cr)'!$C:$FB,11)*100</f>
        <v>1.17</v>
      </c>
      <c r="D14" s="50">
        <f>VLOOKUP($A14,'Data Vlaue (Cr)'!$C:$FB,143)</f>
        <v>5041.13</v>
      </c>
      <c r="E14" s="50">
        <f>VLOOKUP($A14,'Data Vlaue (Cr)'!$C:$FB,144)</f>
        <v>4827.01</v>
      </c>
      <c r="F14" s="50">
        <f>VLOOKUP($A14,'Data Vlaue (Cr)'!$C:$FB,146)*100</f>
        <v>4.4400000000000004</v>
      </c>
      <c r="G14" s="49">
        <f>VLOOKUP($A14,'Data Vlaue (Cr)'!$C:$FB,43)</f>
        <v>894</v>
      </c>
      <c r="H14" s="49">
        <f>VLOOKUP($A14,'Data Vlaue (Cr)'!$C:$FB,44)</f>
        <v>1263</v>
      </c>
      <c r="I14" s="49">
        <f>VLOOKUP($A14,'Data Vlaue (Cr)'!$C:$FB,46)*100</f>
        <v>-29.220000000000002</v>
      </c>
      <c r="J14" s="51">
        <f>VLOOKUP($A14,'Data Vlaue (Cr)'!$C:$FB,59)</f>
        <v>2951</v>
      </c>
      <c r="K14" s="51">
        <f>VLOOKUP($A14,'Data Vlaue (Cr)'!$C:$FB,60)</f>
        <v>2606</v>
      </c>
      <c r="L14" s="51">
        <f>VLOOKUP($A14,'Data Vlaue (Cr)'!$C:$FB,62)*100</f>
        <v>13.239999999999998</v>
      </c>
      <c r="M14" s="51">
        <f>VLOOKUP($A14,'Data Vlaue (Cr)'!$C:$FB,63)</f>
        <v>992</v>
      </c>
      <c r="N14" s="51">
        <f>VLOOKUP($A14,'Data Vlaue (Cr)'!$C:$FB,64)</f>
        <v>962</v>
      </c>
      <c r="O14" s="51">
        <f>VLOOKUP($A14,'Data Vlaue (Cr)'!$C:$FB,66)*100</f>
        <v>3.2099999999999995</v>
      </c>
    </row>
    <row r="15" spans="1:15" x14ac:dyDescent="0.25">
      <c r="A15" s="101" t="str">
        <f>'Data Vlaue (Cr)'!C10</f>
        <v>ALKEM</v>
      </c>
      <c r="B15" s="50">
        <f>VLOOKUP($A15,'Data Vlaue (Cr)'!$C:$FB,8)</f>
        <v>5642</v>
      </c>
      <c r="C15" s="50">
        <f>VLOOKUP($A15,'Data Vlaue (Cr)'!$C:$FB,11)*100</f>
        <v>1.0699999999999998</v>
      </c>
      <c r="D15" s="50">
        <f>VLOOKUP($A15,'Data Vlaue (Cr)'!$C:$FB,143)</f>
        <v>878.04</v>
      </c>
      <c r="E15" s="50">
        <f>VLOOKUP($A15,'Data Vlaue (Cr)'!$C:$FB,144)</f>
        <v>271.23</v>
      </c>
      <c r="F15" s="50">
        <f>VLOOKUP($A15,'Data Vlaue (Cr)'!$C:$FB,146)*100</f>
        <v>223.72</v>
      </c>
      <c r="G15" s="49">
        <f>VLOOKUP($A15,'Data Vlaue (Cr)'!$C:$FB,43)</f>
        <v>107</v>
      </c>
      <c r="H15" s="49">
        <f>VLOOKUP($A15,'Data Vlaue (Cr)'!$C:$FB,44)</f>
        <v>59</v>
      </c>
      <c r="I15" s="49">
        <f>VLOOKUP($A15,'Data Vlaue (Cr)'!$C:$FB,46)*100</f>
        <v>82.67</v>
      </c>
      <c r="J15" s="51">
        <f>VLOOKUP($A15,'Data Vlaue (Cr)'!$C:$FB,59)</f>
        <v>606</v>
      </c>
      <c r="K15" s="51">
        <f>VLOOKUP($A15,'Data Vlaue (Cr)'!$C:$FB,60)</f>
        <v>159</v>
      </c>
      <c r="L15" s="51">
        <f>VLOOKUP($A15,'Data Vlaue (Cr)'!$C:$FB,62)*100</f>
        <v>281.09000000000003</v>
      </c>
      <c r="M15" s="51">
        <f>VLOOKUP($A15,'Data Vlaue (Cr)'!$C:$FB,63)</f>
        <v>148</v>
      </c>
      <c r="N15" s="51">
        <f>VLOOKUP($A15,'Data Vlaue (Cr)'!$C:$FB,64)</f>
        <v>52</v>
      </c>
      <c r="O15" s="51">
        <f>VLOOKUP($A15,'Data Vlaue (Cr)'!$C:$FB,66)*100</f>
        <v>183.31</v>
      </c>
    </row>
    <row r="16" spans="1:15" x14ac:dyDescent="0.25">
      <c r="A16" s="101" t="str">
        <f>'Data Vlaue (Cr)'!C11</f>
        <v>AMBER</v>
      </c>
      <c r="B16" s="50">
        <f>VLOOKUP($A16,'Data Vlaue (Cr)'!$C:$FB,8)</f>
        <v>7980.5</v>
      </c>
      <c r="C16" s="50">
        <f>VLOOKUP($A16,'Data Vlaue (Cr)'!$C:$FB,11)*100</f>
        <v>0.27999999999999997</v>
      </c>
      <c r="D16" s="50">
        <f>VLOOKUP($A16,'Data Vlaue (Cr)'!$C:$FB,143)</f>
        <v>2660.37</v>
      </c>
      <c r="E16" s="50">
        <f>VLOOKUP($A16,'Data Vlaue (Cr)'!$C:$FB,144)</f>
        <v>3277.3</v>
      </c>
      <c r="F16" s="50">
        <f>VLOOKUP($A16,'Data Vlaue (Cr)'!$C:$FB,146)*100</f>
        <v>-18.82</v>
      </c>
      <c r="G16" s="49">
        <f>VLOOKUP($A16,'Data Vlaue (Cr)'!$C:$FB,43)</f>
        <v>275</v>
      </c>
      <c r="H16" s="49">
        <f>VLOOKUP($A16,'Data Vlaue (Cr)'!$C:$FB,44)</f>
        <v>347</v>
      </c>
      <c r="I16" s="49">
        <f>VLOOKUP($A16,'Data Vlaue (Cr)'!$C:$FB,46)*100</f>
        <v>-20.580000000000002</v>
      </c>
      <c r="J16" s="51">
        <f>VLOOKUP($A16,'Data Vlaue (Cr)'!$C:$FB,59)</f>
        <v>1354</v>
      </c>
      <c r="K16" s="51">
        <f>VLOOKUP($A16,'Data Vlaue (Cr)'!$C:$FB,60)</f>
        <v>1893</v>
      </c>
      <c r="L16" s="51">
        <f>VLOOKUP($A16,'Data Vlaue (Cr)'!$C:$FB,62)*100</f>
        <v>-28.46</v>
      </c>
      <c r="M16" s="51">
        <f>VLOOKUP($A16,'Data Vlaue (Cr)'!$C:$FB,63)</f>
        <v>1019</v>
      </c>
      <c r="N16" s="51">
        <f>VLOOKUP($A16,'Data Vlaue (Cr)'!$C:$FB,64)</f>
        <v>1040</v>
      </c>
      <c r="O16" s="51">
        <f>VLOOKUP($A16,'Data Vlaue (Cr)'!$C:$FB,66)*100</f>
        <v>-1.95</v>
      </c>
    </row>
    <row r="17" spans="1:15" x14ac:dyDescent="0.25">
      <c r="A17" s="101" t="str">
        <f>'Data Vlaue (Cr)'!C12</f>
        <v>AMBUJACEM</v>
      </c>
      <c r="B17" s="50">
        <f>VLOOKUP($A17,'Data Vlaue (Cr)'!$C:$FB,8)</f>
        <v>454.9</v>
      </c>
      <c r="C17" s="50">
        <f>VLOOKUP($A17,'Data Vlaue (Cr)'!$C:$FB,11)*100</f>
        <v>-0.89</v>
      </c>
      <c r="D17" s="50">
        <f>VLOOKUP($A17,'Data Vlaue (Cr)'!$C:$FB,143)</f>
        <v>982.07</v>
      </c>
      <c r="E17" s="50">
        <f>VLOOKUP($A17,'Data Vlaue (Cr)'!$C:$FB,144)</f>
        <v>669.83</v>
      </c>
      <c r="F17" s="50">
        <f>VLOOKUP($A17,'Data Vlaue (Cr)'!$C:$FB,146)*100</f>
        <v>46.61</v>
      </c>
      <c r="G17" s="49">
        <f>VLOOKUP($A17,'Data Vlaue (Cr)'!$C:$FB,43)</f>
        <v>336</v>
      </c>
      <c r="H17" s="49">
        <f>VLOOKUP($A17,'Data Vlaue (Cr)'!$C:$FB,44)</f>
        <v>185</v>
      </c>
      <c r="I17" s="49">
        <f>VLOOKUP($A17,'Data Vlaue (Cr)'!$C:$FB,46)*100</f>
        <v>81.47</v>
      </c>
      <c r="J17" s="51">
        <f>VLOOKUP($A17,'Data Vlaue (Cr)'!$C:$FB,59)</f>
        <v>458</v>
      </c>
      <c r="K17" s="51">
        <f>VLOOKUP($A17,'Data Vlaue (Cr)'!$C:$FB,60)</f>
        <v>301</v>
      </c>
      <c r="L17" s="51">
        <f>VLOOKUP($A17,'Data Vlaue (Cr)'!$C:$FB,62)*100</f>
        <v>51.859999999999992</v>
      </c>
      <c r="M17" s="51">
        <f>VLOOKUP($A17,'Data Vlaue (Cr)'!$C:$FB,63)</f>
        <v>159</v>
      </c>
      <c r="N17" s="51">
        <f>VLOOKUP($A17,'Data Vlaue (Cr)'!$C:$FB,64)</f>
        <v>168</v>
      </c>
      <c r="O17" s="51">
        <f>VLOOKUP($A17,'Data Vlaue (Cr)'!$C:$FB,66)*100</f>
        <v>-5.42</v>
      </c>
    </row>
    <row r="18" spans="1:15" x14ac:dyDescent="0.25">
      <c r="A18" s="101" t="str">
        <f>'Data Vlaue (Cr)'!C13</f>
        <v>ANGELONE</v>
      </c>
      <c r="B18" s="50">
        <f>VLOOKUP($A18,'Data Vlaue (Cr)'!$C:$FB,8)</f>
        <v>319.16000000000003</v>
      </c>
      <c r="C18" s="50">
        <f>VLOOKUP($A18,'Data Vlaue (Cr)'!$C:$FB,11)*100</f>
        <v>-1.03</v>
      </c>
      <c r="D18" s="50">
        <f>VLOOKUP($A18,'Data Vlaue (Cr)'!$C:$FB,143)</f>
        <v>6648.13</v>
      </c>
      <c r="E18" s="50">
        <f>VLOOKUP($A18,'Data Vlaue (Cr)'!$C:$FB,144)</f>
        <v>21787.22</v>
      </c>
      <c r="F18" s="50">
        <f>VLOOKUP($A18,'Data Vlaue (Cr)'!$C:$FB,146)*100</f>
        <v>-69.489999999999995</v>
      </c>
      <c r="G18" s="49">
        <f>VLOOKUP($A18,'Data Vlaue (Cr)'!$C:$FB,43)</f>
        <v>697</v>
      </c>
      <c r="H18" s="49">
        <f>VLOOKUP($A18,'Data Vlaue (Cr)'!$C:$FB,44)</f>
        <v>1889</v>
      </c>
      <c r="I18" s="49">
        <f>VLOOKUP($A18,'Data Vlaue (Cr)'!$C:$FB,46)*100</f>
        <v>-63.09</v>
      </c>
      <c r="J18" s="51">
        <f>VLOOKUP($A18,'Data Vlaue (Cr)'!$C:$FB,59)</f>
        <v>3374</v>
      </c>
      <c r="K18" s="51">
        <f>VLOOKUP($A18,'Data Vlaue (Cr)'!$C:$FB,60)</f>
        <v>13560</v>
      </c>
      <c r="L18" s="51">
        <f>VLOOKUP($A18,'Data Vlaue (Cr)'!$C:$FB,62)*100</f>
        <v>-75.12</v>
      </c>
      <c r="M18" s="51">
        <f>VLOOKUP($A18,'Data Vlaue (Cr)'!$C:$FB,63)</f>
        <v>2472</v>
      </c>
      <c r="N18" s="51">
        <f>VLOOKUP($A18,'Data Vlaue (Cr)'!$C:$FB,64)</f>
        <v>6566</v>
      </c>
      <c r="O18" s="51">
        <f>VLOOKUP($A18,'Data Vlaue (Cr)'!$C:$FB,66)*100</f>
        <v>-62.360000000000007</v>
      </c>
    </row>
    <row r="19" spans="1:15" x14ac:dyDescent="0.25">
      <c r="A19" s="101" t="str">
        <f>'Data Vlaue (Cr)'!C14</f>
        <v>APLAPOLLO</v>
      </c>
      <c r="B19" s="50">
        <f>VLOOKUP($A19,'Data Vlaue (Cr)'!$C:$FB,8)</f>
        <v>2143.9</v>
      </c>
      <c r="C19" s="50">
        <f>VLOOKUP($A19,'Data Vlaue (Cr)'!$C:$FB,11)*100</f>
        <v>1.81</v>
      </c>
      <c r="D19" s="50">
        <f>VLOOKUP($A19,'Data Vlaue (Cr)'!$C:$FB,143)</f>
        <v>984.82</v>
      </c>
      <c r="E19" s="50">
        <f>VLOOKUP($A19,'Data Vlaue (Cr)'!$C:$FB,144)</f>
        <v>1215.8699999999999</v>
      </c>
      <c r="F19" s="50">
        <f>VLOOKUP($A19,'Data Vlaue (Cr)'!$C:$FB,146)*100</f>
        <v>-19</v>
      </c>
      <c r="G19" s="49">
        <f>VLOOKUP($A19,'Data Vlaue (Cr)'!$C:$FB,43)</f>
        <v>219</v>
      </c>
      <c r="H19" s="49">
        <f>VLOOKUP($A19,'Data Vlaue (Cr)'!$C:$FB,44)</f>
        <v>161</v>
      </c>
      <c r="I19" s="49">
        <f>VLOOKUP($A19,'Data Vlaue (Cr)'!$C:$FB,46)*100</f>
        <v>36</v>
      </c>
      <c r="J19" s="51">
        <f>VLOOKUP($A19,'Data Vlaue (Cr)'!$C:$FB,59)</f>
        <v>540</v>
      </c>
      <c r="K19" s="51">
        <f>VLOOKUP($A19,'Data Vlaue (Cr)'!$C:$FB,60)</f>
        <v>831</v>
      </c>
      <c r="L19" s="51">
        <f>VLOOKUP($A19,'Data Vlaue (Cr)'!$C:$FB,62)*100</f>
        <v>-34.949999999999996</v>
      </c>
      <c r="M19" s="51">
        <f>VLOOKUP($A19,'Data Vlaue (Cr)'!$C:$FB,63)</f>
        <v>219</v>
      </c>
      <c r="N19" s="51">
        <f>VLOOKUP($A19,'Data Vlaue (Cr)'!$C:$FB,64)</f>
        <v>231</v>
      </c>
      <c r="O19" s="51">
        <f>VLOOKUP($A19,'Data Vlaue (Cr)'!$C:$FB,66)*100</f>
        <v>-5.4399999999999995</v>
      </c>
    </row>
    <row r="20" spans="1:15" x14ac:dyDescent="0.25">
      <c r="A20" s="101" t="str">
        <f>'Data Vlaue (Cr)'!C15</f>
        <v>APOLLOHOSP</v>
      </c>
      <c r="B20" s="50">
        <f>VLOOKUP($A20,'Data Vlaue (Cr)'!$C:$FB,8)</f>
        <v>7657</v>
      </c>
      <c r="C20" s="50">
        <f>VLOOKUP($A20,'Data Vlaue (Cr)'!$C:$FB,11)*100</f>
        <v>-0.54999999999999993</v>
      </c>
      <c r="D20" s="50">
        <f>VLOOKUP($A20,'Data Vlaue (Cr)'!$C:$FB,143)</f>
        <v>2062.13</v>
      </c>
      <c r="E20" s="50">
        <f>VLOOKUP($A20,'Data Vlaue (Cr)'!$C:$FB,144)</f>
        <v>3287.67</v>
      </c>
      <c r="F20" s="50">
        <f>VLOOKUP($A20,'Data Vlaue (Cr)'!$C:$FB,146)*100</f>
        <v>-37.28</v>
      </c>
      <c r="G20" s="49">
        <f>VLOOKUP($A20,'Data Vlaue (Cr)'!$C:$FB,43)</f>
        <v>187</v>
      </c>
      <c r="H20" s="49">
        <f>VLOOKUP($A20,'Data Vlaue (Cr)'!$C:$FB,44)</f>
        <v>241</v>
      </c>
      <c r="I20" s="49">
        <f>VLOOKUP($A20,'Data Vlaue (Cr)'!$C:$FB,46)*100</f>
        <v>-22.29</v>
      </c>
      <c r="J20" s="51">
        <f>VLOOKUP($A20,'Data Vlaue (Cr)'!$C:$FB,59)</f>
        <v>1205</v>
      </c>
      <c r="K20" s="51">
        <f>VLOOKUP($A20,'Data Vlaue (Cr)'!$C:$FB,60)</f>
        <v>2188</v>
      </c>
      <c r="L20" s="51">
        <f>VLOOKUP($A20,'Data Vlaue (Cr)'!$C:$FB,62)*100</f>
        <v>-44.93</v>
      </c>
      <c r="M20" s="51">
        <f>VLOOKUP($A20,'Data Vlaue (Cr)'!$C:$FB,63)</f>
        <v>647</v>
      </c>
      <c r="N20" s="51">
        <f>VLOOKUP($A20,'Data Vlaue (Cr)'!$C:$FB,64)</f>
        <v>814</v>
      </c>
      <c r="O20" s="51">
        <f>VLOOKUP($A20,'Data Vlaue (Cr)'!$C:$FB,66)*100</f>
        <v>-20.54</v>
      </c>
    </row>
    <row r="21" spans="1:15" x14ac:dyDescent="0.25">
      <c r="A21" s="101" t="str">
        <f>'Data Vlaue (Cr)'!C16</f>
        <v>ASHOKLEY</v>
      </c>
      <c r="B21" s="50">
        <f>VLOOKUP($A21,'Data Vlaue (Cr)'!$C:$FB,8)</f>
        <v>175.96</v>
      </c>
      <c r="C21" s="50">
        <f>VLOOKUP($A21,'Data Vlaue (Cr)'!$C:$FB,11)*100</f>
        <v>0.67999999999999994</v>
      </c>
      <c r="D21" s="50">
        <f>VLOOKUP($A21,'Data Vlaue (Cr)'!$C:$FB,143)</f>
        <v>2930.67</v>
      </c>
      <c r="E21" s="50">
        <f>VLOOKUP($A21,'Data Vlaue (Cr)'!$C:$FB,144)</f>
        <v>2714.04</v>
      </c>
      <c r="F21" s="50">
        <f>VLOOKUP($A21,'Data Vlaue (Cr)'!$C:$FB,146)*100</f>
        <v>7.9799999999999995</v>
      </c>
      <c r="G21" s="49">
        <f>VLOOKUP($A21,'Data Vlaue (Cr)'!$C:$FB,43)</f>
        <v>371</v>
      </c>
      <c r="H21" s="49">
        <f>VLOOKUP($A21,'Data Vlaue (Cr)'!$C:$FB,44)</f>
        <v>580</v>
      </c>
      <c r="I21" s="49">
        <f>VLOOKUP($A21,'Data Vlaue (Cr)'!$C:$FB,46)*100</f>
        <v>-36</v>
      </c>
      <c r="J21" s="51">
        <f>VLOOKUP($A21,'Data Vlaue (Cr)'!$C:$FB,59)</f>
        <v>1709</v>
      </c>
      <c r="K21" s="51">
        <f>VLOOKUP($A21,'Data Vlaue (Cr)'!$C:$FB,60)</f>
        <v>1339</v>
      </c>
      <c r="L21" s="51">
        <f>VLOOKUP($A21,'Data Vlaue (Cr)'!$C:$FB,62)*100</f>
        <v>27.62</v>
      </c>
      <c r="M21" s="51">
        <f>VLOOKUP($A21,'Data Vlaue (Cr)'!$C:$FB,63)</f>
        <v>786</v>
      </c>
      <c r="N21" s="51">
        <f>VLOOKUP($A21,'Data Vlaue (Cr)'!$C:$FB,64)</f>
        <v>764</v>
      </c>
      <c r="O21" s="51">
        <f>VLOOKUP($A21,'Data Vlaue (Cr)'!$C:$FB,66)*100</f>
        <v>2.8000000000000003</v>
      </c>
    </row>
    <row r="22" spans="1:15" x14ac:dyDescent="0.25">
      <c r="A22" s="101" t="str">
        <f>'Data Vlaue (Cr)'!C17</f>
        <v>ASIANPAINT</v>
      </c>
      <c r="B22" s="50">
        <f>VLOOKUP($A22,'Data Vlaue (Cr)'!$C:$FB,8)</f>
        <v>2516.8000000000002</v>
      </c>
      <c r="C22" s="50">
        <f>VLOOKUP($A22,'Data Vlaue (Cr)'!$C:$FB,11)*100</f>
        <v>2.1399999999999997</v>
      </c>
      <c r="D22" s="50">
        <f>VLOOKUP($A22,'Data Vlaue (Cr)'!$C:$FB,143)</f>
        <v>4656.8</v>
      </c>
      <c r="E22" s="50">
        <f>VLOOKUP($A22,'Data Vlaue (Cr)'!$C:$FB,144)</f>
        <v>4687.6000000000004</v>
      </c>
      <c r="F22" s="50">
        <f>VLOOKUP($A22,'Data Vlaue (Cr)'!$C:$FB,146)*100</f>
        <v>-0.66</v>
      </c>
      <c r="G22" s="49">
        <f>VLOOKUP($A22,'Data Vlaue (Cr)'!$C:$FB,43)</f>
        <v>502</v>
      </c>
      <c r="H22" s="49">
        <f>VLOOKUP($A22,'Data Vlaue (Cr)'!$C:$FB,44)</f>
        <v>816</v>
      </c>
      <c r="I22" s="49">
        <f>VLOOKUP($A22,'Data Vlaue (Cr)'!$C:$FB,46)*100</f>
        <v>-38.47</v>
      </c>
      <c r="J22" s="51">
        <f>VLOOKUP($A22,'Data Vlaue (Cr)'!$C:$FB,59)</f>
        <v>2327</v>
      </c>
      <c r="K22" s="51">
        <f>VLOOKUP($A22,'Data Vlaue (Cr)'!$C:$FB,60)</f>
        <v>2317</v>
      </c>
      <c r="L22" s="51">
        <f>VLOOKUP($A22,'Data Vlaue (Cr)'!$C:$FB,62)*100</f>
        <v>0.42</v>
      </c>
      <c r="M22" s="51">
        <f>VLOOKUP($A22,'Data Vlaue (Cr)'!$C:$FB,63)</f>
        <v>1846</v>
      </c>
      <c r="N22" s="51">
        <f>VLOOKUP($A22,'Data Vlaue (Cr)'!$C:$FB,64)</f>
        <v>1622</v>
      </c>
      <c r="O22" s="51">
        <f>VLOOKUP($A22,'Data Vlaue (Cr)'!$C:$FB,66)*100</f>
        <v>13.77</v>
      </c>
    </row>
    <row r="23" spans="1:15" x14ac:dyDescent="0.25">
      <c r="A23" s="101" t="str">
        <f>'Data Vlaue (Cr)'!C18</f>
        <v>ASTRAL</v>
      </c>
      <c r="B23" s="50">
        <f>VLOOKUP($A23,'Data Vlaue (Cr)'!$C:$FB,8)</f>
        <v>1591.4</v>
      </c>
      <c r="C23" s="50">
        <f>VLOOKUP($A23,'Data Vlaue (Cr)'!$C:$FB,11)*100</f>
        <v>-0.85000000000000009</v>
      </c>
      <c r="D23" s="50">
        <f>VLOOKUP($A23,'Data Vlaue (Cr)'!$C:$FB,143)</f>
        <v>1478.12</v>
      </c>
      <c r="E23" s="50">
        <f>VLOOKUP($A23,'Data Vlaue (Cr)'!$C:$FB,144)</f>
        <v>2836.94</v>
      </c>
      <c r="F23" s="50">
        <f>VLOOKUP($A23,'Data Vlaue (Cr)'!$C:$FB,146)*100</f>
        <v>-47.9</v>
      </c>
      <c r="G23" s="49">
        <f>VLOOKUP($A23,'Data Vlaue (Cr)'!$C:$FB,43)</f>
        <v>355</v>
      </c>
      <c r="H23" s="49">
        <f>VLOOKUP($A23,'Data Vlaue (Cr)'!$C:$FB,44)</f>
        <v>566</v>
      </c>
      <c r="I23" s="49">
        <f>VLOOKUP($A23,'Data Vlaue (Cr)'!$C:$FB,46)*100</f>
        <v>-37.25</v>
      </c>
      <c r="J23" s="51">
        <f>VLOOKUP($A23,'Data Vlaue (Cr)'!$C:$FB,59)</f>
        <v>780</v>
      </c>
      <c r="K23" s="51">
        <f>VLOOKUP($A23,'Data Vlaue (Cr)'!$C:$FB,60)</f>
        <v>1469</v>
      </c>
      <c r="L23" s="51">
        <f>VLOOKUP($A23,'Data Vlaue (Cr)'!$C:$FB,62)*100</f>
        <v>-46.93</v>
      </c>
      <c r="M23" s="51">
        <f>VLOOKUP($A23,'Data Vlaue (Cr)'!$C:$FB,63)</f>
        <v>299</v>
      </c>
      <c r="N23" s="51">
        <f>VLOOKUP($A23,'Data Vlaue (Cr)'!$C:$FB,64)</f>
        <v>716</v>
      </c>
      <c r="O23" s="51">
        <f>VLOOKUP($A23,'Data Vlaue (Cr)'!$C:$FB,66)*100</f>
        <v>-58.29</v>
      </c>
    </row>
    <row r="24" spans="1:15" x14ac:dyDescent="0.25">
      <c r="A24" s="101" t="str">
        <f>'Data Vlaue (Cr)'!C19</f>
        <v>AUBANK</v>
      </c>
      <c r="B24" s="50">
        <f>VLOOKUP($A24,'Data Vlaue (Cr)'!$C:$FB,8)</f>
        <v>997.65</v>
      </c>
      <c r="C24" s="50">
        <f>VLOOKUP($A24,'Data Vlaue (Cr)'!$C:$FB,11)*100</f>
        <v>0.71000000000000008</v>
      </c>
      <c r="D24" s="50">
        <f>VLOOKUP($A24,'Data Vlaue (Cr)'!$C:$FB,143)</f>
        <v>2102.58</v>
      </c>
      <c r="E24" s="50">
        <f>VLOOKUP($A24,'Data Vlaue (Cr)'!$C:$FB,144)</f>
        <v>1164.3499999999999</v>
      </c>
      <c r="F24" s="50">
        <f>VLOOKUP($A24,'Data Vlaue (Cr)'!$C:$FB,146)*100</f>
        <v>80.58</v>
      </c>
      <c r="G24" s="49">
        <f>VLOOKUP($A24,'Data Vlaue (Cr)'!$C:$FB,43)</f>
        <v>425</v>
      </c>
      <c r="H24" s="49">
        <f>VLOOKUP($A24,'Data Vlaue (Cr)'!$C:$FB,44)</f>
        <v>302</v>
      </c>
      <c r="I24" s="49">
        <f>VLOOKUP($A24,'Data Vlaue (Cr)'!$C:$FB,46)*100</f>
        <v>40.65</v>
      </c>
      <c r="J24" s="51">
        <f>VLOOKUP($A24,'Data Vlaue (Cr)'!$C:$FB,59)</f>
        <v>1048</v>
      </c>
      <c r="K24" s="51">
        <f>VLOOKUP($A24,'Data Vlaue (Cr)'!$C:$FB,60)</f>
        <v>495</v>
      </c>
      <c r="L24" s="51">
        <f>VLOOKUP($A24,'Data Vlaue (Cr)'!$C:$FB,62)*100</f>
        <v>111.71</v>
      </c>
      <c r="M24" s="51">
        <f>VLOOKUP($A24,'Data Vlaue (Cr)'!$C:$FB,63)</f>
        <v>595</v>
      </c>
      <c r="N24" s="51">
        <f>VLOOKUP($A24,'Data Vlaue (Cr)'!$C:$FB,64)</f>
        <v>370</v>
      </c>
      <c r="O24" s="51">
        <f>VLOOKUP($A24,'Data Vlaue (Cr)'!$C:$FB,66)*100</f>
        <v>60.929999999999993</v>
      </c>
    </row>
    <row r="25" spans="1:15" x14ac:dyDescent="0.25">
      <c r="A25" s="101" t="str">
        <f>'Data Vlaue (Cr)'!C20</f>
        <v>AUROPHARMA</v>
      </c>
      <c r="B25" s="50">
        <f>VLOOKUP($A25,'Data Vlaue (Cr)'!$C:$FB,8)</f>
        <v>1367.8</v>
      </c>
      <c r="C25" s="50">
        <f>VLOOKUP($A25,'Data Vlaue (Cr)'!$C:$FB,11)*100</f>
        <v>-1.31</v>
      </c>
      <c r="D25" s="50">
        <f>VLOOKUP($A25,'Data Vlaue (Cr)'!$C:$FB,143)</f>
        <v>2100.16</v>
      </c>
      <c r="E25" s="50">
        <f>VLOOKUP($A25,'Data Vlaue (Cr)'!$C:$FB,144)</f>
        <v>1071.8</v>
      </c>
      <c r="F25" s="50">
        <f>VLOOKUP($A25,'Data Vlaue (Cr)'!$C:$FB,146)*100</f>
        <v>95.95</v>
      </c>
      <c r="G25" s="49">
        <f>VLOOKUP($A25,'Data Vlaue (Cr)'!$C:$FB,43)</f>
        <v>1347</v>
      </c>
      <c r="H25" s="49">
        <f>VLOOKUP($A25,'Data Vlaue (Cr)'!$C:$FB,44)</f>
        <v>205</v>
      </c>
      <c r="I25" s="49">
        <f>VLOOKUP($A25,'Data Vlaue (Cr)'!$C:$FB,46)*100</f>
        <v>555.56000000000006</v>
      </c>
      <c r="J25" s="51">
        <f>VLOOKUP($A25,'Data Vlaue (Cr)'!$C:$FB,59)</f>
        <v>443</v>
      </c>
      <c r="K25" s="51">
        <f>VLOOKUP($A25,'Data Vlaue (Cr)'!$C:$FB,60)</f>
        <v>507</v>
      </c>
      <c r="L25" s="51">
        <f>VLOOKUP($A25,'Data Vlaue (Cr)'!$C:$FB,62)*100</f>
        <v>-12.659999999999998</v>
      </c>
      <c r="M25" s="51">
        <f>VLOOKUP($A25,'Data Vlaue (Cr)'!$C:$FB,63)</f>
        <v>281</v>
      </c>
      <c r="N25" s="51">
        <f>VLOOKUP($A25,'Data Vlaue (Cr)'!$C:$FB,64)</f>
        <v>337</v>
      </c>
      <c r="O25" s="51">
        <f>VLOOKUP($A25,'Data Vlaue (Cr)'!$C:$FB,66)*100</f>
        <v>-16.689999999999998</v>
      </c>
    </row>
    <row r="26" spans="1:15" x14ac:dyDescent="0.25">
      <c r="A26" s="101" t="str">
        <f>'Data Vlaue (Cr)'!C21</f>
        <v>AXISBANK</v>
      </c>
      <c r="B26" s="50">
        <f>VLOOKUP($A26,'Data Vlaue (Cr)'!$C:$FB,8)</f>
        <v>1354.7</v>
      </c>
      <c r="C26" s="50">
        <f>VLOOKUP($A26,'Data Vlaue (Cr)'!$C:$FB,11)*100</f>
        <v>-0.32</v>
      </c>
      <c r="D26" s="50">
        <f>VLOOKUP($A26,'Data Vlaue (Cr)'!$C:$FB,143)</f>
        <v>5423.79</v>
      </c>
      <c r="E26" s="50">
        <f>VLOOKUP($A26,'Data Vlaue (Cr)'!$C:$FB,144)</f>
        <v>4702.3900000000003</v>
      </c>
      <c r="F26" s="50">
        <f>VLOOKUP($A26,'Data Vlaue (Cr)'!$C:$FB,146)*100</f>
        <v>15.340000000000002</v>
      </c>
      <c r="G26" s="49">
        <f>VLOOKUP($A26,'Data Vlaue (Cr)'!$C:$FB,43)</f>
        <v>1013</v>
      </c>
      <c r="H26" s="49">
        <f>VLOOKUP($A26,'Data Vlaue (Cr)'!$C:$FB,44)</f>
        <v>959</v>
      </c>
      <c r="I26" s="49">
        <f>VLOOKUP($A26,'Data Vlaue (Cr)'!$C:$FB,46)*100</f>
        <v>5.66</v>
      </c>
      <c r="J26" s="51">
        <f>VLOOKUP($A26,'Data Vlaue (Cr)'!$C:$FB,59)</f>
        <v>2573</v>
      </c>
      <c r="K26" s="51">
        <f>VLOOKUP($A26,'Data Vlaue (Cr)'!$C:$FB,60)</f>
        <v>2176</v>
      </c>
      <c r="L26" s="51">
        <f>VLOOKUP($A26,'Data Vlaue (Cr)'!$C:$FB,62)*100</f>
        <v>18.21</v>
      </c>
      <c r="M26" s="51">
        <f>VLOOKUP($A26,'Data Vlaue (Cr)'!$C:$FB,63)</f>
        <v>1763</v>
      </c>
      <c r="N26" s="51">
        <f>VLOOKUP($A26,'Data Vlaue (Cr)'!$C:$FB,64)</f>
        <v>1509</v>
      </c>
      <c r="O26" s="51">
        <f>VLOOKUP($A26,'Data Vlaue (Cr)'!$C:$FB,66)*100</f>
        <v>16.86</v>
      </c>
    </row>
    <row r="27" spans="1:15" x14ac:dyDescent="0.25">
      <c r="A27" s="101" t="str">
        <f>'Data Vlaue (Cr)'!C22</f>
        <v>BAJAJ-AUTO</v>
      </c>
      <c r="B27" s="50">
        <f>VLOOKUP($A27,'Data Vlaue (Cr)'!$C:$FB,8)</f>
        <v>9803</v>
      </c>
      <c r="C27" s="50">
        <f>VLOOKUP($A27,'Data Vlaue (Cr)'!$C:$FB,11)*100</f>
        <v>0.3</v>
      </c>
      <c r="D27" s="50">
        <f>VLOOKUP($A27,'Data Vlaue (Cr)'!$C:$FB,143)</f>
        <v>2937.28</v>
      </c>
      <c r="E27" s="50">
        <f>VLOOKUP($A27,'Data Vlaue (Cr)'!$C:$FB,144)</f>
        <v>2407.39</v>
      </c>
      <c r="F27" s="50">
        <f>VLOOKUP($A27,'Data Vlaue (Cr)'!$C:$FB,146)*100</f>
        <v>22.009999999999998</v>
      </c>
      <c r="G27" s="49">
        <f>VLOOKUP($A27,'Data Vlaue (Cr)'!$C:$FB,43)</f>
        <v>285</v>
      </c>
      <c r="H27" s="49">
        <f>VLOOKUP($A27,'Data Vlaue (Cr)'!$C:$FB,44)</f>
        <v>308</v>
      </c>
      <c r="I27" s="49">
        <f>VLOOKUP($A27,'Data Vlaue (Cr)'!$C:$FB,46)*100</f>
        <v>-7.55</v>
      </c>
      <c r="J27" s="51">
        <f>VLOOKUP($A27,'Data Vlaue (Cr)'!$C:$FB,59)</f>
        <v>1739</v>
      </c>
      <c r="K27" s="51">
        <f>VLOOKUP($A27,'Data Vlaue (Cr)'!$C:$FB,60)</f>
        <v>1239</v>
      </c>
      <c r="L27" s="51">
        <f>VLOOKUP($A27,'Data Vlaue (Cr)'!$C:$FB,62)*100</f>
        <v>40.44</v>
      </c>
      <c r="M27" s="51">
        <f>VLOOKUP($A27,'Data Vlaue (Cr)'!$C:$FB,63)</f>
        <v>888</v>
      </c>
      <c r="N27" s="51">
        <f>VLOOKUP($A27,'Data Vlaue (Cr)'!$C:$FB,64)</f>
        <v>834</v>
      </c>
      <c r="O27" s="51">
        <f>VLOOKUP($A27,'Data Vlaue (Cr)'!$C:$FB,66)*100</f>
        <v>6.5100000000000007</v>
      </c>
    </row>
    <row r="28" spans="1:15" x14ac:dyDescent="0.25">
      <c r="A28" s="101" t="str">
        <f>'Data Vlaue (Cr)'!C23</f>
        <v>BAJAJFINSV</v>
      </c>
      <c r="B28" s="50">
        <f>VLOOKUP($A28,'Data Vlaue (Cr)'!$C:$FB,8)</f>
        <v>1830.6</v>
      </c>
      <c r="C28" s="50">
        <f>VLOOKUP($A28,'Data Vlaue (Cr)'!$C:$FB,11)*100</f>
        <v>-0.44999999999999996</v>
      </c>
      <c r="D28" s="50">
        <f>VLOOKUP($A28,'Data Vlaue (Cr)'!$C:$FB,143)</f>
        <v>941.19</v>
      </c>
      <c r="E28" s="50">
        <f>VLOOKUP($A28,'Data Vlaue (Cr)'!$C:$FB,144)</f>
        <v>681.96</v>
      </c>
      <c r="F28" s="50">
        <f>VLOOKUP($A28,'Data Vlaue (Cr)'!$C:$FB,146)*100</f>
        <v>38.01</v>
      </c>
      <c r="G28" s="49">
        <f>VLOOKUP($A28,'Data Vlaue (Cr)'!$C:$FB,43)</f>
        <v>222</v>
      </c>
      <c r="H28" s="49">
        <f>VLOOKUP($A28,'Data Vlaue (Cr)'!$C:$FB,44)</f>
        <v>82</v>
      </c>
      <c r="I28" s="49">
        <f>VLOOKUP($A28,'Data Vlaue (Cr)'!$C:$FB,46)*100</f>
        <v>170.78</v>
      </c>
      <c r="J28" s="51">
        <f>VLOOKUP($A28,'Data Vlaue (Cr)'!$C:$FB,59)</f>
        <v>425</v>
      </c>
      <c r="K28" s="51">
        <f>VLOOKUP($A28,'Data Vlaue (Cr)'!$C:$FB,60)</f>
        <v>355</v>
      </c>
      <c r="L28" s="51">
        <f>VLOOKUP($A28,'Data Vlaue (Cr)'!$C:$FB,62)*100</f>
        <v>19.64</v>
      </c>
      <c r="M28" s="51">
        <f>VLOOKUP($A28,'Data Vlaue (Cr)'!$C:$FB,63)</f>
        <v>279</v>
      </c>
      <c r="N28" s="51">
        <f>VLOOKUP($A28,'Data Vlaue (Cr)'!$C:$FB,64)</f>
        <v>234</v>
      </c>
      <c r="O28" s="51">
        <f>VLOOKUP($A28,'Data Vlaue (Cr)'!$C:$FB,66)*100</f>
        <v>19.27</v>
      </c>
    </row>
    <row r="29" spans="1:15" x14ac:dyDescent="0.25">
      <c r="A29" s="101" t="str">
        <f>'Data Vlaue (Cr)'!C24</f>
        <v>BAJAJHLDNG</v>
      </c>
      <c r="B29" s="50">
        <f>VLOOKUP($A29,'Data Vlaue (Cr)'!$C:$FB,8)</f>
        <v>10388</v>
      </c>
      <c r="C29" s="50">
        <f>VLOOKUP($A29,'Data Vlaue (Cr)'!$C:$FB,11)*100</f>
        <v>0.31</v>
      </c>
      <c r="D29" s="50">
        <f>VLOOKUP($A29,'Data Vlaue (Cr)'!$C:$FB,143)</f>
        <v>516.35</v>
      </c>
      <c r="E29" s="50">
        <f>VLOOKUP($A29,'Data Vlaue (Cr)'!$C:$FB,144)</f>
        <v>244.06</v>
      </c>
      <c r="F29" s="50">
        <f>VLOOKUP($A29,'Data Vlaue (Cr)'!$C:$FB,146)*100</f>
        <v>111.57</v>
      </c>
      <c r="G29" s="49">
        <f>VLOOKUP($A29,'Data Vlaue (Cr)'!$C:$FB,43)</f>
        <v>30</v>
      </c>
      <c r="H29" s="49">
        <f>VLOOKUP($A29,'Data Vlaue (Cr)'!$C:$FB,44)</f>
        <v>29</v>
      </c>
      <c r="I29" s="49">
        <f>VLOOKUP($A29,'Data Vlaue (Cr)'!$C:$FB,46)*100</f>
        <v>4.71</v>
      </c>
      <c r="J29" s="51">
        <f>VLOOKUP($A29,'Data Vlaue (Cr)'!$C:$FB,59)</f>
        <v>198</v>
      </c>
      <c r="K29" s="51">
        <f>VLOOKUP($A29,'Data Vlaue (Cr)'!$C:$FB,60)</f>
        <v>93</v>
      </c>
      <c r="L29" s="51">
        <f>VLOOKUP($A29,'Data Vlaue (Cr)'!$C:$FB,62)*100</f>
        <v>112.26</v>
      </c>
      <c r="M29" s="51">
        <f>VLOOKUP($A29,'Data Vlaue (Cr)'!$C:$FB,63)</f>
        <v>328</v>
      </c>
      <c r="N29" s="51">
        <f>VLOOKUP($A29,'Data Vlaue (Cr)'!$C:$FB,64)</f>
        <v>140</v>
      </c>
      <c r="O29" s="51">
        <f>VLOOKUP($A29,'Data Vlaue (Cr)'!$C:$FB,66)*100</f>
        <v>134.78</v>
      </c>
    </row>
    <row r="30" spans="1:15" x14ac:dyDescent="0.25">
      <c r="A30" s="101" t="str">
        <f>'Data Vlaue (Cr)'!C25</f>
        <v>BAJFINANCE</v>
      </c>
      <c r="B30" s="50">
        <f>VLOOKUP($A30,'Data Vlaue (Cr)'!$C:$FB,8)</f>
        <v>917.75</v>
      </c>
      <c r="C30" s="50">
        <f>VLOOKUP($A30,'Data Vlaue (Cr)'!$C:$FB,11)*100</f>
        <v>1.05</v>
      </c>
      <c r="D30" s="50">
        <f>VLOOKUP($A30,'Data Vlaue (Cr)'!$C:$FB,143)</f>
        <v>3552.84</v>
      </c>
      <c r="E30" s="50">
        <f>VLOOKUP($A30,'Data Vlaue (Cr)'!$C:$FB,144)</f>
        <v>2526.41</v>
      </c>
      <c r="F30" s="50">
        <f>VLOOKUP($A30,'Data Vlaue (Cr)'!$C:$FB,146)*100</f>
        <v>40.630000000000003</v>
      </c>
      <c r="G30" s="49">
        <f>VLOOKUP($A30,'Data Vlaue (Cr)'!$C:$FB,43)</f>
        <v>560</v>
      </c>
      <c r="H30" s="49">
        <f>VLOOKUP($A30,'Data Vlaue (Cr)'!$C:$FB,44)</f>
        <v>443</v>
      </c>
      <c r="I30" s="49">
        <f>VLOOKUP($A30,'Data Vlaue (Cr)'!$C:$FB,46)*100</f>
        <v>26.61</v>
      </c>
      <c r="J30" s="51">
        <f>VLOOKUP($A30,'Data Vlaue (Cr)'!$C:$FB,59)</f>
        <v>1893</v>
      </c>
      <c r="K30" s="51">
        <f>VLOOKUP($A30,'Data Vlaue (Cr)'!$C:$FB,60)</f>
        <v>1276</v>
      </c>
      <c r="L30" s="51">
        <f>VLOOKUP($A30,'Data Vlaue (Cr)'!$C:$FB,62)*100</f>
        <v>48.35</v>
      </c>
      <c r="M30" s="51">
        <f>VLOOKUP($A30,'Data Vlaue (Cr)'!$C:$FB,63)</f>
        <v>1057</v>
      </c>
      <c r="N30" s="51">
        <f>VLOOKUP($A30,'Data Vlaue (Cr)'!$C:$FB,64)</f>
        <v>798</v>
      </c>
      <c r="O30" s="51">
        <f>VLOOKUP($A30,'Data Vlaue (Cr)'!$C:$FB,66)*100</f>
        <v>32.409999999999997</v>
      </c>
    </row>
    <row r="31" spans="1:15" x14ac:dyDescent="0.25">
      <c r="A31" s="101" t="str">
        <f>'Data Vlaue (Cr)'!C26</f>
        <v>BANDHANBNK</v>
      </c>
      <c r="B31" s="50">
        <f>VLOOKUP($A31,'Data Vlaue (Cr)'!$C:$FB,8)</f>
        <v>175.43</v>
      </c>
      <c r="C31" s="50">
        <f>VLOOKUP($A31,'Data Vlaue (Cr)'!$C:$FB,11)*100</f>
        <v>0.54999999999999993</v>
      </c>
      <c r="D31" s="50">
        <f>VLOOKUP($A31,'Data Vlaue (Cr)'!$C:$FB,143)</f>
        <v>837.82</v>
      </c>
      <c r="E31" s="50">
        <f>VLOOKUP($A31,'Data Vlaue (Cr)'!$C:$FB,144)</f>
        <v>741.72</v>
      </c>
      <c r="F31" s="50">
        <f>VLOOKUP($A31,'Data Vlaue (Cr)'!$C:$FB,146)*100</f>
        <v>12.959999999999999</v>
      </c>
      <c r="G31" s="49">
        <f>VLOOKUP($A31,'Data Vlaue (Cr)'!$C:$FB,43)</f>
        <v>315</v>
      </c>
      <c r="H31" s="49">
        <f>VLOOKUP($A31,'Data Vlaue (Cr)'!$C:$FB,44)</f>
        <v>452</v>
      </c>
      <c r="I31" s="49">
        <f>VLOOKUP($A31,'Data Vlaue (Cr)'!$C:$FB,46)*100</f>
        <v>-30.330000000000002</v>
      </c>
      <c r="J31" s="51">
        <f>VLOOKUP($A31,'Data Vlaue (Cr)'!$C:$FB,59)</f>
        <v>320</v>
      </c>
      <c r="K31" s="51">
        <f>VLOOKUP($A31,'Data Vlaue (Cr)'!$C:$FB,60)</f>
        <v>163</v>
      </c>
      <c r="L31" s="51">
        <f>VLOOKUP($A31,'Data Vlaue (Cr)'!$C:$FB,62)*100</f>
        <v>95.91</v>
      </c>
      <c r="M31" s="51">
        <f>VLOOKUP($A31,'Data Vlaue (Cr)'!$C:$FB,63)</f>
        <v>193</v>
      </c>
      <c r="N31" s="51">
        <f>VLOOKUP($A31,'Data Vlaue (Cr)'!$C:$FB,64)</f>
        <v>120</v>
      </c>
      <c r="O31" s="51">
        <f>VLOOKUP($A31,'Data Vlaue (Cr)'!$C:$FB,66)*100</f>
        <v>60.56</v>
      </c>
    </row>
    <row r="32" spans="1:15" x14ac:dyDescent="0.25">
      <c r="A32" s="101" t="str">
        <f>'Data Vlaue (Cr)'!C27</f>
        <v>BANKBARODA</v>
      </c>
      <c r="B32" s="50">
        <f>VLOOKUP($A32,'Data Vlaue (Cr)'!$C:$FB,8)</f>
        <v>281.01</v>
      </c>
      <c r="C32" s="50">
        <f>VLOOKUP($A32,'Data Vlaue (Cr)'!$C:$FB,11)*100</f>
        <v>0.2</v>
      </c>
      <c r="D32" s="50">
        <f>VLOOKUP($A32,'Data Vlaue (Cr)'!$C:$FB,143)</f>
        <v>3339.47</v>
      </c>
      <c r="E32" s="50">
        <f>VLOOKUP($A32,'Data Vlaue (Cr)'!$C:$FB,144)</f>
        <v>2379.65</v>
      </c>
      <c r="F32" s="50">
        <f>VLOOKUP($A32,'Data Vlaue (Cr)'!$C:$FB,146)*100</f>
        <v>40.33</v>
      </c>
      <c r="G32" s="49">
        <f>VLOOKUP($A32,'Data Vlaue (Cr)'!$C:$FB,43)</f>
        <v>750</v>
      </c>
      <c r="H32" s="49">
        <f>VLOOKUP($A32,'Data Vlaue (Cr)'!$C:$FB,44)</f>
        <v>759</v>
      </c>
      <c r="I32" s="49">
        <f>VLOOKUP($A32,'Data Vlaue (Cr)'!$C:$FB,46)*100</f>
        <v>-1.1599999999999999</v>
      </c>
      <c r="J32" s="51">
        <f>VLOOKUP($A32,'Data Vlaue (Cr)'!$C:$FB,59)</f>
        <v>1561</v>
      </c>
      <c r="K32" s="51">
        <f>VLOOKUP($A32,'Data Vlaue (Cr)'!$C:$FB,60)</f>
        <v>943</v>
      </c>
      <c r="L32" s="51">
        <f>VLOOKUP($A32,'Data Vlaue (Cr)'!$C:$FB,62)*100</f>
        <v>65.62</v>
      </c>
      <c r="M32" s="51">
        <f>VLOOKUP($A32,'Data Vlaue (Cr)'!$C:$FB,63)</f>
        <v>969</v>
      </c>
      <c r="N32" s="51">
        <f>VLOOKUP($A32,'Data Vlaue (Cr)'!$C:$FB,64)</f>
        <v>668</v>
      </c>
      <c r="O32" s="51">
        <f>VLOOKUP($A32,'Data Vlaue (Cr)'!$C:$FB,66)*100</f>
        <v>45.019999999999996</v>
      </c>
    </row>
    <row r="33" spans="1:15" x14ac:dyDescent="0.25">
      <c r="A33" s="101" t="str">
        <f>'Data Vlaue (Cr)'!C28</f>
        <v>BANKINDIA</v>
      </c>
      <c r="B33" s="50">
        <f>VLOOKUP($A33,'Data Vlaue (Cr)'!$C:$FB,8)</f>
        <v>148.31</v>
      </c>
      <c r="C33" s="50">
        <f>VLOOKUP($A33,'Data Vlaue (Cr)'!$C:$FB,11)*100</f>
        <v>0.13999999999999999</v>
      </c>
      <c r="D33" s="50">
        <f>VLOOKUP($A33,'Data Vlaue (Cr)'!$C:$FB,143)</f>
        <v>1095.9000000000001</v>
      </c>
      <c r="E33" s="50">
        <f>VLOOKUP($A33,'Data Vlaue (Cr)'!$C:$FB,144)</f>
        <v>744.63</v>
      </c>
      <c r="F33" s="50">
        <f>VLOOKUP($A33,'Data Vlaue (Cr)'!$C:$FB,146)*100</f>
        <v>47.17</v>
      </c>
      <c r="G33" s="49">
        <f>VLOOKUP($A33,'Data Vlaue (Cr)'!$C:$FB,43)</f>
        <v>247</v>
      </c>
      <c r="H33" s="49">
        <f>VLOOKUP($A33,'Data Vlaue (Cr)'!$C:$FB,44)</f>
        <v>208</v>
      </c>
      <c r="I33" s="49">
        <f>VLOOKUP($A33,'Data Vlaue (Cr)'!$C:$FB,46)*100</f>
        <v>18.62</v>
      </c>
      <c r="J33" s="51">
        <f>VLOOKUP($A33,'Data Vlaue (Cr)'!$C:$FB,59)</f>
        <v>650</v>
      </c>
      <c r="K33" s="51">
        <f>VLOOKUP($A33,'Data Vlaue (Cr)'!$C:$FB,60)</f>
        <v>355</v>
      </c>
      <c r="L33" s="51">
        <f>VLOOKUP($A33,'Data Vlaue (Cr)'!$C:$FB,62)*100</f>
        <v>83.399999999999991</v>
      </c>
      <c r="M33" s="51">
        <f>VLOOKUP($A33,'Data Vlaue (Cr)'!$C:$FB,63)</f>
        <v>168</v>
      </c>
      <c r="N33" s="51">
        <f>VLOOKUP($A33,'Data Vlaue (Cr)'!$C:$FB,64)</f>
        <v>169</v>
      </c>
      <c r="O33" s="51">
        <f>VLOOKUP($A33,'Data Vlaue (Cr)'!$C:$FB,66)*100</f>
        <v>-0.5</v>
      </c>
    </row>
    <row r="34" spans="1:15" x14ac:dyDescent="0.25">
      <c r="A34" s="101" t="str">
        <f>'Data Vlaue (Cr)'!C29</f>
        <v>BANKNIFTY</v>
      </c>
      <c r="B34" s="50">
        <f>VLOOKUP($A34,'Data Vlaue (Cr)'!$C:$FB,8)</f>
        <v>56582.35</v>
      </c>
      <c r="C34" s="50">
        <f>VLOOKUP($A34,'Data Vlaue (Cr)'!$C:$FB,11)*100</f>
        <v>0.03</v>
      </c>
      <c r="D34" s="50">
        <f>VLOOKUP($A34,'Data Vlaue (Cr)'!$C:$FB,143)</f>
        <v>621428.1</v>
      </c>
      <c r="E34" s="50">
        <f>VLOOKUP($A34,'Data Vlaue (Cr)'!$C:$FB,144)</f>
        <v>435846.19</v>
      </c>
      <c r="F34" s="50">
        <f>VLOOKUP($A34,'Data Vlaue (Cr)'!$C:$FB,146)*100</f>
        <v>42.58</v>
      </c>
      <c r="G34" s="49">
        <f>VLOOKUP($A34,'Data Vlaue (Cr)'!$C:$FB,43)</f>
        <v>6693</v>
      </c>
      <c r="H34" s="49">
        <f>VLOOKUP($A34,'Data Vlaue (Cr)'!$C:$FB,44)</f>
        <v>4317</v>
      </c>
      <c r="I34" s="49">
        <f>VLOOKUP($A34,'Data Vlaue (Cr)'!$C:$FB,46)*100</f>
        <v>55.02</v>
      </c>
      <c r="J34" s="51">
        <f>VLOOKUP($A34,'Data Vlaue (Cr)'!$C:$FB,59)</f>
        <v>315143</v>
      </c>
      <c r="K34" s="51">
        <f>VLOOKUP($A34,'Data Vlaue (Cr)'!$C:$FB,60)</f>
        <v>229916</v>
      </c>
      <c r="L34" s="51">
        <f>VLOOKUP($A34,'Data Vlaue (Cr)'!$C:$FB,62)*100</f>
        <v>37.07</v>
      </c>
      <c r="M34" s="51">
        <f>VLOOKUP($A34,'Data Vlaue (Cr)'!$C:$FB,63)</f>
        <v>297273</v>
      </c>
      <c r="N34" s="51">
        <f>VLOOKUP($A34,'Data Vlaue (Cr)'!$C:$FB,64)</f>
        <v>202176</v>
      </c>
      <c r="O34" s="51">
        <f>VLOOKUP($A34,'Data Vlaue (Cr)'!$C:$FB,66)*100</f>
        <v>47.04</v>
      </c>
    </row>
    <row r="35" spans="1:15" x14ac:dyDescent="0.25">
      <c r="A35" s="101" t="str">
        <f>'Data Vlaue (Cr)'!C30</f>
        <v>BDL</v>
      </c>
      <c r="B35" s="50">
        <f>VLOOKUP($A35,'Data Vlaue (Cr)'!$C:$FB,8)</f>
        <v>1369.8</v>
      </c>
      <c r="C35" s="50">
        <f>VLOOKUP($A35,'Data Vlaue (Cr)'!$C:$FB,11)*100</f>
        <v>-0.79</v>
      </c>
      <c r="D35" s="50">
        <f>VLOOKUP($A35,'Data Vlaue (Cr)'!$C:$FB,143)</f>
        <v>657.91</v>
      </c>
      <c r="E35" s="50">
        <f>VLOOKUP($A35,'Data Vlaue (Cr)'!$C:$FB,144)</f>
        <v>1445.7</v>
      </c>
      <c r="F35" s="50">
        <f>VLOOKUP($A35,'Data Vlaue (Cr)'!$C:$FB,146)*100</f>
        <v>-54.49</v>
      </c>
      <c r="G35" s="49">
        <f>VLOOKUP($A35,'Data Vlaue (Cr)'!$C:$FB,43)</f>
        <v>142</v>
      </c>
      <c r="H35" s="49">
        <f>VLOOKUP($A35,'Data Vlaue (Cr)'!$C:$FB,44)</f>
        <v>162</v>
      </c>
      <c r="I35" s="49">
        <f>VLOOKUP($A35,'Data Vlaue (Cr)'!$C:$FB,46)*100</f>
        <v>-12.49</v>
      </c>
      <c r="J35" s="51">
        <f>VLOOKUP($A35,'Data Vlaue (Cr)'!$C:$FB,59)</f>
        <v>297</v>
      </c>
      <c r="K35" s="51">
        <f>VLOOKUP($A35,'Data Vlaue (Cr)'!$C:$FB,60)</f>
        <v>822</v>
      </c>
      <c r="L35" s="51">
        <f>VLOOKUP($A35,'Data Vlaue (Cr)'!$C:$FB,62)*100</f>
        <v>-63.839999999999996</v>
      </c>
      <c r="M35" s="51">
        <f>VLOOKUP($A35,'Data Vlaue (Cr)'!$C:$FB,63)</f>
        <v>216</v>
      </c>
      <c r="N35" s="51">
        <f>VLOOKUP($A35,'Data Vlaue (Cr)'!$C:$FB,64)</f>
        <v>430</v>
      </c>
      <c r="O35" s="51">
        <f>VLOOKUP($A35,'Data Vlaue (Cr)'!$C:$FB,66)*100</f>
        <v>-49.730000000000004</v>
      </c>
    </row>
    <row r="36" spans="1:15" x14ac:dyDescent="0.25">
      <c r="A36" s="101" t="str">
        <f>'Data Vlaue (Cr)'!C31</f>
        <v>BEL</v>
      </c>
      <c r="B36" s="50">
        <f>VLOOKUP($A36,'Data Vlaue (Cr)'!$C:$FB,8)</f>
        <v>457.55</v>
      </c>
      <c r="C36" s="50">
        <f>VLOOKUP($A36,'Data Vlaue (Cr)'!$C:$FB,11)*100</f>
        <v>-1.1199999999999999</v>
      </c>
      <c r="D36" s="50">
        <f>VLOOKUP($A36,'Data Vlaue (Cr)'!$C:$FB,143)</f>
        <v>4039.41</v>
      </c>
      <c r="E36" s="50">
        <f>VLOOKUP($A36,'Data Vlaue (Cr)'!$C:$FB,144)</f>
        <v>6019.79</v>
      </c>
      <c r="F36" s="50">
        <f>VLOOKUP($A36,'Data Vlaue (Cr)'!$C:$FB,146)*100</f>
        <v>-32.9</v>
      </c>
      <c r="G36" s="49">
        <f>VLOOKUP($A36,'Data Vlaue (Cr)'!$C:$FB,43)</f>
        <v>594</v>
      </c>
      <c r="H36" s="49">
        <f>VLOOKUP($A36,'Data Vlaue (Cr)'!$C:$FB,44)</f>
        <v>571</v>
      </c>
      <c r="I36" s="49">
        <f>VLOOKUP($A36,'Data Vlaue (Cr)'!$C:$FB,46)*100</f>
        <v>4.0599999999999996</v>
      </c>
      <c r="J36" s="51">
        <f>VLOOKUP($A36,'Data Vlaue (Cr)'!$C:$FB,59)</f>
        <v>2113</v>
      </c>
      <c r="K36" s="51">
        <f>VLOOKUP($A36,'Data Vlaue (Cr)'!$C:$FB,60)</f>
        <v>3558</v>
      </c>
      <c r="L36" s="51">
        <f>VLOOKUP($A36,'Data Vlaue (Cr)'!$C:$FB,62)*100</f>
        <v>-40.61</v>
      </c>
      <c r="M36" s="51">
        <f>VLOOKUP($A36,'Data Vlaue (Cr)'!$C:$FB,63)</f>
        <v>1239</v>
      </c>
      <c r="N36" s="51">
        <f>VLOOKUP($A36,'Data Vlaue (Cr)'!$C:$FB,64)</f>
        <v>1768</v>
      </c>
      <c r="O36" s="51">
        <f>VLOOKUP($A36,'Data Vlaue (Cr)'!$C:$FB,66)*100</f>
        <v>-29.9</v>
      </c>
    </row>
    <row r="37" spans="1:15" x14ac:dyDescent="0.25">
      <c r="A37" s="101" t="str">
        <f>'Data Vlaue (Cr)'!C32</f>
        <v>BHARATFORG</v>
      </c>
      <c r="B37" s="50">
        <f>VLOOKUP($A37,'Data Vlaue (Cr)'!$C:$FB,8)</f>
        <v>1866.2</v>
      </c>
      <c r="C37" s="50">
        <f>VLOOKUP($A37,'Data Vlaue (Cr)'!$C:$FB,11)*100</f>
        <v>0.31</v>
      </c>
      <c r="D37" s="50">
        <f>VLOOKUP($A37,'Data Vlaue (Cr)'!$C:$FB,143)</f>
        <v>1168.0899999999999</v>
      </c>
      <c r="E37" s="50">
        <f>VLOOKUP($A37,'Data Vlaue (Cr)'!$C:$FB,144)</f>
        <v>1446.29</v>
      </c>
      <c r="F37" s="50">
        <f>VLOOKUP($A37,'Data Vlaue (Cr)'!$C:$FB,146)*100</f>
        <v>-19.239999999999998</v>
      </c>
      <c r="G37" s="49">
        <f>VLOOKUP($A37,'Data Vlaue (Cr)'!$C:$FB,43)</f>
        <v>277</v>
      </c>
      <c r="H37" s="49">
        <f>VLOOKUP($A37,'Data Vlaue (Cr)'!$C:$FB,44)</f>
        <v>278</v>
      </c>
      <c r="I37" s="49">
        <f>VLOOKUP($A37,'Data Vlaue (Cr)'!$C:$FB,46)*100</f>
        <v>-0.13</v>
      </c>
      <c r="J37" s="51">
        <f>VLOOKUP($A37,'Data Vlaue (Cr)'!$C:$FB,59)</f>
        <v>550</v>
      </c>
      <c r="K37" s="51">
        <f>VLOOKUP($A37,'Data Vlaue (Cr)'!$C:$FB,60)</f>
        <v>710</v>
      </c>
      <c r="L37" s="51">
        <f>VLOOKUP($A37,'Data Vlaue (Cr)'!$C:$FB,62)*100</f>
        <v>-22.55</v>
      </c>
      <c r="M37" s="51">
        <f>VLOOKUP($A37,'Data Vlaue (Cr)'!$C:$FB,63)</f>
        <v>333</v>
      </c>
      <c r="N37" s="51">
        <f>VLOOKUP($A37,'Data Vlaue (Cr)'!$C:$FB,64)</f>
        <v>453</v>
      </c>
      <c r="O37" s="51">
        <f>VLOOKUP($A37,'Data Vlaue (Cr)'!$C:$FB,66)*100</f>
        <v>-26.58</v>
      </c>
    </row>
    <row r="38" spans="1:15" x14ac:dyDescent="0.25">
      <c r="A38" s="101" t="str">
        <f>'Data Vlaue (Cr)'!C33</f>
        <v>BHARTIARTL</v>
      </c>
      <c r="B38" s="50">
        <f>VLOOKUP($A38,'Data Vlaue (Cr)'!$C:$FB,8)</f>
        <v>1846.1</v>
      </c>
      <c r="C38" s="50">
        <f>VLOOKUP($A38,'Data Vlaue (Cr)'!$C:$FB,11)*100</f>
        <v>-0.04</v>
      </c>
      <c r="D38" s="50">
        <f>VLOOKUP($A38,'Data Vlaue (Cr)'!$C:$FB,143)</f>
        <v>6788.77</v>
      </c>
      <c r="E38" s="50">
        <f>VLOOKUP($A38,'Data Vlaue (Cr)'!$C:$FB,144)</f>
        <v>5025.84</v>
      </c>
      <c r="F38" s="50">
        <f>VLOOKUP($A38,'Data Vlaue (Cr)'!$C:$FB,146)*100</f>
        <v>35.08</v>
      </c>
      <c r="G38" s="49">
        <f>VLOOKUP($A38,'Data Vlaue (Cr)'!$C:$FB,43)</f>
        <v>1157</v>
      </c>
      <c r="H38" s="49">
        <f>VLOOKUP($A38,'Data Vlaue (Cr)'!$C:$FB,44)</f>
        <v>721</v>
      </c>
      <c r="I38" s="49">
        <f>VLOOKUP($A38,'Data Vlaue (Cr)'!$C:$FB,46)*100</f>
        <v>60.41</v>
      </c>
      <c r="J38" s="51">
        <f>VLOOKUP($A38,'Data Vlaue (Cr)'!$C:$FB,59)</f>
        <v>3862</v>
      </c>
      <c r="K38" s="51">
        <f>VLOOKUP($A38,'Data Vlaue (Cr)'!$C:$FB,60)</f>
        <v>2878</v>
      </c>
      <c r="L38" s="51">
        <f>VLOOKUP($A38,'Data Vlaue (Cr)'!$C:$FB,62)*100</f>
        <v>34.17</v>
      </c>
      <c r="M38" s="51">
        <f>VLOOKUP($A38,'Data Vlaue (Cr)'!$C:$FB,63)</f>
        <v>1645</v>
      </c>
      <c r="N38" s="51">
        <f>VLOOKUP($A38,'Data Vlaue (Cr)'!$C:$FB,64)</f>
        <v>1361</v>
      </c>
      <c r="O38" s="51">
        <f>VLOOKUP($A38,'Data Vlaue (Cr)'!$C:$FB,66)*100</f>
        <v>20.91</v>
      </c>
    </row>
    <row r="39" spans="1:15" x14ac:dyDescent="0.25">
      <c r="A39" s="101" t="str">
        <f>'Data Vlaue (Cr)'!C34</f>
        <v>BHEL</v>
      </c>
      <c r="B39" s="50">
        <f>VLOOKUP($A39,'Data Vlaue (Cr)'!$C:$FB,8)</f>
        <v>325.63</v>
      </c>
      <c r="C39" s="50">
        <f>VLOOKUP($A39,'Data Vlaue (Cr)'!$C:$FB,11)*100</f>
        <v>2.79</v>
      </c>
      <c r="D39" s="50">
        <f>VLOOKUP($A39,'Data Vlaue (Cr)'!$C:$FB,143)</f>
        <v>14132.64</v>
      </c>
      <c r="E39" s="50">
        <f>VLOOKUP($A39,'Data Vlaue (Cr)'!$C:$FB,144)</f>
        <v>8686.0499999999993</v>
      </c>
      <c r="F39" s="50">
        <f>VLOOKUP($A39,'Data Vlaue (Cr)'!$C:$FB,146)*100</f>
        <v>62.7</v>
      </c>
      <c r="G39" s="49">
        <f>VLOOKUP($A39,'Data Vlaue (Cr)'!$C:$FB,43)</f>
        <v>1924</v>
      </c>
      <c r="H39" s="49">
        <f>VLOOKUP($A39,'Data Vlaue (Cr)'!$C:$FB,44)</f>
        <v>1205</v>
      </c>
      <c r="I39" s="49">
        <f>VLOOKUP($A39,'Data Vlaue (Cr)'!$C:$FB,46)*100</f>
        <v>59.72</v>
      </c>
      <c r="J39" s="51">
        <f>VLOOKUP($A39,'Data Vlaue (Cr)'!$C:$FB,59)</f>
        <v>7808</v>
      </c>
      <c r="K39" s="51">
        <f>VLOOKUP($A39,'Data Vlaue (Cr)'!$C:$FB,60)</f>
        <v>4842</v>
      </c>
      <c r="L39" s="51">
        <f>VLOOKUP($A39,'Data Vlaue (Cr)'!$C:$FB,62)*100</f>
        <v>61.250000000000007</v>
      </c>
      <c r="M39" s="51">
        <f>VLOOKUP($A39,'Data Vlaue (Cr)'!$C:$FB,63)</f>
        <v>4089</v>
      </c>
      <c r="N39" s="51">
        <f>VLOOKUP($A39,'Data Vlaue (Cr)'!$C:$FB,64)</f>
        <v>2892</v>
      </c>
      <c r="O39" s="51">
        <f>VLOOKUP($A39,'Data Vlaue (Cr)'!$C:$FB,66)*100</f>
        <v>41.36</v>
      </c>
    </row>
    <row r="40" spans="1:15" x14ac:dyDescent="0.25">
      <c r="A40" s="101" t="str">
        <f>'Data Vlaue (Cr)'!C35</f>
        <v>BIOCON</v>
      </c>
      <c r="B40" s="50">
        <f>VLOOKUP($A40,'Data Vlaue (Cr)'!$C:$FB,8)</f>
        <v>359.05</v>
      </c>
      <c r="C40" s="50">
        <f>VLOOKUP($A40,'Data Vlaue (Cr)'!$C:$FB,11)*100</f>
        <v>0.27</v>
      </c>
      <c r="D40" s="50">
        <f>VLOOKUP($A40,'Data Vlaue (Cr)'!$C:$FB,143)</f>
        <v>1405</v>
      </c>
      <c r="E40" s="50">
        <f>VLOOKUP($A40,'Data Vlaue (Cr)'!$C:$FB,144)</f>
        <v>3041.68</v>
      </c>
      <c r="F40" s="50">
        <f>VLOOKUP($A40,'Data Vlaue (Cr)'!$C:$FB,146)*100</f>
        <v>-53.81</v>
      </c>
      <c r="G40" s="49">
        <f>VLOOKUP($A40,'Data Vlaue (Cr)'!$C:$FB,43)</f>
        <v>241</v>
      </c>
      <c r="H40" s="49">
        <f>VLOOKUP($A40,'Data Vlaue (Cr)'!$C:$FB,44)</f>
        <v>328</v>
      </c>
      <c r="I40" s="49">
        <f>VLOOKUP($A40,'Data Vlaue (Cr)'!$C:$FB,46)*100</f>
        <v>-26.57</v>
      </c>
      <c r="J40" s="51">
        <f>VLOOKUP($A40,'Data Vlaue (Cr)'!$C:$FB,59)</f>
        <v>799</v>
      </c>
      <c r="K40" s="51">
        <f>VLOOKUP($A40,'Data Vlaue (Cr)'!$C:$FB,60)</f>
        <v>2155</v>
      </c>
      <c r="L40" s="51">
        <f>VLOOKUP($A40,'Data Vlaue (Cr)'!$C:$FB,62)*100</f>
        <v>-62.91</v>
      </c>
      <c r="M40" s="51">
        <f>VLOOKUP($A40,'Data Vlaue (Cr)'!$C:$FB,63)</f>
        <v>333</v>
      </c>
      <c r="N40" s="51">
        <f>VLOOKUP($A40,'Data Vlaue (Cr)'!$C:$FB,64)</f>
        <v>510</v>
      </c>
      <c r="O40" s="51">
        <f>VLOOKUP($A40,'Data Vlaue (Cr)'!$C:$FB,66)*100</f>
        <v>-34.79</v>
      </c>
    </row>
    <row r="41" spans="1:15" x14ac:dyDescent="0.25">
      <c r="A41" s="101" t="str">
        <f>'Data Vlaue (Cr)'!C36</f>
        <v>BLUESTARCO</v>
      </c>
      <c r="B41" s="50">
        <f>VLOOKUP($A41,'Data Vlaue (Cr)'!$C:$FB,8)</f>
        <v>1889</v>
      </c>
      <c r="C41" s="50">
        <f>VLOOKUP($A41,'Data Vlaue (Cr)'!$C:$FB,11)*100</f>
        <v>1.23</v>
      </c>
      <c r="D41" s="50">
        <f>VLOOKUP($A41,'Data Vlaue (Cr)'!$C:$FB,143)</f>
        <v>1307.1600000000001</v>
      </c>
      <c r="E41" s="50">
        <f>VLOOKUP($A41,'Data Vlaue (Cr)'!$C:$FB,144)</f>
        <v>751.57</v>
      </c>
      <c r="F41" s="50">
        <f>VLOOKUP($A41,'Data Vlaue (Cr)'!$C:$FB,146)*100</f>
        <v>73.929999999999993</v>
      </c>
      <c r="G41" s="49">
        <f>VLOOKUP($A41,'Data Vlaue (Cr)'!$C:$FB,43)</f>
        <v>225</v>
      </c>
      <c r="H41" s="49">
        <f>VLOOKUP($A41,'Data Vlaue (Cr)'!$C:$FB,44)</f>
        <v>261</v>
      </c>
      <c r="I41" s="49">
        <f>VLOOKUP($A41,'Data Vlaue (Cr)'!$C:$FB,46)*100</f>
        <v>-13.71</v>
      </c>
      <c r="J41" s="51">
        <f>VLOOKUP($A41,'Data Vlaue (Cr)'!$C:$FB,59)</f>
        <v>758</v>
      </c>
      <c r="K41" s="51">
        <f>VLOOKUP($A41,'Data Vlaue (Cr)'!$C:$FB,60)</f>
        <v>325</v>
      </c>
      <c r="L41" s="51">
        <f>VLOOKUP($A41,'Data Vlaue (Cr)'!$C:$FB,62)*100</f>
        <v>133.02000000000001</v>
      </c>
      <c r="M41" s="51">
        <f>VLOOKUP($A41,'Data Vlaue (Cr)'!$C:$FB,63)</f>
        <v>282</v>
      </c>
      <c r="N41" s="51">
        <f>VLOOKUP($A41,'Data Vlaue (Cr)'!$C:$FB,64)</f>
        <v>168</v>
      </c>
      <c r="O41" s="51">
        <f>VLOOKUP($A41,'Data Vlaue (Cr)'!$C:$FB,66)*100</f>
        <v>68.11</v>
      </c>
    </row>
    <row r="42" spans="1:15" x14ac:dyDescent="0.25">
      <c r="A42" s="101" t="str">
        <f>'Data Vlaue (Cr)'!C37</f>
        <v>BOSCHLTD</v>
      </c>
      <c r="B42" s="50">
        <f>VLOOKUP($A42,'Data Vlaue (Cr)'!$C:$FB,8)</f>
        <v>37790</v>
      </c>
      <c r="C42" s="50">
        <f>VLOOKUP($A42,'Data Vlaue (Cr)'!$C:$FB,11)*100</f>
        <v>0.76</v>
      </c>
      <c r="D42" s="50">
        <f>VLOOKUP($A42,'Data Vlaue (Cr)'!$C:$FB,143)</f>
        <v>2175</v>
      </c>
      <c r="E42" s="50">
        <f>VLOOKUP($A42,'Data Vlaue (Cr)'!$C:$FB,144)</f>
        <v>2848.15</v>
      </c>
      <c r="F42" s="50">
        <f>VLOOKUP($A42,'Data Vlaue (Cr)'!$C:$FB,146)*100</f>
        <v>-23.630000000000003</v>
      </c>
      <c r="G42" s="49">
        <f>VLOOKUP($A42,'Data Vlaue (Cr)'!$C:$FB,43)</f>
        <v>164</v>
      </c>
      <c r="H42" s="49">
        <f>VLOOKUP($A42,'Data Vlaue (Cr)'!$C:$FB,44)</f>
        <v>107</v>
      </c>
      <c r="I42" s="49">
        <f>VLOOKUP($A42,'Data Vlaue (Cr)'!$C:$FB,46)*100</f>
        <v>53.09</v>
      </c>
      <c r="J42" s="51">
        <f>VLOOKUP($A42,'Data Vlaue (Cr)'!$C:$FB,59)</f>
        <v>974</v>
      </c>
      <c r="K42" s="51">
        <f>VLOOKUP($A42,'Data Vlaue (Cr)'!$C:$FB,60)</f>
        <v>669</v>
      </c>
      <c r="L42" s="51">
        <f>VLOOKUP($A42,'Data Vlaue (Cr)'!$C:$FB,62)*100</f>
        <v>45.56</v>
      </c>
      <c r="M42" s="51">
        <f>VLOOKUP($A42,'Data Vlaue (Cr)'!$C:$FB,63)</f>
        <v>1081</v>
      </c>
      <c r="N42" s="51">
        <f>VLOOKUP($A42,'Data Vlaue (Cr)'!$C:$FB,64)</f>
        <v>2516</v>
      </c>
      <c r="O42" s="51">
        <f>VLOOKUP($A42,'Data Vlaue (Cr)'!$C:$FB,66)*100</f>
        <v>-57.05</v>
      </c>
    </row>
    <row r="43" spans="1:15" x14ac:dyDescent="0.25">
      <c r="A43" s="101" t="str">
        <f>'Data Vlaue (Cr)'!C38</f>
        <v>BPCL</v>
      </c>
      <c r="B43" s="50">
        <f>VLOOKUP($A43,'Data Vlaue (Cr)'!$C:$FB,8)</f>
        <v>316.05</v>
      </c>
      <c r="C43" s="50">
        <f>VLOOKUP($A43,'Data Vlaue (Cr)'!$C:$FB,11)*100</f>
        <v>1.27</v>
      </c>
      <c r="D43" s="50">
        <f>VLOOKUP($A43,'Data Vlaue (Cr)'!$C:$FB,143)</f>
        <v>3399.56</v>
      </c>
      <c r="E43" s="50">
        <f>VLOOKUP($A43,'Data Vlaue (Cr)'!$C:$FB,144)</f>
        <v>1917.06</v>
      </c>
      <c r="F43" s="50">
        <f>VLOOKUP($A43,'Data Vlaue (Cr)'!$C:$FB,146)*100</f>
        <v>77.33</v>
      </c>
      <c r="G43" s="49">
        <f>VLOOKUP($A43,'Data Vlaue (Cr)'!$C:$FB,43)</f>
        <v>355</v>
      </c>
      <c r="H43" s="49">
        <f>VLOOKUP($A43,'Data Vlaue (Cr)'!$C:$FB,44)</f>
        <v>249</v>
      </c>
      <c r="I43" s="49">
        <f>VLOOKUP($A43,'Data Vlaue (Cr)'!$C:$FB,46)*100</f>
        <v>42.5</v>
      </c>
      <c r="J43" s="51">
        <f>VLOOKUP($A43,'Data Vlaue (Cr)'!$C:$FB,59)</f>
        <v>2079</v>
      </c>
      <c r="K43" s="51">
        <f>VLOOKUP($A43,'Data Vlaue (Cr)'!$C:$FB,60)</f>
        <v>1107</v>
      </c>
      <c r="L43" s="51">
        <f>VLOOKUP($A43,'Data Vlaue (Cr)'!$C:$FB,62)*100</f>
        <v>87.78</v>
      </c>
      <c r="M43" s="51">
        <f>VLOOKUP($A43,'Data Vlaue (Cr)'!$C:$FB,63)</f>
        <v>853</v>
      </c>
      <c r="N43" s="51">
        <f>VLOOKUP($A43,'Data Vlaue (Cr)'!$C:$FB,64)</f>
        <v>531</v>
      </c>
      <c r="O43" s="51">
        <f>VLOOKUP($A43,'Data Vlaue (Cr)'!$C:$FB,66)*100</f>
        <v>60.519999999999996</v>
      </c>
    </row>
    <row r="44" spans="1:15" x14ac:dyDescent="0.25">
      <c r="A44" s="101" t="str">
        <f>'Data Vlaue (Cr)'!C39</f>
        <v>BRITANNIA</v>
      </c>
      <c r="B44" s="50">
        <f>VLOOKUP($A44,'Data Vlaue (Cr)'!$C:$FB,8)</f>
        <v>5700</v>
      </c>
      <c r="C44" s="50">
        <f>VLOOKUP($A44,'Data Vlaue (Cr)'!$C:$FB,11)*100</f>
        <v>-0.62</v>
      </c>
      <c r="D44" s="50">
        <f>VLOOKUP($A44,'Data Vlaue (Cr)'!$C:$FB,143)</f>
        <v>815.86</v>
      </c>
      <c r="E44" s="50">
        <f>VLOOKUP($A44,'Data Vlaue (Cr)'!$C:$FB,144)</f>
        <v>2114.08</v>
      </c>
      <c r="F44" s="50">
        <f>VLOOKUP($A44,'Data Vlaue (Cr)'!$C:$FB,146)*100</f>
        <v>-61.41</v>
      </c>
      <c r="G44" s="49">
        <f>VLOOKUP($A44,'Data Vlaue (Cr)'!$C:$FB,43)</f>
        <v>173</v>
      </c>
      <c r="H44" s="49">
        <f>VLOOKUP($A44,'Data Vlaue (Cr)'!$C:$FB,44)</f>
        <v>249</v>
      </c>
      <c r="I44" s="49">
        <f>VLOOKUP($A44,'Data Vlaue (Cr)'!$C:$FB,46)*100</f>
        <v>-30.53</v>
      </c>
      <c r="J44" s="51">
        <f>VLOOKUP($A44,'Data Vlaue (Cr)'!$C:$FB,59)</f>
        <v>430</v>
      </c>
      <c r="K44" s="51">
        <f>VLOOKUP($A44,'Data Vlaue (Cr)'!$C:$FB,60)</f>
        <v>1426</v>
      </c>
      <c r="L44" s="51">
        <f>VLOOKUP($A44,'Data Vlaue (Cr)'!$C:$FB,62)*100</f>
        <v>-69.87</v>
      </c>
      <c r="M44" s="51">
        <f>VLOOKUP($A44,'Data Vlaue (Cr)'!$C:$FB,63)</f>
        <v>200</v>
      </c>
      <c r="N44" s="51">
        <f>VLOOKUP($A44,'Data Vlaue (Cr)'!$C:$FB,64)</f>
        <v>402</v>
      </c>
      <c r="O44" s="51">
        <f>VLOOKUP($A44,'Data Vlaue (Cr)'!$C:$FB,66)*100</f>
        <v>-50.42</v>
      </c>
    </row>
    <row r="45" spans="1:15" x14ac:dyDescent="0.25">
      <c r="A45" s="101" t="str">
        <f>'Data Vlaue (Cr)'!C40</f>
        <v>BSE</v>
      </c>
      <c r="B45" s="50">
        <f>VLOOKUP($A45,'Data Vlaue (Cr)'!$C:$FB,8)</f>
        <v>3470.7</v>
      </c>
      <c r="C45" s="50">
        <f>VLOOKUP($A45,'Data Vlaue (Cr)'!$C:$FB,11)*100</f>
        <v>-1.72</v>
      </c>
      <c r="D45" s="50">
        <f>VLOOKUP($A45,'Data Vlaue (Cr)'!$C:$FB,143)</f>
        <v>10359.68</v>
      </c>
      <c r="E45" s="50">
        <f>VLOOKUP($A45,'Data Vlaue (Cr)'!$C:$FB,144)</f>
        <v>22843.54</v>
      </c>
      <c r="F45" s="50">
        <f>VLOOKUP($A45,'Data Vlaue (Cr)'!$C:$FB,146)*100</f>
        <v>-54.65</v>
      </c>
      <c r="G45" s="49">
        <f>VLOOKUP($A45,'Data Vlaue (Cr)'!$C:$FB,43)</f>
        <v>1129</v>
      </c>
      <c r="H45" s="49">
        <f>VLOOKUP($A45,'Data Vlaue (Cr)'!$C:$FB,44)</f>
        <v>1963</v>
      </c>
      <c r="I45" s="49">
        <f>VLOOKUP($A45,'Data Vlaue (Cr)'!$C:$FB,46)*100</f>
        <v>-42.5</v>
      </c>
      <c r="J45" s="51">
        <f>VLOOKUP($A45,'Data Vlaue (Cr)'!$C:$FB,59)</f>
        <v>3993</v>
      </c>
      <c r="K45" s="51">
        <f>VLOOKUP($A45,'Data Vlaue (Cr)'!$C:$FB,60)</f>
        <v>11691</v>
      </c>
      <c r="L45" s="51">
        <f>VLOOKUP($A45,'Data Vlaue (Cr)'!$C:$FB,62)*100</f>
        <v>-65.84</v>
      </c>
      <c r="M45" s="51">
        <f>VLOOKUP($A45,'Data Vlaue (Cr)'!$C:$FB,63)</f>
        <v>5198</v>
      </c>
      <c r="N45" s="51">
        <f>VLOOKUP($A45,'Data Vlaue (Cr)'!$C:$FB,64)</f>
        <v>8950</v>
      </c>
      <c r="O45" s="51">
        <f>VLOOKUP($A45,'Data Vlaue (Cr)'!$C:$FB,66)*100</f>
        <v>-41.93</v>
      </c>
    </row>
    <row r="46" spans="1:15" x14ac:dyDescent="0.25">
      <c r="A46" s="101" t="str">
        <f>'Data Vlaue (Cr)'!C41</f>
        <v>CAMS</v>
      </c>
      <c r="B46" s="50">
        <f>VLOOKUP($A46,'Data Vlaue (Cr)'!$C:$FB,8)</f>
        <v>749.25</v>
      </c>
      <c r="C46" s="50">
        <f>VLOOKUP($A46,'Data Vlaue (Cr)'!$C:$FB,11)*100</f>
        <v>-0.12</v>
      </c>
      <c r="D46" s="50">
        <f>VLOOKUP($A46,'Data Vlaue (Cr)'!$C:$FB,143)</f>
        <v>446.21</v>
      </c>
      <c r="E46" s="50">
        <f>VLOOKUP($A46,'Data Vlaue (Cr)'!$C:$FB,144)</f>
        <v>958.81</v>
      </c>
      <c r="F46" s="50">
        <f>VLOOKUP($A46,'Data Vlaue (Cr)'!$C:$FB,146)*100</f>
        <v>-53.459999999999994</v>
      </c>
      <c r="G46" s="49">
        <f>VLOOKUP($A46,'Data Vlaue (Cr)'!$C:$FB,43)</f>
        <v>91</v>
      </c>
      <c r="H46" s="49">
        <f>VLOOKUP($A46,'Data Vlaue (Cr)'!$C:$FB,44)</f>
        <v>190</v>
      </c>
      <c r="I46" s="49">
        <f>VLOOKUP($A46,'Data Vlaue (Cr)'!$C:$FB,46)*100</f>
        <v>-52.27</v>
      </c>
      <c r="J46" s="51">
        <f>VLOOKUP($A46,'Data Vlaue (Cr)'!$C:$FB,59)</f>
        <v>190</v>
      </c>
      <c r="K46" s="51">
        <f>VLOOKUP($A46,'Data Vlaue (Cr)'!$C:$FB,60)</f>
        <v>509</v>
      </c>
      <c r="L46" s="51">
        <f>VLOOKUP($A46,'Data Vlaue (Cr)'!$C:$FB,62)*100</f>
        <v>-62.660000000000004</v>
      </c>
      <c r="M46" s="51">
        <f>VLOOKUP($A46,'Data Vlaue (Cr)'!$C:$FB,63)</f>
        <v>161</v>
      </c>
      <c r="N46" s="51">
        <f>VLOOKUP($A46,'Data Vlaue (Cr)'!$C:$FB,64)</f>
        <v>249</v>
      </c>
      <c r="O46" s="51">
        <f>VLOOKUP($A46,'Data Vlaue (Cr)'!$C:$FB,66)*100</f>
        <v>-35.28</v>
      </c>
    </row>
    <row r="47" spans="1:15" x14ac:dyDescent="0.25">
      <c r="A47" s="101" t="str">
        <f>'Data Vlaue (Cr)'!C42</f>
        <v>CANBK</v>
      </c>
      <c r="B47" s="50">
        <f>VLOOKUP($A47,'Data Vlaue (Cr)'!$C:$FB,8)</f>
        <v>142.74</v>
      </c>
      <c r="C47" s="50">
        <f>VLOOKUP($A47,'Data Vlaue (Cr)'!$C:$FB,11)*100</f>
        <v>0.26</v>
      </c>
      <c r="D47" s="50">
        <f>VLOOKUP($A47,'Data Vlaue (Cr)'!$C:$FB,143)</f>
        <v>3266.52</v>
      </c>
      <c r="E47" s="50">
        <f>VLOOKUP($A47,'Data Vlaue (Cr)'!$C:$FB,144)</f>
        <v>2216.64</v>
      </c>
      <c r="F47" s="50">
        <f>VLOOKUP($A47,'Data Vlaue (Cr)'!$C:$FB,146)*100</f>
        <v>47.36</v>
      </c>
      <c r="G47" s="49">
        <f>VLOOKUP($A47,'Data Vlaue (Cr)'!$C:$FB,43)</f>
        <v>728</v>
      </c>
      <c r="H47" s="49">
        <f>VLOOKUP($A47,'Data Vlaue (Cr)'!$C:$FB,44)</f>
        <v>734</v>
      </c>
      <c r="I47" s="49">
        <f>VLOOKUP($A47,'Data Vlaue (Cr)'!$C:$FB,46)*100</f>
        <v>-0.79</v>
      </c>
      <c r="J47" s="51">
        <f>VLOOKUP($A47,'Data Vlaue (Cr)'!$C:$FB,59)</f>
        <v>1465</v>
      </c>
      <c r="K47" s="51">
        <f>VLOOKUP($A47,'Data Vlaue (Cr)'!$C:$FB,60)</f>
        <v>932</v>
      </c>
      <c r="L47" s="51">
        <f>VLOOKUP($A47,'Data Vlaue (Cr)'!$C:$FB,62)*100</f>
        <v>57.110000000000007</v>
      </c>
      <c r="M47" s="51">
        <f>VLOOKUP($A47,'Data Vlaue (Cr)'!$C:$FB,63)</f>
        <v>1019</v>
      </c>
      <c r="N47" s="51">
        <f>VLOOKUP($A47,'Data Vlaue (Cr)'!$C:$FB,64)</f>
        <v>531</v>
      </c>
      <c r="O47" s="51">
        <f>VLOOKUP($A47,'Data Vlaue (Cr)'!$C:$FB,66)*100</f>
        <v>92.100000000000009</v>
      </c>
    </row>
    <row r="48" spans="1:15" x14ac:dyDescent="0.25">
      <c r="A48" s="101" t="str">
        <f>'Data Vlaue (Cr)'!C43</f>
        <v>CDSL</v>
      </c>
      <c r="B48" s="50">
        <f>VLOOKUP($A48,'Data Vlaue (Cr)'!$C:$FB,8)</f>
        <v>1370.3</v>
      </c>
      <c r="C48" s="50">
        <f>VLOOKUP($A48,'Data Vlaue (Cr)'!$C:$FB,11)*100</f>
        <v>-1.6400000000000001</v>
      </c>
      <c r="D48" s="50">
        <f>VLOOKUP($A48,'Data Vlaue (Cr)'!$C:$FB,143)</f>
        <v>2108.37</v>
      </c>
      <c r="E48" s="50">
        <f>VLOOKUP($A48,'Data Vlaue (Cr)'!$C:$FB,144)</f>
        <v>2780.97</v>
      </c>
      <c r="F48" s="50">
        <f>VLOOKUP($A48,'Data Vlaue (Cr)'!$C:$FB,146)*100</f>
        <v>-24.19</v>
      </c>
      <c r="G48" s="49">
        <f>VLOOKUP($A48,'Data Vlaue (Cr)'!$C:$FB,43)</f>
        <v>428</v>
      </c>
      <c r="H48" s="49">
        <f>VLOOKUP($A48,'Data Vlaue (Cr)'!$C:$FB,44)</f>
        <v>333</v>
      </c>
      <c r="I48" s="49">
        <f>VLOOKUP($A48,'Data Vlaue (Cr)'!$C:$FB,46)*100</f>
        <v>28.83</v>
      </c>
      <c r="J48" s="51">
        <f>VLOOKUP($A48,'Data Vlaue (Cr)'!$C:$FB,59)</f>
        <v>973</v>
      </c>
      <c r="K48" s="51">
        <f>VLOOKUP($A48,'Data Vlaue (Cr)'!$C:$FB,60)</f>
        <v>1512</v>
      </c>
      <c r="L48" s="51">
        <f>VLOOKUP($A48,'Data Vlaue (Cr)'!$C:$FB,62)*100</f>
        <v>-35.630000000000003</v>
      </c>
      <c r="M48" s="51">
        <f>VLOOKUP($A48,'Data Vlaue (Cr)'!$C:$FB,63)</f>
        <v>664</v>
      </c>
      <c r="N48" s="51">
        <f>VLOOKUP($A48,'Data Vlaue (Cr)'!$C:$FB,64)</f>
        <v>859</v>
      </c>
      <c r="O48" s="51">
        <f>VLOOKUP($A48,'Data Vlaue (Cr)'!$C:$FB,66)*100</f>
        <v>-22.74</v>
      </c>
    </row>
    <row r="49" spans="1:15" x14ac:dyDescent="0.25">
      <c r="A49" s="101" t="str">
        <f>'Data Vlaue (Cr)'!C44</f>
        <v>CGPOWER</v>
      </c>
      <c r="B49" s="50">
        <f>VLOOKUP($A49,'Data Vlaue (Cr)'!$C:$FB,8)</f>
        <v>795.7</v>
      </c>
      <c r="C49" s="50">
        <f>VLOOKUP($A49,'Data Vlaue (Cr)'!$C:$FB,11)*100</f>
        <v>2.7</v>
      </c>
      <c r="D49" s="50">
        <f>VLOOKUP($A49,'Data Vlaue (Cr)'!$C:$FB,143)</f>
        <v>3347.43</v>
      </c>
      <c r="E49" s="50">
        <f>VLOOKUP($A49,'Data Vlaue (Cr)'!$C:$FB,144)</f>
        <v>1703.39</v>
      </c>
      <c r="F49" s="50">
        <f>VLOOKUP($A49,'Data Vlaue (Cr)'!$C:$FB,146)*100</f>
        <v>96.52</v>
      </c>
      <c r="G49" s="49">
        <f>VLOOKUP($A49,'Data Vlaue (Cr)'!$C:$FB,43)</f>
        <v>385</v>
      </c>
      <c r="H49" s="49">
        <f>VLOOKUP($A49,'Data Vlaue (Cr)'!$C:$FB,44)</f>
        <v>285</v>
      </c>
      <c r="I49" s="49">
        <f>VLOOKUP($A49,'Data Vlaue (Cr)'!$C:$FB,46)*100</f>
        <v>34.870000000000005</v>
      </c>
      <c r="J49" s="51">
        <f>VLOOKUP($A49,'Data Vlaue (Cr)'!$C:$FB,59)</f>
        <v>2146</v>
      </c>
      <c r="K49" s="51">
        <f>VLOOKUP($A49,'Data Vlaue (Cr)'!$C:$FB,60)</f>
        <v>1094</v>
      </c>
      <c r="L49" s="51">
        <f>VLOOKUP($A49,'Data Vlaue (Cr)'!$C:$FB,62)*100</f>
        <v>96.179999999999993</v>
      </c>
      <c r="M49" s="51">
        <f>VLOOKUP($A49,'Data Vlaue (Cr)'!$C:$FB,63)</f>
        <v>766</v>
      </c>
      <c r="N49" s="51">
        <f>VLOOKUP($A49,'Data Vlaue (Cr)'!$C:$FB,64)</f>
        <v>349</v>
      </c>
      <c r="O49" s="51">
        <f>VLOOKUP($A49,'Data Vlaue (Cr)'!$C:$FB,66)*100</f>
        <v>119.44</v>
      </c>
    </row>
    <row r="50" spans="1:15" x14ac:dyDescent="0.25">
      <c r="A50" s="101" t="str">
        <f>'Data Vlaue (Cr)'!C45</f>
        <v>CHOLAFIN</v>
      </c>
      <c r="B50" s="50">
        <f>VLOOKUP($A50,'Data Vlaue (Cr)'!$C:$FB,8)</f>
        <v>1569.3</v>
      </c>
      <c r="C50" s="50">
        <f>VLOOKUP($A50,'Data Vlaue (Cr)'!$C:$FB,11)*100</f>
        <v>-0.61</v>
      </c>
      <c r="D50" s="50">
        <f>VLOOKUP($A50,'Data Vlaue (Cr)'!$C:$FB,143)</f>
        <v>1052.56</v>
      </c>
      <c r="E50" s="50">
        <f>VLOOKUP($A50,'Data Vlaue (Cr)'!$C:$FB,144)</f>
        <v>1805.06</v>
      </c>
      <c r="F50" s="50">
        <f>VLOOKUP($A50,'Data Vlaue (Cr)'!$C:$FB,146)*100</f>
        <v>-41.69</v>
      </c>
      <c r="G50" s="49">
        <f>VLOOKUP($A50,'Data Vlaue (Cr)'!$C:$FB,43)</f>
        <v>245</v>
      </c>
      <c r="H50" s="49">
        <f>VLOOKUP($A50,'Data Vlaue (Cr)'!$C:$FB,44)</f>
        <v>531</v>
      </c>
      <c r="I50" s="49">
        <f>VLOOKUP($A50,'Data Vlaue (Cr)'!$C:$FB,46)*100</f>
        <v>-53.910000000000004</v>
      </c>
      <c r="J50" s="51">
        <f>VLOOKUP($A50,'Data Vlaue (Cr)'!$C:$FB,59)</f>
        <v>472</v>
      </c>
      <c r="K50" s="51">
        <f>VLOOKUP($A50,'Data Vlaue (Cr)'!$C:$FB,60)</f>
        <v>749</v>
      </c>
      <c r="L50" s="51">
        <f>VLOOKUP($A50,'Data Vlaue (Cr)'!$C:$FB,62)*100</f>
        <v>-36.96</v>
      </c>
      <c r="M50" s="51">
        <f>VLOOKUP($A50,'Data Vlaue (Cr)'!$C:$FB,63)</f>
        <v>323</v>
      </c>
      <c r="N50" s="51">
        <f>VLOOKUP($A50,'Data Vlaue (Cr)'!$C:$FB,64)</f>
        <v>496</v>
      </c>
      <c r="O50" s="51">
        <f>VLOOKUP($A50,'Data Vlaue (Cr)'!$C:$FB,66)*100</f>
        <v>-34.78</v>
      </c>
    </row>
    <row r="51" spans="1:15" x14ac:dyDescent="0.25">
      <c r="A51" s="101" t="str">
        <f>'Data Vlaue (Cr)'!C46</f>
        <v>CIPLA</v>
      </c>
      <c r="B51" s="50">
        <f>VLOOKUP($A51,'Data Vlaue (Cr)'!$C:$FB,8)</f>
        <v>1229.5</v>
      </c>
      <c r="C51" s="50">
        <f>VLOOKUP($A51,'Data Vlaue (Cr)'!$C:$FB,11)*100</f>
        <v>-0.91</v>
      </c>
      <c r="D51" s="50">
        <f>VLOOKUP($A51,'Data Vlaue (Cr)'!$C:$FB,143)</f>
        <v>1324.05</v>
      </c>
      <c r="E51" s="50">
        <f>VLOOKUP($A51,'Data Vlaue (Cr)'!$C:$FB,144)</f>
        <v>1222.6600000000001</v>
      </c>
      <c r="F51" s="50">
        <f>VLOOKUP($A51,'Data Vlaue (Cr)'!$C:$FB,146)*100</f>
        <v>8.2900000000000009</v>
      </c>
      <c r="G51" s="49">
        <f>VLOOKUP($A51,'Data Vlaue (Cr)'!$C:$FB,43)</f>
        <v>430</v>
      </c>
      <c r="H51" s="49">
        <f>VLOOKUP($A51,'Data Vlaue (Cr)'!$C:$FB,44)</f>
        <v>201</v>
      </c>
      <c r="I51" s="49">
        <f>VLOOKUP($A51,'Data Vlaue (Cr)'!$C:$FB,46)*100</f>
        <v>113.88000000000001</v>
      </c>
      <c r="J51" s="51">
        <f>VLOOKUP($A51,'Data Vlaue (Cr)'!$C:$FB,59)</f>
        <v>656</v>
      </c>
      <c r="K51" s="51">
        <f>VLOOKUP($A51,'Data Vlaue (Cr)'!$C:$FB,60)</f>
        <v>725</v>
      </c>
      <c r="L51" s="51">
        <f>VLOOKUP($A51,'Data Vlaue (Cr)'!$C:$FB,62)*100</f>
        <v>-9.51</v>
      </c>
      <c r="M51" s="51">
        <f>VLOOKUP($A51,'Data Vlaue (Cr)'!$C:$FB,63)</f>
        <v>211</v>
      </c>
      <c r="N51" s="51">
        <f>VLOOKUP($A51,'Data Vlaue (Cr)'!$C:$FB,64)</f>
        <v>270</v>
      </c>
      <c r="O51" s="51">
        <f>VLOOKUP($A51,'Data Vlaue (Cr)'!$C:$FB,66)*100</f>
        <v>-21.98</v>
      </c>
    </row>
    <row r="52" spans="1:15" x14ac:dyDescent="0.25">
      <c r="A52" s="101" t="str">
        <f>'Data Vlaue (Cr)'!C47</f>
        <v>COALINDIA</v>
      </c>
      <c r="B52" s="50">
        <f>VLOOKUP($A52,'Data Vlaue (Cr)'!$C:$FB,8)</f>
        <v>441.75</v>
      </c>
      <c r="C52" s="50">
        <f>VLOOKUP($A52,'Data Vlaue (Cr)'!$C:$FB,11)*100</f>
        <v>0.67999999999999994</v>
      </c>
      <c r="D52" s="50">
        <f>VLOOKUP($A52,'Data Vlaue (Cr)'!$C:$FB,143)</f>
        <v>3742.91</v>
      </c>
      <c r="E52" s="50">
        <f>VLOOKUP($A52,'Data Vlaue (Cr)'!$C:$FB,144)</f>
        <v>4237.8100000000004</v>
      </c>
      <c r="F52" s="50">
        <f>VLOOKUP($A52,'Data Vlaue (Cr)'!$C:$FB,146)*100</f>
        <v>-11.68</v>
      </c>
      <c r="G52" s="49">
        <f>VLOOKUP($A52,'Data Vlaue (Cr)'!$C:$FB,43)</f>
        <v>440</v>
      </c>
      <c r="H52" s="49">
        <f>VLOOKUP($A52,'Data Vlaue (Cr)'!$C:$FB,44)</f>
        <v>608</v>
      </c>
      <c r="I52" s="49">
        <f>VLOOKUP($A52,'Data Vlaue (Cr)'!$C:$FB,46)*100</f>
        <v>-27.62</v>
      </c>
      <c r="J52" s="51">
        <f>VLOOKUP($A52,'Data Vlaue (Cr)'!$C:$FB,59)</f>
        <v>2103</v>
      </c>
      <c r="K52" s="51">
        <f>VLOOKUP($A52,'Data Vlaue (Cr)'!$C:$FB,60)</f>
        <v>2253</v>
      </c>
      <c r="L52" s="51">
        <f>VLOOKUP($A52,'Data Vlaue (Cr)'!$C:$FB,62)*100</f>
        <v>-6.660000000000001</v>
      </c>
      <c r="M52" s="51">
        <f>VLOOKUP($A52,'Data Vlaue (Cr)'!$C:$FB,63)</f>
        <v>1144</v>
      </c>
      <c r="N52" s="51">
        <f>VLOOKUP($A52,'Data Vlaue (Cr)'!$C:$FB,64)</f>
        <v>1351</v>
      </c>
      <c r="O52" s="51">
        <f>VLOOKUP($A52,'Data Vlaue (Cr)'!$C:$FB,66)*100</f>
        <v>-15.370000000000001</v>
      </c>
    </row>
    <row r="53" spans="1:15" x14ac:dyDescent="0.25">
      <c r="A53" s="101" t="str">
        <f>'Data Vlaue (Cr)'!C48</f>
        <v>COCHINSHIP</v>
      </c>
      <c r="B53" s="50">
        <f>VLOOKUP($A53,'Data Vlaue (Cr)'!$C:$FB,8)</f>
        <v>1544.9</v>
      </c>
      <c r="C53" s="50">
        <f>VLOOKUP($A53,'Data Vlaue (Cr)'!$C:$FB,11)*100</f>
        <v>-1.04</v>
      </c>
      <c r="D53" s="50">
        <f>VLOOKUP($A53,'Data Vlaue (Cr)'!$C:$FB,143)</f>
        <v>690.8</v>
      </c>
      <c r="E53" s="50">
        <f>VLOOKUP($A53,'Data Vlaue (Cr)'!$C:$FB,144)</f>
        <v>1949.9</v>
      </c>
      <c r="F53" s="50">
        <f>VLOOKUP($A53,'Data Vlaue (Cr)'!$C:$FB,146)*100</f>
        <v>-64.570000000000007</v>
      </c>
      <c r="G53" s="49">
        <f>VLOOKUP($A53,'Data Vlaue (Cr)'!$C:$FB,43)</f>
        <v>156</v>
      </c>
      <c r="H53" s="49">
        <f>VLOOKUP($A53,'Data Vlaue (Cr)'!$C:$FB,44)</f>
        <v>265</v>
      </c>
      <c r="I53" s="49">
        <f>VLOOKUP($A53,'Data Vlaue (Cr)'!$C:$FB,46)*100</f>
        <v>-41.28</v>
      </c>
      <c r="J53" s="51">
        <f>VLOOKUP($A53,'Data Vlaue (Cr)'!$C:$FB,59)</f>
        <v>394</v>
      </c>
      <c r="K53" s="51">
        <f>VLOOKUP($A53,'Data Vlaue (Cr)'!$C:$FB,60)</f>
        <v>1363</v>
      </c>
      <c r="L53" s="51">
        <f>VLOOKUP($A53,'Data Vlaue (Cr)'!$C:$FB,62)*100</f>
        <v>-71.08</v>
      </c>
      <c r="M53" s="51">
        <f>VLOOKUP($A53,'Data Vlaue (Cr)'!$C:$FB,63)</f>
        <v>121</v>
      </c>
      <c r="N53" s="51">
        <f>VLOOKUP($A53,'Data Vlaue (Cr)'!$C:$FB,64)</f>
        <v>256</v>
      </c>
      <c r="O53" s="51">
        <f>VLOOKUP($A53,'Data Vlaue (Cr)'!$C:$FB,66)*100</f>
        <v>-52.7</v>
      </c>
    </row>
    <row r="54" spans="1:15" x14ac:dyDescent="0.25">
      <c r="A54" s="101" t="str">
        <f>'Data Vlaue (Cr)'!C49</f>
        <v>COFORGE</v>
      </c>
      <c r="B54" s="50">
        <f>VLOOKUP($A54,'Data Vlaue (Cr)'!$C:$FB,8)</f>
        <v>1288.0999999999999</v>
      </c>
      <c r="C54" s="50">
        <f>VLOOKUP($A54,'Data Vlaue (Cr)'!$C:$FB,11)*100</f>
        <v>-2.1800000000000002</v>
      </c>
      <c r="D54" s="50">
        <f>VLOOKUP($A54,'Data Vlaue (Cr)'!$C:$FB,143)</f>
        <v>1432.38</v>
      </c>
      <c r="E54" s="50">
        <f>VLOOKUP($A54,'Data Vlaue (Cr)'!$C:$FB,144)</f>
        <v>1666.94</v>
      </c>
      <c r="F54" s="50">
        <f>VLOOKUP($A54,'Data Vlaue (Cr)'!$C:$FB,146)*100</f>
        <v>-14.069999999999999</v>
      </c>
      <c r="G54" s="49">
        <f>VLOOKUP($A54,'Data Vlaue (Cr)'!$C:$FB,43)</f>
        <v>341</v>
      </c>
      <c r="H54" s="49">
        <f>VLOOKUP($A54,'Data Vlaue (Cr)'!$C:$FB,44)</f>
        <v>298</v>
      </c>
      <c r="I54" s="49">
        <f>VLOOKUP($A54,'Data Vlaue (Cr)'!$C:$FB,46)*100</f>
        <v>14.299999999999999</v>
      </c>
      <c r="J54" s="51">
        <f>VLOOKUP($A54,'Data Vlaue (Cr)'!$C:$FB,59)</f>
        <v>662</v>
      </c>
      <c r="K54" s="51">
        <f>VLOOKUP($A54,'Data Vlaue (Cr)'!$C:$FB,60)</f>
        <v>837</v>
      </c>
      <c r="L54" s="51">
        <f>VLOOKUP($A54,'Data Vlaue (Cr)'!$C:$FB,62)*100</f>
        <v>-20.919999999999998</v>
      </c>
      <c r="M54" s="51">
        <f>VLOOKUP($A54,'Data Vlaue (Cr)'!$C:$FB,63)</f>
        <v>384</v>
      </c>
      <c r="N54" s="51">
        <f>VLOOKUP($A54,'Data Vlaue (Cr)'!$C:$FB,64)</f>
        <v>464</v>
      </c>
      <c r="O54" s="51">
        <f>VLOOKUP($A54,'Data Vlaue (Cr)'!$C:$FB,66)*100</f>
        <v>-17.239999999999998</v>
      </c>
    </row>
    <row r="55" spans="1:15" x14ac:dyDescent="0.25">
      <c r="A55" s="101" t="str">
        <f>'Data Vlaue (Cr)'!C50</f>
        <v>COLPAL</v>
      </c>
      <c r="B55" s="50">
        <f>VLOOKUP($A55,'Data Vlaue (Cr)'!$C:$FB,8)</f>
        <v>2129</v>
      </c>
      <c r="C55" s="50">
        <f>VLOOKUP($A55,'Data Vlaue (Cr)'!$C:$FB,11)*100</f>
        <v>1.0900000000000001</v>
      </c>
      <c r="D55" s="50">
        <f>VLOOKUP($A55,'Data Vlaue (Cr)'!$C:$FB,143)</f>
        <v>1696.56</v>
      </c>
      <c r="E55" s="50">
        <f>VLOOKUP($A55,'Data Vlaue (Cr)'!$C:$FB,144)</f>
        <v>8840.01</v>
      </c>
      <c r="F55" s="50">
        <f>VLOOKUP($A55,'Data Vlaue (Cr)'!$C:$FB,146)*100</f>
        <v>-80.81</v>
      </c>
      <c r="G55" s="49">
        <f>VLOOKUP($A55,'Data Vlaue (Cr)'!$C:$FB,43)</f>
        <v>202</v>
      </c>
      <c r="H55" s="49">
        <f>VLOOKUP($A55,'Data Vlaue (Cr)'!$C:$FB,44)</f>
        <v>671</v>
      </c>
      <c r="I55" s="49">
        <f>VLOOKUP($A55,'Data Vlaue (Cr)'!$C:$FB,46)*100</f>
        <v>-69.95</v>
      </c>
      <c r="J55" s="51">
        <f>VLOOKUP($A55,'Data Vlaue (Cr)'!$C:$FB,59)</f>
        <v>1029</v>
      </c>
      <c r="K55" s="51">
        <f>VLOOKUP($A55,'Data Vlaue (Cr)'!$C:$FB,60)</f>
        <v>5907</v>
      </c>
      <c r="L55" s="51">
        <f>VLOOKUP($A55,'Data Vlaue (Cr)'!$C:$FB,62)*100</f>
        <v>-82.58</v>
      </c>
      <c r="M55" s="51">
        <f>VLOOKUP($A55,'Data Vlaue (Cr)'!$C:$FB,63)</f>
        <v>435</v>
      </c>
      <c r="N55" s="51">
        <f>VLOOKUP($A55,'Data Vlaue (Cr)'!$C:$FB,64)</f>
        <v>2221</v>
      </c>
      <c r="O55" s="51">
        <f>VLOOKUP($A55,'Data Vlaue (Cr)'!$C:$FB,66)*100</f>
        <v>-80.400000000000006</v>
      </c>
    </row>
    <row r="56" spans="1:15" x14ac:dyDescent="0.25">
      <c r="A56" s="101" t="str">
        <f>'Data Vlaue (Cr)'!C51</f>
        <v>CONCOR</v>
      </c>
      <c r="B56" s="50">
        <f>VLOOKUP($A56,'Data Vlaue (Cr)'!$C:$FB,8)</f>
        <v>501.05</v>
      </c>
      <c r="C56" s="50">
        <f>VLOOKUP($A56,'Data Vlaue (Cr)'!$C:$FB,11)*100</f>
        <v>-0.41000000000000003</v>
      </c>
      <c r="D56" s="50">
        <f>VLOOKUP($A56,'Data Vlaue (Cr)'!$C:$FB,143)</f>
        <v>526.97</v>
      </c>
      <c r="E56" s="50">
        <f>VLOOKUP($A56,'Data Vlaue (Cr)'!$C:$FB,144)</f>
        <v>737.28</v>
      </c>
      <c r="F56" s="50">
        <f>VLOOKUP($A56,'Data Vlaue (Cr)'!$C:$FB,146)*100</f>
        <v>-28.53</v>
      </c>
      <c r="G56" s="49">
        <f>VLOOKUP($A56,'Data Vlaue (Cr)'!$C:$FB,43)</f>
        <v>156</v>
      </c>
      <c r="H56" s="49">
        <f>VLOOKUP($A56,'Data Vlaue (Cr)'!$C:$FB,44)</f>
        <v>227</v>
      </c>
      <c r="I56" s="49">
        <f>VLOOKUP($A56,'Data Vlaue (Cr)'!$C:$FB,46)*100</f>
        <v>-31.4</v>
      </c>
      <c r="J56" s="51">
        <f>VLOOKUP($A56,'Data Vlaue (Cr)'!$C:$FB,59)</f>
        <v>258</v>
      </c>
      <c r="K56" s="51">
        <f>VLOOKUP($A56,'Data Vlaue (Cr)'!$C:$FB,60)</f>
        <v>349</v>
      </c>
      <c r="L56" s="51">
        <f>VLOOKUP($A56,'Data Vlaue (Cr)'!$C:$FB,62)*100</f>
        <v>-26.07</v>
      </c>
      <c r="M56" s="51">
        <f>VLOOKUP($A56,'Data Vlaue (Cr)'!$C:$FB,63)</f>
        <v>100</v>
      </c>
      <c r="N56" s="51">
        <f>VLOOKUP($A56,'Data Vlaue (Cr)'!$C:$FB,64)</f>
        <v>144</v>
      </c>
      <c r="O56" s="51">
        <f>VLOOKUP($A56,'Data Vlaue (Cr)'!$C:$FB,66)*100</f>
        <v>-30.509999999999998</v>
      </c>
    </row>
    <row r="57" spans="1:15" x14ac:dyDescent="0.25">
      <c r="A57" s="101" t="str">
        <f>'Data Vlaue (Cr)'!C52</f>
        <v>CROMPTON</v>
      </c>
      <c r="B57" s="50">
        <f>VLOOKUP($A57,'Data Vlaue (Cr)'!$C:$FB,8)</f>
        <v>261.22000000000003</v>
      </c>
      <c r="C57" s="50">
        <f>VLOOKUP($A57,'Data Vlaue (Cr)'!$C:$FB,11)*100</f>
        <v>-0.09</v>
      </c>
      <c r="D57" s="50">
        <f>VLOOKUP($A57,'Data Vlaue (Cr)'!$C:$FB,143)</f>
        <v>580.85</v>
      </c>
      <c r="E57" s="50">
        <f>VLOOKUP($A57,'Data Vlaue (Cr)'!$C:$FB,144)</f>
        <v>810.03</v>
      </c>
      <c r="F57" s="50">
        <f>VLOOKUP($A57,'Data Vlaue (Cr)'!$C:$FB,146)*100</f>
        <v>-28.29</v>
      </c>
      <c r="G57" s="49">
        <f>VLOOKUP($A57,'Data Vlaue (Cr)'!$C:$FB,43)</f>
        <v>140</v>
      </c>
      <c r="H57" s="49">
        <f>VLOOKUP($A57,'Data Vlaue (Cr)'!$C:$FB,44)</f>
        <v>139</v>
      </c>
      <c r="I57" s="49">
        <f>VLOOKUP($A57,'Data Vlaue (Cr)'!$C:$FB,46)*100</f>
        <v>1.22</v>
      </c>
      <c r="J57" s="51">
        <f>VLOOKUP($A57,'Data Vlaue (Cr)'!$C:$FB,59)</f>
        <v>329</v>
      </c>
      <c r="K57" s="51">
        <f>VLOOKUP($A57,'Data Vlaue (Cr)'!$C:$FB,60)</f>
        <v>453</v>
      </c>
      <c r="L57" s="51">
        <f>VLOOKUP($A57,'Data Vlaue (Cr)'!$C:$FB,62)*100</f>
        <v>-27.38</v>
      </c>
      <c r="M57" s="51">
        <f>VLOOKUP($A57,'Data Vlaue (Cr)'!$C:$FB,63)</f>
        <v>95</v>
      </c>
      <c r="N57" s="51">
        <f>VLOOKUP($A57,'Data Vlaue (Cr)'!$C:$FB,64)</f>
        <v>200</v>
      </c>
      <c r="O57" s="51">
        <f>VLOOKUP($A57,'Data Vlaue (Cr)'!$C:$FB,66)*100</f>
        <v>-52.72</v>
      </c>
    </row>
    <row r="58" spans="1:15" x14ac:dyDescent="0.25">
      <c r="A58" s="101" t="str">
        <f>'Data Vlaue (Cr)'!C53</f>
        <v>CUMMINSIND</v>
      </c>
      <c r="B58" s="50">
        <f>VLOOKUP($A58,'Data Vlaue (Cr)'!$C:$FB,8)</f>
        <v>5200.3</v>
      </c>
      <c r="C58" s="50">
        <f>VLOOKUP($A58,'Data Vlaue (Cr)'!$C:$FB,11)*100</f>
        <v>1.1599999999999999</v>
      </c>
      <c r="D58" s="50">
        <f>VLOOKUP($A58,'Data Vlaue (Cr)'!$C:$FB,143)</f>
        <v>3334.84</v>
      </c>
      <c r="E58" s="50">
        <f>VLOOKUP($A58,'Data Vlaue (Cr)'!$C:$FB,144)</f>
        <v>3943.35</v>
      </c>
      <c r="F58" s="50">
        <f>VLOOKUP($A58,'Data Vlaue (Cr)'!$C:$FB,146)*100</f>
        <v>-15.43</v>
      </c>
      <c r="G58" s="49">
        <f>VLOOKUP($A58,'Data Vlaue (Cr)'!$C:$FB,43)</f>
        <v>367</v>
      </c>
      <c r="H58" s="49">
        <f>VLOOKUP($A58,'Data Vlaue (Cr)'!$C:$FB,44)</f>
        <v>748</v>
      </c>
      <c r="I58" s="49">
        <f>VLOOKUP($A58,'Data Vlaue (Cr)'!$C:$FB,46)*100</f>
        <v>-50.949999999999996</v>
      </c>
      <c r="J58" s="51">
        <f>VLOOKUP($A58,'Data Vlaue (Cr)'!$C:$FB,59)</f>
        <v>1991</v>
      </c>
      <c r="K58" s="51">
        <f>VLOOKUP($A58,'Data Vlaue (Cr)'!$C:$FB,60)</f>
        <v>2490</v>
      </c>
      <c r="L58" s="51">
        <f>VLOOKUP($A58,'Data Vlaue (Cr)'!$C:$FB,62)*100</f>
        <v>-20.05</v>
      </c>
      <c r="M58" s="51">
        <f>VLOOKUP($A58,'Data Vlaue (Cr)'!$C:$FB,63)</f>
        <v>1035</v>
      </c>
      <c r="N58" s="51">
        <f>VLOOKUP($A58,'Data Vlaue (Cr)'!$C:$FB,64)</f>
        <v>679</v>
      </c>
      <c r="O58" s="51">
        <f>VLOOKUP($A58,'Data Vlaue (Cr)'!$C:$FB,66)*100</f>
        <v>52.449999999999996</v>
      </c>
    </row>
    <row r="59" spans="1:15" x14ac:dyDescent="0.25">
      <c r="A59" s="101" t="str">
        <f>'Data Vlaue (Cr)'!C54</f>
        <v>DABUR</v>
      </c>
      <c r="B59" s="50">
        <f>VLOOKUP($A59,'Data Vlaue (Cr)'!$C:$FB,8)</f>
        <v>441.7</v>
      </c>
      <c r="C59" s="50">
        <f>VLOOKUP($A59,'Data Vlaue (Cr)'!$C:$FB,11)*100</f>
        <v>-0.26</v>
      </c>
      <c r="D59" s="50">
        <f>VLOOKUP($A59,'Data Vlaue (Cr)'!$C:$FB,143)</f>
        <v>1100.78</v>
      </c>
      <c r="E59" s="50">
        <f>VLOOKUP($A59,'Data Vlaue (Cr)'!$C:$FB,144)</f>
        <v>2653.61</v>
      </c>
      <c r="F59" s="50">
        <f>VLOOKUP($A59,'Data Vlaue (Cr)'!$C:$FB,146)*100</f>
        <v>-58.52</v>
      </c>
      <c r="G59" s="49">
        <f>VLOOKUP($A59,'Data Vlaue (Cr)'!$C:$FB,43)</f>
        <v>141</v>
      </c>
      <c r="H59" s="49">
        <f>VLOOKUP($A59,'Data Vlaue (Cr)'!$C:$FB,44)</f>
        <v>378</v>
      </c>
      <c r="I59" s="49">
        <f>VLOOKUP($A59,'Data Vlaue (Cr)'!$C:$FB,46)*100</f>
        <v>-62.67</v>
      </c>
      <c r="J59" s="51">
        <f>VLOOKUP($A59,'Data Vlaue (Cr)'!$C:$FB,59)</f>
        <v>703</v>
      </c>
      <c r="K59" s="51">
        <f>VLOOKUP($A59,'Data Vlaue (Cr)'!$C:$FB,60)</f>
        <v>1693</v>
      </c>
      <c r="L59" s="51">
        <f>VLOOKUP($A59,'Data Vlaue (Cr)'!$C:$FB,62)*100</f>
        <v>-58.489999999999995</v>
      </c>
      <c r="M59" s="51">
        <f>VLOOKUP($A59,'Data Vlaue (Cr)'!$C:$FB,63)</f>
        <v>220</v>
      </c>
      <c r="N59" s="51">
        <f>VLOOKUP($A59,'Data Vlaue (Cr)'!$C:$FB,64)</f>
        <v>512</v>
      </c>
      <c r="O59" s="51">
        <f>VLOOKUP($A59,'Data Vlaue (Cr)'!$C:$FB,66)*100</f>
        <v>-56.95</v>
      </c>
    </row>
    <row r="60" spans="1:15" x14ac:dyDescent="0.25">
      <c r="A60" s="101" t="str">
        <f>'Data Vlaue (Cr)'!C55</f>
        <v>DALBHARAT</v>
      </c>
      <c r="B60" s="50">
        <f>VLOOKUP($A60,'Data Vlaue (Cr)'!$C:$FB,8)</f>
        <v>1981.8</v>
      </c>
      <c r="C60" s="50">
        <f>VLOOKUP($A60,'Data Vlaue (Cr)'!$C:$FB,11)*100</f>
        <v>0.51</v>
      </c>
      <c r="D60" s="50">
        <f>VLOOKUP($A60,'Data Vlaue (Cr)'!$C:$FB,143)</f>
        <v>339.4</v>
      </c>
      <c r="E60" s="50">
        <f>VLOOKUP($A60,'Data Vlaue (Cr)'!$C:$FB,144)</f>
        <v>401.53</v>
      </c>
      <c r="F60" s="50">
        <f>VLOOKUP($A60,'Data Vlaue (Cr)'!$C:$FB,146)*100</f>
        <v>-15.47</v>
      </c>
      <c r="G60" s="49">
        <f>VLOOKUP($A60,'Data Vlaue (Cr)'!$C:$FB,43)</f>
        <v>98</v>
      </c>
      <c r="H60" s="49">
        <f>VLOOKUP($A60,'Data Vlaue (Cr)'!$C:$FB,44)</f>
        <v>115</v>
      </c>
      <c r="I60" s="49">
        <f>VLOOKUP($A60,'Data Vlaue (Cr)'!$C:$FB,46)*100</f>
        <v>-14.29</v>
      </c>
      <c r="J60" s="51">
        <f>VLOOKUP($A60,'Data Vlaue (Cr)'!$C:$FB,59)</f>
        <v>172</v>
      </c>
      <c r="K60" s="51">
        <f>VLOOKUP($A60,'Data Vlaue (Cr)'!$C:$FB,60)</f>
        <v>189</v>
      </c>
      <c r="L60" s="51">
        <f>VLOOKUP($A60,'Data Vlaue (Cr)'!$C:$FB,62)*100</f>
        <v>-9.0399999999999991</v>
      </c>
      <c r="M60" s="51">
        <f>VLOOKUP($A60,'Data Vlaue (Cr)'!$C:$FB,63)</f>
        <v>56</v>
      </c>
      <c r="N60" s="51">
        <f>VLOOKUP($A60,'Data Vlaue (Cr)'!$C:$FB,64)</f>
        <v>83</v>
      </c>
      <c r="O60" s="51">
        <f>VLOOKUP($A60,'Data Vlaue (Cr)'!$C:$FB,66)*100</f>
        <v>-33.229999999999997</v>
      </c>
    </row>
    <row r="61" spans="1:15" x14ac:dyDescent="0.25">
      <c r="A61" s="101" t="str">
        <f>'Data Vlaue (Cr)'!C56</f>
        <v>DELHIVERY</v>
      </c>
      <c r="B61" s="50">
        <f>VLOOKUP($A61,'Data Vlaue (Cr)'!$C:$FB,8)</f>
        <v>464.5</v>
      </c>
      <c r="C61" s="50">
        <f>VLOOKUP($A61,'Data Vlaue (Cr)'!$C:$FB,11)*100</f>
        <v>0.32</v>
      </c>
      <c r="D61" s="50">
        <f>VLOOKUP($A61,'Data Vlaue (Cr)'!$C:$FB,143)</f>
        <v>2312.33</v>
      </c>
      <c r="E61" s="50">
        <f>VLOOKUP($A61,'Data Vlaue (Cr)'!$C:$FB,144)</f>
        <v>2163.87</v>
      </c>
      <c r="F61" s="50">
        <f>VLOOKUP($A61,'Data Vlaue (Cr)'!$C:$FB,146)*100</f>
        <v>6.8599999999999994</v>
      </c>
      <c r="G61" s="49">
        <f>VLOOKUP($A61,'Data Vlaue (Cr)'!$C:$FB,43)</f>
        <v>352</v>
      </c>
      <c r="H61" s="49">
        <f>VLOOKUP($A61,'Data Vlaue (Cr)'!$C:$FB,44)</f>
        <v>340</v>
      </c>
      <c r="I61" s="49">
        <f>VLOOKUP($A61,'Data Vlaue (Cr)'!$C:$FB,46)*100</f>
        <v>3.4799999999999995</v>
      </c>
      <c r="J61" s="51">
        <f>VLOOKUP($A61,'Data Vlaue (Cr)'!$C:$FB,59)</f>
        <v>1546</v>
      </c>
      <c r="K61" s="51">
        <f>VLOOKUP($A61,'Data Vlaue (Cr)'!$C:$FB,60)</f>
        <v>1443</v>
      </c>
      <c r="L61" s="51">
        <f>VLOOKUP($A61,'Data Vlaue (Cr)'!$C:$FB,62)*100</f>
        <v>7.1499999999999995</v>
      </c>
      <c r="M61" s="51">
        <f>VLOOKUP($A61,'Data Vlaue (Cr)'!$C:$FB,63)</f>
        <v>328</v>
      </c>
      <c r="N61" s="51">
        <f>VLOOKUP($A61,'Data Vlaue (Cr)'!$C:$FB,64)</f>
        <v>313</v>
      </c>
      <c r="O61" s="51">
        <f>VLOOKUP($A61,'Data Vlaue (Cr)'!$C:$FB,66)*100</f>
        <v>4.97</v>
      </c>
    </row>
    <row r="62" spans="1:15" x14ac:dyDescent="0.25">
      <c r="A62" s="101" t="str">
        <f>'Data Vlaue (Cr)'!C57</f>
        <v>DIVISLAB</v>
      </c>
      <c r="B62" s="50">
        <f>VLOOKUP($A62,'Data Vlaue (Cr)'!$C:$FB,8)</f>
        <v>6280</v>
      </c>
      <c r="C62" s="50">
        <f>VLOOKUP($A62,'Data Vlaue (Cr)'!$C:$FB,11)*100</f>
        <v>0.82000000000000006</v>
      </c>
      <c r="D62" s="50">
        <f>VLOOKUP($A62,'Data Vlaue (Cr)'!$C:$FB,143)</f>
        <v>1191.28</v>
      </c>
      <c r="E62" s="50">
        <f>VLOOKUP($A62,'Data Vlaue (Cr)'!$C:$FB,144)</f>
        <v>1157.17</v>
      </c>
      <c r="F62" s="50">
        <f>VLOOKUP($A62,'Data Vlaue (Cr)'!$C:$FB,146)*100</f>
        <v>2.9499999999999997</v>
      </c>
      <c r="G62" s="49">
        <f>VLOOKUP($A62,'Data Vlaue (Cr)'!$C:$FB,43)</f>
        <v>128</v>
      </c>
      <c r="H62" s="49">
        <f>VLOOKUP($A62,'Data Vlaue (Cr)'!$C:$FB,44)</f>
        <v>123</v>
      </c>
      <c r="I62" s="49">
        <f>VLOOKUP($A62,'Data Vlaue (Cr)'!$C:$FB,46)*100</f>
        <v>3.4099999999999997</v>
      </c>
      <c r="J62" s="51">
        <f>VLOOKUP($A62,'Data Vlaue (Cr)'!$C:$FB,59)</f>
        <v>775</v>
      </c>
      <c r="K62" s="51">
        <f>VLOOKUP($A62,'Data Vlaue (Cr)'!$C:$FB,60)</f>
        <v>650</v>
      </c>
      <c r="L62" s="51">
        <f>VLOOKUP($A62,'Data Vlaue (Cr)'!$C:$FB,62)*100</f>
        <v>19.170000000000002</v>
      </c>
      <c r="M62" s="51">
        <f>VLOOKUP($A62,'Data Vlaue (Cr)'!$C:$FB,63)</f>
        <v>275</v>
      </c>
      <c r="N62" s="51">
        <f>VLOOKUP($A62,'Data Vlaue (Cr)'!$C:$FB,64)</f>
        <v>369</v>
      </c>
      <c r="O62" s="51">
        <f>VLOOKUP($A62,'Data Vlaue (Cr)'!$C:$FB,66)*100</f>
        <v>-25.430000000000003</v>
      </c>
    </row>
    <row r="63" spans="1:15" x14ac:dyDescent="0.25">
      <c r="A63" s="101" t="str">
        <f>'Data Vlaue (Cr)'!C58</f>
        <v>DIXON</v>
      </c>
      <c r="B63" s="50">
        <f>VLOOKUP($A63,'Data Vlaue (Cr)'!$C:$FB,8)</f>
        <v>11211</v>
      </c>
      <c r="C63" s="50">
        <f>VLOOKUP($A63,'Data Vlaue (Cr)'!$C:$FB,11)*100</f>
        <v>-1.41</v>
      </c>
      <c r="D63" s="50">
        <f>VLOOKUP($A63,'Data Vlaue (Cr)'!$C:$FB,143)</f>
        <v>6175.83</v>
      </c>
      <c r="E63" s="50">
        <f>VLOOKUP($A63,'Data Vlaue (Cr)'!$C:$FB,144)</f>
        <v>7299.37</v>
      </c>
      <c r="F63" s="50">
        <f>VLOOKUP($A63,'Data Vlaue (Cr)'!$C:$FB,146)*100</f>
        <v>-15.39</v>
      </c>
      <c r="G63" s="49">
        <f>VLOOKUP($A63,'Data Vlaue (Cr)'!$C:$FB,43)</f>
        <v>853</v>
      </c>
      <c r="H63" s="49">
        <f>VLOOKUP($A63,'Data Vlaue (Cr)'!$C:$FB,44)</f>
        <v>1042</v>
      </c>
      <c r="I63" s="49">
        <f>VLOOKUP($A63,'Data Vlaue (Cr)'!$C:$FB,46)*100</f>
        <v>-18.14</v>
      </c>
      <c r="J63" s="51">
        <f>VLOOKUP($A63,'Data Vlaue (Cr)'!$C:$FB,59)</f>
        <v>3081</v>
      </c>
      <c r="K63" s="51">
        <f>VLOOKUP($A63,'Data Vlaue (Cr)'!$C:$FB,60)</f>
        <v>3891</v>
      </c>
      <c r="L63" s="51">
        <f>VLOOKUP($A63,'Data Vlaue (Cr)'!$C:$FB,62)*100</f>
        <v>-20.830000000000002</v>
      </c>
      <c r="M63" s="51">
        <f>VLOOKUP($A63,'Data Vlaue (Cr)'!$C:$FB,63)</f>
        <v>2075</v>
      </c>
      <c r="N63" s="51">
        <f>VLOOKUP($A63,'Data Vlaue (Cr)'!$C:$FB,64)</f>
        <v>2166</v>
      </c>
      <c r="O63" s="51">
        <f>VLOOKUP($A63,'Data Vlaue (Cr)'!$C:$FB,66)*100</f>
        <v>-4.24</v>
      </c>
    </row>
    <row r="64" spans="1:15" x14ac:dyDescent="0.25">
      <c r="A64" s="101" t="str">
        <f>'Data Vlaue (Cr)'!C59</f>
        <v>DLF</v>
      </c>
      <c r="B64" s="50">
        <f>VLOOKUP($A64,'Data Vlaue (Cr)'!$C:$FB,8)</f>
        <v>596.4</v>
      </c>
      <c r="C64" s="50">
        <f>VLOOKUP($A64,'Data Vlaue (Cr)'!$C:$FB,11)*100</f>
        <v>-0.89</v>
      </c>
      <c r="D64" s="50">
        <f>VLOOKUP($A64,'Data Vlaue (Cr)'!$C:$FB,143)</f>
        <v>1261.5</v>
      </c>
      <c r="E64" s="50">
        <f>VLOOKUP($A64,'Data Vlaue (Cr)'!$C:$FB,144)</f>
        <v>2477.54</v>
      </c>
      <c r="F64" s="50">
        <f>VLOOKUP($A64,'Data Vlaue (Cr)'!$C:$FB,146)*100</f>
        <v>-49.08</v>
      </c>
      <c r="G64" s="49">
        <f>VLOOKUP($A64,'Data Vlaue (Cr)'!$C:$FB,43)</f>
        <v>305</v>
      </c>
      <c r="H64" s="49">
        <f>VLOOKUP($A64,'Data Vlaue (Cr)'!$C:$FB,44)</f>
        <v>581</v>
      </c>
      <c r="I64" s="49">
        <f>VLOOKUP($A64,'Data Vlaue (Cr)'!$C:$FB,46)*100</f>
        <v>-47.56</v>
      </c>
      <c r="J64" s="51">
        <f>VLOOKUP($A64,'Data Vlaue (Cr)'!$C:$FB,59)</f>
        <v>564</v>
      </c>
      <c r="K64" s="51">
        <f>VLOOKUP($A64,'Data Vlaue (Cr)'!$C:$FB,60)</f>
        <v>1017</v>
      </c>
      <c r="L64" s="51">
        <f>VLOOKUP($A64,'Data Vlaue (Cr)'!$C:$FB,62)*100</f>
        <v>-44.58</v>
      </c>
      <c r="M64" s="51">
        <f>VLOOKUP($A64,'Data Vlaue (Cr)'!$C:$FB,63)</f>
        <v>375</v>
      </c>
      <c r="N64" s="51">
        <f>VLOOKUP($A64,'Data Vlaue (Cr)'!$C:$FB,64)</f>
        <v>856</v>
      </c>
      <c r="O64" s="51">
        <f>VLOOKUP($A64,'Data Vlaue (Cr)'!$C:$FB,66)*100</f>
        <v>-56.210000000000008</v>
      </c>
    </row>
    <row r="65" spans="1:15" x14ac:dyDescent="0.25">
      <c r="A65" s="101" t="str">
        <f>'Data Vlaue (Cr)'!C60</f>
        <v>DMART</v>
      </c>
      <c r="B65" s="50">
        <f>VLOOKUP($A65,'Data Vlaue (Cr)'!$C:$FB,8)</f>
        <v>4605.2</v>
      </c>
      <c r="C65" s="50">
        <f>VLOOKUP($A65,'Data Vlaue (Cr)'!$C:$FB,11)*100</f>
        <v>-0.5</v>
      </c>
      <c r="D65" s="50">
        <f>VLOOKUP($A65,'Data Vlaue (Cr)'!$C:$FB,143)</f>
        <v>2344.59</v>
      </c>
      <c r="E65" s="50">
        <f>VLOOKUP($A65,'Data Vlaue (Cr)'!$C:$FB,144)</f>
        <v>7246.53</v>
      </c>
      <c r="F65" s="50">
        <f>VLOOKUP($A65,'Data Vlaue (Cr)'!$C:$FB,146)*100</f>
        <v>-67.650000000000006</v>
      </c>
      <c r="G65" s="49">
        <f>VLOOKUP($A65,'Data Vlaue (Cr)'!$C:$FB,43)</f>
        <v>248</v>
      </c>
      <c r="H65" s="49">
        <f>VLOOKUP($A65,'Data Vlaue (Cr)'!$C:$FB,44)</f>
        <v>670</v>
      </c>
      <c r="I65" s="49">
        <f>VLOOKUP($A65,'Data Vlaue (Cr)'!$C:$FB,46)*100</f>
        <v>-63.019999999999996</v>
      </c>
      <c r="J65" s="51">
        <f>VLOOKUP($A65,'Data Vlaue (Cr)'!$C:$FB,59)</f>
        <v>1148</v>
      </c>
      <c r="K65" s="51">
        <f>VLOOKUP($A65,'Data Vlaue (Cr)'!$C:$FB,60)</f>
        <v>4471</v>
      </c>
      <c r="L65" s="51">
        <f>VLOOKUP($A65,'Data Vlaue (Cr)'!$C:$FB,62)*100</f>
        <v>-74.319999999999993</v>
      </c>
      <c r="M65" s="51">
        <f>VLOOKUP($A65,'Data Vlaue (Cr)'!$C:$FB,63)</f>
        <v>931</v>
      </c>
      <c r="N65" s="51">
        <f>VLOOKUP($A65,'Data Vlaue (Cr)'!$C:$FB,64)</f>
        <v>2009</v>
      </c>
      <c r="O65" s="51">
        <f>VLOOKUP($A65,'Data Vlaue (Cr)'!$C:$FB,66)*100</f>
        <v>-53.65</v>
      </c>
    </row>
    <row r="66" spans="1:15" x14ac:dyDescent="0.25">
      <c r="A66" s="101" t="str">
        <f>'Data Vlaue (Cr)'!C61</f>
        <v>DRREDDY</v>
      </c>
      <c r="B66" s="50">
        <f>VLOOKUP($A66,'Data Vlaue (Cr)'!$C:$FB,8)</f>
        <v>1232.5999999999999</v>
      </c>
      <c r="C66" s="50">
        <f>VLOOKUP($A66,'Data Vlaue (Cr)'!$C:$FB,11)*100</f>
        <v>-0.25</v>
      </c>
      <c r="D66" s="50">
        <f>VLOOKUP($A66,'Data Vlaue (Cr)'!$C:$FB,143)</f>
        <v>1474.09</v>
      </c>
      <c r="E66" s="50">
        <f>VLOOKUP($A66,'Data Vlaue (Cr)'!$C:$FB,144)</f>
        <v>1983.56</v>
      </c>
      <c r="F66" s="50">
        <f>VLOOKUP($A66,'Data Vlaue (Cr)'!$C:$FB,146)*100</f>
        <v>-25.679999999999996</v>
      </c>
      <c r="G66" s="49">
        <f>VLOOKUP($A66,'Data Vlaue (Cr)'!$C:$FB,43)</f>
        <v>237</v>
      </c>
      <c r="H66" s="49">
        <f>VLOOKUP($A66,'Data Vlaue (Cr)'!$C:$FB,44)</f>
        <v>281</v>
      </c>
      <c r="I66" s="49">
        <f>VLOOKUP($A66,'Data Vlaue (Cr)'!$C:$FB,46)*100</f>
        <v>-15.409999999999998</v>
      </c>
      <c r="J66" s="51">
        <f>VLOOKUP($A66,'Data Vlaue (Cr)'!$C:$FB,59)</f>
        <v>827</v>
      </c>
      <c r="K66" s="51">
        <f>VLOOKUP($A66,'Data Vlaue (Cr)'!$C:$FB,60)</f>
        <v>1175</v>
      </c>
      <c r="L66" s="51">
        <f>VLOOKUP($A66,'Data Vlaue (Cr)'!$C:$FB,62)*100</f>
        <v>-29.59</v>
      </c>
      <c r="M66" s="51">
        <f>VLOOKUP($A66,'Data Vlaue (Cr)'!$C:$FB,63)</f>
        <v>383</v>
      </c>
      <c r="N66" s="51">
        <f>VLOOKUP($A66,'Data Vlaue (Cr)'!$C:$FB,64)</f>
        <v>494</v>
      </c>
      <c r="O66" s="51">
        <f>VLOOKUP($A66,'Data Vlaue (Cr)'!$C:$FB,66)*100</f>
        <v>-22.48</v>
      </c>
    </row>
    <row r="67" spans="1:15" x14ac:dyDescent="0.25">
      <c r="A67" s="101" t="str">
        <f>'Data Vlaue (Cr)'!C62</f>
        <v>EICHERMOT</v>
      </c>
      <c r="B67" s="50">
        <f>VLOOKUP($A67,'Data Vlaue (Cr)'!$C:$FB,8)</f>
        <v>7243</v>
      </c>
      <c r="C67" s="50">
        <f>VLOOKUP($A67,'Data Vlaue (Cr)'!$C:$FB,11)*100</f>
        <v>0.74</v>
      </c>
      <c r="D67" s="50">
        <f>VLOOKUP($A67,'Data Vlaue (Cr)'!$C:$FB,143)</f>
        <v>3831.68</v>
      </c>
      <c r="E67" s="50">
        <f>VLOOKUP($A67,'Data Vlaue (Cr)'!$C:$FB,144)</f>
        <v>3574.48</v>
      </c>
      <c r="F67" s="50">
        <f>VLOOKUP($A67,'Data Vlaue (Cr)'!$C:$FB,146)*100</f>
        <v>7.1999999999999993</v>
      </c>
      <c r="G67" s="49">
        <f>VLOOKUP($A67,'Data Vlaue (Cr)'!$C:$FB,43)</f>
        <v>343</v>
      </c>
      <c r="H67" s="49">
        <f>VLOOKUP($A67,'Data Vlaue (Cr)'!$C:$FB,44)</f>
        <v>347</v>
      </c>
      <c r="I67" s="49">
        <f>VLOOKUP($A67,'Data Vlaue (Cr)'!$C:$FB,46)*100</f>
        <v>-1.35</v>
      </c>
      <c r="J67" s="51">
        <f>VLOOKUP($A67,'Data Vlaue (Cr)'!$C:$FB,59)</f>
        <v>2554</v>
      </c>
      <c r="K67" s="51">
        <f>VLOOKUP($A67,'Data Vlaue (Cr)'!$C:$FB,60)</f>
        <v>2377</v>
      </c>
      <c r="L67" s="51">
        <f>VLOOKUP($A67,'Data Vlaue (Cr)'!$C:$FB,62)*100</f>
        <v>7.4499999999999993</v>
      </c>
      <c r="M67" s="51">
        <f>VLOOKUP($A67,'Data Vlaue (Cr)'!$C:$FB,63)</f>
        <v>858</v>
      </c>
      <c r="N67" s="51">
        <f>VLOOKUP($A67,'Data Vlaue (Cr)'!$C:$FB,64)</f>
        <v>797</v>
      </c>
      <c r="O67" s="51">
        <f>VLOOKUP($A67,'Data Vlaue (Cr)'!$C:$FB,66)*100</f>
        <v>7.68</v>
      </c>
    </row>
    <row r="68" spans="1:15" x14ac:dyDescent="0.25">
      <c r="A68" s="101" t="str">
        <f>'Data Vlaue (Cr)'!C63</f>
        <v>ETERNAL</v>
      </c>
      <c r="B68" s="50">
        <f>VLOOKUP($A68,'Data Vlaue (Cr)'!$C:$FB,8)</f>
        <v>254.88</v>
      </c>
      <c r="C68" s="50">
        <f>VLOOKUP($A68,'Data Vlaue (Cr)'!$C:$FB,11)*100</f>
        <v>0.89999999999999991</v>
      </c>
      <c r="D68" s="50">
        <f>VLOOKUP($A68,'Data Vlaue (Cr)'!$C:$FB,143)</f>
        <v>4211.72</v>
      </c>
      <c r="E68" s="50">
        <f>VLOOKUP($A68,'Data Vlaue (Cr)'!$C:$FB,144)</f>
        <v>4230.0600000000004</v>
      </c>
      <c r="F68" s="50">
        <f>VLOOKUP($A68,'Data Vlaue (Cr)'!$C:$FB,146)*100</f>
        <v>-0.43</v>
      </c>
      <c r="G68" s="49">
        <f>VLOOKUP($A68,'Data Vlaue (Cr)'!$C:$FB,43)</f>
        <v>900</v>
      </c>
      <c r="H68" s="49">
        <f>VLOOKUP($A68,'Data Vlaue (Cr)'!$C:$FB,44)</f>
        <v>912</v>
      </c>
      <c r="I68" s="49">
        <f>VLOOKUP($A68,'Data Vlaue (Cr)'!$C:$FB,46)*100</f>
        <v>-1.34</v>
      </c>
      <c r="J68" s="51">
        <f>VLOOKUP($A68,'Data Vlaue (Cr)'!$C:$FB,59)</f>
        <v>2027</v>
      </c>
      <c r="K68" s="51">
        <f>VLOOKUP($A68,'Data Vlaue (Cr)'!$C:$FB,60)</f>
        <v>2193</v>
      </c>
      <c r="L68" s="51">
        <f>VLOOKUP($A68,'Data Vlaue (Cr)'!$C:$FB,62)*100</f>
        <v>-7.57</v>
      </c>
      <c r="M68" s="51">
        <f>VLOOKUP($A68,'Data Vlaue (Cr)'!$C:$FB,63)</f>
        <v>1238</v>
      </c>
      <c r="N68" s="51">
        <f>VLOOKUP($A68,'Data Vlaue (Cr)'!$C:$FB,64)</f>
        <v>1073</v>
      </c>
      <c r="O68" s="51">
        <f>VLOOKUP($A68,'Data Vlaue (Cr)'!$C:$FB,66)*100</f>
        <v>15.43</v>
      </c>
    </row>
    <row r="69" spans="1:15" x14ac:dyDescent="0.25">
      <c r="A69" s="101" t="str">
        <f>'Data Vlaue (Cr)'!C64</f>
        <v>EXIDEIND</v>
      </c>
      <c r="B69" s="50">
        <f>VLOOKUP($A69,'Data Vlaue (Cr)'!$C:$FB,8)</f>
        <v>329.7</v>
      </c>
      <c r="C69" s="50">
        <f>VLOOKUP($A69,'Data Vlaue (Cr)'!$C:$FB,11)*100</f>
        <v>-0.09</v>
      </c>
      <c r="D69" s="50">
        <f>VLOOKUP($A69,'Data Vlaue (Cr)'!$C:$FB,143)</f>
        <v>557.75</v>
      </c>
      <c r="E69" s="50">
        <f>VLOOKUP($A69,'Data Vlaue (Cr)'!$C:$FB,144)</f>
        <v>406.02</v>
      </c>
      <c r="F69" s="50">
        <f>VLOOKUP($A69,'Data Vlaue (Cr)'!$C:$FB,146)*100</f>
        <v>37.369999999999997</v>
      </c>
      <c r="G69" s="49">
        <f>VLOOKUP($A69,'Data Vlaue (Cr)'!$C:$FB,43)</f>
        <v>142</v>
      </c>
      <c r="H69" s="49">
        <f>VLOOKUP($A69,'Data Vlaue (Cr)'!$C:$FB,44)</f>
        <v>144</v>
      </c>
      <c r="I69" s="49">
        <f>VLOOKUP($A69,'Data Vlaue (Cr)'!$C:$FB,46)*100</f>
        <v>-1.03</v>
      </c>
      <c r="J69" s="51">
        <f>VLOOKUP($A69,'Data Vlaue (Cr)'!$C:$FB,59)</f>
        <v>273</v>
      </c>
      <c r="K69" s="51">
        <f>VLOOKUP($A69,'Data Vlaue (Cr)'!$C:$FB,60)</f>
        <v>168</v>
      </c>
      <c r="L69" s="51">
        <f>VLOOKUP($A69,'Data Vlaue (Cr)'!$C:$FB,62)*100</f>
        <v>62.72</v>
      </c>
      <c r="M69" s="51">
        <f>VLOOKUP($A69,'Data Vlaue (Cr)'!$C:$FB,63)</f>
        <v>131</v>
      </c>
      <c r="N69" s="51">
        <f>VLOOKUP($A69,'Data Vlaue (Cr)'!$C:$FB,64)</f>
        <v>88</v>
      </c>
      <c r="O69" s="51">
        <f>VLOOKUP($A69,'Data Vlaue (Cr)'!$C:$FB,66)*100</f>
        <v>49.93</v>
      </c>
    </row>
    <row r="70" spans="1:15" x14ac:dyDescent="0.25">
      <c r="A70" s="101" t="str">
        <f>'Data Vlaue (Cr)'!C65</f>
        <v>FEDERALBNK</v>
      </c>
      <c r="B70" s="50">
        <f>VLOOKUP($A70,'Data Vlaue (Cr)'!$C:$FB,8)</f>
        <v>294.35000000000002</v>
      </c>
      <c r="C70" s="50">
        <f>VLOOKUP($A70,'Data Vlaue (Cr)'!$C:$FB,11)*100</f>
        <v>0.2</v>
      </c>
      <c r="D70" s="50">
        <f>VLOOKUP($A70,'Data Vlaue (Cr)'!$C:$FB,143)</f>
        <v>3283.48</v>
      </c>
      <c r="E70" s="50">
        <f>VLOOKUP($A70,'Data Vlaue (Cr)'!$C:$FB,144)</f>
        <v>3640.81</v>
      </c>
      <c r="F70" s="50">
        <f>VLOOKUP($A70,'Data Vlaue (Cr)'!$C:$FB,146)*100</f>
        <v>-9.81</v>
      </c>
      <c r="G70" s="49">
        <f>VLOOKUP($A70,'Data Vlaue (Cr)'!$C:$FB,43)</f>
        <v>622</v>
      </c>
      <c r="H70" s="49">
        <f>VLOOKUP($A70,'Data Vlaue (Cr)'!$C:$FB,44)</f>
        <v>569</v>
      </c>
      <c r="I70" s="49">
        <f>VLOOKUP($A70,'Data Vlaue (Cr)'!$C:$FB,46)*100</f>
        <v>9.2200000000000006</v>
      </c>
      <c r="J70" s="51">
        <f>VLOOKUP($A70,'Data Vlaue (Cr)'!$C:$FB,59)</f>
        <v>1831</v>
      </c>
      <c r="K70" s="51">
        <f>VLOOKUP($A70,'Data Vlaue (Cr)'!$C:$FB,60)</f>
        <v>1982</v>
      </c>
      <c r="L70" s="51">
        <f>VLOOKUP($A70,'Data Vlaue (Cr)'!$C:$FB,62)*100</f>
        <v>-7.64</v>
      </c>
      <c r="M70" s="51">
        <f>VLOOKUP($A70,'Data Vlaue (Cr)'!$C:$FB,63)</f>
        <v>782</v>
      </c>
      <c r="N70" s="51">
        <f>VLOOKUP($A70,'Data Vlaue (Cr)'!$C:$FB,64)</f>
        <v>1096</v>
      </c>
      <c r="O70" s="51">
        <f>VLOOKUP($A70,'Data Vlaue (Cr)'!$C:$FB,66)*100</f>
        <v>-28.660000000000004</v>
      </c>
    </row>
    <row r="71" spans="1:15" x14ac:dyDescent="0.25">
      <c r="A71" s="101" t="str">
        <f>'Data Vlaue (Cr)'!C66</f>
        <v>FINNIFTY</v>
      </c>
      <c r="B71" s="50">
        <f>VLOOKUP($A71,'Data Vlaue (Cr)'!$C:$FB,8)</f>
        <v>26537.1</v>
      </c>
      <c r="C71" s="50">
        <f>VLOOKUP($A71,'Data Vlaue (Cr)'!$C:$FB,11)*100</f>
        <v>0.06</v>
      </c>
      <c r="D71" s="50">
        <f>VLOOKUP($A71,'Data Vlaue (Cr)'!$C:$FB,143)</f>
        <v>2846.32</v>
      </c>
      <c r="E71" s="50">
        <f>VLOOKUP($A71,'Data Vlaue (Cr)'!$C:$FB,144)</f>
        <v>2490.96</v>
      </c>
      <c r="F71" s="50">
        <f>VLOOKUP($A71,'Data Vlaue (Cr)'!$C:$FB,146)*100</f>
        <v>14.27</v>
      </c>
      <c r="G71" s="49">
        <f>VLOOKUP($A71,'Data Vlaue (Cr)'!$C:$FB,43)</f>
        <v>30</v>
      </c>
      <c r="H71" s="49">
        <f>VLOOKUP($A71,'Data Vlaue (Cr)'!$C:$FB,44)</f>
        <v>35</v>
      </c>
      <c r="I71" s="49">
        <f>VLOOKUP($A71,'Data Vlaue (Cr)'!$C:$FB,46)*100</f>
        <v>-14.549999999999999</v>
      </c>
      <c r="J71" s="51">
        <f>VLOOKUP($A71,'Data Vlaue (Cr)'!$C:$FB,59)</f>
        <v>1508</v>
      </c>
      <c r="K71" s="51">
        <f>VLOOKUP($A71,'Data Vlaue (Cr)'!$C:$FB,60)</f>
        <v>1625</v>
      </c>
      <c r="L71" s="51">
        <f>VLOOKUP($A71,'Data Vlaue (Cr)'!$C:$FB,62)*100</f>
        <v>-7.1800000000000006</v>
      </c>
      <c r="M71" s="51">
        <f>VLOOKUP($A71,'Data Vlaue (Cr)'!$C:$FB,63)</f>
        <v>1290</v>
      </c>
      <c r="N71" s="51">
        <f>VLOOKUP($A71,'Data Vlaue (Cr)'!$C:$FB,64)</f>
        <v>810</v>
      </c>
      <c r="O71" s="51">
        <f>VLOOKUP($A71,'Data Vlaue (Cr)'!$C:$FB,66)*100</f>
        <v>59.309999999999995</v>
      </c>
    </row>
    <row r="72" spans="1:15" x14ac:dyDescent="0.25">
      <c r="A72" s="101" t="str">
        <f>'Data Vlaue (Cr)'!C67</f>
        <v>FORCEMOT</v>
      </c>
      <c r="B72" s="50">
        <f>VLOOKUP($A72,'Data Vlaue (Cr)'!$C:$FB,8)</f>
        <v>21925</v>
      </c>
      <c r="C72" s="50">
        <f>VLOOKUP($A72,'Data Vlaue (Cr)'!$C:$FB,11)*100</f>
        <v>-2.02</v>
      </c>
      <c r="D72" s="50">
        <f>VLOOKUP($A72,'Data Vlaue (Cr)'!$C:$FB,143)</f>
        <v>327.2</v>
      </c>
      <c r="E72" s="50">
        <f>VLOOKUP($A72,'Data Vlaue (Cr)'!$C:$FB,144)</f>
        <v>232.81</v>
      </c>
      <c r="F72" s="50">
        <f>VLOOKUP($A72,'Data Vlaue (Cr)'!$C:$FB,146)*100</f>
        <v>40.54</v>
      </c>
      <c r="G72" s="49">
        <f>VLOOKUP($A72,'Data Vlaue (Cr)'!$C:$FB,43)</f>
        <v>59</v>
      </c>
      <c r="H72" s="49">
        <f>VLOOKUP($A72,'Data Vlaue (Cr)'!$C:$FB,44)</f>
        <v>74</v>
      </c>
      <c r="I72" s="49">
        <f>VLOOKUP($A72,'Data Vlaue (Cr)'!$C:$FB,46)*100</f>
        <v>-20.21</v>
      </c>
      <c r="J72" s="51">
        <f>VLOOKUP($A72,'Data Vlaue (Cr)'!$C:$FB,59)</f>
        <v>196</v>
      </c>
      <c r="K72" s="51">
        <f>VLOOKUP($A72,'Data Vlaue (Cr)'!$C:$FB,60)</f>
        <v>116</v>
      </c>
      <c r="L72" s="51">
        <f>VLOOKUP($A72,'Data Vlaue (Cr)'!$C:$FB,62)*100</f>
        <v>68.320000000000007</v>
      </c>
      <c r="M72" s="51">
        <f>VLOOKUP($A72,'Data Vlaue (Cr)'!$C:$FB,63)</f>
        <v>52</v>
      </c>
      <c r="N72" s="51">
        <f>VLOOKUP($A72,'Data Vlaue (Cr)'!$C:$FB,64)</f>
        <v>27</v>
      </c>
      <c r="O72" s="51">
        <f>VLOOKUP($A72,'Data Vlaue (Cr)'!$C:$FB,66)*100</f>
        <v>88.449999999999989</v>
      </c>
    </row>
    <row r="73" spans="1:15" x14ac:dyDescent="0.25">
      <c r="A73" s="101" t="str">
        <f>'Data Vlaue (Cr)'!C68</f>
        <v>FORTIS</v>
      </c>
      <c r="B73" s="50">
        <f>VLOOKUP($A73,'Data Vlaue (Cr)'!$C:$FB,8)</f>
        <v>890.9</v>
      </c>
      <c r="C73" s="50">
        <f>VLOOKUP($A73,'Data Vlaue (Cr)'!$C:$FB,11)*100</f>
        <v>0.08</v>
      </c>
      <c r="D73" s="50">
        <f>VLOOKUP($A73,'Data Vlaue (Cr)'!$C:$FB,143)</f>
        <v>410.56</v>
      </c>
      <c r="E73" s="50">
        <f>VLOOKUP($A73,'Data Vlaue (Cr)'!$C:$FB,144)</f>
        <v>771.88</v>
      </c>
      <c r="F73" s="50">
        <f>VLOOKUP($A73,'Data Vlaue (Cr)'!$C:$FB,146)*100</f>
        <v>-46.81</v>
      </c>
      <c r="G73" s="49">
        <f>VLOOKUP($A73,'Data Vlaue (Cr)'!$C:$FB,43)</f>
        <v>113</v>
      </c>
      <c r="H73" s="49">
        <f>VLOOKUP($A73,'Data Vlaue (Cr)'!$C:$FB,44)</f>
        <v>168</v>
      </c>
      <c r="I73" s="49">
        <f>VLOOKUP($A73,'Data Vlaue (Cr)'!$C:$FB,46)*100</f>
        <v>-32.910000000000004</v>
      </c>
      <c r="J73" s="51">
        <f>VLOOKUP($A73,'Data Vlaue (Cr)'!$C:$FB,59)</f>
        <v>186</v>
      </c>
      <c r="K73" s="51">
        <f>VLOOKUP($A73,'Data Vlaue (Cr)'!$C:$FB,60)</f>
        <v>410</v>
      </c>
      <c r="L73" s="51">
        <f>VLOOKUP($A73,'Data Vlaue (Cr)'!$C:$FB,62)*100</f>
        <v>-54.71</v>
      </c>
      <c r="M73" s="51">
        <f>VLOOKUP($A73,'Data Vlaue (Cr)'!$C:$FB,63)</f>
        <v>106</v>
      </c>
      <c r="N73" s="51">
        <f>VLOOKUP($A73,'Data Vlaue (Cr)'!$C:$FB,64)</f>
        <v>187</v>
      </c>
      <c r="O73" s="51">
        <f>VLOOKUP($A73,'Data Vlaue (Cr)'!$C:$FB,66)*100</f>
        <v>-43.18</v>
      </c>
    </row>
    <row r="74" spans="1:15" x14ac:dyDescent="0.25">
      <c r="A74" s="101" t="str">
        <f>'Data Vlaue (Cr)'!C69</f>
        <v>GAIL</v>
      </c>
      <c r="B74" s="50">
        <f>VLOOKUP($A74,'Data Vlaue (Cr)'!$C:$FB,8)</f>
        <v>157.69999999999999</v>
      </c>
      <c r="C74" s="50">
        <f>VLOOKUP($A74,'Data Vlaue (Cr)'!$C:$FB,11)*100</f>
        <v>-0.08</v>
      </c>
      <c r="D74" s="50">
        <f>VLOOKUP($A74,'Data Vlaue (Cr)'!$C:$FB,143)</f>
        <v>471.68</v>
      </c>
      <c r="E74" s="50">
        <f>VLOOKUP($A74,'Data Vlaue (Cr)'!$C:$FB,144)</f>
        <v>560.79999999999995</v>
      </c>
      <c r="F74" s="50">
        <f>VLOOKUP($A74,'Data Vlaue (Cr)'!$C:$FB,146)*100</f>
        <v>-15.89</v>
      </c>
      <c r="G74" s="49">
        <f>VLOOKUP($A74,'Data Vlaue (Cr)'!$C:$FB,43)</f>
        <v>103</v>
      </c>
      <c r="H74" s="49">
        <f>VLOOKUP($A74,'Data Vlaue (Cr)'!$C:$FB,44)</f>
        <v>176</v>
      </c>
      <c r="I74" s="49">
        <f>VLOOKUP($A74,'Data Vlaue (Cr)'!$C:$FB,46)*100</f>
        <v>-41.61</v>
      </c>
      <c r="J74" s="51">
        <f>VLOOKUP($A74,'Data Vlaue (Cr)'!$C:$FB,59)</f>
        <v>175</v>
      </c>
      <c r="K74" s="51">
        <f>VLOOKUP($A74,'Data Vlaue (Cr)'!$C:$FB,60)</f>
        <v>207</v>
      </c>
      <c r="L74" s="51">
        <f>VLOOKUP($A74,'Data Vlaue (Cr)'!$C:$FB,62)*100</f>
        <v>-15.82</v>
      </c>
      <c r="M74" s="51">
        <f>VLOOKUP($A74,'Data Vlaue (Cr)'!$C:$FB,63)</f>
        <v>191</v>
      </c>
      <c r="N74" s="51">
        <f>VLOOKUP($A74,'Data Vlaue (Cr)'!$C:$FB,64)</f>
        <v>172</v>
      </c>
      <c r="O74" s="51">
        <f>VLOOKUP($A74,'Data Vlaue (Cr)'!$C:$FB,66)*100</f>
        <v>11.32</v>
      </c>
    </row>
    <row r="75" spans="1:15" x14ac:dyDescent="0.25">
      <c r="A75" s="101" t="str">
        <f>'Data Vlaue (Cr)'!C70</f>
        <v>GLENMARK</v>
      </c>
      <c r="B75" s="50">
        <f>VLOOKUP($A75,'Data Vlaue (Cr)'!$C:$FB,8)</f>
        <v>2230.6999999999998</v>
      </c>
      <c r="C75" s="50">
        <f>VLOOKUP($A75,'Data Vlaue (Cr)'!$C:$FB,11)*100</f>
        <v>-0.84</v>
      </c>
      <c r="D75" s="50">
        <f>VLOOKUP($A75,'Data Vlaue (Cr)'!$C:$FB,143)</f>
        <v>1288.6600000000001</v>
      </c>
      <c r="E75" s="50">
        <f>VLOOKUP($A75,'Data Vlaue (Cr)'!$C:$FB,144)</f>
        <v>1525.34</v>
      </c>
      <c r="F75" s="50">
        <f>VLOOKUP($A75,'Data Vlaue (Cr)'!$C:$FB,146)*100</f>
        <v>-15.52</v>
      </c>
      <c r="G75" s="49">
        <f>VLOOKUP($A75,'Data Vlaue (Cr)'!$C:$FB,43)</f>
        <v>149</v>
      </c>
      <c r="H75" s="49">
        <f>VLOOKUP($A75,'Data Vlaue (Cr)'!$C:$FB,44)</f>
        <v>173</v>
      </c>
      <c r="I75" s="49">
        <f>VLOOKUP($A75,'Data Vlaue (Cr)'!$C:$FB,46)*100</f>
        <v>-13.5</v>
      </c>
      <c r="J75" s="51">
        <f>VLOOKUP($A75,'Data Vlaue (Cr)'!$C:$FB,59)</f>
        <v>646</v>
      </c>
      <c r="K75" s="51">
        <f>VLOOKUP($A75,'Data Vlaue (Cr)'!$C:$FB,60)</f>
        <v>979</v>
      </c>
      <c r="L75" s="51">
        <f>VLOOKUP($A75,'Data Vlaue (Cr)'!$C:$FB,62)*100</f>
        <v>-33.96</v>
      </c>
      <c r="M75" s="51">
        <f>VLOOKUP($A75,'Data Vlaue (Cr)'!$C:$FB,63)</f>
        <v>500</v>
      </c>
      <c r="N75" s="51">
        <f>VLOOKUP($A75,'Data Vlaue (Cr)'!$C:$FB,64)</f>
        <v>314</v>
      </c>
      <c r="O75" s="51">
        <f>VLOOKUP($A75,'Data Vlaue (Cr)'!$C:$FB,66)*100</f>
        <v>59.34</v>
      </c>
    </row>
    <row r="76" spans="1:15" x14ac:dyDescent="0.25">
      <c r="A76" s="101" t="str">
        <f>'Data Vlaue (Cr)'!C71</f>
        <v>GMRAIRPORT</v>
      </c>
      <c r="B76" s="50">
        <f>VLOOKUP($A76,'Data Vlaue (Cr)'!$C:$FB,8)</f>
        <v>97.45</v>
      </c>
      <c r="C76" s="50">
        <f>VLOOKUP($A76,'Data Vlaue (Cr)'!$C:$FB,11)*100</f>
        <v>0.62</v>
      </c>
      <c r="D76" s="50">
        <f>VLOOKUP($A76,'Data Vlaue (Cr)'!$C:$FB,143)</f>
        <v>993.04</v>
      </c>
      <c r="E76" s="50">
        <f>VLOOKUP($A76,'Data Vlaue (Cr)'!$C:$FB,144)</f>
        <v>611.55999999999995</v>
      </c>
      <c r="F76" s="50">
        <f>VLOOKUP($A76,'Data Vlaue (Cr)'!$C:$FB,146)*100</f>
        <v>62.38</v>
      </c>
      <c r="G76" s="49">
        <f>VLOOKUP($A76,'Data Vlaue (Cr)'!$C:$FB,43)</f>
        <v>178</v>
      </c>
      <c r="H76" s="49">
        <f>VLOOKUP($A76,'Data Vlaue (Cr)'!$C:$FB,44)</f>
        <v>221</v>
      </c>
      <c r="I76" s="49">
        <f>VLOOKUP($A76,'Data Vlaue (Cr)'!$C:$FB,46)*100</f>
        <v>-19.489999999999998</v>
      </c>
      <c r="J76" s="51">
        <f>VLOOKUP($A76,'Data Vlaue (Cr)'!$C:$FB,59)</f>
        <v>578</v>
      </c>
      <c r="K76" s="51">
        <f>VLOOKUP($A76,'Data Vlaue (Cr)'!$C:$FB,60)</f>
        <v>252</v>
      </c>
      <c r="L76" s="51">
        <f>VLOOKUP($A76,'Data Vlaue (Cr)'!$C:$FB,62)*100</f>
        <v>129.46</v>
      </c>
      <c r="M76" s="51">
        <f>VLOOKUP($A76,'Data Vlaue (Cr)'!$C:$FB,63)</f>
        <v>209</v>
      </c>
      <c r="N76" s="51">
        <f>VLOOKUP($A76,'Data Vlaue (Cr)'!$C:$FB,64)</f>
        <v>127</v>
      </c>
      <c r="O76" s="51">
        <f>VLOOKUP($A76,'Data Vlaue (Cr)'!$C:$FB,66)*100</f>
        <v>64.97</v>
      </c>
    </row>
    <row r="77" spans="1:15" x14ac:dyDescent="0.25">
      <c r="A77" s="101" t="str">
        <f>'Data Vlaue (Cr)'!C72</f>
        <v>GODFRYPHLP</v>
      </c>
      <c r="B77" s="50">
        <f>VLOOKUP($A77,'Data Vlaue (Cr)'!$C:$FB,8)</f>
        <v>2137.8000000000002</v>
      </c>
      <c r="C77" s="50">
        <f>VLOOKUP($A77,'Data Vlaue (Cr)'!$C:$FB,11)*100</f>
        <v>-3.17</v>
      </c>
      <c r="D77" s="50">
        <f>VLOOKUP($A77,'Data Vlaue (Cr)'!$C:$FB,143)</f>
        <v>529.78</v>
      </c>
      <c r="E77" s="50">
        <f>VLOOKUP($A77,'Data Vlaue (Cr)'!$C:$FB,144)</f>
        <v>2122.79</v>
      </c>
      <c r="F77" s="50">
        <f>VLOOKUP($A77,'Data Vlaue (Cr)'!$C:$FB,146)*100</f>
        <v>-75.039999999999992</v>
      </c>
      <c r="G77" s="49">
        <f>VLOOKUP($A77,'Data Vlaue (Cr)'!$C:$FB,43)</f>
        <v>108</v>
      </c>
      <c r="H77" s="49">
        <f>VLOOKUP($A77,'Data Vlaue (Cr)'!$C:$FB,44)</f>
        <v>349</v>
      </c>
      <c r="I77" s="49">
        <f>VLOOKUP($A77,'Data Vlaue (Cr)'!$C:$FB,46)*100</f>
        <v>-68.930000000000007</v>
      </c>
      <c r="J77" s="51">
        <f>VLOOKUP($A77,'Data Vlaue (Cr)'!$C:$FB,59)</f>
        <v>307</v>
      </c>
      <c r="K77" s="51">
        <f>VLOOKUP($A77,'Data Vlaue (Cr)'!$C:$FB,60)</f>
        <v>1311</v>
      </c>
      <c r="L77" s="51">
        <f>VLOOKUP($A77,'Data Vlaue (Cr)'!$C:$FB,62)*100</f>
        <v>-76.59</v>
      </c>
      <c r="M77" s="51">
        <f>VLOOKUP($A77,'Data Vlaue (Cr)'!$C:$FB,63)</f>
        <v>88</v>
      </c>
      <c r="N77" s="51">
        <f>VLOOKUP($A77,'Data Vlaue (Cr)'!$C:$FB,64)</f>
        <v>318</v>
      </c>
      <c r="O77" s="51">
        <f>VLOOKUP($A77,'Data Vlaue (Cr)'!$C:$FB,66)*100</f>
        <v>-72.16</v>
      </c>
    </row>
    <row r="78" spans="1:15" x14ac:dyDescent="0.25">
      <c r="A78" s="101" t="str">
        <f>'Data Vlaue (Cr)'!C73</f>
        <v>GODREJCP</v>
      </c>
      <c r="B78" s="50">
        <f>VLOOKUP($A78,'Data Vlaue (Cr)'!$C:$FB,8)</f>
        <v>1104.8</v>
      </c>
      <c r="C78" s="50">
        <f>VLOOKUP($A78,'Data Vlaue (Cr)'!$C:$FB,11)*100</f>
        <v>-0.41000000000000003</v>
      </c>
      <c r="D78" s="50">
        <f>VLOOKUP($A78,'Data Vlaue (Cr)'!$C:$FB,143)</f>
        <v>307.27999999999997</v>
      </c>
      <c r="E78" s="50">
        <f>VLOOKUP($A78,'Data Vlaue (Cr)'!$C:$FB,144)</f>
        <v>1112.27</v>
      </c>
      <c r="F78" s="50">
        <f>VLOOKUP($A78,'Data Vlaue (Cr)'!$C:$FB,146)*100</f>
        <v>-72.37</v>
      </c>
      <c r="G78" s="49">
        <f>VLOOKUP($A78,'Data Vlaue (Cr)'!$C:$FB,43)</f>
        <v>112</v>
      </c>
      <c r="H78" s="49">
        <f>VLOOKUP($A78,'Data Vlaue (Cr)'!$C:$FB,44)</f>
        <v>426</v>
      </c>
      <c r="I78" s="49">
        <f>VLOOKUP($A78,'Data Vlaue (Cr)'!$C:$FB,46)*100</f>
        <v>-73.77</v>
      </c>
      <c r="J78" s="51">
        <f>VLOOKUP($A78,'Data Vlaue (Cr)'!$C:$FB,59)</f>
        <v>142</v>
      </c>
      <c r="K78" s="51">
        <f>VLOOKUP($A78,'Data Vlaue (Cr)'!$C:$FB,60)</f>
        <v>495</v>
      </c>
      <c r="L78" s="51">
        <f>VLOOKUP($A78,'Data Vlaue (Cr)'!$C:$FB,62)*100</f>
        <v>-71.33</v>
      </c>
      <c r="M78" s="51">
        <f>VLOOKUP($A78,'Data Vlaue (Cr)'!$C:$FB,63)</f>
        <v>50</v>
      </c>
      <c r="N78" s="51">
        <f>VLOOKUP($A78,'Data Vlaue (Cr)'!$C:$FB,64)</f>
        <v>179</v>
      </c>
      <c r="O78" s="51">
        <f>VLOOKUP($A78,'Data Vlaue (Cr)'!$C:$FB,66)*100</f>
        <v>-72.260000000000005</v>
      </c>
    </row>
    <row r="79" spans="1:15" x14ac:dyDescent="0.25">
      <c r="A79" s="101" t="str">
        <f>'Data Vlaue (Cr)'!C74</f>
        <v>GODREJPROP</v>
      </c>
      <c r="B79" s="50">
        <f>VLOOKUP($A79,'Data Vlaue (Cr)'!$C:$FB,8)</f>
        <v>1759.7</v>
      </c>
      <c r="C79" s="50">
        <f>VLOOKUP($A79,'Data Vlaue (Cr)'!$C:$FB,11)*100</f>
        <v>0.05</v>
      </c>
      <c r="D79" s="50">
        <f>VLOOKUP($A79,'Data Vlaue (Cr)'!$C:$FB,143)</f>
        <v>1111.72</v>
      </c>
      <c r="E79" s="50">
        <f>VLOOKUP($A79,'Data Vlaue (Cr)'!$C:$FB,144)</f>
        <v>923.41</v>
      </c>
      <c r="F79" s="50">
        <f>VLOOKUP($A79,'Data Vlaue (Cr)'!$C:$FB,146)*100</f>
        <v>20.39</v>
      </c>
      <c r="G79" s="49">
        <f>VLOOKUP($A79,'Data Vlaue (Cr)'!$C:$FB,43)</f>
        <v>190</v>
      </c>
      <c r="H79" s="49">
        <f>VLOOKUP($A79,'Data Vlaue (Cr)'!$C:$FB,44)</f>
        <v>154</v>
      </c>
      <c r="I79" s="49">
        <f>VLOOKUP($A79,'Data Vlaue (Cr)'!$C:$FB,46)*100</f>
        <v>23.7</v>
      </c>
      <c r="J79" s="51">
        <f>VLOOKUP($A79,'Data Vlaue (Cr)'!$C:$FB,59)</f>
        <v>521</v>
      </c>
      <c r="K79" s="51">
        <f>VLOOKUP($A79,'Data Vlaue (Cr)'!$C:$FB,60)</f>
        <v>423</v>
      </c>
      <c r="L79" s="51">
        <f>VLOOKUP($A79,'Data Vlaue (Cr)'!$C:$FB,62)*100</f>
        <v>23.25</v>
      </c>
      <c r="M79" s="51">
        <f>VLOOKUP($A79,'Data Vlaue (Cr)'!$C:$FB,63)</f>
        <v>393</v>
      </c>
      <c r="N79" s="51">
        <f>VLOOKUP($A79,'Data Vlaue (Cr)'!$C:$FB,64)</f>
        <v>348</v>
      </c>
      <c r="O79" s="51">
        <f>VLOOKUP($A79,'Data Vlaue (Cr)'!$C:$FB,66)*100</f>
        <v>13.01</v>
      </c>
    </row>
    <row r="80" spans="1:15" x14ac:dyDescent="0.25">
      <c r="A80" s="101" t="str">
        <f>'Data Vlaue (Cr)'!C75</f>
        <v>GRASIM</v>
      </c>
      <c r="B80" s="50">
        <f>VLOOKUP($A80,'Data Vlaue (Cr)'!$C:$FB,8)</f>
        <v>2760.1</v>
      </c>
      <c r="C80" s="50">
        <f>VLOOKUP($A80,'Data Vlaue (Cr)'!$C:$FB,11)*100</f>
        <v>1.46</v>
      </c>
      <c r="D80" s="50">
        <f>VLOOKUP($A80,'Data Vlaue (Cr)'!$C:$FB,143)</f>
        <v>1606.59</v>
      </c>
      <c r="E80" s="50">
        <f>VLOOKUP($A80,'Data Vlaue (Cr)'!$C:$FB,144)</f>
        <v>627.54</v>
      </c>
      <c r="F80" s="50">
        <f>VLOOKUP($A80,'Data Vlaue (Cr)'!$C:$FB,146)*100</f>
        <v>156.02000000000001</v>
      </c>
      <c r="G80" s="49">
        <f>VLOOKUP($A80,'Data Vlaue (Cr)'!$C:$FB,43)</f>
        <v>785</v>
      </c>
      <c r="H80" s="49">
        <f>VLOOKUP($A80,'Data Vlaue (Cr)'!$C:$FB,44)</f>
        <v>137</v>
      </c>
      <c r="I80" s="49">
        <f>VLOOKUP($A80,'Data Vlaue (Cr)'!$C:$FB,46)*100</f>
        <v>472.26</v>
      </c>
      <c r="J80" s="51">
        <f>VLOOKUP($A80,'Data Vlaue (Cr)'!$C:$FB,59)</f>
        <v>582</v>
      </c>
      <c r="K80" s="51">
        <f>VLOOKUP($A80,'Data Vlaue (Cr)'!$C:$FB,60)</f>
        <v>345</v>
      </c>
      <c r="L80" s="51">
        <f>VLOOKUP($A80,'Data Vlaue (Cr)'!$C:$FB,62)*100</f>
        <v>69.03</v>
      </c>
      <c r="M80" s="51">
        <f>VLOOKUP($A80,'Data Vlaue (Cr)'!$C:$FB,63)</f>
        <v>230</v>
      </c>
      <c r="N80" s="51">
        <f>VLOOKUP($A80,'Data Vlaue (Cr)'!$C:$FB,64)</f>
        <v>143</v>
      </c>
      <c r="O80" s="51">
        <f>VLOOKUP($A80,'Data Vlaue (Cr)'!$C:$FB,66)*100</f>
        <v>60.19</v>
      </c>
    </row>
    <row r="81" spans="1:15" x14ac:dyDescent="0.25">
      <c r="A81" s="101" t="str">
        <f>'Data Vlaue (Cr)'!C76</f>
        <v>HAL</v>
      </c>
      <c r="B81" s="50">
        <f>VLOOKUP($A81,'Data Vlaue (Cr)'!$C:$FB,8)</f>
        <v>4344.5</v>
      </c>
      <c r="C81" s="50">
        <f>VLOOKUP($A81,'Data Vlaue (Cr)'!$C:$FB,11)*100</f>
        <v>-0.9900000000000001</v>
      </c>
      <c r="D81" s="50">
        <f>VLOOKUP($A81,'Data Vlaue (Cr)'!$C:$FB,143)</f>
        <v>2976.51</v>
      </c>
      <c r="E81" s="50">
        <f>VLOOKUP($A81,'Data Vlaue (Cr)'!$C:$FB,144)</f>
        <v>3859.23</v>
      </c>
      <c r="F81" s="50">
        <f>VLOOKUP($A81,'Data Vlaue (Cr)'!$C:$FB,146)*100</f>
        <v>-22.869999999999997</v>
      </c>
      <c r="G81" s="49">
        <f>VLOOKUP($A81,'Data Vlaue (Cr)'!$C:$FB,43)</f>
        <v>427</v>
      </c>
      <c r="H81" s="49">
        <f>VLOOKUP($A81,'Data Vlaue (Cr)'!$C:$FB,44)</f>
        <v>406</v>
      </c>
      <c r="I81" s="49">
        <f>VLOOKUP($A81,'Data Vlaue (Cr)'!$C:$FB,46)*100</f>
        <v>4.95</v>
      </c>
      <c r="J81" s="51">
        <f>VLOOKUP($A81,'Data Vlaue (Cr)'!$C:$FB,59)</f>
        <v>1473</v>
      </c>
      <c r="K81" s="51">
        <f>VLOOKUP($A81,'Data Vlaue (Cr)'!$C:$FB,60)</f>
        <v>2059</v>
      </c>
      <c r="L81" s="51">
        <f>VLOOKUP($A81,'Data Vlaue (Cr)'!$C:$FB,62)*100</f>
        <v>-28.46</v>
      </c>
      <c r="M81" s="51">
        <f>VLOOKUP($A81,'Data Vlaue (Cr)'!$C:$FB,63)</f>
        <v>1027</v>
      </c>
      <c r="N81" s="51">
        <f>VLOOKUP($A81,'Data Vlaue (Cr)'!$C:$FB,64)</f>
        <v>1335</v>
      </c>
      <c r="O81" s="51">
        <f>VLOOKUP($A81,'Data Vlaue (Cr)'!$C:$FB,66)*100</f>
        <v>-23.05</v>
      </c>
    </row>
    <row r="82" spans="1:15" x14ac:dyDescent="0.25">
      <c r="A82" s="101" t="str">
        <f>'Data Vlaue (Cr)'!C77</f>
        <v>HAVELLS</v>
      </c>
      <c r="B82" s="50">
        <f>VLOOKUP($A82,'Data Vlaue (Cr)'!$C:$FB,8)</f>
        <v>1302.0999999999999</v>
      </c>
      <c r="C82" s="50">
        <f>VLOOKUP($A82,'Data Vlaue (Cr)'!$C:$FB,11)*100</f>
        <v>-0.33</v>
      </c>
      <c r="D82" s="50">
        <f>VLOOKUP($A82,'Data Vlaue (Cr)'!$C:$FB,143)</f>
        <v>614.09</v>
      </c>
      <c r="E82" s="50">
        <f>VLOOKUP($A82,'Data Vlaue (Cr)'!$C:$FB,144)</f>
        <v>1014.27</v>
      </c>
      <c r="F82" s="50">
        <f>VLOOKUP($A82,'Data Vlaue (Cr)'!$C:$FB,146)*100</f>
        <v>-39.450000000000003</v>
      </c>
      <c r="G82" s="49">
        <f>VLOOKUP($A82,'Data Vlaue (Cr)'!$C:$FB,43)</f>
        <v>160</v>
      </c>
      <c r="H82" s="49">
        <f>VLOOKUP($A82,'Data Vlaue (Cr)'!$C:$FB,44)</f>
        <v>209</v>
      </c>
      <c r="I82" s="49">
        <f>VLOOKUP($A82,'Data Vlaue (Cr)'!$C:$FB,46)*100</f>
        <v>-23.29</v>
      </c>
      <c r="J82" s="51">
        <f>VLOOKUP($A82,'Data Vlaue (Cr)'!$C:$FB,59)</f>
        <v>301</v>
      </c>
      <c r="K82" s="51">
        <f>VLOOKUP($A82,'Data Vlaue (Cr)'!$C:$FB,60)</f>
        <v>586</v>
      </c>
      <c r="L82" s="51">
        <f>VLOOKUP($A82,'Data Vlaue (Cr)'!$C:$FB,62)*100</f>
        <v>-48.59</v>
      </c>
      <c r="M82" s="51">
        <f>VLOOKUP($A82,'Data Vlaue (Cr)'!$C:$FB,63)</f>
        <v>139</v>
      </c>
      <c r="N82" s="51">
        <f>VLOOKUP($A82,'Data Vlaue (Cr)'!$C:$FB,64)</f>
        <v>196</v>
      </c>
      <c r="O82" s="51">
        <f>VLOOKUP($A82,'Data Vlaue (Cr)'!$C:$FB,66)*100</f>
        <v>-28.810000000000002</v>
      </c>
    </row>
    <row r="83" spans="1:15" x14ac:dyDescent="0.25">
      <c r="A83" s="101" t="str">
        <f>'Data Vlaue (Cr)'!C78</f>
        <v>HCLTECH</v>
      </c>
      <c r="B83" s="50">
        <f>VLOOKUP($A83,'Data Vlaue (Cr)'!$C:$FB,8)</f>
        <v>1428.3</v>
      </c>
      <c r="C83" s="50">
        <f>VLOOKUP($A83,'Data Vlaue (Cr)'!$C:$FB,11)*100</f>
        <v>-0.97</v>
      </c>
      <c r="D83" s="50">
        <f>VLOOKUP($A83,'Data Vlaue (Cr)'!$C:$FB,143)</f>
        <v>2995.22</v>
      </c>
      <c r="E83" s="50">
        <f>VLOOKUP($A83,'Data Vlaue (Cr)'!$C:$FB,144)</f>
        <v>3336.23</v>
      </c>
      <c r="F83" s="50">
        <f>VLOOKUP($A83,'Data Vlaue (Cr)'!$C:$FB,146)*100</f>
        <v>-10.220000000000001</v>
      </c>
      <c r="G83" s="49">
        <f>VLOOKUP($A83,'Data Vlaue (Cr)'!$C:$FB,43)</f>
        <v>979</v>
      </c>
      <c r="H83" s="49">
        <f>VLOOKUP($A83,'Data Vlaue (Cr)'!$C:$FB,44)</f>
        <v>993</v>
      </c>
      <c r="I83" s="49">
        <f>VLOOKUP($A83,'Data Vlaue (Cr)'!$C:$FB,46)*100</f>
        <v>-1.4000000000000001</v>
      </c>
      <c r="J83" s="51">
        <f>VLOOKUP($A83,'Data Vlaue (Cr)'!$C:$FB,59)</f>
        <v>1253</v>
      </c>
      <c r="K83" s="51">
        <f>VLOOKUP($A83,'Data Vlaue (Cr)'!$C:$FB,60)</f>
        <v>1446</v>
      </c>
      <c r="L83" s="51">
        <f>VLOOKUP($A83,'Data Vlaue (Cr)'!$C:$FB,62)*100</f>
        <v>-13.370000000000001</v>
      </c>
      <c r="M83" s="51">
        <f>VLOOKUP($A83,'Data Vlaue (Cr)'!$C:$FB,63)</f>
        <v>687</v>
      </c>
      <c r="N83" s="51">
        <f>VLOOKUP($A83,'Data Vlaue (Cr)'!$C:$FB,64)</f>
        <v>810</v>
      </c>
      <c r="O83" s="51">
        <f>VLOOKUP($A83,'Data Vlaue (Cr)'!$C:$FB,66)*100</f>
        <v>-15.160000000000002</v>
      </c>
    </row>
    <row r="84" spans="1:15" x14ac:dyDescent="0.25">
      <c r="A84" s="101" t="str">
        <f>'Data Vlaue (Cr)'!C79</f>
        <v>HDFCAMC</v>
      </c>
      <c r="B84" s="50">
        <f>VLOOKUP($A84,'Data Vlaue (Cr)'!$C:$FB,8)</f>
        <v>2768.2</v>
      </c>
      <c r="C84" s="50">
        <f>VLOOKUP($A84,'Data Vlaue (Cr)'!$C:$FB,11)*100</f>
        <v>-0.86999999999999988</v>
      </c>
      <c r="D84" s="50">
        <f>VLOOKUP($A84,'Data Vlaue (Cr)'!$C:$FB,143)</f>
        <v>1901.32</v>
      </c>
      <c r="E84" s="50">
        <f>VLOOKUP($A84,'Data Vlaue (Cr)'!$C:$FB,144)</f>
        <v>8998.1299999999992</v>
      </c>
      <c r="F84" s="50">
        <f>VLOOKUP($A84,'Data Vlaue (Cr)'!$C:$FB,146)*100</f>
        <v>-78.86999999999999</v>
      </c>
      <c r="G84" s="49">
        <f>VLOOKUP($A84,'Data Vlaue (Cr)'!$C:$FB,43)</f>
        <v>296</v>
      </c>
      <c r="H84" s="49">
        <f>VLOOKUP($A84,'Data Vlaue (Cr)'!$C:$FB,44)</f>
        <v>667</v>
      </c>
      <c r="I84" s="49">
        <f>VLOOKUP($A84,'Data Vlaue (Cr)'!$C:$FB,46)*100</f>
        <v>-55.64</v>
      </c>
      <c r="J84" s="51">
        <f>VLOOKUP($A84,'Data Vlaue (Cr)'!$C:$FB,59)</f>
        <v>879</v>
      </c>
      <c r="K84" s="51">
        <f>VLOOKUP($A84,'Data Vlaue (Cr)'!$C:$FB,60)</f>
        <v>5694</v>
      </c>
      <c r="L84" s="51">
        <f>VLOOKUP($A84,'Data Vlaue (Cr)'!$C:$FB,62)*100</f>
        <v>-84.570000000000007</v>
      </c>
      <c r="M84" s="51">
        <f>VLOOKUP($A84,'Data Vlaue (Cr)'!$C:$FB,63)</f>
        <v>705</v>
      </c>
      <c r="N84" s="51">
        <f>VLOOKUP($A84,'Data Vlaue (Cr)'!$C:$FB,64)</f>
        <v>2519</v>
      </c>
      <c r="O84" s="51">
        <f>VLOOKUP($A84,'Data Vlaue (Cr)'!$C:$FB,66)*100</f>
        <v>-72.03</v>
      </c>
    </row>
    <row r="85" spans="1:15" x14ac:dyDescent="0.25">
      <c r="A85" s="101" t="str">
        <f>'Data Vlaue (Cr)'!C80</f>
        <v>HDFCBANK</v>
      </c>
      <c r="B85" s="50">
        <f>VLOOKUP($A85,'Data Vlaue (Cr)'!$C:$FB,8)</f>
        <v>795.45</v>
      </c>
      <c r="C85" s="50">
        <f>VLOOKUP($A85,'Data Vlaue (Cr)'!$C:$FB,11)*100</f>
        <v>-0.55999999999999994</v>
      </c>
      <c r="D85" s="50">
        <f>VLOOKUP($A85,'Data Vlaue (Cr)'!$C:$FB,143)</f>
        <v>33252.67</v>
      </c>
      <c r="E85" s="50">
        <f>VLOOKUP($A85,'Data Vlaue (Cr)'!$C:$FB,144)</f>
        <v>16108.84</v>
      </c>
      <c r="F85" s="50">
        <f>VLOOKUP($A85,'Data Vlaue (Cr)'!$C:$FB,146)*100</f>
        <v>106.42</v>
      </c>
      <c r="G85" s="49">
        <f>VLOOKUP($A85,'Data Vlaue (Cr)'!$C:$FB,43)</f>
        <v>5400</v>
      </c>
      <c r="H85" s="49">
        <f>VLOOKUP($A85,'Data Vlaue (Cr)'!$C:$FB,44)</f>
        <v>2632</v>
      </c>
      <c r="I85" s="49">
        <f>VLOOKUP($A85,'Data Vlaue (Cr)'!$C:$FB,46)*100</f>
        <v>105.17</v>
      </c>
      <c r="J85" s="51">
        <f>VLOOKUP($A85,'Data Vlaue (Cr)'!$C:$FB,59)</f>
        <v>18460</v>
      </c>
      <c r="K85" s="51">
        <f>VLOOKUP($A85,'Data Vlaue (Cr)'!$C:$FB,60)</f>
        <v>8411</v>
      </c>
      <c r="L85" s="51">
        <f>VLOOKUP($A85,'Data Vlaue (Cr)'!$C:$FB,62)*100</f>
        <v>119.48</v>
      </c>
      <c r="M85" s="51">
        <f>VLOOKUP($A85,'Data Vlaue (Cr)'!$C:$FB,63)</f>
        <v>8580</v>
      </c>
      <c r="N85" s="51">
        <f>VLOOKUP($A85,'Data Vlaue (Cr)'!$C:$FB,64)</f>
        <v>4606</v>
      </c>
      <c r="O85" s="51">
        <f>VLOOKUP($A85,'Data Vlaue (Cr)'!$C:$FB,66)*100</f>
        <v>86.28</v>
      </c>
    </row>
    <row r="86" spans="1:15" x14ac:dyDescent="0.25">
      <c r="A86" s="101" t="str">
        <f>'Data Vlaue (Cr)'!C81</f>
        <v>HDFCLIFE</v>
      </c>
      <c r="B86" s="50">
        <f>VLOOKUP($A86,'Data Vlaue (Cr)'!$C:$FB,8)</f>
        <v>609.75</v>
      </c>
      <c r="C86" s="50">
        <f>VLOOKUP($A86,'Data Vlaue (Cr)'!$C:$FB,11)*100</f>
        <v>-1.0900000000000001</v>
      </c>
      <c r="D86" s="50">
        <f>VLOOKUP($A86,'Data Vlaue (Cr)'!$C:$FB,143)</f>
        <v>2620.5100000000002</v>
      </c>
      <c r="E86" s="50">
        <f>VLOOKUP($A86,'Data Vlaue (Cr)'!$C:$FB,144)</f>
        <v>7109.7</v>
      </c>
      <c r="F86" s="50">
        <f>VLOOKUP($A86,'Data Vlaue (Cr)'!$C:$FB,146)*100</f>
        <v>-63.139999999999993</v>
      </c>
      <c r="G86" s="49">
        <f>VLOOKUP($A86,'Data Vlaue (Cr)'!$C:$FB,43)</f>
        <v>325</v>
      </c>
      <c r="H86" s="49">
        <f>VLOOKUP($A86,'Data Vlaue (Cr)'!$C:$FB,44)</f>
        <v>727</v>
      </c>
      <c r="I86" s="49">
        <f>VLOOKUP($A86,'Data Vlaue (Cr)'!$C:$FB,46)*100</f>
        <v>-55.279999999999994</v>
      </c>
      <c r="J86" s="51">
        <f>VLOOKUP($A86,'Data Vlaue (Cr)'!$C:$FB,59)</f>
        <v>1421</v>
      </c>
      <c r="K86" s="51">
        <f>VLOOKUP($A86,'Data Vlaue (Cr)'!$C:$FB,60)</f>
        <v>3645</v>
      </c>
      <c r="L86" s="51">
        <f>VLOOKUP($A86,'Data Vlaue (Cr)'!$C:$FB,62)*100</f>
        <v>-61.019999999999996</v>
      </c>
      <c r="M86" s="51">
        <f>VLOOKUP($A86,'Data Vlaue (Cr)'!$C:$FB,63)</f>
        <v>805</v>
      </c>
      <c r="N86" s="51">
        <f>VLOOKUP($A86,'Data Vlaue (Cr)'!$C:$FB,64)</f>
        <v>2525</v>
      </c>
      <c r="O86" s="51">
        <f>VLOOKUP($A86,'Data Vlaue (Cr)'!$C:$FB,66)*100</f>
        <v>-68.13</v>
      </c>
    </row>
    <row r="87" spans="1:15" x14ac:dyDescent="0.25">
      <c r="A87" s="101" t="str">
        <f>'Data Vlaue (Cr)'!C82</f>
        <v>HEROMOTOCO</v>
      </c>
      <c r="B87" s="50">
        <f>VLOOKUP($A87,'Data Vlaue (Cr)'!$C:$FB,8)</f>
        <v>5282.5</v>
      </c>
      <c r="C87" s="50">
        <f>VLOOKUP($A87,'Data Vlaue (Cr)'!$C:$FB,11)*100</f>
        <v>0.9900000000000001</v>
      </c>
      <c r="D87" s="50">
        <f>VLOOKUP($A87,'Data Vlaue (Cr)'!$C:$FB,143)</f>
        <v>3719.44</v>
      </c>
      <c r="E87" s="50">
        <f>VLOOKUP($A87,'Data Vlaue (Cr)'!$C:$FB,144)</f>
        <v>4017.39</v>
      </c>
      <c r="F87" s="50">
        <f>VLOOKUP($A87,'Data Vlaue (Cr)'!$C:$FB,146)*100</f>
        <v>-7.42</v>
      </c>
      <c r="G87" s="49">
        <f>VLOOKUP($A87,'Data Vlaue (Cr)'!$C:$FB,43)</f>
        <v>362</v>
      </c>
      <c r="H87" s="49">
        <f>VLOOKUP($A87,'Data Vlaue (Cr)'!$C:$FB,44)</f>
        <v>525</v>
      </c>
      <c r="I87" s="49">
        <f>VLOOKUP($A87,'Data Vlaue (Cr)'!$C:$FB,46)*100</f>
        <v>-31.130000000000003</v>
      </c>
      <c r="J87" s="51">
        <f>VLOOKUP($A87,'Data Vlaue (Cr)'!$C:$FB,59)</f>
        <v>2401</v>
      </c>
      <c r="K87" s="51">
        <f>VLOOKUP($A87,'Data Vlaue (Cr)'!$C:$FB,60)</f>
        <v>2476</v>
      </c>
      <c r="L87" s="51">
        <f>VLOOKUP($A87,'Data Vlaue (Cr)'!$C:$FB,62)*100</f>
        <v>-3.02</v>
      </c>
      <c r="M87" s="51">
        <f>VLOOKUP($A87,'Data Vlaue (Cr)'!$C:$FB,63)</f>
        <v>879</v>
      </c>
      <c r="N87" s="51">
        <f>VLOOKUP($A87,'Data Vlaue (Cr)'!$C:$FB,64)</f>
        <v>957</v>
      </c>
      <c r="O87" s="51">
        <f>VLOOKUP($A87,'Data Vlaue (Cr)'!$C:$FB,66)*100</f>
        <v>-8.1199999999999992</v>
      </c>
    </row>
    <row r="88" spans="1:15" x14ac:dyDescent="0.25">
      <c r="A88" s="101" t="str">
        <f>'Data Vlaue (Cr)'!C83</f>
        <v>HINDALCO</v>
      </c>
      <c r="B88" s="50">
        <f>VLOOKUP($A88,'Data Vlaue (Cr)'!$C:$FB,8)</f>
        <v>1015.25</v>
      </c>
      <c r="C88" s="50">
        <f>VLOOKUP($A88,'Data Vlaue (Cr)'!$C:$FB,11)*100</f>
        <v>-2.29</v>
      </c>
      <c r="D88" s="50">
        <f>VLOOKUP($A88,'Data Vlaue (Cr)'!$C:$FB,143)</f>
        <v>4500.09</v>
      </c>
      <c r="E88" s="50">
        <f>VLOOKUP($A88,'Data Vlaue (Cr)'!$C:$FB,144)</f>
        <v>4340.28</v>
      </c>
      <c r="F88" s="50">
        <f>VLOOKUP($A88,'Data Vlaue (Cr)'!$C:$FB,146)*100</f>
        <v>3.6799999999999997</v>
      </c>
      <c r="G88" s="49">
        <f>VLOOKUP($A88,'Data Vlaue (Cr)'!$C:$FB,43)</f>
        <v>655</v>
      </c>
      <c r="H88" s="49">
        <f>VLOOKUP($A88,'Data Vlaue (Cr)'!$C:$FB,44)</f>
        <v>456</v>
      </c>
      <c r="I88" s="49">
        <f>VLOOKUP($A88,'Data Vlaue (Cr)'!$C:$FB,46)*100</f>
        <v>43.56</v>
      </c>
      <c r="J88" s="51">
        <f>VLOOKUP($A88,'Data Vlaue (Cr)'!$C:$FB,59)</f>
        <v>2148</v>
      </c>
      <c r="K88" s="51">
        <f>VLOOKUP($A88,'Data Vlaue (Cr)'!$C:$FB,60)</f>
        <v>2099</v>
      </c>
      <c r="L88" s="51">
        <f>VLOOKUP($A88,'Data Vlaue (Cr)'!$C:$FB,62)*100</f>
        <v>2.31</v>
      </c>
      <c r="M88" s="51">
        <f>VLOOKUP($A88,'Data Vlaue (Cr)'!$C:$FB,63)</f>
        <v>1597</v>
      </c>
      <c r="N88" s="51">
        <f>VLOOKUP($A88,'Data Vlaue (Cr)'!$C:$FB,64)</f>
        <v>1647</v>
      </c>
      <c r="O88" s="51">
        <f>VLOOKUP($A88,'Data Vlaue (Cr)'!$C:$FB,66)*100</f>
        <v>-3</v>
      </c>
    </row>
    <row r="89" spans="1:15" x14ac:dyDescent="0.25">
      <c r="A89" s="101" t="str">
        <f>'Data Vlaue (Cr)'!C84</f>
        <v>HINDPETRO</v>
      </c>
      <c r="B89" s="50">
        <f>VLOOKUP($A89,'Data Vlaue (Cr)'!$C:$FB,8)</f>
        <v>379.5</v>
      </c>
      <c r="C89" s="50">
        <f>VLOOKUP($A89,'Data Vlaue (Cr)'!$C:$FB,11)*100</f>
        <v>2.33</v>
      </c>
      <c r="D89" s="50">
        <f>VLOOKUP($A89,'Data Vlaue (Cr)'!$C:$FB,143)</f>
        <v>2818.26</v>
      </c>
      <c r="E89" s="50">
        <f>VLOOKUP($A89,'Data Vlaue (Cr)'!$C:$FB,144)</f>
        <v>1416.99</v>
      </c>
      <c r="F89" s="50">
        <f>VLOOKUP($A89,'Data Vlaue (Cr)'!$C:$FB,146)*100</f>
        <v>98.89</v>
      </c>
      <c r="G89" s="49">
        <f>VLOOKUP($A89,'Data Vlaue (Cr)'!$C:$FB,43)</f>
        <v>562</v>
      </c>
      <c r="H89" s="49">
        <f>VLOOKUP($A89,'Data Vlaue (Cr)'!$C:$FB,44)</f>
        <v>282</v>
      </c>
      <c r="I89" s="49">
        <f>VLOOKUP($A89,'Data Vlaue (Cr)'!$C:$FB,46)*100</f>
        <v>98.83</v>
      </c>
      <c r="J89" s="51">
        <f>VLOOKUP($A89,'Data Vlaue (Cr)'!$C:$FB,59)</f>
        <v>1395</v>
      </c>
      <c r="K89" s="51">
        <f>VLOOKUP($A89,'Data Vlaue (Cr)'!$C:$FB,60)</f>
        <v>643</v>
      </c>
      <c r="L89" s="51">
        <f>VLOOKUP($A89,'Data Vlaue (Cr)'!$C:$FB,62)*100</f>
        <v>117.02999999999999</v>
      </c>
      <c r="M89" s="51">
        <f>VLOOKUP($A89,'Data Vlaue (Cr)'!$C:$FB,63)</f>
        <v>822</v>
      </c>
      <c r="N89" s="51">
        <f>VLOOKUP($A89,'Data Vlaue (Cr)'!$C:$FB,64)</f>
        <v>507</v>
      </c>
      <c r="O89" s="51">
        <f>VLOOKUP($A89,'Data Vlaue (Cr)'!$C:$FB,66)*100</f>
        <v>62.08</v>
      </c>
    </row>
    <row r="90" spans="1:15" x14ac:dyDescent="0.25">
      <c r="A90" s="101" t="str">
        <f>'Data Vlaue (Cr)'!C85</f>
        <v>HINDUNILVR</v>
      </c>
      <c r="B90" s="50">
        <f>VLOOKUP($A90,'Data Vlaue (Cr)'!$C:$FB,8)</f>
        <v>2231.5</v>
      </c>
      <c r="C90" s="50">
        <f>VLOOKUP($A90,'Data Vlaue (Cr)'!$C:$FB,11)*100</f>
        <v>-0.42</v>
      </c>
      <c r="D90" s="50">
        <f>VLOOKUP($A90,'Data Vlaue (Cr)'!$C:$FB,143)</f>
        <v>3316.43</v>
      </c>
      <c r="E90" s="50">
        <f>VLOOKUP($A90,'Data Vlaue (Cr)'!$C:$FB,144)</f>
        <v>13535.87</v>
      </c>
      <c r="F90" s="50">
        <f>VLOOKUP($A90,'Data Vlaue (Cr)'!$C:$FB,146)*100</f>
        <v>-75.5</v>
      </c>
      <c r="G90" s="49">
        <f>VLOOKUP($A90,'Data Vlaue (Cr)'!$C:$FB,43)</f>
        <v>304</v>
      </c>
      <c r="H90" s="49">
        <f>VLOOKUP($A90,'Data Vlaue (Cr)'!$C:$FB,44)</f>
        <v>1092</v>
      </c>
      <c r="I90" s="49">
        <f>VLOOKUP($A90,'Data Vlaue (Cr)'!$C:$FB,46)*100</f>
        <v>-72.16</v>
      </c>
      <c r="J90" s="51">
        <f>VLOOKUP($A90,'Data Vlaue (Cr)'!$C:$FB,59)</f>
        <v>1798</v>
      </c>
      <c r="K90" s="51">
        <f>VLOOKUP($A90,'Data Vlaue (Cr)'!$C:$FB,60)</f>
        <v>8646</v>
      </c>
      <c r="L90" s="51">
        <f>VLOOKUP($A90,'Data Vlaue (Cr)'!$C:$FB,62)*100</f>
        <v>-79.2</v>
      </c>
      <c r="M90" s="51">
        <f>VLOOKUP($A90,'Data Vlaue (Cr)'!$C:$FB,63)</f>
        <v>1176</v>
      </c>
      <c r="N90" s="51">
        <f>VLOOKUP($A90,'Data Vlaue (Cr)'!$C:$FB,64)</f>
        <v>3650</v>
      </c>
      <c r="O90" s="51">
        <f>VLOOKUP($A90,'Data Vlaue (Cr)'!$C:$FB,66)*100</f>
        <v>-67.78</v>
      </c>
    </row>
    <row r="91" spans="1:15" x14ac:dyDescent="0.25">
      <c r="A91" s="101" t="str">
        <f>'Data Vlaue (Cr)'!C86</f>
        <v>HINDZINC</v>
      </c>
      <c r="B91" s="50">
        <f>VLOOKUP($A91,'Data Vlaue (Cr)'!$C:$FB,8)</f>
        <v>590.29999999999995</v>
      </c>
      <c r="C91" s="50">
        <f>VLOOKUP($A91,'Data Vlaue (Cr)'!$C:$FB,11)*100</f>
        <v>-0.33999999999999997</v>
      </c>
      <c r="D91" s="50">
        <f>VLOOKUP($A91,'Data Vlaue (Cr)'!$C:$FB,143)</f>
        <v>2023.79</v>
      </c>
      <c r="E91" s="50">
        <f>VLOOKUP($A91,'Data Vlaue (Cr)'!$C:$FB,144)</f>
        <v>1888.95</v>
      </c>
      <c r="F91" s="50">
        <f>VLOOKUP($A91,'Data Vlaue (Cr)'!$C:$FB,146)*100</f>
        <v>7.1400000000000006</v>
      </c>
      <c r="G91" s="49">
        <f>VLOOKUP($A91,'Data Vlaue (Cr)'!$C:$FB,43)</f>
        <v>276</v>
      </c>
      <c r="H91" s="49">
        <f>VLOOKUP($A91,'Data Vlaue (Cr)'!$C:$FB,44)</f>
        <v>327</v>
      </c>
      <c r="I91" s="49">
        <f>VLOOKUP($A91,'Data Vlaue (Cr)'!$C:$FB,46)*100</f>
        <v>-15.440000000000001</v>
      </c>
      <c r="J91" s="51">
        <f>VLOOKUP($A91,'Data Vlaue (Cr)'!$C:$FB,59)</f>
        <v>1072</v>
      </c>
      <c r="K91" s="51">
        <f>VLOOKUP($A91,'Data Vlaue (Cr)'!$C:$FB,60)</f>
        <v>954</v>
      </c>
      <c r="L91" s="51">
        <f>VLOOKUP($A91,'Data Vlaue (Cr)'!$C:$FB,62)*100</f>
        <v>12.42</v>
      </c>
      <c r="M91" s="51">
        <f>VLOOKUP($A91,'Data Vlaue (Cr)'!$C:$FB,63)</f>
        <v>621</v>
      </c>
      <c r="N91" s="51">
        <f>VLOOKUP($A91,'Data Vlaue (Cr)'!$C:$FB,64)</f>
        <v>569</v>
      </c>
      <c r="O91" s="51">
        <f>VLOOKUP($A91,'Data Vlaue (Cr)'!$C:$FB,66)*100</f>
        <v>9.1300000000000008</v>
      </c>
    </row>
    <row r="92" spans="1:15" x14ac:dyDescent="0.25">
      <c r="A92" s="101" t="str">
        <f>'Data Vlaue (Cr)'!C87</f>
        <v>HUDCO</v>
      </c>
      <c r="B92" s="50">
        <f>VLOOKUP($A92,'Data Vlaue (Cr)'!$C:$FB,8)</f>
        <v>199.4</v>
      </c>
      <c r="C92" s="50">
        <f>VLOOKUP($A92,'Data Vlaue (Cr)'!$C:$FB,11)*100</f>
        <v>1.26</v>
      </c>
      <c r="D92" s="50">
        <f>VLOOKUP($A92,'Data Vlaue (Cr)'!$C:$FB,143)</f>
        <v>961.92</v>
      </c>
      <c r="E92" s="50">
        <f>VLOOKUP($A92,'Data Vlaue (Cr)'!$C:$FB,144)</f>
        <v>904.18</v>
      </c>
      <c r="F92" s="50">
        <f>VLOOKUP($A92,'Data Vlaue (Cr)'!$C:$FB,146)*100</f>
        <v>6.39</v>
      </c>
      <c r="G92" s="49">
        <f>VLOOKUP($A92,'Data Vlaue (Cr)'!$C:$FB,43)</f>
        <v>131</v>
      </c>
      <c r="H92" s="49">
        <f>VLOOKUP($A92,'Data Vlaue (Cr)'!$C:$FB,44)</f>
        <v>154</v>
      </c>
      <c r="I92" s="49">
        <f>VLOOKUP($A92,'Data Vlaue (Cr)'!$C:$FB,46)*100</f>
        <v>-14.649999999999999</v>
      </c>
      <c r="J92" s="51">
        <f>VLOOKUP($A92,'Data Vlaue (Cr)'!$C:$FB,59)</f>
        <v>539</v>
      </c>
      <c r="K92" s="51">
        <f>VLOOKUP($A92,'Data Vlaue (Cr)'!$C:$FB,60)</f>
        <v>481</v>
      </c>
      <c r="L92" s="51">
        <f>VLOOKUP($A92,'Data Vlaue (Cr)'!$C:$FB,62)*100</f>
        <v>12.07</v>
      </c>
      <c r="M92" s="51">
        <f>VLOOKUP($A92,'Data Vlaue (Cr)'!$C:$FB,63)</f>
        <v>278</v>
      </c>
      <c r="N92" s="51">
        <f>VLOOKUP($A92,'Data Vlaue (Cr)'!$C:$FB,64)</f>
        <v>274</v>
      </c>
      <c r="O92" s="51">
        <f>VLOOKUP($A92,'Data Vlaue (Cr)'!$C:$FB,66)*100</f>
        <v>1.39</v>
      </c>
    </row>
    <row r="93" spans="1:15" x14ac:dyDescent="0.25">
      <c r="A93" s="101" t="str">
        <f>'Data Vlaue (Cr)'!C88</f>
        <v>HYUNDAI</v>
      </c>
      <c r="B93" s="50">
        <f>VLOOKUP($A93,'Data Vlaue (Cr)'!$C:$FB,8)</f>
        <v>1886</v>
      </c>
      <c r="C93" s="50">
        <f>VLOOKUP($A93,'Data Vlaue (Cr)'!$C:$FB,11)*100</f>
        <v>-0.88</v>
      </c>
      <c r="D93" s="50">
        <f>VLOOKUP($A93,'Data Vlaue (Cr)'!$C:$FB,143)</f>
        <v>601.46</v>
      </c>
      <c r="E93" s="50">
        <f>VLOOKUP($A93,'Data Vlaue (Cr)'!$C:$FB,144)</f>
        <v>1371.86</v>
      </c>
      <c r="F93" s="50">
        <f>VLOOKUP($A93,'Data Vlaue (Cr)'!$C:$FB,146)*100</f>
        <v>-56.16</v>
      </c>
      <c r="G93" s="49">
        <f>VLOOKUP($A93,'Data Vlaue (Cr)'!$C:$FB,43)</f>
        <v>226</v>
      </c>
      <c r="H93" s="49">
        <f>VLOOKUP($A93,'Data Vlaue (Cr)'!$C:$FB,44)</f>
        <v>430</v>
      </c>
      <c r="I93" s="49">
        <f>VLOOKUP($A93,'Data Vlaue (Cr)'!$C:$FB,46)*100</f>
        <v>-47.32</v>
      </c>
      <c r="J93" s="51">
        <f>VLOOKUP($A93,'Data Vlaue (Cr)'!$C:$FB,59)</f>
        <v>294</v>
      </c>
      <c r="K93" s="51">
        <f>VLOOKUP($A93,'Data Vlaue (Cr)'!$C:$FB,60)</f>
        <v>729</v>
      </c>
      <c r="L93" s="51">
        <f>VLOOKUP($A93,'Data Vlaue (Cr)'!$C:$FB,62)*100</f>
        <v>-59.63</v>
      </c>
      <c r="M93" s="51">
        <f>VLOOKUP($A93,'Data Vlaue (Cr)'!$C:$FB,63)</f>
        <v>65</v>
      </c>
      <c r="N93" s="51">
        <f>VLOOKUP($A93,'Data Vlaue (Cr)'!$C:$FB,64)</f>
        <v>179</v>
      </c>
      <c r="O93" s="51">
        <f>VLOOKUP($A93,'Data Vlaue (Cr)'!$C:$FB,66)*100</f>
        <v>-63.519999999999996</v>
      </c>
    </row>
    <row r="94" spans="1:15" x14ac:dyDescent="0.25">
      <c r="A94" s="101" t="str">
        <f>'Data Vlaue (Cr)'!C89</f>
        <v>ICICIBANK</v>
      </c>
      <c r="B94" s="50">
        <f>VLOOKUP($A94,'Data Vlaue (Cr)'!$C:$FB,8)</f>
        <v>1356.2</v>
      </c>
      <c r="C94" s="50">
        <f>VLOOKUP($A94,'Data Vlaue (Cr)'!$C:$FB,11)*100</f>
        <v>0.70000000000000007</v>
      </c>
      <c r="D94" s="50">
        <f>VLOOKUP($A94,'Data Vlaue (Cr)'!$C:$FB,143)</f>
        <v>31510.17</v>
      </c>
      <c r="E94" s="50">
        <f>VLOOKUP($A94,'Data Vlaue (Cr)'!$C:$FB,144)</f>
        <v>15940.04</v>
      </c>
      <c r="F94" s="50">
        <f>VLOOKUP($A94,'Data Vlaue (Cr)'!$C:$FB,146)*100</f>
        <v>97.68</v>
      </c>
      <c r="G94" s="49">
        <f>VLOOKUP($A94,'Data Vlaue (Cr)'!$C:$FB,43)</f>
        <v>3210</v>
      </c>
      <c r="H94" s="49">
        <f>VLOOKUP($A94,'Data Vlaue (Cr)'!$C:$FB,44)</f>
        <v>2467</v>
      </c>
      <c r="I94" s="49">
        <f>VLOOKUP($A94,'Data Vlaue (Cr)'!$C:$FB,46)*100</f>
        <v>30.09</v>
      </c>
      <c r="J94" s="51">
        <f>VLOOKUP($A94,'Data Vlaue (Cr)'!$C:$FB,59)</f>
        <v>18288</v>
      </c>
      <c r="K94" s="51">
        <f>VLOOKUP($A94,'Data Vlaue (Cr)'!$C:$FB,60)</f>
        <v>7970</v>
      </c>
      <c r="L94" s="51">
        <f>VLOOKUP($A94,'Data Vlaue (Cr)'!$C:$FB,62)*100</f>
        <v>129.47</v>
      </c>
      <c r="M94" s="51">
        <f>VLOOKUP($A94,'Data Vlaue (Cr)'!$C:$FB,63)</f>
        <v>9553</v>
      </c>
      <c r="N94" s="51">
        <f>VLOOKUP($A94,'Data Vlaue (Cr)'!$C:$FB,64)</f>
        <v>5406</v>
      </c>
      <c r="O94" s="51">
        <f>VLOOKUP($A94,'Data Vlaue (Cr)'!$C:$FB,66)*100</f>
        <v>76.709999999999994</v>
      </c>
    </row>
    <row r="95" spans="1:15" x14ac:dyDescent="0.25">
      <c r="A95" s="101" t="str">
        <f>'Data Vlaue (Cr)'!C90</f>
        <v>ICICIGI</v>
      </c>
      <c r="B95" s="50">
        <f>VLOOKUP($A95,'Data Vlaue (Cr)'!$C:$FB,8)</f>
        <v>1876.5</v>
      </c>
      <c r="C95" s="50">
        <f>VLOOKUP($A95,'Data Vlaue (Cr)'!$C:$FB,11)*100</f>
        <v>-0.8</v>
      </c>
      <c r="D95" s="50">
        <f>VLOOKUP($A95,'Data Vlaue (Cr)'!$C:$FB,143)</f>
        <v>391.61</v>
      </c>
      <c r="E95" s="50">
        <f>VLOOKUP($A95,'Data Vlaue (Cr)'!$C:$FB,144)</f>
        <v>931.15</v>
      </c>
      <c r="F95" s="50">
        <f>VLOOKUP($A95,'Data Vlaue (Cr)'!$C:$FB,146)*100</f>
        <v>-57.940000000000005</v>
      </c>
      <c r="G95" s="49">
        <f>VLOOKUP($A95,'Data Vlaue (Cr)'!$C:$FB,43)</f>
        <v>72</v>
      </c>
      <c r="H95" s="49">
        <f>VLOOKUP($A95,'Data Vlaue (Cr)'!$C:$FB,44)</f>
        <v>140</v>
      </c>
      <c r="I95" s="49">
        <f>VLOOKUP($A95,'Data Vlaue (Cr)'!$C:$FB,46)*100</f>
        <v>-48.39</v>
      </c>
      <c r="J95" s="51">
        <f>VLOOKUP($A95,'Data Vlaue (Cr)'!$C:$FB,59)</f>
        <v>195</v>
      </c>
      <c r="K95" s="51">
        <f>VLOOKUP($A95,'Data Vlaue (Cr)'!$C:$FB,60)</f>
        <v>468</v>
      </c>
      <c r="L95" s="51">
        <f>VLOOKUP($A95,'Data Vlaue (Cr)'!$C:$FB,62)*100</f>
        <v>-58.309999999999995</v>
      </c>
      <c r="M95" s="51">
        <f>VLOOKUP($A95,'Data Vlaue (Cr)'!$C:$FB,63)</f>
        <v>118</v>
      </c>
      <c r="N95" s="51">
        <f>VLOOKUP($A95,'Data Vlaue (Cr)'!$C:$FB,64)</f>
        <v>307</v>
      </c>
      <c r="O95" s="51">
        <f>VLOOKUP($A95,'Data Vlaue (Cr)'!$C:$FB,66)*100</f>
        <v>-61.59</v>
      </c>
    </row>
    <row r="96" spans="1:15" x14ac:dyDescent="0.25">
      <c r="A96" s="101" t="str">
        <f>'Data Vlaue (Cr)'!C91</f>
        <v>ICICIPRULI</v>
      </c>
      <c r="B96" s="50">
        <f>VLOOKUP($A96,'Data Vlaue (Cr)'!$C:$FB,8)</f>
        <v>557.9</v>
      </c>
      <c r="C96" s="50">
        <f>VLOOKUP($A96,'Data Vlaue (Cr)'!$C:$FB,11)*100</f>
        <v>-0.73</v>
      </c>
      <c r="D96" s="50">
        <f>VLOOKUP($A96,'Data Vlaue (Cr)'!$C:$FB,143)</f>
        <v>658.51</v>
      </c>
      <c r="E96" s="50">
        <f>VLOOKUP($A96,'Data Vlaue (Cr)'!$C:$FB,144)</f>
        <v>1039.1600000000001</v>
      </c>
      <c r="F96" s="50">
        <f>VLOOKUP($A96,'Data Vlaue (Cr)'!$C:$FB,146)*100</f>
        <v>-36.630000000000003</v>
      </c>
      <c r="G96" s="49">
        <f>VLOOKUP($A96,'Data Vlaue (Cr)'!$C:$FB,43)</f>
        <v>138</v>
      </c>
      <c r="H96" s="49">
        <f>VLOOKUP($A96,'Data Vlaue (Cr)'!$C:$FB,44)</f>
        <v>179</v>
      </c>
      <c r="I96" s="49">
        <f>VLOOKUP($A96,'Data Vlaue (Cr)'!$C:$FB,46)*100</f>
        <v>-22.86</v>
      </c>
      <c r="J96" s="51">
        <f>VLOOKUP($A96,'Data Vlaue (Cr)'!$C:$FB,59)</f>
        <v>308</v>
      </c>
      <c r="K96" s="51">
        <f>VLOOKUP($A96,'Data Vlaue (Cr)'!$C:$FB,60)</f>
        <v>540</v>
      </c>
      <c r="L96" s="51">
        <f>VLOOKUP($A96,'Data Vlaue (Cr)'!$C:$FB,62)*100</f>
        <v>-42.970000000000006</v>
      </c>
      <c r="M96" s="51">
        <f>VLOOKUP($A96,'Data Vlaue (Cr)'!$C:$FB,63)</f>
        <v>204</v>
      </c>
      <c r="N96" s="51">
        <f>VLOOKUP($A96,'Data Vlaue (Cr)'!$C:$FB,64)</f>
        <v>299</v>
      </c>
      <c r="O96" s="51">
        <f>VLOOKUP($A96,'Data Vlaue (Cr)'!$C:$FB,66)*100</f>
        <v>-31.900000000000002</v>
      </c>
    </row>
    <row r="97" spans="1:15" x14ac:dyDescent="0.25">
      <c r="A97" s="101" t="str">
        <f>'Data Vlaue (Cr)'!C92</f>
        <v>IDEA</v>
      </c>
      <c r="B97" s="50">
        <f>VLOOKUP($A97,'Data Vlaue (Cr)'!$C:$FB,8)</f>
        <v>9.4700000000000006</v>
      </c>
      <c r="C97" s="50">
        <f>VLOOKUP($A97,'Data Vlaue (Cr)'!$C:$FB,11)*100</f>
        <v>-1.46</v>
      </c>
      <c r="D97" s="50">
        <f>VLOOKUP($A97,'Data Vlaue (Cr)'!$C:$FB,143)</f>
        <v>2134.06</v>
      </c>
      <c r="E97" s="50">
        <f>VLOOKUP($A97,'Data Vlaue (Cr)'!$C:$FB,144)</f>
        <v>1980.99</v>
      </c>
      <c r="F97" s="50">
        <f>VLOOKUP($A97,'Data Vlaue (Cr)'!$C:$FB,146)*100</f>
        <v>7.7299999999999995</v>
      </c>
      <c r="G97" s="49">
        <f>VLOOKUP($A97,'Data Vlaue (Cr)'!$C:$FB,43)</f>
        <v>987</v>
      </c>
      <c r="H97" s="49">
        <f>VLOOKUP($A97,'Data Vlaue (Cr)'!$C:$FB,44)</f>
        <v>743</v>
      </c>
      <c r="I97" s="49">
        <f>VLOOKUP($A97,'Data Vlaue (Cr)'!$C:$FB,46)*100</f>
        <v>32.82</v>
      </c>
      <c r="J97" s="51">
        <f>VLOOKUP($A97,'Data Vlaue (Cr)'!$C:$FB,59)</f>
        <v>762</v>
      </c>
      <c r="K97" s="51">
        <f>VLOOKUP($A97,'Data Vlaue (Cr)'!$C:$FB,60)</f>
        <v>811</v>
      </c>
      <c r="L97" s="51">
        <f>VLOOKUP($A97,'Data Vlaue (Cr)'!$C:$FB,62)*100</f>
        <v>-5.99</v>
      </c>
      <c r="M97" s="51">
        <f>VLOOKUP($A97,'Data Vlaue (Cr)'!$C:$FB,63)</f>
        <v>279</v>
      </c>
      <c r="N97" s="51">
        <f>VLOOKUP($A97,'Data Vlaue (Cr)'!$C:$FB,64)</f>
        <v>311</v>
      </c>
      <c r="O97" s="51">
        <f>VLOOKUP($A97,'Data Vlaue (Cr)'!$C:$FB,66)*100</f>
        <v>-10.11</v>
      </c>
    </row>
    <row r="98" spans="1:15" x14ac:dyDescent="0.25">
      <c r="A98" s="101" t="str">
        <f>'Data Vlaue (Cr)'!C93</f>
        <v>IDFCFIRSTB</v>
      </c>
      <c r="B98" s="50">
        <f>VLOOKUP($A98,'Data Vlaue (Cr)'!$C:$FB,8)</f>
        <v>67.5</v>
      </c>
      <c r="C98" s="50">
        <f>VLOOKUP($A98,'Data Vlaue (Cr)'!$C:$FB,11)*100</f>
        <v>-1.5</v>
      </c>
      <c r="D98" s="50">
        <f>VLOOKUP($A98,'Data Vlaue (Cr)'!$C:$FB,143)</f>
        <v>1382.55</v>
      </c>
      <c r="E98" s="50">
        <f>VLOOKUP($A98,'Data Vlaue (Cr)'!$C:$FB,144)</f>
        <v>1483.91</v>
      </c>
      <c r="F98" s="50">
        <f>VLOOKUP($A98,'Data Vlaue (Cr)'!$C:$FB,146)*100</f>
        <v>-6.83</v>
      </c>
      <c r="G98" s="49">
        <f>VLOOKUP($A98,'Data Vlaue (Cr)'!$C:$FB,43)</f>
        <v>609</v>
      </c>
      <c r="H98" s="49">
        <f>VLOOKUP($A98,'Data Vlaue (Cr)'!$C:$FB,44)</f>
        <v>475</v>
      </c>
      <c r="I98" s="49">
        <f>VLOOKUP($A98,'Data Vlaue (Cr)'!$C:$FB,46)*100</f>
        <v>28.37</v>
      </c>
      <c r="J98" s="51">
        <f>VLOOKUP($A98,'Data Vlaue (Cr)'!$C:$FB,59)</f>
        <v>411</v>
      </c>
      <c r="K98" s="51">
        <f>VLOOKUP($A98,'Data Vlaue (Cr)'!$C:$FB,60)</f>
        <v>523</v>
      </c>
      <c r="L98" s="51">
        <f>VLOOKUP($A98,'Data Vlaue (Cr)'!$C:$FB,62)*100</f>
        <v>-21.43</v>
      </c>
      <c r="M98" s="51">
        <f>VLOOKUP($A98,'Data Vlaue (Cr)'!$C:$FB,63)</f>
        <v>352</v>
      </c>
      <c r="N98" s="51">
        <f>VLOOKUP($A98,'Data Vlaue (Cr)'!$C:$FB,64)</f>
        <v>460</v>
      </c>
      <c r="O98" s="51">
        <f>VLOOKUP($A98,'Data Vlaue (Cr)'!$C:$FB,66)*100</f>
        <v>-23.46</v>
      </c>
    </row>
    <row r="99" spans="1:15" x14ac:dyDescent="0.25">
      <c r="A99" s="101" t="str">
        <f>'Data Vlaue (Cr)'!C94</f>
        <v>IEX</v>
      </c>
      <c r="B99" s="50">
        <f>VLOOKUP($A99,'Data Vlaue (Cr)'!$C:$FB,8)</f>
        <v>124.99</v>
      </c>
      <c r="C99" s="50">
        <f>VLOOKUP($A99,'Data Vlaue (Cr)'!$C:$FB,11)*100</f>
        <v>-7.9699999999999989</v>
      </c>
      <c r="D99" s="50">
        <f>VLOOKUP($A99,'Data Vlaue (Cr)'!$C:$FB,143)</f>
        <v>3793.09</v>
      </c>
      <c r="E99" s="50">
        <f>VLOOKUP($A99,'Data Vlaue (Cr)'!$C:$FB,144)</f>
        <v>907.45</v>
      </c>
      <c r="F99" s="50">
        <f>VLOOKUP($A99,'Data Vlaue (Cr)'!$C:$FB,146)*100</f>
        <v>318</v>
      </c>
      <c r="G99" s="49">
        <f>VLOOKUP($A99,'Data Vlaue (Cr)'!$C:$FB,43)</f>
        <v>643</v>
      </c>
      <c r="H99" s="49">
        <f>VLOOKUP($A99,'Data Vlaue (Cr)'!$C:$FB,44)</f>
        <v>108</v>
      </c>
      <c r="I99" s="49">
        <f>VLOOKUP($A99,'Data Vlaue (Cr)'!$C:$FB,46)*100</f>
        <v>497.26</v>
      </c>
      <c r="J99" s="51">
        <f>VLOOKUP($A99,'Data Vlaue (Cr)'!$C:$FB,59)</f>
        <v>1457</v>
      </c>
      <c r="K99" s="51">
        <f>VLOOKUP($A99,'Data Vlaue (Cr)'!$C:$FB,60)</f>
        <v>496</v>
      </c>
      <c r="L99" s="51">
        <f>VLOOKUP($A99,'Data Vlaue (Cr)'!$C:$FB,62)*100</f>
        <v>194.03</v>
      </c>
      <c r="M99" s="51">
        <f>VLOOKUP($A99,'Data Vlaue (Cr)'!$C:$FB,63)</f>
        <v>1550</v>
      </c>
      <c r="N99" s="51">
        <f>VLOOKUP($A99,'Data Vlaue (Cr)'!$C:$FB,64)</f>
        <v>218</v>
      </c>
      <c r="O99" s="51">
        <f>VLOOKUP($A99,'Data Vlaue (Cr)'!$C:$FB,66)*100</f>
        <v>612.34</v>
      </c>
    </row>
    <row r="100" spans="1:15" x14ac:dyDescent="0.25">
      <c r="A100" s="101" t="str">
        <f>'Data Vlaue (Cr)'!C95</f>
        <v>INDHOTEL</v>
      </c>
      <c r="B100" s="50">
        <f>VLOOKUP($A100,'Data Vlaue (Cr)'!$C:$FB,8)</f>
        <v>659.5</v>
      </c>
      <c r="C100" s="50">
        <f>VLOOKUP($A100,'Data Vlaue (Cr)'!$C:$FB,11)*100</f>
        <v>0.03</v>
      </c>
      <c r="D100" s="50">
        <f>VLOOKUP($A100,'Data Vlaue (Cr)'!$C:$FB,143)</f>
        <v>756.21</v>
      </c>
      <c r="E100" s="50">
        <f>VLOOKUP($A100,'Data Vlaue (Cr)'!$C:$FB,144)</f>
        <v>1002.68</v>
      </c>
      <c r="F100" s="50">
        <f>VLOOKUP($A100,'Data Vlaue (Cr)'!$C:$FB,146)*100</f>
        <v>-24.58</v>
      </c>
      <c r="G100" s="49">
        <f>VLOOKUP($A100,'Data Vlaue (Cr)'!$C:$FB,43)</f>
        <v>222</v>
      </c>
      <c r="H100" s="49">
        <f>VLOOKUP($A100,'Data Vlaue (Cr)'!$C:$FB,44)</f>
        <v>409</v>
      </c>
      <c r="I100" s="49">
        <f>VLOOKUP($A100,'Data Vlaue (Cr)'!$C:$FB,46)*100</f>
        <v>-45.86</v>
      </c>
      <c r="J100" s="51">
        <f>VLOOKUP($A100,'Data Vlaue (Cr)'!$C:$FB,59)</f>
        <v>303</v>
      </c>
      <c r="K100" s="51">
        <f>VLOOKUP($A100,'Data Vlaue (Cr)'!$C:$FB,60)</f>
        <v>349</v>
      </c>
      <c r="L100" s="51">
        <f>VLOOKUP($A100,'Data Vlaue (Cr)'!$C:$FB,62)*100</f>
        <v>-13.25</v>
      </c>
      <c r="M100" s="51">
        <f>VLOOKUP($A100,'Data Vlaue (Cr)'!$C:$FB,63)</f>
        <v>222</v>
      </c>
      <c r="N100" s="51">
        <f>VLOOKUP($A100,'Data Vlaue (Cr)'!$C:$FB,64)</f>
        <v>237</v>
      </c>
      <c r="O100" s="51">
        <f>VLOOKUP($A100,'Data Vlaue (Cr)'!$C:$FB,66)*100</f>
        <v>-6.4399999999999995</v>
      </c>
    </row>
    <row r="101" spans="1:15" x14ac:dyDescent="0.25">
      <c r="A101" s="101" t="str">
        <f>'Data Vlaue (Cr)'!C96</f>
        <v>INDIANB</v>
      </c>
      <c r="B101" s="50">
        <f>VLOOKUP($A101,'Data Vlaue (Cr)'!$C:$FB,8)</f>
        <v>928.3</v>
      </c>
      <c r="C101" s="50">
        <f>VLOOKUP($A101,'Data Vlaue (Cr)'!$C:$FB,11)*100</f>
        <v>-1.1900000000000002</v>
      </c>
      <c r="D101" s="50">
        <f>VLOOKUP($A101,'Data Vlaue (Cr)'!$C:$FB,143)</f>
        <v>1638.68</v>
      </c>
      <c r="E101" s="50">
        <f>VLOOKUP($A101,'Data Vlaue (Cr)'!$C:$FB,144)</f>
        <v>960.26</v>
      </c>
      <c r="F101" s="50">
        <f>VLOOKUP($A101,'Data Vlaue (Cr)'!$C:$FB,146)*100</f>
        <v>70.650000000000006</v>
      </c>
      <c r="G101" s="49">
        <f>VLOOKUP($A101,'Data Vlaue (Cr)'!$C:$FB,43)</f>
        <v>347</v>
      </c>
      <c r="H101" s="49">
        <f>VLOOKUP($A101,'Data Vlaue (Cr)'!$C:$FB,44)</f>
        <v>208</v>
      </c>
      <c r="I101" s="49">
        <f>VLOOKUP($A101,'Data Vlaue (Cr)'!$C:$FB,46)*100</f>
        <v>66.95</v>
      </c>
      <c r="J101" s="51">
        <f>VLOOKUP($A101,'Data Vlaue (Cr)'!$C:$FB,59)</f>
        <v>922</v>
      </c>
      <c r="K101" s="51">
        <f>VLOOKUP($A101,'Data Vlaue (Cr)'!$C:$FB,60)</f>
        <v>526</v>
      </c>
      <c r="L101" s="51">
        <f>VLOOKUP($A101,'Data Vlaue (Cr)'!$C:$FB,62)*100</f>
        <v>75.33</v>
      </c>
      <c r="M101" s="51">
        <f>VLOOKUP($A101,'Data Vlaue (Cr)'!$C:$FB,63)</f>
        <v>306</v>
      </c>
      <c r="N101" s="51">
        <f>VLOOKUP($A101,'Data Vlaue (Cr)'!$C:$FB,64)</f>
        <v>185</v>
      </c>
      <c r="O101" s="51">
        <f>VLOOKUP($A101,'Data Vlaue (Cr)'!$C:$FB,66)*100</f>
        <v>65.41</v>
      </c>
    </row>
    <row r="102" spans="1:15" x14ac:dyDescent="0.25">
      <c r="A102" s="101" t="str">
        <f>'Data Vlaue (Cr)'!C97</f>
        <v>INDIAVIX</v>
      </c>
      <c r="B102" s="50">
        <f>VLOOKUP($A102,'Data Vlaue (Cr)'!$C:$FB,8)</f>
        <v>18.79</v>
      </c>
      <c r="C102" s="50">
        <f>VLOOKUP($A102,'Data Vlaue (Cr)'!$C:$FB,11)*100</f>
        <v>9.24</v>
      </c>
      <c r="D102" s="50">
        <f>VLOOKUP($A102,'Data Vlaue (Cr)'!$C:$FB,143)</f>
        <v>0</v>
      </c>
      <c r="E102" s="50">
        <f>VLOOKUP($A102,'Data Vlaue (Cr)'!$C:$FB,144)</f>
        <v>0</v>
      </c>
      <c r="F102" s="50">
        <f>VLOOKUP($A102,'Data Vlaue (Cr)'!$C:$FB,146)*100</f>
        <v>0</v>
      </c>
      <c r="G102" s="49">
        <f>VLOOKUP($A102,'Data Vlaue (Cr)'!$C:$FB,43)</f>
        <v>0</v>
      </c>
      <c r="H102" s="49">
        <f>VLOOKUP($A102,'Data Vlaue (Cr)'!$C:$FB,44)</f>
        <v>0</v>
      </c>
      <c r="I102" s="49">
        <f>VLOOKUP($A102,'Data Vlaue (Cr)'!$C:$FB,46)*100</f>
        <v>0</v>
      </c>
      <c r="J102" s="51">
        <f>VLOOKUP($A102,'Data Vlaue (Cr)'!$C:$FB,59)</f>
        <v>0</v>
      </c>
      <c r="K102" s="51">
        <f>VLOOKUP($A102,'Data Vlaue (Cr)'!$C:$FB,60)</f>
        <v>0</v>
      </c>
      <c r="L102" s="51">
        <f>VLOOKUP($A102,'Data Vlaue (Cr)'!$C:$FB,62)*100</f>
        <v>0</v>
      </c>
      <c r="M102" s="51">
        <f>VLOOKUP($A102,'Data Vlaue (Cr)'!$C:$FB,63)</f>
        <v>0</v>
      </c>
      <c r="N102" s="51">
        <f>VLOOKUP($A102,'Data Vlaue (Cr)'!$C:$FB,64)</f>
        <v>0</v>
      </c>
      <c r="O102" s="51">
        <f>VLOOKUP($A102,'Data Vlaue (Cr)'!$C:$FB,66)*100</f>
        <v>0</v>
      </c>
    </row>
    <row r="103" spans="1:15" x14ac:dyDescent="0.25">
      <c r="A103" s="101" t="str">
        <f>'Data Vlaue (Cr)'!C98</f>
        <v>INDIGO</v>
      </c>
      <c r="B103" s="50">
        <f>VLOOKUP($A103,'Data Vlaue (Cr)'!$C:$FB,8)</f>
        <v>4678.2</v>
      </c>
      <c r="C103" s="50">
        <f>VLOOKUP($A103,'Data Vlaue (Cr)'!$C:$FB,11)*100</f>
        <v>0.86</v>
      </c>
      <c r="D103" s="50">
        <f>VLOOKUP($A103,'Data Vlaue (Cr)'!$C:$FB,143)</f>
        <v>5443.49</v>
      </c>
      <c r="E103" s="50">
        <f>VLOOKUP($A103,'Data Vlaue (Cr)'!$C:$FB,144)</f>
        <v>4155.1899999999996</v>
      </c>
      <c r="F103" s="50">
        <f>VLOOKUP($A103,'Data Vlaue (Cr)'!$C:$FB,146)*100</f>
        <v>31</v>
      </c>
      <c r="G103" s="49">
        <f>VLOOKUP($A103,'Data Vlaue (Cr)'!$C:$FB,43)</f>
        <v>575</v>
      </c>
      <c r="H103" s="49">
        <f>VLOOKUP($A103,'Data Vlaue (Cr)'!$C:$FB,44)</f>
        <v>413</v>
      </c>
      <c r="I103" s="49">
        <f>VLOOKUP($A103,'Data Vlaue (Cr)'!$C:$FB,46)*100</f>
        <v>39.21</v>
      </c>
      <c r="J103" s="51">
        <f>VLOOKUP($A103,'Data Vlaue (Cr)'!$C:$FB,59)</f>
        <v>2468</v>
      </c>
      <c r="K103" s="51">
        <f>VLOOKUP($A103,'Data Vlaue (Cr)'!$C:$FB,60)</f>
        <v>1992</v>
      </c>
      <c r="L103" s="51">
        <f>VLOOKUP($A103,'Data Vlaue (Cr)'!$C:$FB,62)*100</f>
        <v>23.849999999999998</v>
      </c>
      <c r="M103" s="51">
        <f>VLOOKUP($A103,'Data Vlaue (Cr)'!$C:$FB,63)</f>
        <v>2373</v>
      </c>
      <c r="N103" s="51">
        <f>VLOOKUP($A103,'Data Vlaue (Cr)'!$C:$FB,64)</f>
        <v>1773</v>
      </c>
      <c r="O103" s="51">
        <f>VLOOKUP($A103,'Data Vlaue (Cr)'!$C:$FB,66)*100</f>
        <v>33.839999999999996</v>
      </c>
    </row>
    <row r="104" spans="1:15" x14ac:dyDescent="0.25">
      <c r="A104" s="101" t="str">
        <f>'Data Vlaue (Cr)'!C99</f>
        <v>INDUSINDBK</v>
      </c>
      <c r="B104" s="50">
        <f>VLOOKUP($A104,'Data Vlaue (Cr)'!$C:$FB,8)</f>
        <v>851.95</v>
      </c>
      <c r="C104" s="50">
        <f>VLOOKUP($A104,'Data Vlaue (Cr)'!$C:$FB,11)*100</f>
        <v>-0.22999999999999998</v>
      </c>
      <c r="D104" s="50">
        <f>VLOOKUP($A104,'Data Vlaue (Cr)'!$C:$FB,143)</f>
        <v>1387.65</v>
      </c>
      <c r="E104" s="50">
        <f>VLOOKUP($A104,'Data Vlaue (Cr)'!$C:$FB,144)</f>
        <v>1460.26</v>
      </c>
      <c r="F104" s="50">
        <f>VLOOKUP($A104,'Data Vlaue (Cr)'!$C:$FB,146)*100</f>
        <v>-4.97</v>
      </c>
      <c r="G104" s="49">
        <f>VLOOKUP($A104,'Data Vlaue (Cr)'!$C:$FB,43)</f>
        <v>370</v>
      </c>
      <c r="H104" s="49">
        <f>VLOOKUP($A104,'Data Vlaue (Cr)'!$C:$FB,44)</f>
        <v>314</v>
      </c>
      <c r="I104" s="49">
        <f>VLOOKUP($A104,'Data Vlaue (Cr)'!$C:$FB,46)*100</f>
        <v>17.919999999999998</v>
      </c>
      <c r="J104" s="51">
        <f>VLOOKUP($A104,'Data Vlaue (Cr)'!$C:$FB,59)</f>
        <v>571</v>
      </c>
      <c r="K104" s="51">
        <f>VLOOKUP($A104,'Data Vlaue (Cr)'!$C:$FB,60)</f>
        <v>712</v>
      </c>
      <c r="L104" s="51">
        <f>VLOOKUP($A104,'Data Vlaue (Cr)'!$C:$FB,62)*100</f>
        <v>-19.78</v>
      </c>
      <c r="M104" s="51">
        <f>VLOOKUP($A104,'Data Vlaue (Cr)'!$C:$FB,63)</f>
        <v>430</v>
      </c>
      <c r="N104" s="51">
        <f>VLOOKUP($A104,'Data Vlaue (Cr)'!$C:$FB,64)</f>
        <v>413</v>
      </c>
      <c r="O104" s="51">
        <f>VLOOKUP($A104,'Data Vlaue (Cr)'!$C:$FB,66)*100</f>
        <v>4.3099999999999996</v>
      </c>
    </row>
    <row r="105" spans="1:15" x14ac:dyDescent="0.25">
      <c r="A105" s="101" t="str">
        <f>'Data Vlaue (Cr)'!C100</f>
        <v>INDUSTOWER</v>
      </c>
      <c r="B105" s="50">
        <f>VLOOKUP($A105,'Data Vlaue (Cr)'!$C:$FB,8)</f>
        <v>405.8</v>
      </c>
      <c r="C105" s="50">
        <f>VLOOKUP($A105,'Data Vlaue (Cr)'!$C:$FB,11)*100</f>
        <v>-1.5599999999999998</v>
      </c>
      <c r="D105" s="50">
        <f>VLOOKUP($A105,'Data Vlaue (Cr)'!$C:$FB,143)</f>
        <v>1776.69</v>
      </c>
      <c r="E105" s="50">
        <f>VLOOKUP($A105,'Data Vlaue (Cr)'!$C:$FB,144)</f>
        <v>3110.94</v>
      </c>
      <c r="F105" s="50">
        <f>VLOOKUP($A105,'Data Vlaue (Cr)'!$C:$FB,146)*100</f>
        <v>-42.89</v>
      </c>
      <c r="G105" s="49">
        <f>VLOOKUP($A105,'Data Vlaue (Cr)'!$C:$FB,43)</f>
        <v>551</v>
      </c>
      <c r="H105" s="49">
        <f>VLOOKUP($A105,'Data Vlaue (Cr)'!$C:$FB,44)</f>
        <v>805</v>
      </c>
      <c r="I105" s="49">
        <f>VLOOKUP($A105,'Data Vlaue (Cr)'!$C:$FB,46)*100</f>
        <v>-31.59</v>
      </c>
      <c r="J105" s="51">
        <f>VLOOKUP($A105,'Data Vlaue (Cr)'!$C:$FB,59)</f>
        <v>838</v>
      </c>
      <c r="K105" s="51">
        <f>VLOOKUP($A105,'Data Vlaue (Cr)'!$C:$FB,60)</f>
        <v>1436</v>
      </c>
      <c r="L105" s="51">
        <f>VLOOKUP($A105,'Data Vlaue (Cr)'!$C:$FB,62)*100</f>
        <v>-41.68</v>
      </c>
      <c r="M105" s="51">
        <f>VLOOKUP($A105,'Data Vlaue (Cr)'!$C:$FB,63)</f>
        <v>327</v>
      </c>
      <c r="N105" s="51">
        <f>VLOOKUP($A105,'Data Vlaue (Cr)'!$C:$FB,64)</f>
        <v>750</v>
      </c>
      <c r="O105" s="51">
        <f>VLOOKUP($A105,'Data Vlaue (Cr)'!$C:$FB,66)*100</f>
        <v>-56.36</v>
      </c>
    </row>
    <row r="106" spans="1:15" x14ac:dyDescent="0.25">
      <c r="A106" s="101" t="str">
        <f>'Data Vlaue (Cr)'!C101</f>
        <v>INFY</v>
      </c>
      <c r="B106" s="50">
        <f>VLOOKUP($A106,'Data Vlaue (Cr)'!$C:$FB,8)</f>
        <v>1312.6</v>
      </c>
      <c r="C106" s="50">
        <f>VLOOKUP($A106,'Data Vlaue (Cr)'!$C:$FB,11)*100</f>
        <v>-0.45999999999999996</v>
      </c>
      <c r="D106" s="50">
        <f>VLOOKUP($A106,'Data Vlaue (Cr)'!$C:$FB,143)</f>
        <v>4397.33</v>
      </c>
      <c r="E106" s="50">
        <f>VLOOKUP($A106,'Data Vlaue (Cr)'!$C:$FB,144)</f>
        <v>5672.11</v>
      </c>
      <c r="F106" s="50">
        <f>VLOOKUP($A106,'Data Vlaue (Cr)'!$C:$FB,146)*100</f>
        <v>-22.470000000000002</v>
      </c>
      <c r="G106" s="49">
        <f>VLOOKUP($A106,'Data Vlaue (Cr)'!$C:$FB,43)</f>
        <v>1107</v>
      </c>
      <c r="H106" s="49">
        <f>VLOOKUP($A106,'Data Vlaue (Cr)'!$C:$FB,44)</f>
        <v>1449</v>
      </c>
      <c r="I106" s="49">
        <f>VLOOKUP($A106,'Data Vlaue (Cr)'!$C:$FB,46)*100</f>
        <v>-23.57</v>
      </c>
      <c r="J106" s="51">
        <f>VLOOKUP($A106,'Data Vlaue (Cr)'!$C:$FB,59)</f>
        <v>2022</v>
      </c>
      <c r="K106" s="51">
        <f>VLOOKUP($A106,'Data Vlaue (Cr)'!$C:$FB,60)</f>
        <v>2373</v>
      </c>
      <c r="L106" s="51">
        <f>VLOOKUP($A106,'Data Vlaue (Cr)'!$C:$FB,62)*100</f>
        <v>-14.799999999999999</v>
      </c>
      <c r="M106" s="51">
        <f>VLOOKUP($A106,'Data Vlaue (Cr)'!$C:$FB,63)</f>
        <v>1176</v>
      </c>
      <c r="N106" s="51">
        <f>VLOOKUP($A106,'Data Vlaue (Cr)'!$C:$FB,64)</f>
        <v>1740</v>
      </c>
      <c r="O106" s="51">
        <f>VLOOKUP($A106,'Data Vlaue (Cr)'!$C:$FB,66)*100</f>
        <v>-32.43</v>
      </c>
    </row>
    <row r="107" spans="1:15" x14ac:dyDescent="0.25">
      <c r="A107" s="101" t="str">
        <f>'Data Vlaue (Cr)'!C102</f>
        <v>INOXWIND</v>
      </c>
      <c r="B107" s="50">
        <f>VLOOKUP($A107,'Data Vlaue (Cr)'!$C:$FB,8)</f>
        <v>97.35</v>
      </c>
      <c r="C107" s="50">
        <f>VLOOKUP($A107,'Data Vlaue (Cr)'!$C:$FB,11)*100</f>
        <v>-0.55999999999999994</v>
      </c>
      <c r="D107" s="50">
        <f>VLOOKUP($A107,'Data Vlaue (Cr)'!$C:$FB,143)</f>
        <v>442.65</v>
      </c>
      <c r="E107" s="50">
        <f>VLOOKUP($A107,'Data Vlaue (Cr)'!$C:$FB,144)</f>
        <v>1125.5999999999999</v>
      </c>
      <c r="F107" s="50">
        <f>VLOOKUP($A107,'Data Vlaue (Cr)'!$C:$FB,146)*100</f>
        <v>-60.67</v>
      </c>
      <c r="G107" s="49">
        <f>VLOOKUP($A107,'Data Vlaue (Cr)'!$C:$FB,43)</f>
        <v>160</v>
      </c>
      <c r="H107" s="49">
        <f>VLOOKUP($A107,'Data Vlaue (Cr)'!$C:$FB,44)</f>
        <v>333</v>
      </c>
      <c r="I107" s="49">
        <f>VLOOKUP($A107,'Data Vlaue (Cr)'!$C:$FB,46)*100</f>
        <v>-51.82</v>
      </c>
      <c r="J107" s="51">
        <f>VLOOKUP($A107,'Data Vlaue (Cr)'!$C:$FB,59)</f>
        <v>204</v>
      </c>
      <c r="K107" s="51">
        <f>VLOOKUP($A107,'Data Vlaue (Cr)'!$C:$FB,60)</f>
        <v>557</v>
      </c>
      <c r="L107" s="51">
        <f>VLOOKUP($A107,'Data Vlaue (Cr)'!$C:$FB,62)*100</f>
        <v>-63.360000000000007</v>
      </c>
      <c r="M107" s="51">
        <f>VLOOKUP($A107,'Data Vlaue (Cr)'!$C:$FB,63)</f>
        <v>65</v>
      </c>
      <c r="N107" s="51">
        <f>VLOOKUP($A107,'Data Vlaue (Cr)'!$C:$FB,64)</f>
        <v>195</v>
      </c>
      <c r="O107" s="51">
        <f>VLOOKUP($A107,'Data Vlaue (Cr)'!$C:$FB,66)*100</f>
        <v>-66.89</v>
      </c>
    </row>
    <row r="108" spans="1:15" x14ac:dyDescent="0.25">
      <c r="A108" s="101" t="str">
        <f>'Data Vlaue (Cr)'!C103</f>
        <v>IOC</v>
      </c>
      <c r="B108" s="50">
        <f>VLOOKUP($A108,'Data Vlaue (Cr)'!$C:$FB,8)</f>
        <v>146.87</v>
      </c>
      <c r="C108" s="50">
        <f>VLOOKUP($A108,'Data Vlaue (Cr)'!$C:$FB,11)*100</f>
        <v>0.67999999999999994</v>
      </c>
      <c r="D108" s="50">
        <f>VLOOKUP($A108,'Data Vlaue (Cr)'!$C:$FB,143)</f>
        <v>1730.42</v>
      </c>
      <c r="E108" s="50">
        <f>VLOOKUP($A108,'Data Vlaue (Cr)'!$C:$FB,144)</f>
        <v>1035.24</v>
      </c>
      <c r="F108" s="50">
        <f>VLOOKUP($A108,'Data Vlaue (Cr)'!$C:$FB,146)*100</f>
        <v>67.150000000000006</v>
      </c>
      <c r="G108" s="49">
        <f>VLOOKUP($A108,'Data Vlaue (Cr)'!$C:$FB,43)</f>
        <v>340</v>
      </c>
      <c r="H108" s="49">
        <f>VLOOKUP($A108,'Data Vlaue (Cr)'!$C:$FB,44)</f>
        <v>197</v>
      </c>
      <c r="I108" s="49">
        <f>VLOOKUP($A108,'Data Vlaue (Cr)'!$C:$FB,46)*100</f>
        <v>72.570000000000007</v>
      </c>
      <c r="J108" s="51">
        <f>VLOOKUP($A108,'Data Vlaue (Cr)'!$C:$FB,59)</f>
        <v>819</v>
      </c>
      <c r="K108" s="51">
        <f>VLOOKUP($A108,'Data Vlaue (Cr)'!$C:$FB,60)</f>
        <v>517</v>
      </c>
      <c r="L108" s="51">
        <f>VLOOKUP($A108,'Data Vlaue (Cr)'!$C:$FB,62)*100</f>
        <v>58.309999999999995</v>
      </c>
      <c r="M108" s="51">
        <f>VLOOKUP($A108,'Data Vlaue (Cr)'!$C:$FB,63)</f>
        <v>544</v>
      </c>
      <c r="N108" s="51">
        <f>VLOOKUP($A108,'Data Vlaue (Cr)'!$C:$FB,64)</f>
        <v>308</v>
      </c>
      <c r="O108" s="51">
        <f>VLOOKUP($A108,'Data Vlaue (Cr)'!$C:$FB,66)*100</f>
        <v>76.36</v>
      </c>
    </row>
    <row r="109" spans="1:15" x14ac:dyDescent="0.25">
      <c r="A109" s="101" t="str">
        <f>'Data Vlaue (Cr)'!C104</f>
        <v>IREDA</v>
      </c>
      <c r="B109" s="50">
        <f>VLOOKUP($A109,'Data Vlaue (Cr)'!$C:$FB,8)</f>
        <v>130.13999999999999</v>
      </c>
      <c r="C109" s="50">
        <f>VLOOKUP($A109,'Data Vlaue (Cr)'!$C:$FB,11)*100</f>
        <v>-2.16</v>
      </c>
      <c r="D109" s="50">
        <f>VLOOKUP($A109,'Data Vlaue (Cr)'!$C:$FB,143)</f>
        <v>446.05</v>
      </c>
      <c r="E109" s="50">
        <f>VLOOKUP($A109,'Data Vlaue (Cr)'!$C:$FB,144)</f>
        <v>1257.17</v>
      </c>
      <c r="F109" s="50">
        <f>VLOOKUP($A109,'Data Vlaue (Cr)'!$C:$FB,146)*100</f>
        <v>-64.52</v>
      </c>
      <c r="G109" s="49">
        <f>VLOOKUP($A109,'Data Vlaue (Cr)'!$C:$FB,43)</f>
        <v>170</v>
      </c>
      <c r="H109" s="49">
        <f>VLOOKUP($A109,'Data Vlaue (Cr)'!$C:$FB,44)</f>
        <v>323</v>
      </c>
      <c r="I109" s="49">
        <f>VLOOKUP($A109,'Data Vlaue (Cr)'!$C:$FB,46)*100</f>
        <v>-47.3</v>
      </c>
      <c r="J109" s="51">
        <f>VLOOKUP($A109,'Data Vlaue (Cr)'!$C:$FB,59)</f>
        <v>192</v>
      </c>
      <c r="K109" s="51">
        <f>VLOOKUP($A109,'Data Vlaue (Cr)'!$C:$FB,60)</f>
        <v>672</v>
      </c>
      <c r="L109" s="51">
        <f>VLOOKUP($A109,'Data Vlaue (Cr)'!$C:$FB,62)*100</f>
        <v>-71.45</v>
      </c>
      <c r="M109" s="51">
        <f>VLOOKUP($A109,'Data Vlaue (Cr)'!$C:$FB,63)</f>
        <v>72</v>
      </c>
      <c r="N109" s="51">
        <f>VLOOKUP($A109,'Data Vlaue (Cr)'!$C:$FB,64)</f>
        <v>217</v>
      </c>
      <c r="O109" s="51">
        <f>VLOOKUP($A109,'Data Vlaue (Cr)'!$C:$FB,66)*100</f>
        <v>-66.94</v>
      </c>
    </row>
    <row r="110" spans="1:15" x14ac:dyDescent="0.25">
      <c r="A110" s="101" t="str">
        <f>'Data Vlaue (Cr)'!C105</f>
        <v>IRFC</v>
      </c>
      <c r="B110" s="50">
        <f>VLOOKUP($A110,'Data Vlaue (Cr)'!$C:$FB,8)</f>
        <v>103.02</v>
      </c>
      <c r="C110" s="50">
        <f>VLOOKUP($A110,'Data Vlaue (Cr)'!$C:$FB,11)*100</f>
        <v>-1.7399999999999998</v>
      </c>
      <c r="D110" s="50">
        <f>VLOOKUP($A110,'Data Vlaue (Cr)'!$C:$FB,143)</f>
        <v>573.13</v>
      </c>
      <c r="E110" s="50">
        <f>VLOOKUP($A110,'Data Vlaue (Cr)'!$C:$FB,144)</f>
        <v>1297.42</v>
      </c>
      <c r="F110" s="50">
        <f>VLOOKUP($A110,'Data Vlaue (Cr)'!$C:$FB,146)*100</f>
        <v>-55.83</v>
      </c>
      <c r="G110" s="49">
        <f>VLOOKUP($A110,'Data Vlaue (Cr)'!$C:$FB,43)</f>
        <v>117</v>
      </c>
      <c r="H110" s="49">
        <f>VLOOKUP($A110,'Data Vlaue (Cr)'!$C:$FB,44)</f>
        <v>188</v>
      </c>
      <c r="I110" s="49">
        <f>VLOOKUP($A110,'Data Vlaue (Cr)'!$C:$FB,46)*100</f>
        <v>-37.909999999999997</v>
      </c>
      <c r="J110" s="51">
        <f>VLOOKUP($A110,'Data Vlaue (Cr)'!$C:$FB,59)</f>
        <v>306</v>
      </c>
      <c r="K110" s="51">
        <f>VLOOKUP($A110,'Data Vlaue (Cr)'!$C:$FB,60)</f>
        <v>760</v>
      </c>
      <c r="L110" s="51">
        <f>VLOOKUP($A110,'Data Vlaue (Cr)'!$C:$FB,62)*100</f>
        <v>-59.78</v>
      </c>
      <c r="M110" s="51">
        <f>VLOOKUP($A110,'Data Vlaue (Cr)'!$C:$FB,63)</f>
        <v>134</v>
      </c>
      <c r="N110" s="51">
        <f>VLOOKUP($A110,'Data Vlaue (Cr)'!$C:$FB,64)</f>
        <v>297</v>
      </c>
      <c r="O110" s="51">
        <f>VLOOKUP($A110,'Data Vlaue (Cr)'!$C:$FB,66)*100</f>
        <v>-55.000000000000007</v>
      </c>
    </row>
    <row r="111" spans="1:15" x14ac:dyDescent="0.25">
      <c r="A111" s="101" t="str">
        <f>'Data Vlaue (Cr)'!C106</f>
        <v>ITC</v>
      </c>
      <c r="B111" s="50">
        <f>VLOOKUP($A111,'Data Vlaue (Cr)'!$C:$FB,8)</f>
        <v>305</v>
      </c>
      <c r="C111" s="50">
        <f>VLOOKUP($A111,'Data Vlaue (Cr)'!$C:$FB,11)*100</f>
        <v>-0.59</v>
      </c>
      <c r="D111" s="50">
        <f>VLOOKUP($A111,'Data Vlaue (Cr)'!$C:$FB,143)</f>
        <v>3870.92</v>
      </c>
      <c r="E111" s="50">
        <f>VLOOKUP($A111,'Data Vlaue (Cr)'!$C:$FB,144)</f>
        <v>13755.53</v>
      </c>
      <c r="F111" s="50">
        <f>VLOOKUP($A111,'Data Vlaue (Cr)'!$C:$FB,146)*100</f>
        <v>-71.86</v>
      </c>
      <c r="G111" s="49">
        <f>VLOOKUP($A111,'Data Vlaue (Cr)'!$C:$FB,43)</f>
        <v>345</v>
      </c>
      <c r="H111" s="49">
        <f>VLOOKUP($A111,'Data Vlaue (Cr)'!$C:$FB,44)</f>
        <v>1030</v>
      </c>
      <c r="I111" s="49">
        <f>VLOOKUP($A111,'Data Vlaue (Cr)'!$C:$FB,46)*100</f>
        <v>-66.53</v>
      </c>
      <c r="J111" s="51">
        <f>VLOOKUP($A111,'Data Vlaue (Cr)'!$C:$FB,59)</f>
        <v>2553</v>
      </c>
      <c r="K111" s="51">
        <f>VLOOKUP($A111,'Data Vlaue (Cr)'!$C:$FB,60)</f>
        <v>8703</v>
      </c>
      <c r="L111" s="51">
        <f>VLOOKUP($A111,'Data Vlaue (Cr)'!$C:$FB,62)*100</f>
        <v>-70.67</v>
      </c>
      <c r="M111" s="51">
        <f>VLOOKUP($A111,'Data Vlaue (Cr)'!$C:$FB,63)</f>
        <v>867</v>
      </c>
      <c r="N111" s="51">
        <f>VLOOKUP($A111,'Data Vlaue (Cr)'!$C:$FB,64)</f>
        <v>3728</v>
      </c>
      <c r="O111" s="51">
        <f>VLOOKUP($A111,'Data Vlaue (Cr)'!$C:$FB,66)*100</f>
        <v>-76.75</v>
      </c>
    </row>
    <row r="112" spans="1:15" x14ac:dyDescent="0.25">
      <c r="A112" s="101" t="str">
        <f>'Data Vlaue (Cr)'!C107</f>
        <v>JINDALSTEL</v>
      </c>
      <c r="B112" s="50">
        <f>VLOOKUP($A112,'Data Vlaue (Cr)'!$C:$FB,8)</f>
        <v>1287.7</v>
      </c>
      <c r="C112" s="50">
        <f>VLOOKUP($A112,'Data Vlaue (Cr)'!$C:$FB,11)*100</f>
        <v>1.39</v>
      </c>
      <c r="D112" s="50">
        <f>VLOOKUP($A112,'Data Vlaue (Cr)'!$C:$FB,143)</f>
        <v>2200.9899999999998</v>
      </c>
      <c r="E112" s="50">
        <f>VLOOKUP($A112,'Data Vlaue (Cr)'!$C:$FB,144)</f>
        <v>3163.72</v>
      </c>
      <c r="F112" s="50">
        <f>VLOOKUP($A112,'Data Vlaue (Cr)'!$C:$FB,146)*100</f>
        <v>-30.43</v>
      </c>
      <c r="G112" s="49">
        <f>VLOOKUP($A112,'Data Vlaue (Cr)'!$C:$FB,43)</f>
        <v>373</v>
      </c>
      <c r="H112" s="49">
        <f>VLOOKUP($A112,'Data Vlaue (Cr)'!$C:$FB,44)</f>
        <v>481</v>
      </c>
      <c r="I112" s="49">
        <f>VLOOKUP($A112,'Data Vlaue (Cr)'!$C:$FB,46)*100</f>
        <v>-22.49</v>
      </c>
      <c r="J112" s="51">
        <f>VLOOKUP($A112,'Data Vlaue (Cr)'!$C:$FB,59)</f>
        <v>1193</v>
      </c>
      <c r="K112" s="51">
        <f>VLOOKUP($A112,'Data Vlaue (Cr)'!$C:$FB,60)</f>
        <v>1697</v>
      </c>
      <c r="L112" s="51">
        <f>VLOOKUP($A112,'Data Vlaue (Cr)'!$C:$FB,62)*100</f>
        <v>-29.720000000000002</v>
      </c>
      <c r="M112" s="51">
        <f>VLOOKUP($A112,'Data Vlaue (Cr)'!$C:$FB,63)</f>
        <v>624</v>
      </c>
      <c r="N112" s="51">
        <f>VLOOKUP($A112,'Data Vlaue (Cr)'!$C:$FB,64)</f>
        <v>1027</v>
      </c>
      <c r="O112" s="51">
        <f>VLOOKUP($A112,'Data Vlaue (Cr)'!$C:$FB,66)*100</f>
        <v>-39.269999999999996</v>
      </c>
    </row>
    <row r="113" spans="1:15" x14ac:dyDescent="0.25">
      <c r="A113" s="101" t="str">
        <f>'Data Vlaue (Cr)'!C108</f>
        <v>JIOFIN</v>
      </c>
      <c r="B113" s="50">
        <f>VLOOKUP($A113,'Data Vlaue (Cr)'!$C:$FB,8)</f>
        <v>237.15</v>
      </c>
      <c r="C113" s="50">
        <f>VLOOKUP($A113,'Data Vlaue (Cr)'!$C:$FB,11)*100</f>
        <v>-2.75</v>
      </c>
      <c r="D113" s="50">
        <f>VLOOKUP($A113,'Data Vlaue (Cr)'!$C:$FB,143)</f>
        <v>6920.14</v>
      </c>
      <c r="E113" s="50">
        <f>VLOOKUP($A113,'Data Vlaue (Cr)'!$C:$FB,144)</f>
        <v>5351.69</v>
      </c>
      <c r="F113" s="50">
        <f>VLOOKUP($A113,'Data Vlaue (Cr)'!$C:$FB,146)*100</f>
        <v>29.310000000000002</v>
      </c>
      <c r="G113" s="49">
        <f>VLOOKUP($A113,'Data Vlaue (Cr)'!$C:$FB,43)</f>
        <v>994</v>
      </c>
      <c r="H113" s="49">
        <f>VLOOKUP($A113,'Data Vlaue (Cr)'!$C:$FB,44)</f>
        <v>1037</v>
      </c>
      <c r="I113" s="49">
        <f>VLOOKUP($A113,'Data Vlaue (Cr)'!$C:$FB,46)*100</f>
        <v>-4.12</v>
      </c>
      <c r="J113" s="51">
        <f>VLOOKUP($A113,'Data Vlaue (Cr)'!$C:$FB,59)</f>
        <v>3680</v>
      </c>
      <c r="K113" s="51">
        <f>VLOOKUP($A113,'Data Vlaue (Cr)'!$C:$FB,60)</f>
        <v>2996</v>
      </c>
      <c r="L113" s="51">
        <f>VLOOKUP($A113,'Data Vlaue (Cr)'!$C:$FB,62)*100</f>
        <v>22.830000000000002</v>
      </c>
      <c r="M113" s="51">
        <f>VLOOKUP($A113,'Data Vlaue (Cr)'!$C:$FB,63)</f>
        <v>2008</v>
      </c>
      <c r="N113" s="51">
        <f>VLOOKUP($A113,'Data Vlaue (Cr)'!$C:$FB,64)</f>
        <v>1006</v>
      </c>
      <c r="O113" s="51">
        <f>VLOOKUP($A113,'Data Vlaue (Cr)'!$C:$FB,66)*100</f>
        <v>99.72</v>
      </c>
    </row>
    <row r="114" spans="1:15" x14ac:dyDescent="0.25">
      <c r="A114" s="101" t="str">
        <f>'Data Vlaue (Cr)'!C109</f>
        <v>JSWENERGY</v>
      </c>
      <c r="B114" s="50">
        <f>VLOOKUP($A114,'Data Vlaue (Cr)'!$C:$FB,8)</f>
        <v>543.04999999999995</v>
      </c>
      <c r="C114" s="50">
        <f>VLOOKUP($A114,'Data Vlaue (Cr)'!$C:$FB,11)*100</f>
        <v>0.92999999999999994</v>
      </c>
      <c r="D114" s="50">
        <f>VLOOKUP($A114,'Data Vlaue (Cr)'!$C:$FB,143)</f>
        <v>1569.05</v>
      </c>
      <c r="E114" s="50">
        <f>VLOOKUP($A114,'Data Vlaue (Cr)'!$C:$FB,144)</f>
        <v>871.35</v>
      </c>
      <c r="F114" s="50">
        <f>VLOOKUP($A114,'Data Vlaue (Cr)'!$C:$FB,146)*100</f>
        <v>80.069999999999993</v>
      </c>
      <c r="G114" s="49">
        <f>VLOOKUP($A114,'Data Vlaue (Cr)'!$C:$FB,43)</f>
        <v>288</v>
      </c>
      <c r="H114" s="49">
        <f>VLOOKUP($A114,'Data Vlaue (Cr)'!$C:$FB,44)</f>
        <v>198</v>
      </c>
      <c r="I114" s="49">
        <f>VLOOKUP($A114,'Data Vlaue (Cr)'!$C:$FB,46)*100</f>
        <v>45.67</v>
      </c>
      <c r="J114" s="51">
        <f>VLOOKUP($A114,'Data Vlaue (Cr)'!$C:$FB,59)</f>
        <v>960</v>
      </c>
      <c r="K114" s="51">
        <f>VLOOKUP($A114,'Data Vlaue (Cr)'!$C:$FB,60)</f>
        <v>440</v>
      </c>
      <c r="L114" s="51">
        <f>VLOOKUP($A114,'Data Vlaue (Cr)'!$C:$FB,62)*100</f>
        <v>118.35</v>
      </c>
      <c r="M114" s="51">
        <f>VLOOKUP($A114,'Data Vlaue (Cr)'!$C:$FB,63)</f>
        <v>298</v>
      </c>
      <c r="N114" s="51">
        <f>VLOOKUP($A114,'Data Vlaue (Cr)'!$C:$FB,64)</f>
        <v>234</v>
      </c>
      <c r="O114" s="51">
        <f>VLOOKUP($A114,'Data Vlaue (Cr)'!$C:$FB,66)*100</f>
        <v>27.169999999999998</v>
      </c>
    </row>
    <row r="115" spans="1:15" x14ac:dyDescent="0.25">
      <c r="A115" s="101" t="str">
        <f>'Data Vlaue (Cr)'!C110</f>
        <v>JSWSTEEL</v>
      </c>
      <c r="B115" s="50">
        <f>VLOOKUP($A115,'Data Vlaue (Cr)'!$C:$FB,8)</f>
        <v>1274.5</v>
      </c>
      <c r="C115" s="50">
        <f>VLOOKUP($A115,'Data Vlaue (Cr)'!$C:$FB,11)*100</f>
        <v>2.76</v>
      </c>
      <c r="D115" s="50">
        <f>VLOOKUP($A115,'Data Vlaue (Cr)'!$C:$FB,143)</f>
        <v>3950.31</v>
      </c>
      <c r="E115" s="50">
        <f>VLOOKUP($A115,'Data Vlaue (Cr)'!$C:$FB,144)</f>
        <v>2668.09</v>
      </c>
      <c r="F115" s="50">
        <f>VLOOKUP($A115,'Data Vlaue (Cr)'!$C:$FB,146)*100</f>
        <v>48.06</v>
      </c>
      <c r="G115" s="49">
        <f>VLOOKUP($A115,'Data Vlaue (Cr)'!$C:$FB,43)</f>
        <v>735</v>
      </c>
      <c r="H115" s="49">
        <f>VLOOKUP($A115,'Data Vlaue (Cr)'!$C:$FB,44)</f>
        <v>687</v>
      </c>
      <c r="I115" s="49">
        <f>VLOOKUP($A115,'Data Vlaue (Cr)'!$C:$FB,46)*100</f>
        <v>6.97</v>
      </c>
      <c r="J115" s="51">
        <f>VLOOKUP($A115,'Data Vlaue (Cr)'!$C:$FB,59)</f>
        <v>2208</v>
      </c>
      <c r="K115" s="51">
        <f>VLOOKUP($A115,'Data Vlaue (Cr)'!$C:$FB,60)</f>
        <v>1369</v>
      </c>
      <c r="L115" s="51">
        <f>VLOOKUP($A115,'Data Vlaue (Cr)'!$C:$FB,62)*100</f>
        <v>61.260000000000005</v>
      </c>
      <c r="M115" s="51">
        <f>VLOOKUP($A115,'Data Vlaue (Cr)'!$C:$FB,63)</f>
        <v>1000</v>
      </c>
      <c r="N115" s="51">
        <f>VLOOKUP($A115,'Data Vlaue (Cr)'!$C:$FB,64)</f>
        <v>680</v>
      </c>
      <c r="O115" s="51">
        <f>VLOOKUP($A115,'Data Vlaue (Cr)'!$C:$FB,66)*100</f>
        <v>47.089999999999996</v>
      </c>
    </row>
    <row r="116" spans="1:15" x14ac:dyDescent="0.25">
      <c r="A116" s="101" t="str">
        <f>'Data Vlaue (Cr)'!C111</f>
        <v>JUBLFOOD</v>
      </c>
      <c r="B116" s="50">
        <f>VLOOKUP($A116,'Data Vlaue (Cr)'!$C:$FB,8)</f>
        <v>456.15</v>
      </c>
      <c r="C116" s="50">
        <f>VLOOKUP($A116,'Data Vlaue (Cr)'!$C:$FB,11)*100</f>
        <v>-0.61</v>
      </c>
      <c r="D116" s="50">
        <f>VLOOKUP($A116,'Data Vlaue (Cr)'!$C:$FB,143)</f>
        <v>1353.87</v>
      </c>
      <c r="E116" s="50">
        <f>VLOOKUP($A116,'Data Vlaue (Cr)'!$C:$FB,144)</f>
        <v>1854.43</v>
      </c>
      <c r="F116" s="50">
        <f>VLOOKUP($A116,'Data Vlaue (Cr)'!$C:$FB,146)*100</f>
        <v>-26.99</v>
      </c>
      <c r="G116" s="49">
        <f>VLOOKUP($A116,'Data Vlaue (Cr)'!$C:$FB,43)</f>
        <v>378</v>
      </c>
      <c r="H116" s="49">
        <f>VLOOKUP($A116,'Data Vlaue (Cr)'!$C:$FB,44)</f>
        <v>415</v>
      </c>
      <c r="I116" s="49">
        <f>VLOOKUP($A116,'Data Vlaue (Cr)'!$C:$FB,46)*100</f>
        <v>-9.0399999999999991</v>
      </c>
      <c r="J116" s="51">
        <f>VLOOKUP($A116,'Data Vlaue (Cr)'!$C:$FB,59)</f>
        <v>681</v>
      </c>
      <c r="K116" s="51">
        <f>VLOOKUP($A116,'Data Vlaue (Cr)'!$C:$FB,60)</f>
        <v>995</v>
      </c>
      <c r="L116" s="51">
        <f>VLOOKUP($A116,'Data Vlaue (Cr)'!$C:$FB,62)*100</f>
        <v>-31.509999999999998</v>
      </c>
      <c r="M116" s="51">
        <f>VLOOKUP($A116,'Data Vlaue (Cr)'!$C:$FB,63)</f>
        <v>265</v>
      </c>
      <c r="N116" s="51">
        <f>VLOOKUP($A116,'Data Vlaue (Cr)'!$C:$FB,64)</f>
        <v>390</v>
      </c>
      <c r="O116" s="51">
        <f>VLOOKUP($A116,'Data Vlaue (Cr)'!$C:$FB,66)*100</f>
        <v>-32.190000000000005</v>
      </c>
    </row>
    <row r="117" spans="1:15" x14ac:dyDescent="0.25">
      <c r="A117" s="101" t="str">
        <f>'Data Vlaue (Cr)'!C112</f>
        <v>KALYANKJIL</v>
      </c>
      <c r="B117" s="50">
        <f>VLOOKUP($A117,'Data Vlaue (Cr)'!$C:$FB,8)</f>
        <v>417.5</v>
      </c>
      <c r="C117" s="50">
        <f>VLOOKUP($A117,'Data Vlaue (Cr)'!$C:$FB,11)*100</f>
        <v>-2.19</v>
      </c>
      <c r="D117" s="50">
        <f>VLOOKUP($A117,'Data Vlaue (Cr)'!$C:$FB,143)</f>
        <v>1278.31</v>
      </c>
      <c r="E117" s="50">
        <f>VLOOKUP($A117,'Data Vlaue (Cr)'!$C:$FB,144)</f>
        <v>6462.37</v>
      </c>
      <c r="F117" s="50">
        <f>VLOOKUP($A117,'Data Vlaue (Cr)'!$C:$FB,146)*100</f>
        <v>-80.22</v>
      </c>
      <c r="G117" s="49">
        <f>VLOOKUP($A117,'Data Vlaue (Cr)'!$C:$FB,43)</f>
        <v>140</v>
      </c>
      <c r="H117" s="49">
        <f>VLOOKUP($A117,'Data Vlaue (Cr)'!$C:$FB,44)</f>
        <v>734</v>
      </c>
      <c r="I117" s="49">
        <f>VLOOKUP($A117,'Data Vlaue (Cr)'!$C:$FB,46)*100</f>
        <v>-80.92</v>
      </c>
      <c r="J117" s="51">
        <f>VLOOKUP($A117,'Data Vlaue (Cr)'!$C:$FB,59)</f>
        <v>745</v>
      </c>
      <c r="K117" s="51">
        <f>VLOOKUP($A117,'Data Vlaue (Cr)'!$C:$FB,60)</f>
        <v>3139</v>
      </c>
      <c r="L117" s="51">
        <f>VLOOKUP($A117,'Data Vlaue (Cr)'!$C:$FB,62)*100</f>
        <v>-76.27000000000001</v>
      </c>
      <c r="M117" s="51">
        <f>VLOOKUP($A117,'Data Vlaue (Cr)'!$C:$FB,63)</f>
        <v>340</v>
      </c>
      <c r="N117" s="51">
        <f>VLOOKUP($A117,'Data Vlaue (Cr)'!$C:$FB,64)</f>
        <v>2304</v>
      </c>
      <c r="O117" s="51">
        <f>VLOOKUP($A117,'Data Vlaue (Cr)'!$C:$FB,66)*100</f>
        <v>-85.240000000000009</v>
      </c>
    </row>
    <row r="118" spans="1:15" x14ac:dyDescent="0.25">
      <c r="A118" s="101" t="str">
        <f>'Data Vlaue (Cr)'!C113</f>
        <v>KAYNES</v>
      </c>
      <c r="B118" s="50">
        <f>VLOOKUP($A118,'Data Vlaue (Cr)'!$C:$FB,8)</f>
        <v>4222.6000000000004</v>
      </c>
      <c r="C118" s="50">
        <f>VLOOKUP($A118,'Data Vlaue (Cr)'!$C:$FB,11)*100</f>
        <v>0.19</v>
      </c>
      <c r="D118" s="50">
        <f>VLOOKUP($A118,'Data Vlaue (Cr)'!$C:$FB,143)</f>
        <v>2706.26</v>
      </c>
      <c r="E118" s="50">
        <f>VLOOKUP($A118,'Data Vlaue (Cr)'!$C:$FB,144)</f>
        <v>2009.34</v>
      </c>
      <c r="F118" s="50">
        <f>VLOOKUP($A118,'Data Vlaue (Cr)'!$C:$FB,146)*100</f>
        <v>34.68</v>
      </c>
      <c r="G118" s="49">
        <f>VLOOKUP($A118,'Data Vlaue (Cr)'!$C:$FB,43)</f>
        <v>501</v>
      </c>
      <c r="H118" s="49">
        <f>VLOOKUP($A118,'Data Vlaue (Cr)'!$C:$FB,44)</f>
        <v>299</v>
      </c>
      <c r="I118" s="49">
        <f>VLOOKUP($A118,'Data Vlaue (Cr)'!$C:$FB,46)*100</f>
        <v>67.349999999999994</v>
      </c>
      <c r="J118" s="51">
        <f>VLOOKUP($A118,'Data Vlaue (Cr)'!$C:$FB,59)</f>
        <v>1271</v>
      </c>
      <c r="K118" s="51">
        <f>VLOOKUP($A118,'Data Vlaue (Cr)'!$C:$FB,60)</f>
        <v>1039</v>
      </c>
      <c r="L118" s="51">
        <f>VLOOKUP($A118,'Data Vlaue (Cr)'!$C:$FB,62)*100</f>
        <v>22.33</v>
      </c>
      <c r="M118" s="51">
        <f>VLOOKUP($A118,'Data Vlaue (Cr)'!$C:$FB,63)</f>
        <v>925</v>
      </c>
      <c r="N118" s="51">
        <f>VLOOKUP($A118,'Data Vlaue (Cr)'!$C:$FB,64)</f>
        <v>672</v>
      </c>
      <c r="O118" s="51">
        <f>VLOOKUP($A118,'Data Vlaue (Cr)'!$C:$FB,66)*100</f>
        <v>37.68</v>
      </c>
    </row>
    <row r="119" spans="1:15" x14ac:dyDescent="0.25">
      <c r="A119" s="101" t="str">
        <f>'Data Vlaue (Cr)'!C114</f>
        <v>KEI</v>
      </c>
      <c r="B119" s="50">
        <f>VLOOKUP($A119,'Data Vlaue (Cr)'!$C:$FB,8)</f>
        <v>4880.6000000000004</v>
      </c>
      <c r="C119" s="50">
        <f>VLOOKUP($A119,'Data Vlaue (Cr)'!$C:$FB,11)*100</f>
        <v>0.85000000000000009</v>
      </c>
      <c r="D119" s="50">
        <f>VLOOKUP($A119,'Data Vlaue (Cr)'!$C:$FB,143)</f>
        <v>1253.68</v>
      </c>
      <c r="E119" s="50">
        <f>VLOOKUP($A119,'Data Vlaue (Cr)'!$C:$FB,144)</f>
        <v>2696.57</v>
      </c>
      <c r="F119" s="50">
        <f>VLOOKUP($A119,'Data Vlaue (Cr)'!$C:$FB,146)*100</f>
        <v>-53.510000000000005</v>
      </c>
      <c r="G119" s="49">
        <f>VLOOKUP($A119,'Data Vlaue (Cr)'!$C:$FB,43)</f>
        <v>344</v>
      </c>
      <c r="H119" s="49">
        <f>VLOOKUP($A119,'Data Vlaue (Cr)'!$C:$FB,44)</f>
        <v>377</v>
      </c>
      <c r="I119" s="49">
        <f>VLOOKUP($A119,'Data Vlaue (Cr)'!$C:$FB,46)*100</f>
        <v>-8.66</v>
      </c>
      <c r="J119" s="51">
        <f>VLOOKUP($A119,'Data Vlaue (Cr)'!$C:$FB,59)</f>
        <v>646</v>
      </c>
      <c r="K119" s="51">
        <f>VLOOKUP($A119,'Data Vlaue (Cr)'!$C:$FB,60)</f>
        <v>1803</v>
      </c>
      <c r="L119" s="51">
        <f>VLOOKUP($A119,'Data Vlaue (Cr)'!$C:$FB,62)*100</f>
        <v>-64.14</v>
      </c>
      <c r="M119" s="51">
        <f>VLOOKUP($A119,'Data Vlaue (Cr)'!$C:$FB,63)</f>
        <v>247</v>
      </c>
      <c r="N119" s="51">
        <f>VLOOKUP($A119,'Data Vlaue (Cr)'!$C:$FB,64)</f>
        <v>510</v>
      </c>
      <c r="O119" s="51">
        <f>VLOOKUP($A119,'Data Vlaue (Cr)'!$C:$FB,66)*100</f>
        <v>-51.5</v>
      </c>
    </row>
    <row r="120" spans="1:15" x14ac:dyDescent="0.25">
      <c r="A120" s="101" t="str">
        <f>'Data Vlaue (Cr)'!C115</f>
        <v>KFINTECH</v>
      </c>
      <c r="B120" s="50">
        <f>VLOOKUP($A120,'Data Vlaue (Cr)'!$C:$FB,8)</f>
        <v>975.1</v>
      </c>
      <c r="C120" s="50">
        <f>VLOOKUP($A120,'Data Vlaue (Cr)'!$C:$FB,11)*100</f>
        <v>-0.09</v>
      </c>
      <c r="D120" s="50">
        <f>VLOOKUP($A120,'Data Vlaue (Cr)'!$C:$FB,143)</f>
        <v>629.83000000000004</v>
      </c>
      <c r="E120" s="50">
        <f>VLOOKUP($A120,'Data Vlaue (Cr)'!$C:$FB,144)</f>
        <v>963.98</v>
      </c>
      <c r="F120" s="50">
        <f>VLOOKUP($A120,'Data Vlaue (Cr)'!$C:$FB,146)*100</f>
        <v>-34.660000000000004</v>
      </c>
      <c r="G120" s="49">
        <f>VLOOKUP($A120,'Data Vlaue (Cr)'!$C:$FB,43)</f>
        <v>193</v>
      </c>
      <c r="H120" s="49">
        <f>VLOOKUP($A120,'Data Vlaue (Cr)'!$C:$FB,44)</f>
        <v>176</v>
      </c>
      <c r="I120" s="49">
        <f>VLOOKUP($A120,'Data Vlaue (Cr)'!$C:$FB,46)*100</f>
        <v>9.92</v>
      </c>
      <c r="J120" s="51">
        <f>VLOOKUP($A120,'Data Vlaue (Cr)'!$C:$FB,59)</f>
        <v>323</v>
      </c>
      <c r="K120" s="51">
        <f>VLOOKUP($A120,'Data Vlaue (Cr)'!$C:$FB,60)</f>
        <v>614</v>
      </c>
      <c r="L120" s="51">
        <f>VLOOKUP($A120,'Data Vlaue (Cr)'!$C:$FB,62)*100</f>
        <v>-47.36</v>
      </c>
      <c r="M120" s="51">
        <f>VLOOKUP($A120,'Data Vlaue (Cr)'!$C:$FB,63)</f>
        <v>102</v>
      </c>
      <c r="N120" s="51">
        <f>VLOOKUP($A120,'Data Vlaue (Cr)'!$C:$FB,64)</f>
        <v>157</v>
      </c>
      <c r="O120" s="51">
        <f>VLOOKUP($A120,'Data Vlaue (Cr)'!$C:$FB,66)*100</f>
        <v>-35.089999999999996</v>
      </c>
    </row>
    <row r="121" spans="1:15" x14ac:dyDescent="0.25">
      <c r="A121" s="101" t="str">
        <f>'Data Vlaue (Cr)'!C116</f>
        <v>KOTAKBANK</v>
      </c>
      <c r="B121" s="50">
        <f>VLOOKUP($A121,'Data Vlaue (Cr)'!$C:$FB,8)</f>
        <v>379.2</v>
      </c>
      <c r="C121" s="50">
        <f>VLOOKUP($A121,'Data Vlaue (Cr)'!$C:$FB,11)*100</f>
        <v>-1.1499999999999999</v>
      </c>
      <c r="D121" s="50">
        <f>VLOOKUP($A121,'Data Vlaue (Cr)'!$C:$FB,143)</f>
        <v>2587.61</v>
      </c>
      <c r="E121" s="50">
        <f>VLOOKUP($A121,'Data Vlaue (Cr)'!$C:$FB,144)</f>
        <v>2674.18</v>
      </c>
      <c r="F121" s="50">
        <f>VLOOKUP($A121,'Data Vlaue (Cr)'!$C:$FB,146)*100</f>
        <v>-3.2399999999999998</v>
      </c>
      <c r="G121" s="49">
        <f>VLOOKUP($A121,'Data Vlaue (Cr)'!$C:$FB,43)</f>
        <v>808</v>
      </c>
      <c r="H121" s="49">
        <f>VLOOKUP($A121,'Data Vlaue (Cr)'!$C:$FB,44)</f>
        <v>906</v>
      </c>
      <c r="I121" s="49">
        <f>VLOOKUP($A121,'Data Vlaue (Cr)'!$C:$FB,46)*100</f>
        <v>-10.82</v>
      </c>
      <c r="J121" s="51">
        <f>VLOOKUP($A121,'Data Vlaue (Cr)'!$C:$FB,59)</f>
        <v>1113</v>
      </c>
      <c r="K121" s="51">
        <f>VLOOKUP($A121,'Data Vlaue (Cr)'!$C:$FB,60)</f>
        <v>1062</v>
      </c>
      <c r="L121" s="51">
        <f>VLOOKUP($A121,'Data Vlaue (Cr)'!$C:$FB,62)*100</f>
        <v>4.75</v>
      </c>
      <c r="M121" s="51">
        <f>VLOOKUP($A121,'Data Vlaue (Cr)'!$C:$FB,63)</f>
        <v>608</v>
      </c>
      <c r="N121" s="51">
        <f>VLOOKUP($A121,'Data Vlaue (Cr)'!$C:$FB,64)</f>
        <v>646</v>
      </c>
      <c r="O121" s="51">
        <f>VLOOKUP($A121,'Data Vlaue (Cr)'!$C:$FB,66)*100</f>
        <v>-5.86</v>
      </c>
    </row>
    <row r="122" spans="1:15" x14ac:dyDescent="0.25">
      <c r="A122" s="101" t="str">
        <f>'Data Vlaue (Cr)'!C117</f>
        <v>KPITTECH</v>
      </c>
      <c r="B122" s="50">
        <f>VLOOKUP($A122,'Data Vlaue (Cr)'!$C:$FB,8)</f>
        <v>734.4</v>
      </c>
      <c r="C122" s="50">
        <f>VLOOKUP($A122,'Data Vlaue (Cr)'!$C:$FB,11)*100</f>
        <v>-1.79</v>
      </c>
      <c r="D122" s="50">
        <f>VLOOKUP($A122,'Data Vlaue (Cr)'!$C:$FB,143)</f>
        <v>695.86</v>
      </c>
      <c r="E122" s="50">
        <f>VLOOKUP($A122,'Data Vlaue (Cr)'!$C:$FB,144)</f>
        <v>594.9</v>
      </c>
      <c r="F122" s="50">
        <f>VLOOKUP($A122,'Data Vlaue (Cr)'!$C:$FB,146)*100</f>
        <v>16.97</v>
      </c>
      <c r="G122" s="49">
        <f>VLOOKUP($A122,'Data Vlaue (Cr)'!$C:$FB,43)</f>
        <v>145</v>
      </c>
      <c r="H122" s="49">
        <f>VLOOKUP($A122,'Data Vlaue (Cr)'!$C:$FB,44)</f>
        <v>101</v>
      </c>
      <c r="I122" s="49">
        <f>VLOOKUP($A122,'Data Vlaue (Cr)'!$C:$FB,46)*100</f>
        <v>43.78</v>
      </c>
      <c r="J122" s="51">
        <f>VLOOKUP($A122,'Data Vlaue (Cr)'!$C:$FB,59)</f>
        <v>259</v>
      </c>
      <c r="K122" s="51">
        <f>VLOOKUP($A122,'Data Vlaue (Cr)'!$C:$FB,60)</f>
        <v>332</v>
      </c>
      <c r="L122" s="51">
        <f>VLOOKUP($A122,'Data Vlaue (Cr)'!$C:$FB,62)*100</f>
        <v>-21.98</v>
      </c>
      <c r="M122" s="51">
        <f>VLOOKUP($A122,'Data Vlaue (Cr)'!$C:$FB,63)</f>
        <v>279</v>
      </c>
      <c r="N122" s="51">
        <f>VLOOKUP($A122,'Data Vlaue (Cr)'!$C:$FB,64)</f>
        <v>138</v>
      </c>
      <c r="O122" s="51">
        <f>VLOOKUP($A122,'Data Vlaue (Cr)'!$C:$FB,66)*100</f>
        <v>102.63</v>
      </c>
    </row>
    <row r="123" spans="1:15" x14ac:dyDescent="0.25">
      <c r="A123" s="101" t="str">
        <f>'Data Vlaue (Cr)'!C118</f>
        <v>LAURUSLABS</v>
      </c>
      <c r="B123" s="50">
        <f>VLOOKUP($A123,'Data Vlaue (Cr)'!$C:$FB,8)</f>
        <v>1129.5</v>
      </c>
      <c r="C123" s="50">
        <f>VLOOKUP($A123,'Data Vlaue (Cr)'!$C:$FB,11)*100</f>
        <v>-0.54999999999999993</v>
      </c>
      <c r="D123" s="50">
        <f>VLOOKUP($A123,'Data Vlaue (Cr)'!$C:$FB,143)</f>
        <v>1186.0899999999999</v>
      </c>
      <c r="E123" s="50">
        <f>VLOOKUP($A123,'Data Vlaue (Cr)'!$C:$FB,144)</f>
        <v>1400.5</v>
      </c>
      <c r="F123" s="50">
        <f>VLOOKUP($A123,'Data Vlaue (Cr)'!$C:$FB,146)*100</f>
        <v>-15.310000000000002</v>
      </c>
      <c r="G123" s="49">
        <f>VLOOKUP($A123,'Data Vlaue (Cr)'!$C:$FB,43)</f>
        <v>273</v>
      </c>
      <c r="H123" s="49">
        <f>VLOOKUP($A123,'Data Vlaue (Cr)'!$C:$FB,44)</f>
        <v>243</v>
      </c>
      <c r="I123" s="49">
        <f>VLOOKUP($A123,'Data Vlaue (Cr)'!$C:$FB,46)*100</f>
        <v>12.36</v>
      </c>
      <c r="J123" s="51">
        <f>VLOOKUP($A123,'Data Vlaue (Cr)'!$C:$FB,59)</f>
        <v>576</v>
      </c>
      <c r="K123" s="51">
        <f>VLOOKUP($A123,'Data Vlaue (Cr)'!$C:$FB,60)</f>
        <v>731</v>
      </c>
      <c r="L123" s="51">
        <f>VLOOKUP($A123,'Data Vlaue (Cr)'!$C:$FB,62)*100</f>
        <v>-21.16</v>
      </c>
      <c r="M123" s="51">
        <f>VLOOKUP($A123,'Data Vlaue (Cr)'!$C:$FB,63)</f>
        <v>317</v>
      </c>
      <c r="N123" s="51">
        <f>VLOOKUP($A123,'Data Vlaue (Cr)'!$C:$FB,64)</f>
        <v>403</v>
      </c>
      <c r="O123" s="51">
        <f>VLOOKUP($A123,'Data Vlaue (Cr)'!$C:$FB,66)*100</f>
        <v>-21.32</v>
      </c>
    </row>
    <row r="124" spans="1:15" x14ac:dyDescent="0.25">
      <c r="A124" s="101" t="str">
        <f>'Data Vlaue (Cr)'!C119</f>
        <v>LICHSGFIN</v>
      </c>
      <c r="B124" s="50">
        <f>VLOOKUP($A124,'Data Vlaue (Cr)'!$C:$FB,8)</f>
        <v>536.70000000000005</v>
      </c>
      <c r="C124" s="50">
        <f>VLOOKUP($A124,'Data Vlaue (Cr)'!$C:$FB,11)*100</f>
        <v>-0.61</v>
      </c>
      <c r="D124" s="50">
        <f>VLOOKUP($A124,'Data Vlaue (Cr)'!$C:$FB,143)</f>
        <v>589.64</v>
      </c>
      <c r="E124" s="50">
        <f>VLOOKUP($A124,'Data Vlaue (Cr)'!$C:$FB,144)</f>
        <v>522.59</v>
      </c>
      <c r="F124" s="50">
        <f>VLOOKUP($A124,'Data Vlaue (Cr)'!$C:$FB,146)*100</f>
        <v>12.83</v>
      </c>
      <c r="G124" s="49">
        <f>VLOOKUP($A124,'Data Vlaue (Cr)'!$C:$FB,43)</f>
        <v>142</v>
      </c>
      <c r="H124" s="49">
        <f>VLOOKUP($A124,'Data Vlaue (Cr)'!$C:$FB,44)</f>
        <v>120</v>
      </c>
      <c r="I124" s="49">
        <f>VLOOKUP($A124,'Data Vlaue (Cr)'!$C:$FB,46)*100</f>
        <v>17.91</v>
      </c>
      <c r="J124" s="51">
        <f>VLOOKUP($A124,'Data Vlaue (Cr)'!$C:$FB,59)</f>
        <v>313</v>
      </c>
      <c r="K124" s="51">
        <f>VLOOKUP($A124,'Data Vlaue (Cr)'!$C:$FB,60)</f>
        <v>294</v>
      </c>
      <c r="L124" s="51">
        <f>VLOOKUP($A124,'Data Vlaue (Cr)'!$C:$FB,62)*100</f>
        <v>6.4600000000000009</v>
      </c>
      <c r="M124" s="51">
        <f>VLOOKUP($A124,'Data Vlaue (Cr)'!$C:$FB,63)</f>
        <v>121</v>
      </c>
      <c r="N124" s="51">
        <f>VLOOKUP($A124,'Data Vlaue (Cr)'!$C:$FB,64)</f>
        <v>98</v>
      </c>
      <c r="O124" s="51">
        <f>VLOOKUP($A124,'Data Vlaue (Cr)'!$C:$FB,66)*100</f>
        <v>22.75</v>
      </c>
    </row>
    <row r="125" spans="1:15" x14ac:dyDescent="0.25">
      <c r="A125" s="101" t="str">
        <f>'Data Vlaue (Cr)'!C120</f>
        <v>LICI</v>
      </c>
      <c r="B125" s="50">
        <f>VLOOKUP($A125,'Data Vlaue (Cr)'!$C:$FB,8)</f>
        <v>828.1</v>
      </c>
      <c r="C125" s="50">
        <f>VLOOKUP($A125,'Data Vlaue (Cr)'!$C:$FB,11)*100</f>
        <v>-1.67</v>
      </c>
      <c r="D125" s="50">
        <f>VLOOKUP($A125,'Data Vlaue (Cr)'!$C:$FB,143)</f>
        <v>831.87</v>
      </c>
      <c r="E125" s="50">
        <f>VLOOKUP($A125,'Data Vlaue (Cr)'!$C:$FB,144)</f>
        <v>811.89</v>
      </c>
      <c r="F125" s="50">
        <f>VLOOKUP($A125,'Data Vlaue (Cr)'!$C:$FB,146)*100</f>
        <v>2.46</v>
      </c>
      <c r="G125" s="49">
        <f>VLOOKUP($A125,'Data Vlaue (Cr)'!$C:$FB,43)</f>
        <v>173</v>
      </c>
      <c r="H125" s="49">
        <f>VLOOKUP($A125,'Data Vlaue (Cr)'!$C:$FB,44)</f>
        <v>162</v>
      </c>
      <c r="I125" s="49">
        <f>VLOOKUP($A125,'Data Vlaue (Cr)'!$C:$FB,46)*100</f>
        <v>7.0000000000000009</v>
      </c>
      <c r="J125" s="51">
        <f>VLOOKUP($A125,'Data Vlaue (Cr)'!$C:$FB,59)</f>
        <v>429</v>
      </c>
      <c r="K125" s="51">
        <f>VLOOKUP($A125,'Data Vlaue (Cr)'!$C:$FB,60)</f>
        <v>427</v>
      </c>
      <c r="L125" s="51">
        <f>VLOOKUP($A125,'Data Vlaue (Cr)'!$C:$FB,62)*100</f>
        <v>0.33</v>
      </c>
      <c r="M125" s="51">
        <f>VLOOKUP($A125,'Data Vlaue (Cr)'!$C:$FB,63)</f>
        <v>209</v>
      </c>
      <c r="N125" s="51">
        <f>VLOOKUP($A125,'Data Vlaue (Cr)'!$C:$FB,64)</f>
        <v>199</v>
      </c>
      <c r="O125" s="51">
        <f>VLOOKUP($A125,'Data Vlaue (Cr)'!$C:$FB,66)*100</f>
        <v>4.68</v>
      </c>
    </row>
    <row r="126" spans="1:15" x14ac:dyDescent="0.25">
      <c r="A126" s="101" t="str">
        <f>'Data Vlaue (Cr)'!C121</f>
        <v>LODHA</v>
      </c>
      <c r="B126" s="50">
        <f>VLOOKUP($A126,'Data Vlaue (Cr)'!$C:$FB,8)</f>
        <v>856.55</v>
      </c>
      <c r="C126" s="50">
        <f>VLOOKUP($A126,'Data Vlaue (Cr)'!$C:$FB,11)*100</f>
        <v>-1.83</v>
      </c>
      <c r="D126" s="50">
        <f>VLOOKUP($A126,'Data Vlaue (Cr)'!$C:$FB,143)</f>
        <v>782.34</v>
      </c>
      <c r="E126" s="50">
        <f>VLOOKUP($A126,'Data Vlaue (Cr)'!$C:$FB,144)</f>
        <v>1318.16</v>
      </c>
      <c r="F126" s="50">
        <f>VLOOKUP($A126,'Data Vlaue (Cr)'!$C:$FB,146)*100</f>
        <v>-40.65</v>
      </c>
      <c r="G126" s="49">
        <f>VLOOKUP($A126,'Data Vlaue (Cr)'!$C:$FB,43)</f>
        <v>171</v>
      </c>
      <c r="H126" s="49">
        <f>VLOOKUP($A126,'Data Vlaue (Cr)'!$C:$FB,44)</f>
        <v>265</v>
      </c>
      <c r="I126" s="49">
        <f>VLOOKUP($A126,'Data Vlaue (Cr)'!$C:$FB,46)*100</f>
        <v>-35.589999999999996</v>
      </c>
      <c r="J126" s="51">
        <f>VLOOKUP($A126,'Data Vlaue (Cr)'!$C:$FB,59)</f>
        <v>289</v>
      </c>
      <c r="K126" s="51">
        <f>VLOOKUP($A126,'Data Vlaue (Cr)'!$C:$FB,60)</f>
        <v>563</v>
      </c>
      <c r="L126" s="51">
        <f>VLOOKUP($A126,'Data Vlaue (Cr)'!$C:$FB,62)*100</f>
        <v>-48.71</v>
      </c>
      <c r="M126" s="51">
        <f>VLOOKUP($A126,'Data Vlaue (Cr)'!$C:$FB,63)</f>
        <v>312</v>
      </c>
      <c r="N126" s="51">
        <f>VLOOKUP($A126,'Data Vlaue (Cr)'!$C:$FB,64)</f>
        <v>462</v>
      </c>
      <c r="O126" s="51">
        <f>VLOOKUP($A126,'Data Vlaue (Cr)'!$C:$FB,66)*100</f>
        <v>-32.54</v>
      </c>
    </row>
    <row r="127" spans="1:15" x14ac:dyDescent="0.25">
      <c r="A127" s="101" t="str">
        <f>'Data Vlaue (Cr)'!C122</f>
        <v>LT</v>
      </c>
      <c r="B127" s="50">
        <f>VLOOKUP($A127,'Data Vlaue (Cr)'!$C:$FB,8)</f>
        <v>4051</v>
      </c>
      <c r="C127" s="50">
        <f>VLOOKUP($A127,'Data Vlaue (Cr)'!$C:$FB,11)*100</f>
        <v>-1.0999999999999999</v>
      </c>
      <c r="D127" s="50">
        <f>VLOOKUP($A127,'Data Vlaue (Cr)'!$C:$FB,143)</f>
        <v>6707.43</v>
      </c>
      <c r="E127" s="50">
        <f>VLOOKUP($A127,'Data Vlaue (Cr)'!$C:$FB,144)</f>
        <v>5638.49</v>
      </c>
      <c r="F127" s="50">
        <f>VLOOKUP($A127,'Data Vlaue (Cr)'!$C:$FB,146)*100</f>
        <v>18.96</v>
      </c>
      <c r="G127" s="49">
        <f>VLOOKUP($A127,'Data Vlaue (Cr)'!$C:$FB,43)</f>
        <v>1076</v>
      </c>
      <c r="H127" s="49">
        <f>VLOOKUP($A127,'Data Vlaue (Cr)'!$C:$FB,44)</f>
        <v>793</v>
      </c>
      <c r="I127" s="49">
        <f>VLOOKUP($A127,'Data Vlaue (Cr)'!$C:$FB,46)*100</f>
        <v>35.76</v>
      </c>
      <c r="J127" s="51">
        <f>VLOOKUP($A127,'Data Vlaue (Cr)'!$C:$FB,59)</f>
        <v>3087</v>
      </c>
      <c r="K127" s="51">
        <f>VLOOKUP($A127,'Data Vlaue (Cr)'!$C:$FB,60)</f>
        <v>2505</v>
      </c>
      <c r="L127" s="51">
        <f>VLOOKUP($A127,'Data Vlaue (Cr)'!$C:$FB,62)*100</f>
        <v>23.22</v>
      </c>
      <c r="M127" s="51">
        <f>VLOOKUP($A127,'Data Vlaue (Cr)'!$C:$FB,63)</f>
        <v>2433</v>
      </c>
      <c r="N127" s="51">
        <f>VLOOKUP($A127,'Data Vlaue (Cr)'!$C:$FB,64)</f>
        <v>2252</v>
      </c>
      <c r="O127" s="51">
        <f>VLOOKUP($A127,'Data Vlaue (Cr)'!$C:$FB,66)*100</f>
        <v>8.01</v>
      </c>
    </row>
    <row r="128" spans="1:15" x14ac:dyDescent="0.25">
      <c r="A128" s="101" t="str">
        <f>'Data Vlaue (Cr)'!C123</f>
        <v>LTF</v>
      </c>
      <c r="B128" s="50">
        <f>VLOOKUP($A128,'Data Vlaue (Cr)'!$C:$FB,8)</f>
        <v>290.14999999999998</v>
      </c>
      <c r="C128" s="50">
        <f>VLOOKUP($A128,'Data Vlaue (Cr)'!$C:$FB,11)*100</f>
        <v>1.05</v>
      </c>
      <c r="D128" s="50">
        <f>VLOOKUP($A128,'Data Vlaue (Cr)'!$C:$FB,143)</f>
        <v>1238.8399999999999</v>
      </c>
      <c r="E128" s="50">
        <f>VLOOKUP($A128,'Data Vlaue (Cr)'!$C:$FB,144)</f>
        <v>1305.03</v>
      </c>
      <c r="F128" s="50">
        <f>VLOOKUP($A128,'Data Vlaue (Cr)'!$C:$FB,146)*100</f>
        <v>-5.07</v>
      </c>
      <c r="G128" s="49">
        <f>VLOOKUP($A128,'Data Vlaue (Cr)'!$C:$FB,43)</f>
        <v>339</v>
      </c>
      <c r="H128" s="49">
        <f>VLOOKUP($A128,'Data Vlaue (Cr)'!$C:$FB,44)</f>
        <v>314</v>
      </c>
      <c r="I128" s="49">
        <f>VLOOKUP($A128,'Data Vlaue (Cr)'!$C:$FB,46)*100</f>
        <v>7.85</v>
      </c>
      <c r="J128" s="51">
        <f>VLOOKUP($A128,'Data Vlaue (Cr)'!$C:$FB,59)</f>
        <v>580</v>
      </c>
      <c r="K128" s="51">
        <f>VLOOKUP($A128,'Data Vlaue (Cr)'!$C:$FB,60)</f>
        <v>620</v>
      </c>
      <c r="L128" s="51">
        <f>VLOOKUP($A128,'Data Vlaue (Cr)'!$C:$FB,62)*100</f>
        <v>-6.49</v>
      </c>
      <c r="M128" s="51">
        <f>VLOOKUP($A128,'Data Vlaue (Cr)'!$C:$FB,63)</f>
        <v>307</v>
      </c>
      <c r="N128" s="51">
        <f>VLOOKUP($A128,'Data Vlaue (Cr)'!$C:$FB,64)</f>
        <v>377</v>
      </c>
      <c r="O128" s="51">
        <f>VLOOKUP($A128,'Data Vlaue (Cr)'!$C:$FB,66)*100</f>
        <v>-18.62</v>
      </c>
    </row>
    <row r="129" spans="1:15" x14ac:dyDescent="0.25">
      <c r="A129" s="101" t="str">
        <f>'Data Vlaue (Cr)'!C124</f>
        <v>LTM</v>
      </c>
      <c r="B129" s="50">
        <f>VLOOKUP($A129,'Data Vlaue (Cr)'!$C:$FB,8)</f>
        <v>4715.8</v>
      </c>
      <c r="C129" s="50">
        <f>VLOOKUP($A129,'Data Vlaue (Cr)'!$C:$FB,11)*100</f>
        <v>-0.8</v>
      </c>
      <c r="D129" s="50">
        <f>VLOOKUP($A129,'Data Vlaue (Cr)'!$C:$FB,143)</f>
        <v>786.76</v>
      </c>
      <c r="E129" s="50">
        <f>VLOOKUP($A129,'Data Vlaue (Cr)'!$C:$FB,144)</f>
        <v>1272.7</v>
      </c>
      <c r="F129" s="50">
        <f>VLOOKUP($A129,'Data Vlaue (Cr)'!$C:$FB,146)*100</f>
        <v>-38.18</v>
      </c>
      <c r="G129" s="49">
        <f>VLOOKUP($A129,'Data Vlaue (Cr)'!$C:$FB,43)</f>
        <v>250</v>
      </c>
      <c r="H129" s="49">
        <f>VLOOKUP($A129,'Data Vlaue (Cr)'!$C:$FB,44)</f>
        <v>288</v>
      </c>
      <c r="I129" s="49">
        <f>VLOOKUP($A129,'Data Vlaue (Cr)'!$C:$FB,46)*100</f>
        <v>-13.28</v>
      </c>
      <c r="J129" s="51">
        <f>VLOOKUP($A129,'Data Vlaue (Cr)'!$C:$FB,59)</f>
        <v>322</v>
      </c>
      <c r="K129" s="51">
        <f>VLOOKUP($A129,'Data Vlaue (Cr)'!$C:$FB,60)</f>
        <v>640</v>
      </c>
      <c r="L129" s="51">
        <f>VLOOKUP($A129,'Data Vlaue (Cr)'!$C:$FB,62)*100</f>
        <v>-49.7</v>
      </c>
      <c r="M129" s="51">
        <f>VLOOKUP($A129,'Data Vlaue (Cr)'!$C:$FB,63)</f>
        <v>201</v>
      </c>
      <c r="N129" s="51">
        <f>VLOOKUP($A129,'Data Vlaue (Cr)'!$C:$FB,64)</f>
        <v>319</v>
      </c>
      <c r="O129" s="51">
        <f>VLOOKUP($A129,'Data Vlaue (Cr)'!$C:$FB,66)*100</f>
        <v>-37.15</v>
      </c>
    </row>
    <row r="130" spans="1:15" x14ac:dyDescent="0.25">
      <c r="A130" s="101" t="str">
        <f>'Data Vlaue (Cr)'!C125</f>
        <v>LUPIN</v>
      </c>
      <c r="B130" s="50">
        <f>VLOOKUP($A130,'Data Vlaue (Cr)'!$C:$FB,8)</f>
        <v>2328.6999999999998</v>
      </c>
      <c r="C130" s="50">
        <f>VLOOKUP($A130,'Data Vlaue (Cr)'!$C:$FB,11)*100</f>
        <v>0.11</v>
      </c>
      <c r="D130" s="50">
        <f>VLOOKUP($A130,'Data Vlaue (Cr)'!$C:$FB,143)</f>
        <v>2038.76</v>
      </c>
      <c r="E130" s="50">
        <f>VLOOKUP($A130,'Data Vlaue (Cr)'!$C:$FB,144)</f>
        <v>1594.48</v>
      </c>
      <c r="F130" s="50">
        <f>VLOOKUP($A130,'Data Vlaue (Cr)'!$C:$FB,146)*100</f>
        <v>27.860000000000003</v>
      </c>
      <c r="G130" s="49">
        <f>VLOOKUP($A130,'Data Vlaue (Cr)'!$C:$FB,43)</f>
        <v>237</v>
      </c>
      <c r="H130" s="49">
        <f>VLOOKUP($A130,'Data Vlaue (Cr)'!$C:$FB,44)</f>
        <v>246</v>
      </c>
      <c r="I130" s="49">
        <f>VLOOKUP($A130,'Data Vlaue (Cr)'!$C:$FB,46)*100</f>
        <v>-3.58</v>
      </c>
      <c r="J130" s="51">
        <f>VLOOKUP($A130,'Data Vlaue (Cr)'!$C:$FB,59)</f>
        <v>1190</v>
      </c>
      <c r="K130" s="51">
        <f>VLOOKUP($A130,'Data Vlaue (Cr)'!$C:$FB,60)</f>
        <v>899</v>
      </c>
      <c r="L130" s="51">
        <f>VLOOKUP($A130,'Data Vlaue (Cr)'!$C:$FB,62)*100</f>
        <v>32.33</v>
      </c>
      <c r="M130" s="51">
        <f>VLOOKUP($A130,'Data Vlaue (Cr)'!$C:$FB,63)</f>
        <v>576</v>
      </c>
      <c r="N130" s="51">
        <f>VLOOKUP($A130,'Data Vlaue (Cr)'!$C:$FB,64)</f>
        <v>426</v>
      </c>
      <c r="O130" s="51">
        <f>VLOOKUP($A130,'Data Vlaue (Cr)'!$C:$FB,66)*100</f>
        <v>35</v>
      </c>
    </row>
    <row r="131" spans="1:15" x14ac:dyDescent="0.25">
      <c r="A131" s="101" t="str">
        <f>'Data Vlaue (Cr)'!C126</f>
        <v>M&amp;M</v>
      </c>
      <c r="B131" s="50">
        <f>VLOOKUP($A131,'Data Vlaue (Cr)'!$C:$FB,8)</f>
        <v>3221.6</v>
      </c>
      <c r="C131" s="50">
        <f>VLOOKUP($A131,'Data Vlaue (Cr)'!$C:$FB,11)*100</f>
        <v>0.67</v>
      </c>
      <c r="D131" s="50">
        <f>VLOOKUP($A131,'Data Vlaue (Cr)'!$C:$FB,143)</f>
        <v>4147.8500000000004</v>
      </c>
      <c r="E131" s="50">
        <f>VLOOKUP($A131,'Data Vlaue (Cr)'!$C:$FB,144)</f>
        <v>3879.57</v>
      </c>
      <c r="F131" s="50">
        <f>VLOOKUP($A131,'Data Vlaue (Cr)'!$C:$FB,146)*100</f>
        <v>6.92</v>
      </c>
      <c r="G131" s="49">
        <f>VLOOKUP($A131,'Data Vlaue (Cr)'!$C:$FB,43)</f>
        <v>670</v>
      </c>
      <c r="H131" s="49">
        <f>VLOOKUP($A131,'Data Vlaue (Cr)'!$C:$FB,44)</f>
        <v>754</v>
      </c>
      <c r="I131" s="49">
        <f>VLOOKUP($A131,'Data Vlaue (Cr)'!$C:$FB,46)*100</f>
        <v>-11.110000000000001</v>
      </c>
      <c r="J131" s="51">
        <f>VLOOKUP($A131,'Data Vlaue (Cr)'!$C:$FB,59)</f>
        <v>2308</v>
      </c>
      <c r="K131" s="51">
        <f>VLOOKUP($A131,'Data Vlaue (Cr)'!$C:$FB,60)</f>
        <v>1972</v>
      </c>
      <c r="L131" s="51">
        <f>VLOOKUP($A131,'Data Vlaue (Cr)'!$C:$FB,62)*100</f>
        <v>17.05</v>
      </c>
      <c r="M131" s="51">
        <f>VLOOKUP($A131,'Data Vlaue (Cr)'!$C:$FB,63)</f>
        <v>1106</v>
      </c>
      <c r="N131" s="51">
        <f>VLOOKUP($A131,'Data Vlaue (Cr)'!$C:$FB,64)</f>
        <v>1090</v>
      </c>
      <c r="O131" s="51">
        <f>VLOOKUP($A131,'Data Vlaue (Cr)'!$C:$FB,66)*100</f>
        <v>1.4500000000000002</v>
      </c>
    </row>
    <row r="132" spans="1:15" x14ac:dyDescent="0.25">
      <c r="A132" s="101" t="str">
        <f>'Data Vlaue (Cr)'!C127</f>
        <v>MANAPPURAM</v>
      </c>
      <c r="B132" s="50">
        <f>VLOOKUP($A132,'Data Vlaue (Cr)'!$C:$FB,8)</f>
        <v>269.10000000000002</v>
      </c>
      <c r="C132" s="50">
        <f>VLOOKUP($A132,'Data Vlaue (Cr)'!$C:$FB,11)*100</f>
        <v>6.9999999999999993E-2</v>
      </c>
      <c r="D132" s="50">
        <f>VLOOKUP($A132,'Data Vlaue (Cr)'!$C:$FB,143)</f>
        <v>709.17</v>
      </c>
      <c r="E132" s="50">
        <f>VLOOKUP($A132,'Data Vlaue (Cr)'!$C:$FB,144)</f>
        <v>738.54</v>
      </c>
      <c r="F132" s="50">
        <f>VLOOKUP($A132,'Data Vlaue (Cr)'!$C:$FB,146)*100</f>
        <v>-3.9800000000000004</v>
      </c>
      <c r="G132" s="49">
        <f>VLOOKUP($A132,'Data Vlaue (Cr)'!$C:$FB,43)</f>
        <v>186</v>
      </c>
      <c r="H132" s="49">
        <f>VLOOKUP($A132,'Data Vlaue (Cr)'!$C:$FB,44)</f>
        <v>136</v>
      </c>
      <c r="I132" s="49">
        <f>VLOOKUP($A132,'Data Vlaue (Cr)'!$C:$FB,46)*100</f>
        <v>37.409999999999997</v>
      </c>
      <c r="J132" s="51">
        <f>VLOOKUP($A132,'Data Vlaue (Cr)'!$C:$FB,59)</f>
        <v>362</v>
      </c>
      <c r="K132" s="51">
        <f>VLOOKUP($A132,'Data Vlaue (Cr)'!$C:$FB,60)</f>
        <v>355</v>
      </c>
      <c r="L132" s="51">
        <f>VLOOKUP($A132,'Data Vlaue (Cr)'!$C:$FB,62)*100</f>
        <v>2.0299999999999998</v>
      </c>
      <c r="M132" s="51">
        <f>VLOOKUP($A132,'Data Vlaue (Cr)'!$C:$FB,63)</f>
        <v>149</v>
      </c>
      <c r="N132" s="51">
        <f>VLOOKUP($A132,'Data Vlaue (Cr)'!$C:$FB,64)</f>
        <v>240</v>
      </c>
      <c r="O132" s="51">
        <f>VLOOKUP($A132,'Data Vlaue (Cr)'!$C:$FB,66)*100</f>
        <v>-38.159999999999997</v>
      </c>
    </row>
    <row r="133" spans="1:15" x14ac:dyDescent="0.25">
      <c r="A133" s="101" t="str">
        <f>'Data Vlaue (Cr)'!C128</f>
        <v>MANKIND</v>
      </c>
      <c r="B133" s="50">
        <f>VLOOKUP($A133,'Data Vlaue (Cr)'!$C:$FB,8)</f>
        <v>2144</v>
      </c>
      <c r="C133" s="50">
        <f>VLOOKUP($A133,'Data Vlaue (Cr)'!$C:$FB,11)*100</f>
        <v>0.89</v>
      </c>
      <c r="D133" s="50">
        <f>VLOOKUP($A133,'Data Vlaue (Cr)'!$C:$FB,143)</f>
        <v>560.70000000000005</v>
      </c>
      <c r="E133" s="50">
        <f>VLOOKUP($A133,'Data Vlaue (Cr)'!$C:$FB,144)</f>
        <v>230.27</v>
      </c>
      <c r="F133" s="50">
        <f>VLOOKUP($A133,'Data Vlaue (Cr)'!$C:$FB,146)*100</f>
        <v>143.49</v>
      </c>
      <c r="G133" s="49">
        <f>VLOOKUP($A133,'Data Vlaue (Cr)'!$C:$FB,43)</f>
        <v>127</v>
      </c>
      <c r="H133" s="49">
        <f>VLOOKUP($A133,'Data Vlaue (Cr)'!$C:$FB,44)</f>
        <v>58</v>
      </c>
      <c r="I133" s="49">
        <f>VLOOKUP($A133,'Data Vlaue (Cr)'!$C:$FB,46)*100</f>
        <v>120.08000000000001</v>
      </c>
      <c r="J133" s="51">
        <f>VLOOKUP($A133,'Data Vlaue (Cr)'!$C:$FB,59)</f>
        <v>241</v>
      </c>
      <c r="K133" s="51">
        <f>VLOOKUP($A133,'Data Vlaue (Cr)'!$C:$FB,60)</f>
        <v>147</v>
      </c>
      <c r="L133" s="51">
        <f>VLOOKUP($A133,'Data Vlaue (Cr)'!$C:$FB,62)*100</f>
        <v>63.82</v>
      </c>
      <c r="M133" s="51">
        <f>VLOOKUP($A133,'Data Vlaue (Cr)'!$C:$FB,63)</f>
        <v>203</v>
      </c>
      <c r="N133" s="51">
        <f>VLOOKUP($A133,'Data Vlaue (Cr)'!$C:$FB,64)</f>
        <v>22</v>
      </c>
      <c r="O133" s="51">
        <f>VLOOKUP($A133,'Data Vlaue (Cr)'!$C:$FB,66)*100</f>
        <v>805.58999999999992</v>
      </c>
    </row>
    <row r="134" spans="1:15" x14ac:dyDescent="0.25">
      <c r="A134" s="101" t="str">
        <f>'Data Vlaue (Cr)'!C129</f>
        <v>MARICO</v>
      </c>
      <c r="B134" s="50">
        <f>VLOOKUP($A134,'Data Vlaue (Cr)'!$C:$FB,8)</f>
        <v>760.7</v>
      </c>
      <c r="C134" s="50">
        <f>VLOOKUP($A134,'Data Vlaue (Cr)'!$C:$FB,11)*100</f>
        <v>0.44999999999999996</v>
      </c>
      <c r="D134" s="50">
        <f>VLOOKUP($A134,'Data Vlaue (Cr)'!$C:$FB,143)</f>
        <v>847.73</v>
      </c>
      <c r="E134" s="50">
        <f>VLOOKUP($A134,'Data Vlaue (Cr)'!$C:$FB,144)</f>
        <v>1600.71</v>
      </c>
      <c r="F134" s="50">
        <f>VLOOKUP($A134,'Data Vlaue (Cr)'!$C:$FB,146)*100</f>
        <v>-47.04</v>
      </c>
      <c r="G134" s="49">
        <f>VLOOKUP($A134,'Data Vlaue (Cr)'!$C:$FB,43)</f>
        <v>153</v>
      </c>
      <c r="H134" s="49">
        <f>VLOOKUP($A134,'Data Vlaue (Cr)'!$C:$FB,44)</f>
        <v>400</v>
      </c>
      <c r="I134" s="49">
        <f>VLOOKUP($A134,'Data Vlaue (Cr)'!$C:$FB,46)*100</f>
        <v>-61.860000000000007</v>
      </c>
      <c r="J134" s="51">
        <f>VLOOKUP($A134,'Data Vlaue (Cr)'!$C:$FB,59)</f>
        <v>526</v>
      </c>
      <c r="K134" s="51">
        <f>VLOOKUP($A134,'Data Vlaue (Cr)'!$C:$FB,60)</f>
        <v>931</v>
      </c>
      <c r="L134" s="51">
        <f>VLOOKUP($A134,'Data Vlaue (Cr)'!$C:$FB,62)*100</f>
        <v>-43.45</v>
      </c>
      <c r="M134" s="51">
        <f>VLOOKUP($A134,'Data Vlaue (Cr)'!$C:$FB,63)</f>
        <v>154</v>
      </c>
      <c r="N134" s="51">
        <f>VLOOKUP($A134,'Data Vlaue (Cr)'!$C:$FB,64)</f>
        <v>253</v>
      </c>
      <c r="O134" s="51">
        <f>VLOOKUP($A134,'Data Vlaue (Cr)'!$C:$FB,66)*100</f>
        <v>-38.950000000000003</v>
      </c>
    </row>
    <row r="135" spans="1:15" x14ac:dyDescent="0.25">
      <c r="A135" s="101" t="str">
        <f>'Data Vlaue (Cr)'!C130</f>
        <v>MARUTI</v>
      </c>
      <c r="B135" s="50">
        <f>VLOOKUP($A135,'Data Vlaue (Cr)'!$C:$FB,8)</f>
        <v>13450</v>
      </c>
      <c r="C135" s="50">
        <f>VLOOKUP($A135,'Data Vlaue (Cr)'!$C:$FB,11)*100</f>
        <v>-0.02</v>
      </c>
      <c r="D135" s="50">
        <f>VLOOKUP($A135,'Data Vlaue (Cr)'!$C:$FB,143)</f>
        <v>4798.6099999999997</v>
      </c>
      <c r="E135" s="50">
        <f>VLOOKUP($A135,'Data Vlaue (Cr)'!$C:$FB,144)</f>
        <v>13053.59</v>
      </c>
      <c r="F135" s="50">
        <f>VLOOKUP($A135,'Data Vlaue (Cr)'!$C:$FB,146)*100</f>
        <v>-63.239999999999995</v>
      </c>
      <c r="G135" s="49">
        <f>VLOOKUP($A135,'Data Vlaue (Cr)'!$C:$FB,43)</f>
        <v>400</v>
      </c>
      <c r="H135" s="49">
        <f>VLOOKUP($A135,'Data Vlaue (Cr)'!$C:$FB,44)</f>
        <v>829</v>
      </c>
      <c r="I135" s="49">
        <f>VLOOKUP($A135,'Data Vlaue (Cr)'!$C:$FB,46)*100</f>
        <v>-51.749999999999993</v>
      </c>
      <c r="J135" s="51">
        <f>VLOOKUP($A135,'Data Vlaue (Cr)'!$C:$FB,59)</f>
        <v>2779</v>
      </c>
      <c r="K135" s="51">
        <f>VLOOKUP($A135,'Data Vlaue (Cr)'!$C:$FB,60)</f>
        <v>8373</v>
      </c>
      <c r="L135" s="51">
        <f>VLOOKUP($A135,'Data Vlaue (Cr)'!$C:$FB,62)*100</f>
        <v>-66.81</v>
      </c>
      <c r="M135" s="51">
        <f>VLOOKUP($A135,'Data Vlaue (Cr)'!$C:$FB,63)</f>
        <v>1521</v>
      </c>
      <c r="N135" s="51">
        <f>VLOOKUP($A135,'Data Vlaue (Cr)'!$C:$FB,64)</f>
        <v>3486</v>
      </c>
      <c r="O135" s="51">
        <f>VLOOKUP($A135,'Data Vlaue (Cr)'!$C:$FB,66)*100</f>
        <v>-56.37</v>
      </c>
    </row>
    <row r="136" spans="1:15" x14ac:dyDescent="0.25">
      <c r="A136" s="101" t="str">
        <f>'Data Vlaue (Cr)'!C131</f>
        <v>MAXHEALTH</v>
      </c>
      <c r="B136" s="50">
        <f>VLOOKUP($A136,'Data Vlaue (Cr)'!$C:$FB,8)</f>
        <v>1011.35</v>
      </c>
      <c r="C136" s="50">
        <f>VLOOKUP($A136,'Data Vlaue (Cr)'!$C:$FB,11)*100</f>
        <v>0.37</v>
      </c>
      <c r="D136" s="50">
        <f>VLOOKUP($A136,'Data Vlaue (Cr)'!$C:$FB,143)</f>
        <v>1215.52</v>
      </c>
      <c r="E136" s="50">
        <f>VLOOKUP($A136,'Data Vlaue (Cr)'!$C:$FB,144)</f>
        <v>1131.92</v>
      </c>
      <c r="F136" s="50">
        <f>VLOOKUP($A136,'Data Vlaue (Cr)'!$C:$FB,146)*100</f>
        <v>7.39</v>
      </c>
      <c r="G136" s="49">
        <f>VLOOKUP($A136,'Data Vlaue (Cr)'!$C:$FB,43)</f>
        <v>213</v>
      </c>
      <c r="H136" s="49">
        <f>VLOOKUP($A136,'Data Vlaue (Cr)'!$C:$FB,44)</f>
        <v>157</v>
      </c>
      <c r="I136" s="49">
        <f>VLOOKUP($A136,'Data Vlaue (Cr)'!$C:$FB,46)*100</f>
        <v>35.709999999999994</v>
      </c>
      <c r="J136" s="51">
        <f>VLOOKUP($A136,'Data Vlaue (Cr)'!$C:$FB,59)</f>
        <v>706</v>
      </c>
      <c r="K136" s="51">
        <f>VLOOKUP($A136,'Data Vlaue (Cr)'!$C:$FB,60)</f>
        <v>717</v>
      </c>
      <c r="L136" s="51">
        <f>VLOOKUP($A136,'Data Vlaue (Cr)'!$C:$FB,62)*100</f>
        <v>-1.49</v>
      </c>
      <c r="M136" s="51">
        <f>VLOOKUP($A136,'Data Vlaue (Cr)'!$C:$FB,63)</f>
        <v>275</v>
      </c>
      <c r="N136" s="51">
        <f>VLOOKUP($A136,'Data Vlaue (Cr)'!$C:$FB,64)</f>
        <v>248</v>
      </c>
      <c r="O136" s="51">
        <f>VLOOKUP($A136,'Data Vlaue (Cr)'!$C:$FB,66)*100</f>
        <v>11</v>
      </c>
    </row>
    <row r="137" spans="1:15" x14ac:dyDescent="0.25">
      <c r="A137" s="101" t="str">
        <f>'Data Vlaue (Cr)'!C132</f>
        <v>MAZDOCK</v>
      </c>
      <c r="B137" s="50">
        <f>VLOOKUP($A137,'Data Vlaue (Cr)'!$C:$FB,8)</f>
        <v>2621.1999999999998</v>
      </c>
      <c r="C137" s="50">
        <f>VLOOKUP($A137,'Data Vlaue (Cr)'!$C:$FB,11)*100</f>
        <v>0.18</v>
      </c>
      <c r="D137" s="50">
        <f>VLOOKUP($A137,'Data Vlaue (Cr)'!$C:$FB,143)</f>
        <v>3745.52</v>
      </c>
      <c r="E137" s="50">
        <f>VLOOKUP($A137,'Data Vlaue (Cr)'!$C:$FB,144)</f>
        <v>4744.01</v>
      </c>
      <c r="F137" s="50">
        <f>VLOOKUP($A137,'Data Vlaue (Cr)'!$C:$FB,146)*100</f>
        <v>-21.05</v>
      </c>
      <c r="G137" s="49">
        <f>VLOOKUP($A137,'Data Vlaue (Cr)'!$C:$FB,43)</f>
        <v>428</v>
      </c>
      <c r="H137" s="49">
        <f>VLOOKUP($A137,'Data Vlaue (Cr)'!$C:$FB,44)</f>
        <v>471</v>
      </c>
      <c r="I137" s="49">
        <f>VLOOKUP($A137,'Data Vlaue (Cr)'!$C:$FB,46)*100</f>
        <v>-8.9499999999999993</v>
      </c>
      <c r="J137" s="51">
        <f>VLOOKUP($A137,'Data Vlaue (Cr)'!$C:$FB,59)</f>
        <v>2389</v>
      </c>
      <c r="K137" s="51">
        <f>VLOOKUP($A137,'Data Vlaue (Cr)'!$C:$FB,60)</f>
        <v>3209</v>
      </c>
      <c r="L137" s="51">
        <f>VLOOKUP($A137,'Data Vlaue (Cr)'!$C:$FB,62)*100</f>
        <v>-25.56</v>
      </c>
      <c r="M137" s="51">
        <f>VLOOKUP($A137,'Data Vlaue (Cr)'!$C:$FB,63)</f>
        <v>848</v>
      </c>
      <c r="N137" s="51">
        <f>VLOOKUP($A137,'Data Vlaue (Cr)'!$C:$FB,64)</f>
        <v>1012</v>
      </c>
      <c r="O137" s="51">
        <f>VLOOKUP($A137,'Data Vlaue (Cr)'!$C:$FB,66)*100</f>
        <v>-16.170000000000002</v>
      </c>
    </row>
    <row r="138" spans="1:15" x14ac:dyDescent="0.25">
      <c r="A138" s="101" t="str">
        <f>'Data Vlaue (Cr)'!C133</f>
        <v>MCX</v>
      </c>
      <c r="B138" s="50">
        <f>VLOOKUP($A138,'Data Vlaue (Cr)'!$C:$FB,8)</f>
        <v>2859.1</v>
      </c>
      <c r="C138" s="50">
        <f>VLOOKUP($A138,'Data Vlaue (Cr)'!$C:$FB,11)*100</f>
        <v>0.11</v>
      </c>
      <c r="D138" s="50">
        <f>VLOOKUP($A138,'Data Vlaue (Cr)'!$C:$FB,143)</f>
        <v>5448.41</v>
      </c>
      <c r="E138" s="50">
        <f>VLOOKUP($A138,'Data Vlaue (Cr)'!$C:$FB,144)</f>
        <v>12561.26</v>
      </c>
      <c r="F138" s="50">
        <f>VLOOKUP($A138,'Data Vlaue (Cr)'!$C:$FB,146)*100</f>
        <v>-56.63</v>
      </c>
      <c r="G138" s="49">
        <f>VLOOKUP($A138,'Data Vlaue (Cr)'!$C:$FB,43)</f>
        <v>674</v>
      </c>
      <c r="H138" s="49">
        <f>VLOOKUP($A138,'Data Vlaue (Cr)'!$C:$FB,44)</f>
        <v>1342</v>
      </c>
      <c r="I138" s="49">
        <f>VLOOKUP($A138,'Data Vlaue (Cr)'!$C:$FB,46)*100</f>
        <v>-49.79</v>
      </c>
      <c r="J138" s="51">
        <f>VLOOKUP($A138,'Data Vlaue (Cr)'!$C:$FB,59)</f>
        <v>2928</v>
      </c>
      <c r="K138" s="51">
        <f>VLOOKUP($A138,'Data Vlaue (Cr)'!$C:$FB,60)</f>
        <v>6425</v>
      </c>
      <c r="L138" s="51">
        <f>VLOOKUP($A138,'Data Vlaue (Cr)'!$C:$FB,62)*100</f>
        <v>-54.43</v>
      </c>
      <c r="M138" s="51">
        <f>VLOOKUP($A138,'Data Vlaue (Cr)'!$C:$FB,63)</f>
        <v>1749</v>
      </c>
      <c r="N138" s="51">
        <f>VLOOKUP($A138,'Data Vlaue (Cr)'!$C:$FB,64)</f>
        <v>4713</v>
      </c>
      <c r="O138" s="51">
        <f>VLOOKUP($A138,'Data Vlaue (Cr)'!$C:$FB,66)*100</f>
        <v>-62.88</v>
      </c>
    </row>
    <row r="139" spans="1:15" x14ac:dyDescent="0.25">
      <c r="A139" s="101" t="str">
        <f>'Data Vlaue (Cr)'!C134</f>
        <v>MFSL</v>
      </c>
      <c r="B139" s="50">
        <f>VLOOKUP($A139,'Data Vlaue (Cr)'!$C:$FB,8)</f>
        <v>1688.8</v>
      </c>
      <c r="C139" s="50">
        <f>VLOOKUP($A139,'Data Vlaue (Cr)'!$C:$FB,11)*100</f>
        <v>0.33</v>
      </c>
      <c r="D139" s="50">
        <f>VLOOKUP($A139,'Data Vlaue (Cr)'!$C:$FB,143)</f>
        <v>337.66</v>
      </c>
      <c r="E139" s="50">
        <f>VLOOKUP($A139,'Data Vlaue (Cr)'!$C:$FB,144)</f>
        <v>290.75</v>
      </c>
      <c r="F139" s="50">
        <f>VLOOKUP($A139,'Data Vlaue (Cr)'!$C:$FB,146)*100</f>
        <v>16.13</v>
      </c>
      <c r="G139" s="49">
        <f>VLOOKUP($A139,'Data Vlaue (Cr)'!$C:$FB,43)</f>
        <v>179</v>
      </c>
      <c r="H139" s="49">
        <f>VLOOKUP($A139,'Data Vlaue (Cr)'!$C:$FB,44)</f>
        <v>135</v>
      </c>
      <c r="I139" s="49">
        <f>VLOOKUP($A139,'Data Vlaue (Cr)'!$C:$FB,46)*100</f>
        <v>32.9</v>
      </c>
      <c r="J139" s="51">
        <f>VLOOKUP($A139,'Data Vlaue (Cr)'!$C:$FB,59)</f>
        <v>94</v>
      </c>
      <c r="K139" s="51">
        <f>VLOOKUP($A139,'Data Vlaue (Cr)'!$C:$FB,60)</f>
        <v>85</v>
      </c>
      <c r="L139" s="51">
        <f>VLOOKUP($A139,'Data Vlaue (Cr)'!$C:$FB,62)*100</f>
        <v>9.82</v>
      </c>
      <c r="M139" s="51">
        <f>VLOOKUP($A139,'Data Vlaue (Cr)'!$C:$FB,63)</f>
        <v>65</v>
      </c>
      <c r="N139" s="51">
        <f>VLOOKUP($A139,'Data Vlaue (Cr)'!$C:$FB,64)</f>
        <v>69</v>
      </c>
      <c r="O139" s="51">
        <f>VLOOKUP($A139,'Data Vlaue (Cr)'!$C:$FB,66)*100</f>
        <v>-6.41</v>
      </c>
    </row>
    <row r="140" spans="1:15" x14ac:dyDescent="0.25">
      <c r="A140" s="101" t="str">
        <f>'Data Vlaue (Cr)'!C135</f>
        <v>MIDCPNIFTY</v>
      </c>
      <c r="B140" s="50">
        <f>VLOOKUP($A140,'Data Vlaue (Cr)'!$C:$FB,8)</f>
        <v>13807.25</v>
      </c>
      <c r="C140" s="50">
        <f>VLOOKUP($A140,'Data Vlaue (Cr)'!$C:$FB,11)*100</f>
        <v>-0.22999999999999998</v>
      </c>
      <c r="D140" s="50">
        <f>VLOOKUP($A140,'Data Vlaue (Cr)'!$C:$FB,143)</f>
        <v>39884.129999999997</v>
      </c>
      <c r="E140" s="50">
        <f>VLOOKUP($A140,'Data Vlaue (Cr)'!$C:$FB,144)</f>
        <v>45886.11</v>
      </c>
      <c r="F140" s="50">
        <f>VLOOKUP($A140,'Data Vlaue (Cr)'!$C:$FB,146)*100</f>
        <v>-13.08</v>
      </c>
      <c r="G140" s="49">
        <f>VLOOKUP($A140,'Data Vlaue (Cr)'!$C:$FB,43)</f>
        <v>745</v>
      </c>
      <c r="H140" s="49">
        <f>VLOOKUP($A140,'Data Vlaue (Cr)'!$C:$FB,44)</f>
        <v>760</v>
      </c>
      <c r="I140" s="49">
        <f>VLOOKUP($A140,'Data Vlaue (Cr)'!$C:$FB,46)*100</f>
        <v>-1.9800000000000002</v>
      </c>
      <c r="J140" s="51">
        <f>VLOOKUP($A140,'Data Vlaue (Cr)'!$C:$FB,59)</f>
        <v>20542</v>
      </c>
      <c r="K140" s="51">
        <f>VLOOKUP($A140,'Data Vlaue (Cr)'!$C:$FB,60)</f>
        <v>19684</v>
      </c>
      <c r="L140" s="51">
        <f>VLOOKUP($A140,'Data Vlaue (Cr)'!$C:$FB,62)*100</f>
        <v>4.3600000000000003</v>
      </c>
      <c r="M140" s="51">
        <f>VLOOKUP($A140,'Data Vlaue (Cr)'!$C:$FB,63)</f>
        <v>18321</v>
      </c>
      <c r="N140" s="51">
        <f>VLOOKUP($A140,'Data Vlaue (Cr)'!$C:$FB,64)</f>
        <v>25911</v>
      </c>
      <c r="O140" s="51">
        <f>VLOOKUP($A140,'Data Vlaue (Cr)'!$C:$FB,66)*100</f>
        <v>-29.29</v>
      </c>
    </row>
    <row r="141" spans="1:15" x14ac:dyDescent="0.25">
      <c r="A141" s="101" t="str">
        <f>'Data Vlaue (Cr)'!C136</f>
        <v>MOTHERSON</v>
      </c>
      <c r="B141" s="50">
        <f>VLOOKUP($A141,'Data Vlaue (Cr)'!$C:$FB,8)</f>
        <v>123.19</v>
      </c>
      <c r="C141" s="50">
        <f>VLOOKUP($A141,'Data Vlaue (Cr)'!$C:$FB,11)*100</f>
        <v>-1.47</v>
      </c>
      <c r="D141" s="50">
        <f>VLOOKUP($A141,'Data Vlaue (Cr)'!$C:$FB,143)</f>
        <v>753.66</v>
      </c>
      <c r="E141" s="50">
        <f>VLOOKUP($A141,'Data Vlaue (Cr)'!$C:$FB,144)</f>
        <v>1109.6199999999999</v>
      </c>
      <c r="F141" s="50">
        <f>VLOOKUP($A141,'Data Vlaue (Cr)'!$C:$FB,146)*100</f>
        <v>-32.08</v>
      </c>
      <c r="G141" s="49">
        <f>VLOOKUP($A141,'Data Vlaue (Cr)'!$C:$FB,43)</f>
        <v>259</v>
      </c>
      <c r="H141" s="49">
        <f>VLOOKUP($A141,'Data Vlaue (Cr)'!$C:$FB,44)</f>
        <v>435</v>
      </c>
      <c r="I141" s="49">
        <f>VLOOKUP($A141,'Data Vlaue (Cr)'!$C:$FB,46)*100</f>
        <v>-40.35</v>
      </c>
      <c r="J141" s="51">
        <f>VLOOKUP($A141,'Data Vlaue (Cr)'!$C:$FB,59)</f>
        <v>258</v>
      </c>
      <c r="K141" s="51">
        <f>VLOOKUP($A141,'Data Vlaue (Cr)'!$C:$FB,60)</f>
        <v>334</v>
      </c>
      <c r="L141" s="51">
        <f>VLOOKUP($A141,'Data Vlaue (Cr)'!$C:$FB,62)*100</f>
        <v>-22.91</v>
      </c>
      <c r="M141" s="51">
        <f>VLOOKUP($A141,'Data Vlaue (Cr)'!$C:$FB,63)</f>
        <v>231</v>
      </c>
      <c r="N141" s="51">
        <f>VLOOKUP($A141,'Data Vlaue (Cr)'!$C:$FB,64)</f>
        <v>337</v>
      </c>
      <c r="O141" s="51">
        <f>VLOOKUP($A141,'Data Vlaue (Cr)'!$C:$FB,66)*100</f>
        <v>-31.53</v>
      </c>
    </row>
    <row r="142" spans="1:15" x14ac:dyDescent="0.25">
      <c r="A142" s="101" t="str">
        <f>'Data Vlaue (Cr)'!C137</f>
        <v>MOTILALOFS</v>
      </c>
      <c r="B142" s="50">
        <f>VLOOKUP($A142,'Data Vlaue (Cr)'!$C:$FB,8)</f>
        <v>807.95</v>
      </c>
      <c r="C142" s="50">
        <f>VLOOKUP($A142,'Data Vlaue (Cr)'!$C:$FB,11)*100</f>
        <v>-0.91999999999999993</v>
      </c>
      <c r="D142" s="50">
        <f>VLOOKUP($A142,'Data Vlaue (Cr)'!$C:$FB,143)</f>
        <v>1818.38</v>
      </c>
      <c r="E142" s="50">
        <f>VLOOKUP($A142,'Data Vlaue (Cr)'!$C:$FB,144)</f>
        <v>914.03</v>
      </c>
      <c r="F142" s="50">
        <f>VLOOKUP($A142,'Data Vlaue (Cr)'!$C:$FB,146)*100</f>
        <v>98.94</v>
      </c>
      <c r="G142" s="49">
        <f>VLOOKUP($A142,'Data Vlaue (Cr)'!$C:$FB,43)</f>
        <v>355</v>
      </c>
      <c r="H142" s="49">
        <f>VLOOKUP($A142,'Data Vlaue (Cr)'!$C:$FB,44)</f>
        <v>199</v>
      </c>
      <c r="I142" s="49">
        <f>VLOOKUP($A142,'Data Vlaue (Cr)'!$C:$FB,46)*100</f>
        <v>78.64</v>
      </c>
      <c r="J142" s="51">
        <f>VLOOKUP($A142,'Data Vlaue (Cr)'!$C:$FB,59)</f>
        <v>952</v>
      </c>
      <c r="K142" s="51">
        <f>VLOOKUP($A142,'Data Vlaue (Cr)'!$C:$FB,60)</f>
        <v>571</v>
      </c>
      <c r="L142" s="51">
        <f>VLOOKUP($A142,'Data Vlaue (Cr)'!$C:$FB,62)*100</f>
        <v>66.73</v>
      </c>
      <c r="M142" s="51">
        <f>VLOOKUP($A142,'Data Vlaue (Cr)'!$C:$FB,63)</f>
        <v>465</v>
      </c>
      <c r="N142" s="51">
        <f>VLOOKUP($A142,'Data Vlaue (Cr)'!$C:$FB,64)</f>
        <v>130</v>
      </c>
      <c r="O142" s="51">
        <f>VLOOKUP($A142,'Data Vlaue (Cr)'!$C:$FB,66)*100</f>
        <v>257.71000000000004</v>
      </c>
    </row>
    <row r="143" spans="1:15" x14ac:dyDescent="0.25">
      <c r="A143" s="101" t="str">
        <f>'Data Vlaue (Cr)'!C138</f>
        <v>MPHASIS</v>
      </c>
      <c r="B143" s="50">
        <f>VLOOKUP($A143,'Data Vlaue (Cr)'!$C:$FB,8)</f>
        <v>2417</v>
      </c>
      <c r="C143" s="50">
        <f>VLOOKUP($A143,'Data Vlaue (Cr)'!$C:$FB,11)*100</f>
        <v>-1.8399999999999999</v>
      </c>
      <c r="D143" s="50">
        <f>VLOOKUP($A143,'Data Vlaue (Cr)'!$C:$FB,143)</f>
        <v>475.74</v>
      </c>
      <c r="E143" s="50">
        <f>VLOOKUP($A143,'Data Vlaue (Cr)'!$C:$FB,144)</f>
        <v>576.89</v>
      </c>
      <c r="F143" s="50">
        <f>VLOOKUP($A143,'Data Vlaue (Cr)'!$C:$FB,146)*100</f>
        <v>-17.53</v>
      </c>
      <c r="G143" s="49">
        <f>VLOOKUP($A143,'Data Vlaue (Cr)'!$C:$FB,43)</f>
        <v>133</v>
      </c>
      <c r="H143" s="49">
        <f>VLOOKUP($A143,'Data Vlaue (Cr)'!$C:$FB,44)</f>
        <v>148</v>
      </c>
      <c r="I143" s="49">
        <f>VLOOKUP($A143,'Data Vlaue (Cr)'!$C:$FB,46)*100</f>
        <v>-10.38</v>
      </c>
      <c r="J143" s="51">
        <f>VLOOKUP($A143,'Data Vlaue (Cr)'!$C:$FB,59)</f>
        <v>202</v>
      </c>
      <c r="K143" s="51">
        <f>VLOOKUP($A143,'Data Vlaue (Cr)'!$C:$FB,60)</f>
        <v>239</v>
      </c>
      <c r="L143" s="51">
        <f>VLOOKUP($A143,'Data Vlaue (Cr)'!$C:$FB,62)*100</f>
        <v>-15.459999999999999</v>
      </c>
      <c r="M143" s="51">
        <f>VLOOKUP($A143,'Data Vlaue (Cr)'!$C:$FB,63)</f>
        <v>133</v>
      </c>
      <c r="N143" s="51">
        <f>VLOOKUP($A143,'Data Vlaue (Cr)'!$C:$FB,64)</f>
        <v>181</v>
      </c>
      <c r="O143" s="51">
        <f>VLOOKUP($A143,'Data Vlaue (Cr)'!$C:$FB,66)*100</f>
        <v>-26.87</v>
      </c>
    </row>
    <row r="144" spans="1:15" x14ac:dyDescent="0.25">
      <c r="A144" s="101" t="str">
        <f>'Data Vlaue (Cr)'!C139</f>
        <v>MUTHOOTFIN</v>
      </c>
      <c r="B144" s="50">
        <f>VLOOKUP($A144,'Data Vlaue (Cr)'!$C:$FB,8)</f>
        <v>3531.2</v>
      </c>
      <c r="C144" s="50">
        <f>VLOOKUP($A144,'Data Vlaue (Cr)'!$C:$FB,11)*100</f>
        <v>-1.1199999999999999</v>
      </c>
      <c r="D144" s="50">
        <f>VLOOKUP($A144,'Data Vlaue (Cr)'!$C:$FB,143)</f>
        <v>1168.24</v>
      </c>
      <c r="E144" s="50">
        <f>VLOOKUP($A144,'Data Vlaue (Cr)'!$C:$FB,144)</f>
        <v>3052.36</v>
      </c>
      <c r="F144" s="50">
        <f>VLOOKUP($A144,'Data Vlaue (Cr)'!$C:$FB,146)*100</f>
        <v>-61.73</v>
      </c>
      <c r="G144" s="49">
        <f>VLOOKUP($A144,'Data Vlaue (Cr)'!$C:$FB,43)</f>
        <v>215</v>
      </c>
      <c r="H144" s="49">
        <f>VLOOKUP($A144,'Data Vlaue (Cr)'!$C:$FB,44)</f>
        <v>357</v>
      </c>
      <c r="I144" s="49">
        <f>VLOOKUP($A144,'Data Vlaue (Cr)'!$C:$FB,46)*100</f>
        <v>-39.839999999999996</v>
      </c>
      <c r="J144" s="51">
        <f>VLOOKUP($A144,'Data Vlaue (Cr)'!$C:$FB,59)</f>
        <v>636</v>
      </c>
      <c r="K144" s="51">
        <f>VLOOKUP($A144,'Data Vlaue (Cr)'!$C:$FB,60)</f>
        <v>1729</v>
      </c>
      <c r="L144" s="51">
        <f>VLOOKUP($A144,'Data Vlaue (Cr)'!$C:$FB,62)*100</f>
        <v>-63.2</v>
      </c>
      <c r="M144" s="51">
        <f>VLOOKUP($A144,'Data Vlaue (Cr)'!$C:$FB,63)</f>
        <v>289</v>
      </c>
      <c r="N144" s="51">
        <f>VLOOKUP($A144,'Data Vlaue (Cr)'!$C:$FB,64)</f>
        <v>886</v>
      </c>
      <c r="O144" s="51">
        <f>VLOOKUP($A144,'Data Vlaue (Cr)'!$C:$FB,66)*100</f>
        <v>-67.42</v>
      </c>
    </row>
    <row r="145" spans="1:15" x14ac:dyDescent="0.25">
      <c r="A145" s="101" t="str">
        <f>'Data Vlaue (Cr)'!C140</f>
        <v>NAM-INDIA</v>
      </c>
      <c r="B145" s="50">
        <f>VLOOKUP($A145,'Data Vlaue (Cr)'!$C:$FB,8)</f>
        <v>1003</v>
      </c>
      <c r="C145" s="50">
        <f>VLOOKUP($A145,'Data Vlaue (Cr)'!$C:$FB,11)*100</f>
        <v>-1.1900000000000002</v>
      </c>
      <c r="D145" s="50">
        <f>VLOOKUP($A145,'Data Vlaue (Cr)'!$C:$FB,143)</f>
        <v>318.72000000000003</v>
      </c>
      <c r="E145" s="50">
        <f>VLOOKUP($A145,'Data Vlaue (Cr)'!$C:$FB,144)</f>
        <v>488.64</v>
      </c>
      <c r="F145" s="50">
        <f>VLOOKUP($A145,'Data Vlaue (Cr)'!$C:$FB,146)*100</f>
        <v>-34.770000000000003</v>
      </c>
      <c r="G145" s="49">
        <f>VLOOKUP($A145,'Data Vlaue (Cr)'!$C:$FB,43)</f>
        <v>88</v>
      </c>
      <c r="H145" s="49">
        <f>VLOOKUP($A145,'Data Vlaue (Cr)'!$C:$FB,44)</f>
        <v>154</v>
      </c>
      <c r="I145" s="49">
        <f>VLOOKUP($A145,'Data Vlaue (Cr)'!$C:$FB,46)*100</f>
        <v>-42.86</v>
      </c>
      <c r="J145" s="51">
        <f>VLOOKUP($A145,'Data Vlaue (Cr)'!$C:$FB,59)</f>
        <v>174</v>
      </c>
      <c r="K145" s="51">
        <f>VLOOKUP($A145,'Data Vlaue (Cr)'!$C:$FB,60)</f>
        <v>265</v>
      </c>
      <c r="L145" s="51">
        <f>VLOOKUP($A145,'Data Vlaue (Cr)'!$C:$FB,62)*100</f>
        <v>-34.43</v>
      </c>
      <c r="M145" s="51">
        <f>VLOOKUP($A145,'Data Vlaue (Cr)'!$C:$FB,63)</f>
        <v>49</v>
      </c>
      <c r="N145" s="51">
        <f>VLOOKUP($A145,'Data Vlaue (Cr)'!$C:$FB,64)</f>
        <v>68</v>
      </c>
      <c r="O145" s="51">
        <f>VLOOKUP($A145,'Data Vlaue (Cr)'!$C:$FB,66)*100</f>
        <v>-28.33</v>
      </c>
    </row>
    <row r="146" spans="1:15" x14ac:dyDescent="0.25">
      <c r="A146" s="101" t="str">
        <f>'Data Vlaue (Cr)'!C141</f>
        <v>NATIONALUM</v>
      </c>
      <c r="B146" s="50">
        <f>VLOOKUP($A146,'Data Vlaue (Cr)'!$C:$FB,8)</f>
        <v>426.65</v>
      </c>
      <c r="C146" s="50">
        <f>VLOOKUP($A146,'Data Vlaue (Cr)'!$C:$FB,11)*100</f>
        <v>-2.76</v>
      </c>
      <c r="D146" s="50">
        <f>VLOOKUP($A146,'Data Vlaue (Cr)'!$C:$FB,143)</f>
        <v>3402.68</v>
      </c>
      <c r="E146" s="50">
        <f>VLOOKUP($A146,'Data Vlaue (Cr)'!$C:$FB,144)</f>
        <v>4935.96</v>
      </c>
      <c r="F146" s="50">
        <f>VLOOKUP($A146,'Data Vlaue (Cr)'!$C:$FB,146)*100</f>
        <v>-31.06</v>
      </c>
      <c r="G146" s="49">
        <f>VLOOKUP($A146,'Data Vlaue (Cr)'!$C:$FB,43)</f>
        <v>684</v>
      </c>
      <c r="H146" s="49">
        <f>VLOOKUP($A146,'Data Vlaue (Cr)'!$C:$FB,44)</f>
        <v>765</v>
      </c>
      <c r="I146" s="49">
        <f>VLOOKUP($A146,'Data Vlaue (Cr)'!$C:$FB,46)*100</f>
        <v>-10.58</v>
      </c>
      <c r="J146" s="51">
        <f>VLOOKUP($A146,'Data Vlaue (Cr)'!$C:$FB,59)</f>
        <v>1658</v>
      </c>
      <c r="K146" s="51">
        <f>VLOOKUP($A146,'Data Vlaue (Cr)'!$C:$FB,60)</f>
        <v>2593</v>
      </c>
      <c r="L146" s="51">
        <f>VLOOKUP($A146,'Data Vlaue (Cr)'!$C:$FB,62)*100</f>
        <v>-36.049999999999997</v>
      </c>
      <c r="M146" s="51">
        <f>VLOOKUP($A146,'Data Vlaue (Cr)'!$C:$FB,63)</f>
        <v>981</v>
      </c>
      <c r="N146" s="51">
        <f>VLOOKUP($A146,'Data Vlaue (Cr)'!$C:$FB,64)</f>
        <v>1416</v>
      </c>
      <c r="O146" s="51">
        <f>VLOOKUP($A146,'Data Vlaue (Cr)'!$C:$FB,66)*100</f>
        <v>-30.73</v>
      </c>
    </row>
    <row r="147" spans="1:15" x14ac:dyDescent="0.25">
      <c r="A147" s="101" t="str">
        <f>'Data Vlaue (Cr)'!C142</f>
        <v>NAUKRI</v>
      </c>
      <c r="B147" s="50">
        <f>VLOOKUP($A147,'Data Vlaue (Cr)'!$C:$FB,8)</f>
        <v>1067.9000000000001</v>
      </c>
      <c r="C147" s="50">
        <f>VLOOKUP($A147,'Data Vlaue (Cr)'!$C:$FB,11)*100</f>
        <v>1.27</v>
      </c>
      <c r="D147" s="50">
        <f>VLOOKUP($A147,'Data Vlaue (Cr)'!$C:$FB,143)</f>
        <v>1179.73</v>
      </c>
      <c r="E147" s="50">
        <f>VLOOKUP($A147,'Data Vlaue (Cr)'!$C:$FB,144)</f>
        <v>488.49</v>
      </c>
      <c r="F147" s="50">
        <f>VLOOKUP($A147,'Data Vlaue (Cr)'!$C:$FB,146)*100</f>
        <v>141.5</v>
      </c>
      <c r="G147" s="49">
        <f>VLOOKUP($A147,'Data Vlaue (Cr)'!$C:$FB,43)</f>
        <v>287</v>
      </c>
      <c r="H147" s="49">
        <f>VLOOKUP($A147,'Data Vlaue (Cr)'!$C:$FB,44)</f>
        <v>130</v>
      </c>
      <c r="I147" s="49">
        <f>VLOOKUP($A147,'Data Vlaue (Cr)'!$C:$FB,46)*100</f>
        <v>120.87</v>
      </c>
      <c r="J147" s="51">
        <f>VLOOKUP($A147,'Data Vlaue (Cr)'!$C:$FB,59)</f>
        <v>700</v>
      </c>
      <c r="K147" s="51">
        <f>VLOOKUP($A147,'Data Vlaue (Cr)'!$C:$FB,60)</f>
        <v>251</v>
      </c>
      <c r="L147" s="51">
        <f>VLOOKUP($A147,'Data Vlaue (Cr)'!$C:$FB,62)*100</f>
        <v>178.94</v>
      </c>
      <c r="M147" s="51">
        <f>VLOOKUP($A147,'Data Vlaue (Cr)'!$C:$FB,63)</f>
        <v>171</v>
      </c>
      <c r="N147" s="51">
        <f>VLOOKUP($A147,'Data Vlaue (Cr)'!$C:$FB,64)</f>
        <v>108</v>
      </c>
      <c r="O147" s="51">
        <f>VLOOKUP($A147,'Data Vlaue (Cr)'!$C:$FB,66)*100</f>
        <v>58.430000000000007</v>
      </c>
    </row>
    <row r="148" spans="1:15" x14ac:dyDescent="0.25">
      <c r="A148" s="101" t="str">
        <f>'Data Vlaue (Cr)'!C143</f>
        <v>NBCC</v>
      </c>
      <c r="B148" s="50">
        <f>VLOOKUP($A148,'Data Vlaue (Cr)'!$C:$FB,8)</f>
        <v>93.32</v>
      </c>
      <c r="C148" s="50">
        <f>VLOOKUP($A148,'Data Vlaue (Cr)'!$C:$FB,11)*100</f>
        <v>-1.06</v>
      </c>
      <c r="D148" s="50">
        <f>VLOOKUP($A148,'Data Vlaue (Cr)'!$C:$FB,143)</f>
        <v>314.88</v>
      </c>
      <c r="E148" s="50">
        <f>VLOOKUP($A148,'Data Vlaue (Cr)'!$C:$FB,144)</f>
        <v>451.88</v>
      </c>
      <c r="F148" s="50">
        <f>VLOOKUP($A148,'Data Vlaue (Cr)'!$C:$FB,146)*100</f>
        <v>-30.320000000000004</v>
      </c>
      <c r="G148" s="49">
        <f>VLOOKUP($A148,'Data Vlaue (Cr)'!$C:$FB,43)</f>
        <v>120</v>
      </c>
      <c r="H148" s="49">
        <f>VLOOKUP($A148,'Data Vlaue (Cr)'!$C:$FB,44)</f>
        <v>135</v>
      </c>
      <c r="I148" s="49">
        <f>VLOOKUP($A148,'Data Vlaue (Cr)'!$C:$FB,46)*100</f>
        <v>-11.28</v>
      </c>
      <c r="J148" s="51">
        <f>VLOOKUP($A148,'Data Vlaue (Cr)'!$C:$FB,59)</f>
        <v>120</v>
      </c>
      <c r="K148" s="51">
        <f>VLOOKUP($A148,'Data Vlaue (Cr)'!$C:$FB,60)</f>
        <v>217</v>
      </c>
      <c r="L148" s="51">
        <f>VLOOKUP($A148,'Data Vlaue (Cr)'!$C:$FB,62)*100</f>
        <v>-44.519999999999996</v>
      </c>
      <c r="M148" s="51">
        <f>VLOOKUP($A148,'Data Vlaue (Cr)'!$C:$FB,63)</f>
        <v>69</v>
      </c>
      <c r="N148" s="51">
        <f>VLOOKUP($A148,'Data Vlaue (Cr)'!$C:$FB,64)</f>
        <v>91</v>
      </c>
      <c r="O148" s="51">
        <f>VLOOKUP($A148,'Data Vlaue (Cr)'!$C:$FB,66)*100</f>
        <v>-24.23</v>
      </c>
    </row>
    <row r="149" spans="1:15" x14ac:dyDescent="0.25">
      <c r="A149" s="101" t="str">
        <f>'Data Vlaue (Cr)'!C144</f>
        <v>NESTLEIND</v>
      </c>
      <c r="B149" s="50">
        <f>VLOOKUP($A149,'Data Vlaue (Cr)'!$C:$FB,8)</f>
        <v>1286.4000000000001</v>
      </c>
      <c r="C149" s="50">
        <f>VLOOKUP($A149,'Data Vlaue (Cr)'!$C:$FB,11)*100</f>
        <v>0.06</v>
      </c>
      <c r="D149" s="50">
        <f>VLOOKUP($A149,'Data Vlaue (Cr)'!$C:$FB,143)</f>
        <v>1718.42</v>
      </c>
      <c r="E149" s="50">
        <f>VLOOKUP($A149,'Data Vlaue (Cr)'!$C:$FB,144)</f>
        <v>1913.02</v>
      </c>
      <c r="F149" s="50">
        <f>VLOOKUP($A149,'Data Vlaue (Cr)'!$C:$FB,146)*100</f>
        <v>-10.17</v>
      </c>
      <c r="G149" s="49">
        <f>VLOOKUP($A149,'Data Vlaue (Cr)'!$C:$FB,43)</f>
        <v>339</v>
      </c>
      <c r="H149" s="49">
        <f>VLOOKUP($A149,'Data Vlaue (Cr)'!$C:$FB,44)</f>
        <v>260</v>
      </c>
      <c r="I149" s="49">
        <f>VLOOKUP($A149,'Data Vlaue (Cr)'!$C:$FB,46)*100</f>
        <v>30.59</v>
      </c>
      <c r="J149" s="51">
        <f>VLOOKUP($A149,'Data Vlaue (Cr)'!$C:$FB,59)</f>
        <v>1016</v>
      </c>
      <c r="K149" s="51">
        <f>VLOOKUP($A149,'Data Vlaue (Cr)'!$C:$FB,60)</f>
        <v>1283</v>
      </c>
      <c r="L149" s="51">
        <f>VLOOKUP($A149,'Data Vlaue (Cr)'!$C:$FB,62)*100</f>
        <v>-20.84</v>
      </c>
      <c r="M149" s="51">
        <f>VLOOKUP($A149,'Data Vlaue (Cr)'!$C:$FB,63)</f>
        <v>333</v>
      </c>
      <c r="N149" s="51">
        <f>VLOOKUP($A149,'Data Vlaue (Cr)'!$C:$FB,64)</f>
        <v>335</v>
      </c>
      <c r="O149" s="51">
        <f>VLOOKUP($A149,'Data Vlaue (Cr)'!$C:$FB,66)*100</f>
        <v>-0.6</v>
      </c>
    </row>
    <row r="150" spans="1:15" x14ac:dyDescent="0.25">
      <c r="A150" s="101" t="str">
        <f>'Data Vlaue (Cr)'!C145</f>
        <v>NHPC</v>
      </c>
      <c r="B150" s="50">
        <f>VLOOKUP($A150,'Data Vlaue (Cr)'!$C:$FB,8)</f>
        <v>83.1</v>
      </c>
      <c r="C150" s="50">
        <f>VLOOKUP($A150,'Data Vlaue (Cr)'!$C:$FB,11)*100</f>
        <v>-0.54999999999999993</v>
      </c>
      <c r="D150" s="50">
        <f>VLOOKUP($A150,'Data Vlaue (Cr)'!$C:$FB,143)</f>
        <v>642.94000000000005</v>
      </c>
      <c r="E150" s="50">
        <f>VLOOKUP($A150,'Data Vlaue (Cr)'!$C:$FB,144)</f>
        <v>1083.8800000000001</v>
      </c>
      <c r="F150" s="50">
        <f>VLOOKUP($A150,'Data Vlaue (Cr)'!$C:$FB,146)*100</f>
        <v>-40.68</v>
      </c>
      <c r="G150" s="49">
        <f>VLOOKUP($A150,'Data Vlaue (Cr)'!$C:$FB,43)</f>
        <v>168</v>
      </c>
      <c r="H150" s="49">
        <f>VLOOKUP($A150,'Data Vlaue (Cr)'!$C:$FB,44)</f>
        <v>357</v>
      </c>
      <c r="I150" s="49">
        <f>VLOOKUP($A150,'Data Vlaue (Cr)'!$C:$FB,46)*100</f>
        <v>-52.94</v>
      </c>
      <c r="J150" s="51">
        <f>VLOOKUP($A150,'Data Vlaue (Cr)'!$C:$FB,59)</f>
        <v>313</v>
      </c>
      <c r="K150" s="51">
        <f>VLOOKUP($A150,'Data Vlaue (Cr)'!$C:$FB,60)</f>
        <v>502</v>
      </c>
      <c r="L150" s="51">
        <f>VLOOKUP($A150,'Data Vlaue (Cr)'!$C:$FB,62)*100</f>
        <v>-37.65</v>
      </c>
      <c r="M150" s="51">
        <f>VLOOKUP($A150,'Data Vlaue (Cr)'!$C:$FB,63)</f>
        <v>153</v>
      </c>
      <c r="N150" s="51">
        <f>VLOOKUP($A150,'Data Vlaue (Cr)'!$C:$FB,64)</f>
        <v>215</v>
      </c>
      <c r="O150" s="51">
        <f>VLOOKUP($A150,'Data Vlaue (Cr)'!$C:$FB,66)*100</f>
        <v>-28.93</v>
      </c>
    </row>
    <row r="151" spans="1:15" x14ac:dyDescent="0.25">
      <c r="A151" s="101" t="str">
        <f>'Data Vlaue (Cr)'!C146</f>
        <v>NIFTY</v>
      </c>
      <c r="B151" s="50">
        <f>VLOOKUP($A151,'Data Vlaue (Cr)'!$C:$FB,8)</f>
        <v>24364.85</v>
      </c>
      <c r="C151" s="50">
        <f>VLOOKUP($A151,'Data Vlaue (Cr)'!$C:$FB,11)*100</f>
        <v>0.05</v>
      </c>
      <c r="D151" s="50">
        <f>VLOOKUP($A151,'Data Vlaue (Cr)'!$C:$FB,143)</f>
        <v>18840564.510000002</v>
      </c>
      <c r="E151" s="50">
        <f>VLOOKUP($A151,'Data Vlaue (Cr)'!$C:$FB,144)</f>
        <v>11015337.859999999</v>
      </c>
      <c r="F151" s="50">
        <f>VLOOKUP($A151,'Data Vlaue (Cr)'!$C:$FB,146)*100</f>
        <v>71.040000000000006</v>
      </c>
      <c r="G151" s="49">
        <f>VLOOKUP($A151,'Data Vlaue (Cr)'!$C:$FB,43)</f>
        <v>13476</v>
      </c>
      <c r="H151" s="49">
        <f>VLOOKUP($A151,'Data Vlaue (Cr)'!$C:$FB,44)</f>
        <v>9914</v>
      </c>
      <c r="I151" s="49">
        <f>VLOOKUP($A151,'Data Vlaue (Cr)'!$C:$FB,46)*100</f>
        <v>35.93</v>
      </c>
      <c r="J151" s="51">
        <f>VLOOKUP($A151,'Data Vlaue (Cr)'!$C:$FB,59)</f>
        <v>9802691</v>
      </c>
      <c r="K151" s="51">
        <f>VLOOKUP($A151,'Data Vlaue (Cr)'!$C:$FB,60)</f>
        <v>5984386</v>
      </c>
      <c r="L151" s="51">
        <f>VLOOKUP($A151,'Data Vlaue (Cr)'!$C:$FB,62)*100</f>
        <v>63.800000000000004</v>
      </c>
      <c r="M151" s="51">
        <f>VLOOKUP($A151,'Data Vlaue (Cr)'!$C:$FB,63)</f>
        <v>8940103</v>
      </c>
      <c r="N151" s="51">
        <f>VLOOKUP($A151,'Data Vlaue (Cr)'!$C:$FB,64)</f>
        <v>5030718</v>
      </c>
      <c r="O151" s="51">
        <f>VLOOKUP($A151,'Data Vlaue (Cr)'!$C:$FB,66)*100</f>
        <v>77.710000000000008</v>
      </c>
    </row>
    <row r="152" spans="1:15" x14ac:dyDescent="0.25">
      <c r="A152" s="101" t="str">
        <f>'Data Vlaue (Cr)'!C147</f>
        <v>NIFTYNXT50</v>
      </c>
      <c r="B152" s="50">
        <f>VLOOKUP($A152,'Data Vlaue (Cr)'!$C:$FB,8)</f>
        <v>70341</v>
      </c>
      <c r="C152" s="50">
        <f>VLOOKUP($A152,'Data Vlaue (Cr)'!$C:$FB,11)*100</f>
        <v>0.1</v>
      </c>
      <c r="D152" s="50">
        <f>VLOOKUP($A152,'Data Vlaue (Cr)'!$C:$FB,143)</f>
        <v>195.23</v>
      </c>
      <c r="E152" s="50">
        <f>VLOOKUP($A152,'Data Vlaue (Cr)'!$C:$FB,144)</f>
        <v>225.84</v>
      </c>
      <c r="F152" s="50">
        <f>VLOOKUP($A152,'Data Vlaue (Cr)'!$C:$FB,146)*100</f>
        <v>-13.55</v>
      </c>
      <c r="G152" s="49">
        <f>VLOOKUP($A152,'Data Vlaue (Cr)'!$C:$FB,43)</f>
        <v>71</v>
      </c>
      <c r="H152" s="49">
        <f>VLOOKUP($A152,'Data Vlaue (Cr)'!$C:$FB,44)</f>
        <v>54</v>
      </c>
      <c r="I152" s="49">
        <f>VLOOKUP($A152,'Data Vlaue (Cr)'!$C:$FB,46)*100</f>
        <v>32.14</v>
      </c>
      <c r="J152" s="51">
        <f>VLOOKUP($A152,'Data Vlaue (Cr)'!$C:$FB,59)</f>
        <v>99</v>
      </c>
      <c r="K152" s="51">
        <f>VLOOKUP($A152,'Data Vlaue (Cr)'!$C:$FB,60)</f>
        <v>141</v>
      </c>
      <c r="L152" s="51">
        <f>VLOOKUP($A152,'Data Vlaue (Cr)'!$C:$FB,62)*100</f>
        <v>-30.06</v>
      </c>
      <c r="M152" s="51">
        <f>VLOOKUP($A152,'Data Vlaue (Cr)'!$C:$FB,63)</f>
        <v>24</v>
      </c>
      <c r="N152" s="51">
        <f>VLOOKUP($A152,'Data Vlaue (Cr)'!$C:$FB,64)</f>
        <v>30</v>
      </c>
      <c r="O152" s="51">
        <f>VLOOKUP($A152,'Data Vlaue (Cr)'!$C:$FB,66)*100</f>
        <v>-19.77</v>
      </c>
    </row>
    <row r="153" spans="1:15" x14ac:dyDescent="0.25">
      <c r="A153" s="101" t="str">
        <f>'Data Vlaue (Cr)'!C148</f>
        <v>NMDC</v>
      </c>
      <c r="B153" s="50">
        <f>VLOOKUP($A153,'Data Vlaue (Cr)'!$C:$FB,8)</f>
        <v>88.9</v>
      </c>
      <c r="C153" s="50">
        <f>VLOOKUP($A153,'Data Vlaue (Cr)'!$C:$FB,11)*100</f>
        <v>-0.98</v>
      </c>
      <c r="D153" s="50">
        <f>VLOOKUP($A153,'Data Vlaue (Cr)'!$C:$FB,143)</f>
        <v>1256.5999999999999</v>
      </c>
      <c r="E153" s="50">
        <f>VLOOKUP($A153,'Data Vlaue (Cr)'!$C:$FB,144)</f>
        <v>2496.6799999999998</v>
      </c>
      <c r="F153" s="50">
        <f>VLOOKUP($A153,'Data Vlaue (Cr)'!$C:$FB,146)*100</f>
        <v>-49.669999999999995</v>
      </c>
      <c r="G153" s="49">
        <f>VLOOKUP($A153,'Data Vlaue (Cr)'!$C:$FB,43)</f>
        <v>337</v>
      </c>
      <c r="H153" s="49">
        <f>VLOOKUP($A153,'Data Vlaue (Cr)'!$C:$FB,44)</f>
        <v>450</v>
      </c>
      <c r="I153" s="49">
        <f>VLOOKUP($A153,'Data Vlaue (Cr)'!$C:$FB,46)*100</f>
        <v>-25.2</v>
      </c>
      <c r="J153" s="51">
        <f>VLOOKUP($A153,'Data Vlaue (Cr)'!$C:$FB,59)</f>
        <v>612</v>
      </c>
      <c r="K153" s="51">
        <f>VLOOKUP($A153,'Data Vlaue (Cr)'!$C:$FB,60)</f>
        <v>1483</v>
      </c>
      <c r="L153" s="51">
        <f>VLOOKUP($A153,'Data Vlaue (Cr)'!$C:$FB,62)*100</f>
        <v>-58.730000000000004</v>
      </c>
      <c r="M153" s="51">
        <f>VLOOKUP($A153,'Data Vlaue (Cr)'!$C:$FB,63)</f>
        <v>281</v>
      </c>
      <c r="N153" s="51">
        <f>VLOOKUP($A153,'Data Vlaue (Cr)'!$C:$FB,64)</f>
        <v>509</v>
      </c>
      <c r="O153" s="51">
        <f>VLOOKUP($A153,'Data Vlaue (Cr)'!$C:$FB,66)*100</f>
        <v>-44.76</v>
      </c>
    </row>
    <row r="154" spans="1:15" x14ac:dyDescent="0.25">
      <c r="A154" s="101" t="str">
        <f>'Data Vlaue (Cr)'!C149</f>
        <v>NTPC</v>
      </c>
      <c r="B154" s="50">
        <f>VLOOKUP($A154,'Data Vlaue (Cr)'!$C:$FB,8)</f>
        <v>398</v>
      </c>
      <c r="C154" s="50">
        <f>VLOOKUP($A154,'Data Vlaue (Cr)'!$C:$FB,11)*100</f>
        <v>1.1199999999999999</v>
      </c>
      <c r="D154" s="50">
        <f>VLOOKUP($A154,'Data Vlaue (Cr)'!$C:$FB,143)</f>
        <v>7256.88</v>
      </c>
      <c r="E154" s="50">
        <f>VLOOKUP($A154,'Data Vlaue (Cr)'!$C:$FB,144)</f>
        <v>5800.16</v>
      </c>
      <c r="F154" s="50">
        <f>VLOOKUP($A154,'Data Vlaue (Cr)'!$C:$FB,146)*100</f>
        <v>25.119999999999997</v>
      </c>
      <c r="G154" s="49">
        <f>VLOOKUP($A154,'Data Vlaue (Cr)'!$C:$FB,43)</f>
        <v>846</v>
      </c>
      <c r="H154" s="49">
        <f>VLOOKUP($A154,'Data Vlaue (Cr)'!$C:$FB,44)</f>
        <v>819</v>
      </c>
      <c r="I154" s="49">
        <f>VLOOKUP($A154,'Data Vlaue (Cr)'!$C:$FB,46)*100</f>
        <v>3.2399999999999998</v>
      </c>
      <c r="J154" s="51">
        <f>VLOOKUP($A154,'Data Vlaue (Cr)'!$C:$FB,59)</f>
        <v>4361</v>
      </c>
      <c r="K154" s="51">
        <f>VLOOKUP($A154,'Data Vlaue (Cr)'!$C:$FB,60)</f>
        <v>3385</v>
      </c>
      <c r="L154" s="51">
        <f>VLOOKUP($A154,'Data Vlaue (Cr)'!$C:$FB,62)*100</f>
        <v>28.83</v>
      </c>
      <c r="M154" s="51">
        <f>VLOOKUP($A154,'Data Vlaue (Cr)'!$C:$FB,63)</f>
        <v>1982</v>
      </c>
      <c r="N154" s="51">
        <f>VLOOKUP($A154,'Data Vlaue (Cr)'!$C:$FB,64)</f>
        <v>1601</v>
      </c>
      <c r="O154" s="51">
        <f>VLOOKUP($A154,'Data Vlaue (Cr)'!$C:$FB,66)*100</f>
        <v>23.77</v>
      </c>
    </row>
    <row r="155" spans="1:15" x14ac:dyDescent="0.25">
      <c r="A155" s="101" t="str">
        <f>'Data Vlaue (Cr)'!C150</f>
        <v>NUVAMA</v>
      </c>
      <c r="B155" s="50">
        <f>VLOOKUP($A155,'Data Vlaue (Cr)'!$C:$FB,8)</f>
        <v>1379.1</v>
      </c>
      <c r="C155" s="50">
        <f>VLOOKUP($A155,'Data Vlaue (Cr)'!$C:$FB,11)*100</f>
        <v>-1.54</v>
      </c>
      <c r="D155" s="50">
        <f>VLOOKUP($A155,'Data Vlaue (Cr)'!$C:$FB,143)</f>
        <v>456.96</v>
      </c>
      <c r="E155" s="50">
        <f>VLOOKUP($A155,'Data Vlaue (Cr)'!$C:$FB,144)</f>
        <v>351.33</v>
      </c>
      <c r="F155" s="50">
        <f>VLOOKUP($A155,'Data Vlaue (Cr)'!$C:$FB,146)*100</f>
        <v>30.070000000000004</v>
      </c>
      <c r="G155" s="49">
        <f>VLOOKUP($A155,'Data Vlaue (Cr)'!$C:$FB,43)</f>
        <v>57</v>
      </c>
      <c r="H155" s="49">
        <f>VLOOKUP($A155,'Data Vlaue (Cr)'!$C:$FB,44)</f>
        <v>94</v>
      </c>
      <c r="I155" s="49">
        <f>VLOOKUP($A155,'Data Vlaue (Cr)'!$C:$FB,46)*100</f>
        <v>-39.340000000000003</v>
      </c>
      <c r="J155" s="51">
        <f>VLOOKUP($A155,'Data Vlaue (Cr)'!$C:$FB,59)</f>
        <v>170</v>
      </c>
      <c r="K155" s="51">
        <f>VLOOKUP($A155,'Data Vlaue (Cr)'!$C:$FB,60)</f>
        <v>194</v>
      </c>
      <c r="L155" s="51">
        <f>VLOOKUP($A155,'Data Vlaue (Cr)'!$C:$FB,62)*100</f>
        <v>-12.21</v>
      </c>
      <c r="M155" s="51">
        <f>VLOOKUP($A155,'Data Vlaue (Cr)'!$C:$FB,63)</f>
        <v>256</v>
      </c>
      <c r="N155" s="51">
        <f>VLOOKUP($A155,'Data Vlaue (Cr)'!$C:$FB,64)</f>
        <v>57</v>
      </c>
      <c r="O155" s="51">
        <f>VLOOKUP($A155,'Data Vlaue (Cr)'!$C:$FB,66)*100</f>
        <v>351.15</v>
      </c>
    </row>
    <row r="156" spans="1:15" x14ac:dyDescent="0.25">
      <c r="A156" s="101" t="str">
        <f>'Data Vlaue (Cr)'!C151</f>
        <v>NYKAA</v>
      </c>
      <c r="B156" s="50">
        <f>VLOOKUP($A156,'Data Vlaue (Cr)'!$C:$FB,8)</f>
        <v>264.55</v>
      </c>
      <c r="C156" s="50">
        <f>VLOOKUP($A156,'Data Vlaue (Cr)'!$C:$FB,11)*100</f>
        <v>-1.8900000000000001</v>
      </c>
      <c r="D156" s="50">
        <f>VLOOKUP($A156,'Data Vlaue (Cr)'!$C:$FB,143)</f>
        <v>534.47</v>
      </c>
      <c r="E156" s="50">
        <f>VLOOKUP($A156,'Data Vlaue (Cr)'!$C:$FB,144)</f>
        <v>594.09</v>
      </c>
      <c r="F156" s="50">
        <f>VLOOKUP($A156,'Data Vlaue (Cr)'!$C:$FB,146)*100</f>
        <v>-10.029999999999999</v>
      </c>
      <c r="G156" s="49">
        <f>VLOOKUP($A156,'Data Vlaue (Cr)'!$C:$FB,43)</f>
        <v>119</v>
      </c>
      <c r="H156" s="49">
        <f>VLOOKUP($A156,'Data Vlaue (Cr)'!$C:$FB,44)</f>
        <v>126</v>
      </c>
      <c r="I156" s="49">
        <f>VLOOKUP($A156,'Data Vlaue (Cr)'!$C:$FB,46)*100</f>
        <v>-5.91</v>
      </c>
      <c r="J156" s="51">
        <f>VLOOKUP($A156,'Data Vlaue (Cr)'!$C:$FB,59)</f>
        <v>299</v>
      </c>
      <c r="K156" s="51">
        <f>VLOOKUP($A156,'Data Vlaue (Cr)'!$C:$FB,60)</f>
        <v>332</v>
      </c>
      <c r="L156" s="51">
        <f>VLOOKUP($A156,'Data Vlaue (Cr)'!$C:$FB,62)*100</f>
        <v>-9.7900000000000009</v>
      </c>
      <c r="M156" s="51">
        <f>VLOOKUP($A156,'Data Vlaue (Cr)'!$C:$FB,63)</f>
        <v>102</v>
      </c>
      <c r="N156" s="51">
        <f>VLOOKUP($A156,'Data Vlaue (Cr)'!$C:$FB,64)</f>
        <v>124</v>
      </c>
      <c r="O156" s="51">
        <f>VLOOKUP($A156,'Data Vlaue (Cr)'!$C:$FB,66)*100</f>
        <v>-17.549999999999997</v>
      </c>
    </row>
    <row r="157" spans="1:15" x14ac:dyDescent="0.25">
      <c r="A157" s="101" t="str">
        <f>'Data Vlaue (Cr)'!C152</f>
        <v>OBEROIRLTY</v>
      </c>
      <c r="B157" s="50">
        <f>VLOOKUP($A157,'Data Vlaue (Cr)'!$C:$FB,8)</f>
        <v>1694.9</v>
      </c>
      <c r="C157" s="50">
        <f>VLOOKUP($A157,'Data Vlaue (Cr)'!$C:$FB,11)*100</f>
        <v>-0.91999999999999993</v>
      </c>
      <c r="D157" s="50">
        <f>VLOOKUP($A157,'Data Vlaue (Cr)'!$C:$FB,143)</f>
        <v>276.43</v>
      </c>
      <c r="E157" s="50">
        <f>VLOOKUP($A157,'Data Vlaue (Cr)'!$C:$FB,144)</f>
        <v>285.07</v>
      </c>
      <c r="F157" s="50">
        <f>VLOOKUP($A157,'Data Vlaue (Cr)'!$C:$FB,146)*100</f>
        <v>-3.0300000000000002</v>
      </c>
      <c r="G157" s="49">
        <f>VLOOKUP($A157,'Data Vlaue (Cr)'!$C:$FB,43)</f>
        <v>125</v>
      </c>
      <c r="H157" s="49">
        <f>VLOOKUP($A157,'Data Vlaue (Cr)'!$C:$FB,44)</f>
        <v>125</v>
      </c>
      <c r="I157" s="49">
        <f>VLOOKUP($A157,'Data Vlaue (Cr)'!$C:$FB,46)*100</f>
        <v>-0.33</v>
      </c>
      <c r="J157" s="51">
        <f>VLOOKUP($A157,'Data Vlaue (Cr)'!$C:$FB,59)</f>
        <v>68</v>
      </c>
      <c r="K157" s="51">
        <f>VLOOKUP($A157,'Data Vlaue (Cr)'!$C:$FB,60)</f>
        <v>86</v>
      </c>
      <c r="L157" s="51">
        <f>VLOOKUP($A157,'Data Vlaue (Cr)'!$C:$FB,62)*100</f>
        <v>-21.37</v>
      </c>
      <c r="M157" s="51">
        <f>VLOOKUP($A157,'Data Vlaue (Cr)'!$C:$FB,63)</f>
        <v>84</v>
      </c>
      <c r="N157" s="51">
        <f>VLOOKUP($A157,'Data Vlaue (Cr)'!$C:$FB,64)</f>
        <v>71</v>
      </c>
      <c r="O157" s="51">
        <f>VLOOKUP($A157,'Data Vlaue (Cr)'!$C:$FB,66)*100</f>
        <v>18.93</v>
      </c>
    </row>
    <row r="158" spans="1:15" x14ac:dyDescent="0.25">
      <c r="A158" s="101" t="str">
        <f>'Data Vlaue (Cr)'!C153</f>
        <v>OFSS</v>
      </c>
      <c r="B158" s="50">
        <f>VLOOKUP($A158,'Data Vlaue (Cr)'!$C:$FB,8)</f>
        <v>8082.5</v>
      </c>
      <c r="C158" s="50">
        <f>VLOOKUP($A158,'Data Vlaue (Cr)'!$C:$FB,11)*100</f>
        <v>1.1299999999999999</v>
      </c>
      <c r="D158" s="50">
        <f>VLOOKUP($A158,'Data Vlaue (Cr)'!$C:$FB,143)</f>
        <v>2094.0700000000002</v>
      </c>
      <c r="E158" s="50">
        <f>VLOOKUP($A158,'Data Vlaue (Cr)'!$C:$FB,144)</f>
        <v>2335.7800000000002</v>
      </c>
      <c r="F158" s="50">
        <f>VLOOKUP($A158,'Data Vlaue (Cr)'!$C:$FB,146)*100</f>
        <v>-10.35</v>
      </c>
      <c r="G158" s="49">
        <f>VLOOKUP($A158,'Data Vlaue (Cr)'!$C:$FB,43)</f>
        <v>398</v>
      </c>
      <c r="H158" s="49">
        <f>VLOOKUP($A158,'Data Vlaue (Cr)'!$C:$FB,44)</f>
        <v>212</v>
      </c>
      <c r="I158" s="49">
        <f>VLOOKUP($A158,'Data Vlaue (Cr)'!$C:$FB,46)*100</f>
        <v>87.58</v>
      </c>
      <c r="J158" s="51">
        <f>VLOOKUP($A158,'Data Vlaue (Cr)'!$C:$FB,59)</f>
        <v>1050</v>
      </c>
      <c r="K158" s="51">
        <f>VLOOKUP($A158,'Data Vlaue (Cr)'!$C:$FB,60)</f>
        <v>1201</v>
      </c>
      <c r="L158" s="51">
        <f>VLOOKUP($A158,'Data Vlaue (Cr)'!$C:$FB,62)*100</f>
        <v>-12.540000000000001</v>
      </c>
      <c r="M158" s="51">
        <f>VLOOKUP($A158,'Data Vlaue (Cr)'!$C:$FB,63)</f>
        <v>647</v>
      </c>
      <c r="N158" s="51">
        <f>VLOOKUP($A158,'Data Vlaue (Cr)'!$C:$FB,64)</f>
        <v>1009</v>
      </c>
      <c r="O158" s="51">
        <f>VLOOKUP($A158,'Data Vlaue (Cr)'!$C:$FB,66)*100</f>
        <v>-35.89</v>
      </c>
    </row>
    <row r="159" spans="1:15" x14ac:dyDescent="0.25">
      <c r="A159" s="101" t="str">
        <f>'Data Vlaue (Cr)'!C154</f>
        <v>OIL</v>
      </c>
      <c r="B159" s="50">
        <f>VLOOKUP($A159,'Data Vlaue (Cr)'!$C:$FB,8)</f>
        <v>471.7</v>
      </c>
      <c r="C159" s="50">
        <f>VLOOKUP($A159,'Data Vlaue (Cr)'!$C:$FB,11)*100</f>
        <v>0.33999999999999997</v>
      </c>
      <c r="D159" s="50">
        <f>VLOOKUP($A159,'Data Vlaue (Cr)'!$C:$FB,143)</f>
        <v>767.78</v>
      </c>
      <c r="E159" s="50">
        <f>VLOOKUP($A159,'Data Vlaue (Cr)'!$C:$FB,144)</f>
        <v>747.84</v>
      </c>
      <c r="F159" s="50">
        <f>VLOOKUP($A159,'Data Vlaue (Cr)'!$C:$FB,146)*100</f>
        <v>2.67</v>
      </c>
      <c r="G159" s="49">
        <f>VLOOKUP($A159,'Data Vlaue (Cr)'!$C:$FB,43)</f>
        <v>172</v>
      </c>
      <c r="H159" s="49">
        <f>VLOOKUP($A159,'Data Vlaue (Cr)'!$C:$FB,44)</f>
        <v>133</v>
      </c>
      <c r="I159" s="49">
        <f>VLOOKUP($A159,'Data Vlaue (Cr)'!$C:$FB,46)*100</f>
        <v>28.83</v>
      </c>
      <c r="J159" s="51">
        <f>VLOOKUP($A159,'Data Vlaue (Cr)'!$C:$FB,59)</f>
        <v>444</v>
      </c>
      <c r="K159" s="51">
        <f>VLOOKUP($A159,'Data Vlaue (Cr)'!$C:$FB,60)</f>
        <v>454</v>
      </c>
      <c r="L159" s="51">
        <f>VLOOKUP($A159,'Data Vlaue (Cr)'!$C:$FB,62)*100</f>
        <v>-2.1399999999999997</v>
      </c>
      <c r="M159" s="51">
        <f>VLOOKUP($A159,'Data Vlaue (Cr)'!$C:$FB,63)</f>
        <v>133</v>
      </c>
      <c r="N159" s="51">
        <f>VLOOKUP($A159,'Data Vlaue (Cr)'!$C:$FB,64)</f>
        <v>147</v>
      </c>
      <c r="O159" s="51">
        <f>VLOOKUP($A159,'Data Vlaue (Cr)'!$C:$FB,66)*100</f>
        <v>-9.82</v>
      </c>
    </row>
    <row r="160" spans="1:15" x14ac:dyDescent="0.25">
      <c r="A160" s="101" t="str">
        <f>'Data Vlaue (Cr)'!C155</f>
        <v>ONGC</v>
      </c>
      <c r="B160" s="50">
        <f>VLOOKUP($A160,'Data Vlaue (Cr)'!$C:$FB,8)</f>
        <v>283.35000000000002</v>
      </c>
      <c r="C160" s="50">
        <f>VLOOKUP($A160,'Data Vlaue (Cr)'!$C:$FB,11)*100</f>
        <v>-0.25</v>
      </c>
      <c r="D160" s="50">
        <f>VLOOKUP($A160,'Data Vlaue (Cr)'!$C:$FB,143)</f>
        <v>2717.22</v>
      </c>
      <c r="E160" s="50">
        <f>VLOOKUP($A160,'Data Vlaue (Cr)'!$C:$FB,144)</f>
        <v>2745.7</v>
      </c>
      <c r="F160" s="50">
        <f>VLOOKUP($A160,'Data Vlaue (Cr)'!$C:$FB,146)*100</f>
        <v>-1.04</v>
      </c>
      <c r="G160" s="49">
        <f>VLOOKUP($A160,'Data Vlaue (Cr)'!$C:$FB,43)</f>
        <v>289</v>
      </c>
      <c r="H160" s="49">
        <f>VLOOKUP($A160,'Data Vlaue (Cr)'!$C:$FB,44)</f>
        <v>383</v>
      </c>
      <c r="I160" s="49">
        <f>VLOOKUP($A160,'Data Vlaue (Cr)'!$C:$FB,46)*100</f>
        <v>-24.47</v>
      </c>
      <c r="J160" s="51">
        <f>VLOOKUP($A160,'Data Vlaue (Cr)'!$C:$FB,59)</f>
        <v>1770</v>
      </c>
      <c r="K160" s="51">
        <f>VLOOKUP($A160,'Data Vlaue (Cr)'!$C:$FB,60)</f>
        <v>1595</v>
      </c>
      <c r="L160" s="51">
        <f>VLOOKUP($A160,'Data Vlaue (Cr)'!$C:$FB,62)*100</f>
        <v>10.97</v>
      </c>
      <c r="M160" s="51">
        <f>VLOOKUP($A160,'Data Vlaue (Cr)'!$C:$FB,63)</f>
        <v>584</v>
      </c>
      <c r="N160" s="51">
        <f>VLOOKUP($A160,'Data Vlaue (Cr)'!$C:$FB,64)</f>
        <v>709</v>
      </c>
      <c r="O160" s="51">
        <f>VLOOKUP($A160,'Data Vlaue (Cr)'!$C:$FB,66)*100</f>
        <v>-17.630000000000003</v>
      </c>
    </row>
    <row r="161" spans="1:15" x14ac:dyDescent="0.25">
      <c r="A161" s="101" t="str">
        <f>'Data Vlaue (Cr)'!C156</f>
        <v>PAGEIND</v>
      </c>
      <c r="B161" s="50">
        <f>VLOOKUP($A161,'Data Vlaue (Cr)'!$C:$FB,8)</f>
        <v>38405</v>
      </c>
      <c r="C161" s="50">
        <f>VLOOKUP($A161,'Data Vlaue (Cr)'!$C:$FB,11)*100</f>
        <v>1.1299999999999999</v>
      </c>
      <c r="D161" s="50">
        <f>VLOOKUP($A161,'Data Vlaue (Cr)'!$C:$FB,143)</f>
        <v>903.23</v>
      </c>
      <c r="E161" s="50">
        <f>VLOOKUP($A161,'Data Vlaue (Cr)'!$C:$FB,144)</f>
        <v>1342.02</v>
      </c>
      <c r="F161" s="50">
        <f>VLOOKUP($A161,'Data Vlaue (Cr)'!$C:$FB,146)*100</f>
        <v>-32.700000000000003</v>
      </c>
      <c r="G161" s="49">
        <f>VLOOKUP($A161,'Data Vlaue (Cr)'!$C:$FB,43)</f>
        <v>209</v>
      </c>
      <c r="H161" s="49">
        <f>VLOOKUP($A161,'Data Vlaue (Cr)'!$C:$FB,44)</f>
        <v>314</v>
      </c>
      <c r="I161" s="49">
        <f>VLOOKUP($A161,'Data Vlaue (Cr)'!$C:$FB,46)*100</f>
        <v>-33.489999999999995</v>
      </c>
      <c r="J161" s="51">
        <f>VLOOKUP($A161,'Data Vlaue (Cr)'!$C:$FB,59)</f>
        <v>263</v>
      </c>
      <c r="K161" s="51">
        <f>VLOOKUP($A161,'Data Vlaue (Cr)'!$C:$FB,60)</f>
        <v>647</v>
      </c>
      <c r="L161" s="51">
        <f>VLOOKUP($A161,'Data Vlaue (Cr)'!$C:$FB,62)*100</f>
        <v>-59.36</v>
      </c>
      <c r="M161" s="51">
        <f>VLOOKUP($A161,'Data Vlaue (Cr)'!$C:$FB,63)</f>
        <v>487</v>
      </c>
      <c r="N161" s="51">
        <f>VLOOKUP($A161,'Data Vlaue (Cr)'!$C:$FB,64)</f>
        <v>394</v>
      </c>
      <c r="O161" s="51">
        <f>VLOOKUP($A161,'Data Vlaue (Cr)'!$C:$FB,66)*100</f>
        <v>23.57</v>
      </c>
    </row>
    <row r="162" spans="1:15" x14ac:dyDescent="0.25">
      <c r="A162" s="101" t="str">
        <f>'Data Vlaue (Cr)'!C157</f>
        <v>PATANJALI</v>
      </c>
      <c r="B162" s="50">
        <f>VLOOKUP($A162,'Data Vlaue (Cr)'!$C:$FB,8)</f>
        <v>459.65</v>
      </c>
      <c r="C162" s="50">
        <f>VLOOKUP($A162,'Data Vlaue (Cr)'!$C:$FB,11)*100</f>
        <v>-1.8499999999999999</v>
      </c>
      <c r="D162" s="50">
        <f>VLOOKUP($A162,'Data Vlaue (Cr)'!$C:$FB,143)</f>
        <v>461.73</v>
      </c>
      <c r="E162" s="50">
        <f>VLOOKUP($A162,'Data Vlaue (Cr)'!$C:$FB,144)</f>
        <v>997.32</v>
      </c>
      <c r="F162" s="50">
        <f>VLOOKUP($A162,'Data Vlaue (Cr)'!$C:$FB,146)*100</f>
        <v>-53.7</v>
      </c>
      <c r="G162" s="49">
        <f>VLOOKUP($A162,'Data Vlaue (Cr)'!$C:$FB,43)</f>
        <v>163</v>
      </c>
      <c r="H162" s="49">
        <f>VLOOKUP($A162,'Data Vlaue (Cr)'!$C:$FB,44)</f>
        <v>252</v>
      </c>
      <c r="I162" s="49">
        <f>VLOOKUP($A162,'Data Vlaue (Cr)'!$C:$FB,46)*100</f>
        <v>-35.11</v>
      </c>
      <c r="J162" s="51">
        <f>VLOOKUP($A162,'Data Vlaue (Cr)'!$C:$FB,59)</f>
        <v>214</v>
      </c>
      <c r="K162" s="51">
        <f>VLOOKUP($A162,'Data Vlaue (Cr)'!$C:$FB,60)</f>
        <v>573</v>
      </c>
      <c r="L162" s="51">
        <f>VLOOKUP($A162,'Data Vlaue (Cr)'!$C:$FB,62)*100</f>
        <v>-62.77</v>
      </c>
      <c r="M162" s="51">
        <f>VLOOKUP($A162,'Data Vlaue (Cr)'!$C:$FB,63)</f>
        <v>71</v>
      </c>
      <c r="N162" s="51">
        <f>VLOOKUP($A162,'Data Vlaue (Cr)'!$C:$FB,64)</f>
        <v>123</v>
      </c>
      <c r="O162" s="51">
        <f>VLOOKUP($A162,'Data Vlaue (Cr)'!$C:$FB,66)*100</f>
        <v>-41.85</v>
      </c>
    </row>
    <row r="163" spans="1:15" x14ac:dyDescent="0.25">
      <c r="A163" s="101" t="str">
        <f>'Data Vlaue (Cr)'!C158</f>
        <v>PAYTM</v>
      </c>
      <c r="B163" s="50">
        <f>VLOOKUP($A163,'Data Vlaue (Cr)'!$C:$FB,8)</f>
        <v>1161.3499999999999</v>
      </c>
      <c r="C163" s="50">
        <f>VLOOKUP($A163,'Data Vlaue (Cr)'!$C:$FB,11)*100</f>
        <v>-0.03</v>
      </c>
      <c r="D163" s="50">
        <f>VLOOKUP($A163,'Data Vlaue (Cr)'!$C:$FB,143)</f>
        <v>1352.6</v>
      </c>
      <c r="E163" s="50">
        <f>VLOOKUP($A163,'Data Vlaue (Cr)'!$C:$FB,144)</f>
        <v>1555.21</v>
      </c>
      <c r="F163" s="50">
        <f>VLOOKUP($A163,'Data Vlaue (Cr)'!$C:$FB,146)*100</f>
        <v>-13.03</v>
      </c>
      <c r="G163" s="49">
        <f>VLOOKUP($A163,'Data Vlaue (Cr)'!$C:$FB,43)</f>
        <v>234</v>
      </c>
      <c r="H163" s="49">
        <f>VLOOKUP($A163,'Data Vlaue (Cr)'!$C:$FB,44)</f>
        <v>251</v>
      </c>
      <c r="I163" s="49">
        <f>VLOOKUP($A163,'Data Vlaue (Cr)'!$C:$FB,46)*100</f>
        <v>-6.8500000000000005</v>
      </c>
      <c r="J163" s="51">
        <f>VLOOKUP($A163,'Data Vlaue (Cr)'!$C:$FB,59)</f>
        <v>626</v>
      </c>
      <c r="K163" s="51">
        <f>VLOOKUP($A163,'Data Vlaue (Cr)'!$C:$FB,60)</f>
        <v>758</v>
      </c>
      <c r="L163" s="51">
        <f>VLOOKUP($A163,'Data Vlaue (Cr)'!$C:$FB,62)*100</f>
        <v>-17.47</v>
      </c>
      <c r="M163" s="51">
        <f>VLOOKUP($A163,'Data Vlaue (Cr)'!$C:$FB,63)</f>
        <v>487</v>
      </c>
      <c r="N163" s="51">
        <f>VLOOKUP($A163,'Data Vlaue (Cr)'!$C:$FB,64)</f>
        <v>547</v>
      </c>
      <c r="O163" s="51">
        <f>VLOOKUP($A163,'Data Vlaue (Cr)'!$C:$FB,66)*100</f>
        <v>-10.979999999999999</v>
      </c>
    </row>
    <row r="164" spans="1:15" x14ac:dyDescent="0.25">
      <c r="A164" s="101" t="str">
        <f>'Data Vlaue (Cr)'!C159</f>
        <v>PERSISTENT</v>
      </c>
      <c r="B164" s="50">
        <f>VLOOKUP($A164,'Data Vlaue (Cr)'!$C:$FB,8)</f>
        <v>5325.2</v>
      </c>
      <c r="C164" s="50">
        <f>VLOOKUP($A164,'Data Vlaue (Cr)'!$C:$FB,11)*100</f>
        <v>-2.23</v>
      </c>
      <c r="D164" s="50">
        <f>VLOOKUP($A164,'Data Vlaue (Cr)'!$C:$FB,143)</f>
        <v>4124.49</v>
      </c>
      <c r="E164" s="50">
        <f>VLOOKUP($A164,'Data Vlaue (Cr)'!$C:$FB,144)</f>
        <v>3041.72</v>
      </c>
      <c r="F164" s="50">
        <f>VLOOKUP($A164,'Data Vlaue (Cr)'!$C:$FB,146)*100</f>
        <v>35.6</v>
      </c>
      <c r="G164" s="49">
        <f>VLOOKUP($A164,'Data Vlaue (Cr)'!$C:$FB,43)</f>
        <v>1024</v>
      </c>
      <c r="H164" s="49">
        <f>VLOOKUP($A164,'Data Vlaue (Cr)'!$C:$FB,44)</f>
        <v>826</v>
      </c>
      <c r="I164" s="49">
        <f>VLOOKUP($A164,'Data Vlaue (Cr)'!$C:$FB,46)*100</f>
        <v>24.01</v>
      </c>
      <c r="J164" s="51">
        <f>VLOOKUP($A164,'Data Vlaue (Cr)'!$C:$FB,59)</f>
        <v>1821</v>
      </c>
      <c r="K164" s="51">
        <f>VLOOKUP($A164,'Data Vlaue (Cr)'!$C:$FB,60)</f>
        <v>1168</v>
      </c>
      <c r="L164" s="51">
        <f>VLOOKUP($A164,'Data Vlaue (Cr)'!$C:$FB,62)*100</f>
        <v>55.86</v>
      </c>
      <c r="M164" s="51">
        <f>VLOOKUP($A164,'Data Vlaue (Cr)'!$C:$FB,63)</f>
        <v>1147</v>
      </c>
      <c r="N164" s="51">
        <f>VLOOKUP($A164,'Data Vlaue (Cr)'!$C:$FB,64)</f>
        <v>941</v>
      </c>
      <c r="O164" s="51">
        <f>VLOOKUP($A164,'Data Vlaue (Cr)'!$C:$FB,66)*100</f>
        <v>21.91</v>
      </c>
    </row>
    <row r="165" spans="1:15" x14ac:dyDescent="0.25">
      <c r="A165" s="101" t="str">
        <f>'Data Vlaue (Cr)'!C160</f>
        <v>PETRONET</v>
      </c>
      <c r="B165" s="50">
        <f>VLOOKUP($A165,'Data Vlaue (Cr)'!$C:$FB,8)</f>
        <v>272.13</v>
      </c>
      <c r="C165" s="50">
        <f>VLOOKUP($A165,'Data Vlaue (Cr)'!$C:$FB,11)*100</f>
        <v>-0.4</v>
      </c>
      <c r="D165" s="50">
        <f>VLOOKUP($A165,'Data Vlaue (Cr)'!$C:$FB,143)</f>
        <v>254.44</v>
      </c>
      <c r="E165" s="50">
        <f>VLOOKUP($A165,'Data Vlaue (Cr)'!$C:$FB,144)</f>
        <v>344.21</v>
      </c>
      <c r="F165" s="50">
        <f>VLOOKUP($A165,'Data Vlaue (Cr)'!$C:$FB,146)*100</f>
        <v>-26.08</v>
      </c>
      <c r="G165" s="49">
        <f>VLOOKUP($A165,'Data Vlaue (Cr)'!$C:$FB,43)</f>
        <v>73</v>
      </c>
      <c r="H165" s="49">
        <f>VLOOKUP($A165,'Data Vlaue (Cr)'!$C:$FB,44)</f>
        <v>76</v>
      </c>
      <c r="I165" s="49">
        <f>VLOOKUP($A165,'Data Vlaue (Cr)'!$C:$FB,46)*100</f>
        <v>-3.95</v>
      </c>
      <c r="J165" s="51">
        <f>VLOOKUP($A165,'Data Vlaue (Cr)'!$C:$FB,59)</f>
        <v>119</v>
      </c>
      <c r="K165" s="51">
        <f>VLOOKUP($A165,'Data Vlaue (Cr)'!$C:$FB,60)</f>
        <v>181</v>
      </c>
      <c r="L165" s="51">
        <f>VLOOKUP($A165,'Data Vlaue (Cr)'!$C:$FB,62)*100</f>
        <v>-34.29</v>
      </c>
      <c r="M165" s="51">
        <f>VLOOKUP($A165,'Data Vlaue (Cr)'!$C:$FB,63)</f>
        <v>57</v>
      </c>
      <c r="N165" s="51">
        <f>VLOOKUP($A165,'Data Vlaue (Cr)'!$C:$FB,64)</f>
        <v>79</v>
      </c>
      <c r="O165" s="51">
        <f>VLOOKUP($A165,'Data Vlaue (Cr)'!$C:$FB,66)*100</f>
        <v>-27.48</v>
      </c>
    </row>
    <row r="166" spans="1:15" x14ac:dyDescent="0.25">
      <c r="A166" s="101" t="str">
        <f>'Data Vlaue (Cr)'!C161</f>
        <v>PFC</v>
      </c>
      <c r="B166" s="50">
        <f>VLOOKUP($A166,'Data Vlaue (Cr)'!$C:$FB,8)</f>
        <v>472.85</v>
      </c>
      <c r="C166" s="50">
        <f>VLOOKUP($A166,'Data Vlaue (Cr)'!$C:$FB,11)*100</f>
        <v>1.72</v>
      </c>
      <c r="D166" s="50">
        <f>VLOOKUP($A166,'Data Vlaue (Cr)'!$C:$FB,143)</f>
        <v>5591.55</v>
      </c>
      <c r="E166" s="50">
        <f>VLOOKUP($A166,'Data Vlaue (Cr)'!$C:$FB,144)</f>
        <v>4141.09</v>
      </c>
      <c r="F166" s="50">
        <f>VLOOKUP($A166,'Data Vlaue (Cr)'!$C:$FB,146)*100</f>
        <v>35.03</v>
      </c>
      <c r="G166" s="49">
        <f>VLOOKUP($A166,'Data Vlaue (Cr)'!$C:$FB,43)</f>
        <v>991</v>
      </c>
      <c r="H166" s="49">
        <f>VLOOKUP($A166,'Data Vlaue (Cr)'!$C:$FB,44)</f>
        <v>567</v>
      </c>
      <c r="I166" s="49">
        <f>VLOOKUP($A166,'Data Vlaue (Cr)'!$C:$FB,46)*100</f>
        <v>74.739999999999995</v>
      </c>
      <c r="J166" s="51">
        <f>VLOOKUP($A166,'Data Vlaue (Cr)'!$C:$FB,59)</f>
        <v>2907</v>
      </c>
      <c r="K166" s="51">
        <f>VLOOKUP($A166,'Data Vlaue (Cr)'!$C:$FB,60)</f>
        <v>2367</v>
      </c>
      <c r="L166" s="51">
        <f>VLOOKUP($A166,'Data Vlaue (Cr)'!$C:$FB,62)*100</f>
        <v>22.85</v>
      </c>
      <c r="M166" s="51">
        <f>VLOOKUP($A166,'Data Vlaue (Cr)'!$C:$FB,63)</f>
        <v>1669</v>
      </c>
      <c r="N166" s="51">
        <f>VLOOKUP($A166,'Data Vlaue (Cr)'!$C:$FB,64)</f>
        <v>1240</v>
      </c>
      <c r="O166" s="51">
        <f>VLOOKUP($A166,'Data Vlaue (Cr)'!$C:$FB,66)*100</f>
        <v>34.549999999999997</v>
      </c>
    </row>
    <row r="167" spans="1:15" x14ac:dyDescent="0.25">
      <c r="A167" s="101" t="str">
        <f>'Data Vlaue (Cr)'!C162</f>
        <v>PGEL</v>
      </c>
      <c r="B167" s="50">
        <f>VLOOKUP($A167,'Data Vlaue (Cr)'!$C:$FB,8)</f>
        <v>559.04999999999995</v>
      </c>
      <c r="C167" s="50">
        <f>VLOOKUP($A167,'Data Vlaue (Cr)'!$C:$FB,11)*100</f>
        <v>-0.42</v>
      </c>
      <c r="D167" s="50">
        <f>VLOOKUP($A167,'Data Vlaue (Cr)'!$C:$FB,143)</f>
        <v>987.34</v>
      </c>
      <c r="E167" s="50">
        <f>VLOOKUP($A167,'Data Vlaue (Cr)'!$C:$FB,144)</f>
        <v>1362.33</v>
      </c>
      <c r="F167" s="50">
        <f>VLOOKUP($A167,'Data Vlaue (Cr)'!$C:$FB,146)*100</f>
        <v>-27.529999999999998</v>
      </c>
      <c r="G167" s="49">
        <f>VLOOKUP($A167,'Data Vlaue (Cr)'!$C:$FB,43)</f>
        <v>171</v>
      </c>
      <c r="H167" s="49">
        <f>VLOOKUP($A167,'Data Vlaue (Cr)'!$C:$FB,44)</f>
        <v>231</v>
      </c>
      <c r="I167" s="49">
        <f>VLOOKUP($A167,'Data Vlaue (Cr)'!$C:$FB,46)*100</f>
        <v>-25.81</v>
      </c>
      <c r="J167" s="51">
        <f>VLOOKUP($A167,'Data Vlaue (Cr)'!$C:$FB,59)</f>
        <v>412</v>
      </c>
      <c r="K167" s="51">
        <f>VLOOKUP($A167,'Data Vlaue (Cr)'!$C:$FB,60)</f>
        <v>567</v>
      </c>
      <c r="L167" s="51">
        <f>VLOOKUP($A167,'Data Vlaue (Cr)'!$C:$FB,62)*100</f>
        <v>-27.35</v>
      </c>
      <c r="M167" s="51">
        <f>VLOOKUP($A167,'Data Vlaue (Cr)'!$C:$FB,63)</f>
        <v>404</v>
      </c>
      <c r="N167" s="51">
        <f>VLOOKUP($A167,'Data Vlaue (Cr)'!$C:$FB,64)</f>
        <v>573</v>
      </c>
      <c r="O167" s="51">
        <f>VLOOKUP($A167,'Data Vlaue (Cr)'!$C:$FB,66)*100</f>
        <v>-29.56</v>
      </c>
    </row>
    <row r="168" spans="1:15" x14ac:dyDescent="0.25">
      <c r="A168" s="101" t="str">
        <f>'Data Vlaue (Cr)'!C163</f>
        <v>PHOENIXLTD</v>
      </c>
      <c r="B168" s="50">
        <f>VLOOKUP($A168,'Data Vlaue (Cr)'!$C:$FB,8)</f>
        <v>1767.9</v>
      </c>
      <c r="C168" s="50">
        <f>VLOOKUP($A168,'Data Vlaue (Cr)'!$C:$FB,11)*100</f>
        <v>-1.3599999999999999</v>
      </c>
      <c r="D168" s="50">
        <f>VLOOKUP($A168,'Data Vlaue (Cr)'!$C:$FB,143)</f>
        <v>201.81</v>
      </c>
      <c r="E168" s="50">
        <f>VLOOKUP($A168,'Data Vlaue (Cr)'!$C:$FB,144)</f>
        <v>171.34</v>
      </c>
      <c r="F168" s="50">
        <f>VLOOKUP($A168,'Data Vlaue (Cr)'!$C:$FB,146)*100</f>
        <v>17.78</v>
      </c>
      <c r="G168" s="49">
        <f>VLOOKUP($A168,'Data Vlaue (Cr)'!$C:$FB,43)</f>
        <v>108</v>
      </c>
      <c r="H168" s="49">
        <f>VLOOKUP($A168,'Data Vlaue (Cr)'!$C:$FB,44)</f>
        <v>40</v>
      </c>
      <c r="I168" s="49">
        <f>VLOOKUP($A168,'Data Vlaue (Cr)'!$C:$FB,46)*100</f>
        <v>169.09</v>
      </c>
      <c r="J168" s="51">
        <f>VLOOKUP($A168,'Data Vlaue (Cr)'!$C:$FB,59)</f>
        <v>49</v>
      </c>
      <c r="K168" s="51">
        <f>VLOOKUP($A168,'Data Vlaue (Cr)'!$C:$FB,60)</f>
        <v>76</v>
      </c>
      <c r="L168" s="51">
        <f>VLOOKUP($A168,'Data Vlaue (Cr)'!$C:$FB,62)*100</f>
        <v>-36.36</v>
      </c>
      <c r="M168" s="51">
        <f>VLOOKUP($A168,'Data Vlaue (Cr)'!$C:$FB,63)</f>
        <v>46</v>
      </c>
      <c r="N168" s="51">
        <f>VLOOKUP($A168,'Data Vlaue (Cr)'!$C:$FB,64)</f>
        <v>55</v>
      </c>
      <c r="O168" s="51">
        <f>VLOOKUP($A168,'Data Vlaue (Cr)'!$C:$FB,66)*100</f>
        <v>-16.63</v>
      </c>
    </row>
    <row r="169" spans="1:15" x14ac:dyDescent="0.25">
      <c r="A169" s="101" t="str">
        <f>'Data Vlaue (Cr)'!C164</f>
        <v>PIDILITIND</v>
      </c>
      <c r="B169" s="50">
        <f>VLOOKUP($A169,'Data Vlaue (Cr)'!$C:$FB,8)</f>
        <v>1390.5</v>
      </c>
      <c r="C169" s="50">
        <f>VLOOKUP($A169,'Data Vlaue (Cr)'!$C:$FB,11)*100</f>
        <v>-0.21</v>
      </c>
      <c r="D169" s="50">
        <f>VLOOKUP($A169,'Data Vlaue (Cr)'!$C:$FB,143)</f>
        <v>492.38</v>
      </c>
      <c r="E169" s="50">
        <f>VLOOKUP($A169,'Data Vlaue (Cr)'!$C:$FB,144)</f>
        <v>1956.51</v>
      </c>
      <c r="F169" s="50">
        <f>VLOOKUP($A169,'Data Vlaue (Cr)'!$C:$FB,146)*100</f>
        <v>-74.83</v>
      </c>
      <c r="G169" s="49">
        <f>VLOOKUP($A169,'Data Vlaue (Cr)'!$C:$FB,43)</f>
        <v>158</v>
      </c>
      <c r="H169" s="49">
        <f>VLOOKUP($A169,'Data Vlaue (Cr)'!$C:$FB,44)</f>
        <v>376</v>
      </c>
      <c r="I169" s="49">
        <f>VLOOKUP($A169,'Data Vlaue (Cr)'!$C:$FB,46)*100</f>
        <v>-57.989999999999995</v>
      </c>
      <c r="J169" s="51">
        <f>VLOOKUP($A169,'Data Vlaue (Cr)'!$C:$FB,59)</f>
        <v>205</v>
      </c>
      <c r="K169" s="51">
        <f>VLOOKUP($A169,'Data Vlaue (Cr)'!$C:$FB,60)</f>
        <v>1180</v>
      </c>
      <c r="L169" s="51">
        <f>VLOOKUP($A169,'Data Vlaue (Cr)'!$C:$FB,62)*100</f>
        <v>-82.65</v>
      </c>
      <c r="M169" s="51">
        <f>VLOOKUP($A169,'Data Vlaue (Cr)'!$C:$FB,63)</f>
        <v>125</v>
      </c>
      <c r="N169" s="51">
        <f>VLOOKUP($A169,'Data Vlaue (Cr)'!$C:$FB,64)</f>
        <v>389</v>
      </c>
      <c r="O169" s="51">
        <f>VLOOKUP($A169,'Data Vlaue (Cr)'!$C:$FB,66)*100</f>
        <v>-67.97</v>
      </c>
    </row>
    <row r="170" spans="1:15" x14ac:dyDescent="0.25">
      <c r="A170" s="101" t="str">
        <f>'Data Vlaue (Cr)'!C165</f>
        <v>PIIND</v>
      </c>
      <c r="B170" s="50">
        <f>VLOOKUP($A170,'Data Vlaue (Cr)'!$C:$FB,8)</f>
        <v>3037</v>
      </c>
      <c r="C170" s="50">
        <f>VLOOKUP($A170,'Data Vlaue (Cr)'!$C:$FB,11)*100</f>
        <v>-3.27</v>
      </c>
      <c r="D170" s="50">
        <f>VLOOKUP($A170,'Data Vlaue (Cr)'!$C:$FB,143)</f>
        <v>510.88</v>
      </c>
      <c r="E170" s="50">
        <f>VLOOKUP($A170,'Data Vlaue (Cr)'!$C:$FB,144)</f>
        <v>668.61</v>
      </c>
      <c r="F170" s="50">
        <f>VLOOKUP($A170,'Data Vlaue (Cr)'!$C:$FB,146)*100</f>
        <v>-23.59</v>
      </c>
      <c r="G170" s="49">
        <f>VLOOKUP($A170,'Data Vlaue (Cr)'!$C:$FB,43)</f>
        <v>164</v>
      </c>
      <c r="H170" s="49">
        <f>VLOOKUP($A170,'Data Vlaue (Cr)'!$C:$FB,44)</f>
        <v>203</v>
      </c>
      <c r="I170" s="49">
        <f>VLOOKUP($A170,'Data Vlaue (Cr)'!$C:$FB,46)*100</f>
        <v>-19.02</v>
      </c>
      <c r="J170" s="51">
        <f>VLOOKUP($A170,'Data Vlaue (Cr)'!$C:$FB,59)</f>
        <v>185</v>
      </c>
      <c r="K170" s="51">
        <f>VLOOKUP($A170,'Data Vlaue (Cr)'!$C:$FB,60)</f>
        <v>280</v>
      </c>
      <c r="L170" s="51">
        <f>VLOOKUP($A170,'Data Vlaue (Cr)'!$C:$FB,62)*100</f>
        <v>-34.01</v>
      </c>
      <c r="M170" s="51">
        <f>VLOOKUP($A170,'Data Vlaue (Cr)'!$C:$FB,63)</f>
        <v>151</v>
      </c>
      <c r="N170" s="51">
        <f>VLOOKUP($A170,'Data Vlaue (Cr)'!$C:$FB,64)</f>
        <v>161</v>
      </c>
      <c r="O170" s="51">
        <f>VLOOKUP($A170,'Data Vlaue (Cr)'!$C:$FB,66)*100</f>
        <v>-5.9700000000000006</v>
      </c>
    </row>
    <row r="171" spans="1:15" x14ac:dyDescent="0.25">
      <c r="A171" s="101" t="str">
        <f>'Data Vlaue (Cr)'!C166</f>
        <v>PNB</v>
      </c>
      <c r="B171" s="50">
        <f>VLOOKUP($A171,'Data Vlaue (Cr)'!$C:$FB,8)</f>
        <v>113.74</v>
      </c>
      <c r="C171" s="50">
        <f>VLOOKUP($A171,'Data Vlaue (Cr)'!$C:$FB,11)*100</f>
        <v>-0.65</v>
      </c>
      <c r="D171" s="50">
        <f>VLOOKUP($A171,'Data Vlaue (Cr)'!$C:$FB,143)</f>
        <v>2229.12</v>
      </c>
      <c r="E171" s="50">
        <f>VLOOKUP($A171,'Data Vlaue (Cr)'!$C:$FB,144)</f>
        <v>2017.13</v>
      </c>
      <c r="F171" s="50">
        <f>VLOOKUP($A171,'Data Vlaue (Cr)'!$C:$FB,146)*100</f>
        <v>10.51</v>
      </c>
      <c r="G171" s="49">
        <f>VLOOKUP($A171,'Data Vlaue (Cr)'!$C:$FB,43)</f>
        <v>596</v>
      </c>
      <c r="H171" s="49">
        <f>VLOOKUP($A171,'Data Vlaue (Cr)'!$C:$FB,44)</f>
        <v>480</v>
      </c>
      <c r="I171" s="49">
        <f>VLOOKUP($A171,'Data Vlaue (Cr)'!$C:$FB,46)*100</f>
        <v>24.07</v>
      </c>
      <c r="J171" s="51">
        <f>VLOOKUP($A171,'Data Vlaue (Cr)'!$C:$FB,59)</f>
        <v>1027</v>
      </c>
      <c r="K171" s="51">
        <f>VLOOKUP($A171,'Data Vlaue (Cr)'!$C:$FB,60)</f>
        <v>941</v>
      </c>
      <c r="L171" s="51">
        <f>VLOOKUP($A171,'Data Vlaue (Cr)'!$C:$FB,62)*100</f>
        <v>9.19</v>
      </c>
      <c r="M171" s="51">
        <f>VLOOKUP($A171,'Data Vlaue (Cr)'!$C:$FB,63)</f>
        <v>555</v>
      </c>
      <c r="N171" s="51">
        <f>VLOOKUP($A171,'Data Vlaue (Cr)'!$C:$FB,64)</f>
        <v>556</v>
      </c>
      <c r="O171" s="51">
        <f>VLOOKUP($A171,'Data Vlaue (Cr)'!$C:$FB,66)*100</f>
        <v>-0.25</v>
      </c>
    </row>
    <row r="172" spans="1:15" x14ac:dyDescent="0.25">
      <c r="A172" s="101" t="str">
        <f>'Data Vlaue (Cr)'!C167</f>
        <v>PNBHOUSING</v>
      </c>
      <c r="B172" s="50">
        <f>VLOOKUP($A172,'Data Vlaue (Cr)'!$C:$FB,8)</f>
        <v>906.75</v>
      </c>
      <c r="C172" s="50">
        <f>VLOOKUP($A172,'Data Vlaue (Cr)'!$C:$FB,11)*100</f>
        <v>-1.8399999999999999</v>
      </c>
      <c r="D172" s="50">
        <f>VLOOKUP($A172,'Data Vlaue (Cr)'!$C:$FB,143)</f>
        <v>1973.28</v>
      </c>
      <c r="E172" s="50">
        <f>VLOOKUP($A172,'Data Vlaue (Cr)'!$C:$FB,144)</f>
        <v>1520.97</v>
      </c>
      <c r="F172" s="50">
        <f>VLOOKUP($A172,'Data Vlaue (Cr)'!$C:$FB,146)*100</f>
        <v>29.74</v>
      </c>
      <c r="G172" s="49">
        <f>VLOOKUP($A172,'Data Vlaue (Cr)'!$C:$FB,43)</f>
        <v>332</v>
      </c>
      <c r="H172" s="49">
        <f>VLOOKUP($A172,'Data Vlaue (Cr)'!$C:$FB,44)</f>
        <v>385</v>
      </c>
      <c r="I172" s="49">
        <f>VLOOKUP($A172,'Data Vlaue (Cr)'!$C:$FB,46)*100</f>
        <v>-13.71</v>
      </c>
      <c r="J172" s="51">
        <f>VLOOKUP($A172,'Data Vlaue (Cr)'!$C:$FB,59)</f>
        <v>990</v>
      </c>
      <c r="K172" s="51">
        <f>VLOOKUP($A172,'Data Vlaue (Cr)'!$C:$FB,60)</f>
        <v>816</v>
      </c>
      <c r="L172" s="51">
        <f>VLOOKUP($A172,'Data Vlaue (Cr)'!$C:$FB,62)*100</f>
        <v>21.349999999999998</v>
      </c>
      <c r="M172" s="51">
        <f>VLOOKUP($A172,'Data Vlaue (Cr)'!$C:$FB,63)</f>
        <v>591</v>
      </c>
      <c r="N172" s="51">
        <f>VLOOKUP($A172,'Data Vlaue (Cr)'!$C:$FB,64)</f>
        <v>277</v>
      </c>
      <c r="O172" s="51">
        <f>VLOOKUP($A172,'Data Vlaue (Cr)'!$C:$FB,66)*100</f>
        <v>113.53999999999999</v>
      </c>
    </row>
    <row r="173" spans="1:15" x14ac:dyDescent="0.25">
      <c r="A173" s="101" t="str">
        <f>'Data Vlaue (Cr)'!C168</f>
        <v>POLICYBZR</v>
      </c>
      <c r="B173" s="50">
        <f>VLOOKUP($A173,'Data Vlaue (Cr)'!$C:$FB,8)</f>
        <v>1616.8</v>
      </c>
      <c r="C173" s="50">
        <f>VLOOKUP($A173,'Data Vlaue (Cr)'!$C:$FB,11)*100</f>
        <v>1.01</v>
      </c>
      <c r="D173" s="50">
        <f>VLOOKUP($A173,'Data Vlaue (Cr)'!$C:$FB,143)</f>
        <v>1030.8699999999999</v>
      </c>
      <c r="E173" s="50">
        <f>VLOOKUP($A173,'Data Vlaue (Cr)'!$C:$FB,144)</f>
        <v>4308.8599999999997</v>
      </c>
      <c r="F173" s="50">
        <f>VLOOKUP($A173,'Data Vlaue (Cr)'!$C:$FB,146)*100</f>
        <v>-76.08</v>
      </c>
      <c r="G173" s="49">
        <f>VLOOKUP($A173,'Data Vlaue (Cr)'!$C:$FB,43)</f>
        <v>226</v>
      </c>
      <c r="H173" s="49">
        <f>VLOOKUP($A173,'Data Vlaue (Cr)'!$C:$FB,44)</f>
        <v>569</v>
      </c>
      <c r="I173" s="49">
        <f>VLOOKUP($A173,'Data Vlaue (Cr)'!$C:$FB,46)*100</f>
        <v>-60.23</v>
      </c>
      <c r="J173" s="51">
        <f>VLOOKUP($A173,'Data Vlaue (Cr)'!$C:$FB,59)</f>
        <v>485</v>
      </c>
      <c r="K173" s="51">
        <f>VLOOKUP($A173,'Data Vlaue (Cr)'!$C:$FB,60)</f>
        <v>2735</v>
      </c>
      <c r="L173" s="51">
        <f>VLOOKUP($A173,'Data Vlaue (Cr)'!$C:$FB,62)*100</f>
        <v>-82.26</v>
      </c>
      <c r="M173" s="51">
        <f>VLOOKUP($A173,'Data Vlaue (Cr)'!$C:$FB,63)</f>
        <v>315</v>
      </c>
      <c r="N173" s="51">
        <f>VLOOKUP($A173,'Data Vlaue (Cr)'!$C:$FB,64)</f>
        <v>951</v>
      </c>
      <c r="O173" s="51">
        <f>VLOOKUP($A173,'Data Vlaue (Cr)'!$C:$FB,66)*100</f>
        <v>-66.86999999999999</v>
      </c>
    </row>
    <row r="174" spans="1:15" x14ac:dyDescent="0.25">
      <c r="A174" s="101" t="str">
        <f>'Data Vlaue (Cr)'!C169</f>
        <v>POLYCAB</v>
      </c>
      <c r="B174" s="50">
        <f>VLOOKUP($A174,'Data Vlaue (Cr)'!$C:$FB,8)</f>
        <v>8198.5</v>
      </c>
      <c r="C174" s="50">
        <f>VLOOKUP($A174,'Data Vlaue (Cr)'!$C:$FB,11)*100</f>
        <v>0.2</v>
      </c>
      <c r="D174" s="50">
        <f>VLOOKUP($A174,'Data Vlaue (Cr)'!$C:$FB,143)</f>
        <v>4127.57</v>
      </c>
      <c r="E174" s="50">
        <f>VLOOKUP($A174,'Data Vlaue (Cr)'!$C:$FB,144)</f>
        <v>9479.34</v>
      </c>
      <c r="F174" s="50">
        <f>VLOOKUP($A174,'Data Vlaue (Cr)'!$C:$FB,146)*100</f>
        <v>-56.46</v>
      </c>
      <c r="G174" s="49">
        <f>VLOOKUP($A174,'Data Vlaue (Cr)'!$C:$FB,43)</f>
        <v>339</v>
      </c>
      <c r="H174" s="49">
        <f>VLOOKUP($A174,'Data Vlaue (Cr)'!$C:$FB,44)</f>
        <v>664</v>
      </c>
      <c r="I174" s="49">
        <f>VLOOKUP($A174,'Data Vlaue (Cr)'!$C:$FB,46)*100</f>
        <v>-48.88</v>
      </c>
      <c r="J174" s="51">
        <f>VLOOKUP($A174,'Data Vlaue (Cr)'!$C:$FB,59)</f>
        <v>1625</v>
      </c>
      <c r="K174" s="51">
        <f>VLOOKUP($A174,'Data Vlaue (Cr)'!$C:$FB,60)</f>
        <v>5293</v>
      </c>
      <c r="L174" s="51">
        <f>VLOOKUP($A174,'Data Vlaue (Cr)'!$C:$FB,62)*100</f>
        <v>-69.3</v>
      </c>
      <c r="M174" s="51">
        <f>VLOOKUP($A174,'Data Vlaue (Cr)'!$C:$FB,63)</f>
        <v>2250</v>
      </c>
      <c r="N174" s="51">
        <f>VLOOKUP($A174,'Data Vlaue (Cr)'!$C:$FB,64)</f>
        <v>3601</v>
      </c>
      <c r="O174" s="51">
        <f>VLOOKUP($A174,'Data Vlaue (Cr)'!$C:$FB,66)*100</f>
        <v>-37.519999999999996</v>
      </c>
    </row>
    <row r="175" spans="1:15" x14ac:dyDescent="0.25">
      <c r="A175" s="101" t="str">
        <f>'Data Vlaue (Cr)'!C170</f>
        <v>POWERGRID</v>
      </c>
      <c r="B175" s="50">
        <f>VLOOKUP($A175,'Data Vlaue (Cr)'!$C:$FB,8)</f>
        <v>319.7</v>
      </c>
      <c r="C175" s="50">
        <f>VLOOKUP($A175,'Data Vlaue (Cr)'!$C:$FB,11)*100</f>
        <v>0.5</v>
      </c>
      <c r="D175" s="50">
        <f>VLOOKUP($A175,'Data Vlaue (Cr)'!$C:$FB,143)</f>
        <v>3778.84</v>
      </c>
      <c r="E175" s="50">
        <f>VLOOKUP($A175,'Data Vlaue (Cr)'!$C:$FB,144)</f>
        <v>4162.95</v>
      </c>
      <c r="F175" s="50">
        <f>VLOOKUP($A175,'Data Vlaue (Cr)'!$C:$FB,146)*100</f>
        <v>-9.2299999999999986</v>
      </c>
      <c r="G175" s="49">
        <f>VLOOKUP($A175,'Data Vlaue (Cr)'!$C:$FB,43)</f>
        <v>712</v>
      </c>
      <c r="H175" s="49">
        <f>VLOOKUP($A175,'Data Vlaue (Cr)'!$C:$FB,44)</f>
        <v>517</v>
      </c>
      <c r="I175" s="49">
        <f>VLOOKUP($A175,'Data Vlaue (Cr)'!$C:$FB,46)*100</f>
        <v>37.769999999999996</v>
      </c>
      <c r="J175" s="51">
        <f>VLOOKUP($A175,'Data Vlaue (Cr)'!$C:$FB,59)</f>
        <v>2239</v>
      </c>
      <c r="K175" s="51">
        <f>VLOOKUP($A175,'Data Vlaue (Cr)'!$C:$FB,60)</f>
        <v>2640</v>
      </c>
      <c r="L175" s="51">
        <f>VLOOKUP($A175,'Data Vlaue (Cr)'!$C:$FB,62)*100</f>
        <v>-15.2</v>
      </c>
      <c r="M175" s="51">
        <f>VLOOKUP($A175,'Data Vlaue (Cr)'!$C:$FB,63)</f>
        <v>780</v>
      </c>
      <c r="N175" s="51">
        <f>VLOOKUP($A175,'Data Vlaue (Cr)'!$C:$FB,64)</f>
        <v>998</v>
      </c>
      <c r="O175" s="51">
        <f>VLOOKUP($A175,'Data Vlaue (Cr)'!$C:$FB,66)*100</f>
        <v>-21.84</v>
      </c>
    </row>
    <row r="176" spans="1:15" x14ac:dyDescent="0.25">
      <c r="A176" s="101" t="str">
        <f>'Data Vlaue (Cr)'!C171</f>
        <v>POWERINDIA</v>
      </c>
      <c r="B176" s="50">
        <f>VLOOKUP($A176,'Data Vlaue (Cr)'!$C:$FB,8)</f>
        <v>29645</v>
      </c>
      <c r="C176" s="50">
        <f>VLOOKUP($A176,'Data Vlaue (Cr)'!$C:$FB,11)*100</f>
        <v>2.4899999999999998</v>
      </c>
      <c r="D176" s="50">
        <f>VLOOKUP($A176,'Data Vlaue (Cr)'!$C:$FB,143)</f>
        <v>5694.87</v>
      </c>
      <c r="E176" s="50">
        <f>VLOOKUP($A176,'Data Vlaue (Cr)'!$C:$FB,144)</f>
        <v>2469.98</v>
      </c>
      <c r="F176" s="50">
        <f>VLOOKUP($A176,'Data Vlaue (Cr)'!$C:$FB,146)*100</f>
        <v>130.56</v>
      </c>
      <c r="G176" s="49">
        <f>VLOOKUP($A176,'Data Vlaue (Cr)'!$C:$FB,43)</f>
        <v>412</v>
      </c>
      <c r="H176" s="49">
        <f>VLOOKUP($A176,'Data Vlaue (Cr)'!$C:$FB,44)</f>
        <v>298</v>
      </c>
      <c r="I176" s="49">
        <f>VLOOKUP($A176,'Data Vlaue (Cr)'!$C:$FB,46)*100</f>
        <v>38.11</v>
      </c>
      <c r="J176" s="51">
        <f>VLOOKUP($A176,'Data Vlaue (Cr)'!$C:$FB,59)</f>
        <v>3376</v>
      </c>
      <c r="K176" s="51">
        <f>VLOOKUP($A176,'Data Vlaue (Cr)'!$C:$FB,60)</f>
        <v>1333</v>
      </c>
      <c r="L176" s="51">
        <f>VLOOKUP($A176,'Data Vlaue (Cr)'!$C:$FB,62)*100</f>
        <v>153.26</v>
      </c>
      <c r="M176" s="51">
        <f>VLOOKUP($A176,'Data Vlaue (Cr)'!$C:$FB,63)</f>
        <v>1907</v>
      </c>
      <c r="N176" s="51">
        <f>VLOOKUP($A176,'Data Vlaue (Cr)'!$C:$FB,64)</f>
        <v>892</v>
      </c>
      <c r="O176" s="51">
        <f>VLOOKUP($A176,'Data Vlaue (Cr)'!$C:$FB,66)*100</f>
        <v>113.91</v>
      </c>
    </row>
    <row r="177" spans="1:15" x14ac:dyDescent="0.25">
      <c r="A177" s="101" t="str">
        <f>'Data Vlaue (Cr)'!C172</f>
        <v>PPLPHARMA</v>
      </c>
      <c r="B177" s="50">
        <f>VLOOKUP($A177,'Data Vlaue (Cr)'!$C:$FB,8)</f>
        <v>148.79</v>
      </c>
      <c r="C177" s="50">
        <f>VLOOKUP($A177,'Data Vlaue (Cr)'!$C:$FB,11)*100</f>
        <v>-0.04</v>
      </c>
      <c r="D177" s="50">
        <f>VLOOKUP($A177,'Data Vlaue (Cr)'!$C:$FB,143)</f>
        <v>96.31</v>
      </c>
      <c r="E177" s="50">
        <f>VLOOKUP($A177,'Data Vlaue (Cr)'!$C:$FB,144)</f>
        <v>142.87</v>
      </c>
      <c r="F177" s="50">
        <f>VLOOKUP($A177,'Data Vlaue (Cr)'!$C:$FB,146)*100</f>
        <v>-32.590000000000003</v>
      </c>
      <c r="G177" s="49">
        <f>VLOOKUP($A177,'Data Vlaue (Cr)'!$C:$FB,43)</f>
        <v>21</v>
      </c>
      <c r="H177" s="49">
        <f>VLOOKUP($A177,'Data Vlaue (Cr)'!$C:$FB,44)</f>
        <v>32</v>
      </c>
      <c r="I177" s="49">
        <f>VLOOKUP($A177,'Data Vlaue (Cr)'!$C:$FB,46)*100</f>
        <v>-34.86</v>
      </c>
      <c r="J177" s="51">
        <f>VLOOKUP($A177,'Data Vlaue (Cr)'!$C:$FB,59)</f>
        <v>55</v>
      </c>
      <c r="K177" s="51">
        <f>VLOOKUP($A177,'Data Vlaue (Cr)'!$C:$FB,60)</f>
        <v>85</v>
      </c>
      <c r="L177" s="51">
        <f>VLOOKUP($A177,'Data Vlaue (Cr)'!$C:$FB,62)*100</f>
        <v>-35.32</v>
      </c>
      <c r="M177" s="51">
        <f>VLOOKUP($A177,'Data Vlaue (Cr)'!$C:$FB,63)</f>
        <v>19</v>
      </c>
      <c r="N177" s="51">
        <f>VLOOKUP($A177,'Data Vlaue (Cr)'!$C:$FB,64)</f>
        <v>22</v>
      </c>
      <c r="O177" s="51">
        <f>VLOOKUP($A177,'Data Vlaue (Cr)'!$C:$FB,66)*100</f>
        <v>-12.839999999999998</v>
      </c>
    </row>
    <row r="178" spans="1:15" x14ac:dyDescent="0.25">
      <c r="A178" s="101" t="str">
        <f>'Data Vlaue (Cr)'!C173</f>
        <v>PREMIERENE</v>
      </c>
      <c r="B178" s="50">
        <f>VLOOKUP($A178,'Data Vlaue (Cr)'!$C:$FB,8)</f>
        <v>1010.75</v>
      </c>
      <c r="C178" s="50">
        <f>VLOOKUP($A178,'Data Vlaue (Cr)'!$C:$FB,11)*100</f>
        <v>-2.31</v>
      </c>
      <c r="D178" s="50">
        <f>VLOOKUP($A178,'Data Vlaue (Cr)'!$C:$FB,143)</f>
        <v>1072.6600000000001</v>
      </c>
      <c r="E178" s="50">
        <f>VLOOKUP($A178,'Data Vlaue (Cr)'!$C:$FB,144)</f>
        <v>1447.76</v>
      </c>
      <c r="F178" s="50">
        <f>VLOOKUP($A178,'Data Vlaue (Cr)'!$C:$FB,146)*100</f>
        <v>-25.91</v>
      </c>
      <c r="G178" s="49">
        <f>VLOOKUP($A178,'Data Vlaue (Cr)'!$C:$FB,43)</f>
        <v>323</v>
      </c>
      <c r="H178" s="49">
        <f>VLOOKUP($A178,'Data Vlaue (Cr)'!$C:$FB,44)</f>
        <v>677</v>
      </c>
      <c r="I178" s="49">
        <f>VLOOKUP($A178,'Data Vlaue (Cr)'!$C:$FB,46)*100</f>
        <v>-52.32</v>
      </c>
      <c r="J178" s="51">
        <f>VLOOKUP($A178,'Data Vlaue (Cr)'!$C:$FB,59)</f>
        <v>526</v>
      </c>
      <c r="K178" s="51">
        <f>VLOOKUP($A178,'Data Vlaue (Cr)'!$C:$FB,60)</f>
        <v>453</v>
      </c>
      <c r="L178" s="51">
        <f>VLOOKUP($A178,'Data Vlaue (Cr)'!$C:$FB,62)*100</f>
        <v>16.13</v>
      </c>
      <c r="M178" s="51">
        <f>VLOOKUP($A178,'Data Vlaue (Cr)'!$C:$FB,63)</f>
        <v>194</v>
      </c>
      <c r="N178" s="51">
        <f>VLOOKUP($A178,'Data Vlaue (Cr)'!$C:$FB,64)</f>
        <v>311</v>
      </c>
      <c r="O178" s="51">
        <f>VLOOKUP($A178,'Data Vlaue (Cr)'!$C:$FB,66)*100</f>
        <v>-37.659999999999997</v>
      </c>
    </row>
    <row r="179" spans="1:15" x14ac:dyDescent="0.25">
      <c r="A179" s="101" t="str">
        <f>'Data Vlaue (Cr)'!C174</f>
        <v>PRESTIGE</v>
      </c>
      <c r="B179" s="50">
        <f>VLOOKUP($A179,'Data Vlaue (Cr)'!$C:$FB,8)</f>
        <v>1373.8</v>
      </c>
      <c r="C179" s="50">
        <f>VLOOKUP($A179,'Data Vlaue (Cr)'!$C:$FB,11)*100</f>
        <v>1.25</v>
      </c>
      <c r="D179" s="50">
        <f>VLOOKUP($A179,'Data Vlaue (Cr)'!$C:$FB,143)</f>
        <v>699.44</v>
      </c>
      <c r="E179" s="50">
        <f>VLOOKUP($A179,'Data Vlaue (Cr)'!$C:$FB,144)</f>
        <v>635.84</v>
      </c>
      <c r="F179" s="50">
        <f>VLOOKUP($A179,'Data Vlaue (Cr)'!$C:$FB,146)*100</f>
        <v>10</v>
      </c>
      <c r="G179" s="49">
        <f>VLOOKUP($A179,'Data Vlaue (Cr)'!$C:$FB,43)</f>
        <v>142</v>
      </c>
      <c r="H179" s="49">
        <f>VLOOKUP($A179,'Data Vlaue (Cr)'!$C:$FB,44)</f>
        <v>148</v>
      </c>
      <c r="I179" s="49">
        <f>VLOOKUP($A179,'Data Vlaue (Cr)'!$C:$FB,46)*100</f>
        <v>-3.7199999999999998</v>
      </c>
      <c r="J179" s="51">
        <f>VLOOKUP($A179,'Data Vlaue (Cr)'!$C:$FB,59)</f>
        <v>343</v>
      </c>
      <c r="K179" s="51">
        <f>VLOOKUP($A179,'Data Vlaue (Cr)'!$C:$FB,60)</f>
        <v>339</v>
      </c>
      <c r="L179" s="51">
        <f>VLOOKUP($A179,'Data Vlaue (Cr)'!$C:$FB,62)*100</f>
        <v>1.24</v>
      </c>
      <c r="M179" s="51">
        <f>VLOOKUP($A179,'Data Vlaue (Cr)'!$C:$FB,63)</f>
        <v>221</v>
      </c>
      <c r="N179" s="51">
        <f>VLOOKUP($A179,'Data Vlaue (Cr)'!$C:$FB,64)</f>
        <v>145</v>
      </c>
      <c r="O179" s="51">
        <f>VLOOKUP($A179,'Data Vlaue (Cr)'!$C:$FB,66)*100</f>
        <v>52.190000000000005</v>
      </c>
    </row>
    <row r="180" spans="1:15" x14ac:dyDescent="0.25">
      <c r="A180" s="101" t="str">
        <f>'Data Vlaue (Cr)'!C175</f>
        <v>RBLBANK</v>
      </c>
      <c r="B180" s="50">
        <f>VLOOKUP($A180,'Data Vlaue (Cr)'!$C:$FB,8)</f>
        <v>317.5</v>
      </c>
      <c r="C180" s="50">
        <f>VLOOKUP($A180,'Data Vlaue (Cr)'!$C:$FB,11)*100</f>
        <v>0.62</v>
      </c>
      <c r="D180" s="50">
        <f>VLOOKUP($A180,'Data Vlaue (Cr)'!$C:$FB,143)</f>
        <v>1201.75</v>
      </c>
      <c r="E180" s="50">
        <f>VLOOKUP($A180,'Data Vlaue (Cr)'!$C:$FB,144)</f>
        <v>1795.31</v>
      </c>
      <c r="F180" s="50">
        <f>VLOOKUP($A180,'Data Vlaue (Cr)'!$C:$FB,146)*100</f>
        <v>-33.06</v>
      </c>
      <c r="G180" s="49">
        <f>VLOOKUP($A180,'Data Vlaue (Cr)'!$C:$FB,43)</f>
        <v>341</v>
      </c>
      <c r="H180" s="49">
        <f>VLOOKUP($A180,'Data Vlaue (Cr)'!$C:$FB,44)</f>
        <v>248</v>
      </c>
      <c r="I180" s="49">
        <f>VLOOKUP($A180,'Data Vlaue (Cr)'!$C:$FB,46)*100</f>
        <v>37.78</v>
      </c>
      <c r="J180" s="51">
        <f>VLOOKUP($A180,'Data Vlaue (Cr)'!$C:$FB,59)</f>
        <v>573</v>
      </c>
      <c r="K180" s="51">
        <f>VLOOKUP($A180,'Data Vlaue (Cr)'!$C:$FB,60)</f>
        <v>1093</v>
      </c>
      <c r="L180" s="51">
        <f>VLOOKUP($A180,'Data Vlaue (Cr)'!$C:$FB,62)*100</f>
        <v>-47.58</v>
      </c>
      <c r="M180" s="51">
        <f>VLOOKUP($A180,'Data Vlaue (Cr)'!$C:$FB,63)</f>
        <v>269</v>
      </c>
      <c r="N180" s="51">
        <f>VLOOKUP($A180,'Data Vlaue (Cr)'!$C:$FB,64)</f>
        <v>426</v>
      </c>
      <c r="O180" s="51">
        <f>VLOOKUP($A180,'Data Vlaue (Cr)'!$C:$FB,66)*100</f>
        <v>-36.97</v>
      </c>
    </row>
    <row r="181" spans="1:15" x14ac:dyDescent="0.25">
      <c r="A181" s="101" t="str">
        <f>'Data Vlaue (Cr)'!C176</f>
        <v>RECLTD</v>
      </c>
      <c r="B181" s="50">
        <f>VLOOKUP($A181,'Data Vlaue (Cr)'!$C:$FB,8)</f>
        <v>382.7</v>
      </c>
      <c r="C181" s="50">
        <f>VLOOKUP($A181,'Data Vlaue (Cr)'!$C:$FB,11)*100</f>
        <v>2.52</v>
      </c>
      <c r="D181" s="50">
        <f>VLOOKUP($A181,'Data Vlaue (Cr)'!$C:$FB,143)</f>
        <v>4327.3599999999997</v>
      </c>
      <c r="E181" s="50">
        <f>VLOOKUP($A181,'Data Vlaue (Cr)'!$C:$FB,144)</f>
        <v>3857.08</v>
      </c>
      <c r="F181" s="50">
        <f>VLOOKUP($A181,'Data Vlaue (Cr)'!$C:$FB,146)*100</f>
        <v>12.19</v>
      </c>
      <c r="G181" s="49">
        <f>VLOOKUP($A181,'Data Vlaue (Cr)'!$C:$FB,43)</f>
        <v>710</v>
      </c>
      <c r="H181" s="49">
        <f>VLOOKUP($A181,'Data Vlaue (Cr)'!$C:$FB,44)</f>
        <v>600</v>
      </c>
      <c r="I181" s="49">
        <f>VLOOKUP($A181,'Data Vlaue (Cr)'!$C:$FB,46)*100</f>
        <v>18.41</v>
      </c>
      <c r="J181" s="51">
        <f>VLOOKUP($A181,'Data Vlaue (Cr)'!$C:$FB,59)</f>
        <v>2290</v>
      </c>
      <c r="K181" s="51">
        <f>VLOOKUP($A181,'Data Vlaue (Cr)'!$C:$FB,60)</f>
        <v>2088</v>
      </c>
      <c r="L181" s="51">
        <f>VLOOKUP($A181,'Data Vlaue (Cr)'!$C:$FB,62)*100</f>
        <v>9.68</v>
      </c>
      <c r="M181" s="51">
        <f>VLOOKUP($A181,'Data Vlaue (Cr)'!$C:$FB,63)</f>
        <v>1317</v>
      </c>
      <c r="N181" s="51">
        <f>VLOOKUP($A181,'Data Vlaue (Cr)'!$C:$FB,64)</f>
        <v>1238</v>
      </c>
      <c r="O181" s="51">
        <f>VLOOKUP($A181,'Data Vlaue (Cr)'!$C:$FB,66)*100</f>
        <v>6.4399999999999995</v>
      </c>
    </row>
    <row r="182" spans="1:15" x14ac:dyDescent="0.25">
      <c r="A182" s="101" t="str">
        <f>'Data Vlaue (Cr)'!C177</f>
        <v>RELIANCE</v>
      </c>
      <c r="B182" s="50">
        <f>VLOOKUP($A182,'Data Vlaue (Cr)'!$C:$FB,8)</f>
        <v>1363.3</v>
      </c>
      <c r="C182" s="50">
        <f>VLOOKUP($A182,'Data Vlaue (Cr)'!$C:$FB,11)*100</f>
        <v>-0.12</v>
      </c>
      <c r="D182" s="50">
        <f>VLOOKUP($A182,'Data Vlaue (Cr)'!$C:$FB,143)</f>
        <v>17055.810000000001</v>
      </c>
      <c r="E182" s="50">
        <f>VLOOKUP($A182,'Data Vlaue (Cr)'!$C:$FB,144)</f>
        <v>22975.38</v>
      </c>
      <c r="F182" s="50">
        <f>VLOOKUP($A182,'Data Vlaue (Cr)'!$C:$FB,146)*100</f>
        <v>-25.759999999999998</v>
      </c>
      <c r="G182" s="49">
        <f>VLOOKUP($A182,'Data Vlaue (Cr)'!$C:$FB,43)</f>
        <v>1822</v>
      </c>
      <c r="H182" s="49">
        <f>VLOOKUP($A182,'Data Vlaue (Cr)'!$C:$FB,44)</f>
        <v>1819</v>
      </c>
      <c r="I182" s="49">
        <f>VLOOKUP($A182,'Data Vlaue (Cr)'!$C:$FB,46)*100</f>
        <v>0.16999999999999998</v>
      </c>
      <c r="J182" s="51">
        <f>VLOOKUP($A182,'Data Vlaue (Cr)'!$C:$FB,59)</f>
        <v>9731</v>
      </c>
      <c r="K182" s="51">
        <f>VLOOKUP($A182,'Data Vlaue (Cr)'!$C:$FB,60)</f>
        <v>14045</v>
      </c>
      <c r="L182" s="51">
        <f>VLOOKUP($A182,'Data Vlaue (Cr)'!$C:$FB,62)*100</f>
        <v>-30.72</v>
      </c>
      <c r="M182" s="51">
        <f>VLOOKUP($A182,'Data Vlaue (Cr)'!$C:$FB,63)</f>
        <v>5166</v>
      </c>
      <c r="N182" s="51">
        <f>VLOOKUP($A182,'Data Vlaue (Cr)'!$C:$FB,64)</f>
        <v>6753</v>
      </c>
      <c r="O182" s="51">
        <f>VLOOKUP($A182,'Data Vlaue (Cr)'!$C:$FB,66)*100</f>
        <v>-23.51</v>
      </c>
    </row>
    <row r="183" spans="1:15" x14ac:dyDescent="0.25">
      <c r="A183" s="101" t="str">
        <f>'Data Vlaue (Cr)'!C178</f>
        <v>RVNL</v>
      </c>
      <c r="B183" s="50">
        <f>VLOOKUP($A183,'Data Vlaue (Cr)'!$C:$FB,8)</f>
        <v>296.33</v>
      </c>
      <c r="C183" s="50">
        <f>VLOOKUP($A183,'Data Vlaue (Cr)'!$C:$FB,11)*100</f>
        <v>-2.2200000000000002</v>
      </c>
      <c r="D183" s="50">
        <f>VLOOKUP($A183,'Data Vlaue (Cr)'!$C:$FB,143)</f>
        <v>1381.64</v>
      </c>
      <c r="E183" s="50">
        <f>VLOOKUP($A183,'Data Vlaue (Cr)'!$C:$FB,144)</f>
        <v>5597.68</v>
      </c>
      <c r="F183" s="50">
        <f>VLOOKUP($A183,'Data Vlaue (Cr)'!$C:$FB,146)*100</f>
        <v>-75.319999999999993</v>
      </c>
      <c r="G183" s="49">
        <f>VLOOKUP($A183,'Data Vlaue (Cr)'!$C:$FB,43)</f>
        <v>326</v>
      </c>
      <c r="H183" s="49">
        <f>VLOOKUP($A183,'Data Vlaue (Cr)'!$C:$FB,44)</f>
        <v>802</v>
      </c>
      <c r="I183" s="49">
        <f>VLOOKUP($A183,'Data Vlaue (Cr)'!$C:$FB,46)*100</f>
        <v>-59.34</v>
      </c>
      <c r="J183" s="51">
        <f>VLOOKUP($A183,'Data Vlaue (Cr)'!$C:$FB,59)</f>
        <v>699</v>
      </c>
      <c r="K183" s="51">
        <f>VLOOKUP($A183,'Data Vlaue (Cr)'!$C:$FB,60)</f>
        <v>3475</v>
      </c>
      <c r="L183" s="51">
        <f>VLOOKUP($A183,'Data Vlaue (Cr)'!$C:$FB,62)*100</f>
        <v>-79.88</v>
      </c>
      <c r="M183" s="51">
        <f>VLOOKUP($A183,'Data Vlaue (Cr)'!$C:$FB,63)</f>
        <v>316</v>
      </c>
      <c r="N183" s="51">
        <f>VLOOKUP($A183,'Data Vlaue (Cr)'!$C:$FB,64)</f>
        <v>1049</v>
      </c>
      <c r="O183" s="51">
        <f>VLOOKUP($A183,'Data Vlaue (Cr)'!$C:$FB,66)*100</f>
        <v>-69.899999999999991</v>
      </c>
    </row>
    <row r="184" spans="1:15" x14ac:dyDescent="0.25">
      <c r="A184" s="101" t="str">
        <f>'Data Vlaue (Cr)'!C179</f>
        <v>SAIL</v>
      </c>
      <c r="B184" s="50">
        <f>VLOOKUP($A184,'Data Vlaue (Cr)'!$C:$FB,8)</f>
        <v>172.71</v>
      </c>
      <c r="C184" s="50">
        <f>VLOOKUP($A184,'Data Vlaue (Cr)'!$C:$FB,11)*100</f>
        <v>-0.36</v>
      </c>
      <c r="D184" s="50">
        <f>VLOOKUP($A184,'Data Vlaue (Cr)'!$C:$FB,143)</f>
        <v>48.44</v>
      </c>
      <c r="E184" s="50">
        <f>VLOOKUP($A184,'Data Vlaue (Cr)'!$C:$FB,144)</f>
        <v>54.09</v>
      </c>
      <c r="F184" s="50">
        <f>VLOOKUP($A184,'Data Vlaue (Cr)'!$C:$FB,146)*100</f>
        <v>-10.43</v>
      </c>
      <c r="G184" s="49">
        <f>VLOOKUP($A184,'Data Vlaue (Cr)'!$C:$FB,43)</f>
        <v>34</v>
      </c>
      <c r="H184" s="49">
        <f>VLOOKUP($A184,'Data Vlaue (Cr)'!$C:$FB,44)</f>
        <v>40</v>
      </c>
      <c r="I184" s="49">
        <f>VLOOKUP($A184,'Data Vlaue (Cr)'!$C:$FB,46)*100</f>
        <v>-14.96</v>
      </c>
      <c r="J184" s="51">
        <f>VLOOKUP($A184,'Data Vlaue (Cr)'!$C:$FB,59)</f>
        <v>3</v>
      </c>
      <c r="K184" s="51">
        <f>VLOOKUP($A184,'Data Vlaue (Cr)'!$C:$FB,60)</f>
        <v>10</v>
      </c>
      <c r="L184" s="51">
        <f>VLOOKUP($A184,'Data Vlaue (Cr)'!$C:$FB,62)*100</f>
        <v>-64.710000000000008</v>
      </c>
      <c r="M184" s="51">
        <f>VLOOKUP($A184,'Data Vlaue (Cr)'!$C:$FB,63)</f>
        <v>13</v>
      </c>
      <c r="N184" s="51">
        <f>VLOOKUP($A184,'Data Vlaue (Cr)'!$C:$FB,64)</f>
        <v>5</v>
      </c>
      <c r="O184" s="51">
        <f>VLOOKUP($A184,'Data Vlaue (Cr)'!$C:$FB,66)*100</f>
        <v>147.62</v>
      </c>
    </row>
    <row r="185" spans="1:15" x14ac:dyDescent="0.25">
      <c r="A185" s="101" t="str">
        <f>'Data Vlaue (Cr)'!C180</f>
        <v>SAMMAANCAP</v>
      </c>
      <c r="B185" s="50">
        <f>VLOOKUP($A185,'Data Vlaue (Cr)'!$C:$FB,8)</f>
        <v>152.07</v>
      </c>
      <c r="C185" s="50">
        <f>VLOOKUP($A185,'Data Vlaue (Cr)'!$C:$FB,11)*100</f>
        <v>-1.59</v>
      </c>
      <c r="D185" s="50">
        <f>VLOOKUP($A185,'Data Vlaue (Cr)'!$C:$FB,143)</f>
        <v>35.99</v>
      </c>
      <c r="E185" s="50">
        <f>VLOOKUP($A185,'Data Vlaue (Cr)'!$C:$FB,144)</f>
        <v>33.42</v>
      </c>
      <c r="F185" s="50">
        <f>VLOOKUP($A185,'Data Vlaue (Cr)'!$C:$FB,146)*100</f>
        <v>7.7</v>
      </c>
      <c r="G185" s="49">
        <f>VLOOKUP($A185,'Data Vlaue (Cr)'!$C:$FB,43)</f>
        <v>33</v>
      </c>
      <c r="H185" s="49">
        <f>VLOOKUP($A185,'Data Vlaue (Cr)'!$C:$FB,44)</f>
        <v>28</v>
      </c>
      <c r="I185" s="49">
        <f>VLOOKUP($A185,'Data Vlaue (Cr)'!$C:$FB,46)*100</f>
        <v>16.509999999999998</v>
      </c>
      <c r="J185" s="51">
        <f>VLOOKUP($A185,'Data Vlaue (Cr)'!$C:$FB,59)</f>
        <v>2</v>
      </c>
      <c r="K185" s="51">
        <f>VLOOKUP($A185,'Data Vlaue (Cr)'!$C:$FB,60)</f>
        <v>3</v>
      </c>
      <c r="L185" s="51">
        <f>VLOOKUP($A185,'Data Vlaue (Cr)'!$C:$FB,62)*100</f>
        <v>-13.16</v>
      </c>
      <c r="M185" s="51">
        <f>VLOOKUP($A185,'Data Vlaue (Cr)'!$C:$FB,63)</f>
        <v>1</v>
      </c>
      <c r="N185" s="51">
        <f>VLOOKUP($A185,'Data Vlaue (Cr)'!$C:$FB,64)</f>
        <v>2</v>
      </c>
      <c r="O185" s="51">
        <f>VLOOKUP($A185,'Data Vlaue (Cr)'!$C:$FB,66)*100</f>
        <v>-67.569999999999993</v>
      </c>
    </row>
    <row r="186" spans="1:15" x14ac:dyDescent="0.25">
      <c r="A186" s="101" t="str">
        <f>'Data Vlaue (Cr)'!C181</f>
        <v>SBICARD</v>
      </c>
      <c r="B186" s="50">
        <f>VLOOKUP($A186,'Data Vlaue (Cr)'!$C:$FB,8)</f>
        <v>675.3</v>
      </c>
      <c r="C186" s="50">
        <f>VLOOKUP($A186,'Data Vlaue (Cr)'!$C:$FB,11)*100</f>
        <v>-2.86</v>
      </c>
      <c r="D186" s="50">
        <f>VLOOKUP($A186,'Data Vlaue (Cr)'!$C:$FB,143)</f>
        <v>1559.67</v>
      </c>
      <c r="E186" s="50">
        <f>VLOOKUP($A186,'Data Vlaue (Cr)'!$C:$FB,144)</f>
        <v>863.3</v>
      </c>
      <c r="F186" s="50">
        <f>VLOOKUP($A186,'Data Vlaue (Cr)'!$C:$FB,146)*100</f>
        <v>80.66</v>
      </c>
      <c r="G186" s="49">
        <f>VLOOKUP($A186,'Data Vlaue (Cr)'!$C:$FB,43)</f>
        <v>603</v>
      </c>
      <c r="H186" s="49">
        <f>VLOOKUP($A186,'Data Vlaue (Cr)'!$C:$FB,44)</f>
        <v>304</v>
      </c>
      <c r="I186" s="49">
        <f>VLOOKUP($A186,'Data Vlaue (Cr)'!$C:$FB,46)*100</f>
        <v>98.16</v>
      </c>
      <c r="J186" s="51">
        <f>VLOOKUP($A186,'Data Vlaue (Cr)'!$C:$FB,59)</f>
        <v>563</v>
      </c>
      <c r="K186" s="51">
        <f>VLOOKUP($A186,'Data Vlaue (Cr)'!$C:$FB,60)</f>
        <v>333</v>
      </c>
      <c r="L186" s="51">
        <f>VLOOKUP($A186,'Data Vlaue (Cr)'!$C:$FB,62)*100</f>
        <v>69.08</v>
      </c>
      <c r="M186" s="51">
        <f>VLOOKUP($A186,'Data Vlaue (Cr)'!$C:$FB,63)</f>
        <v>340</v>
      </c>
      <c r="N186" s="51">
        <f>VLOOKUP($A186,'Data Vlaue (Cr)'!$C:$FB,64)</f>
        <v>188</v>
      </c>
      <c r="O186" s="51">
        <f>VLOOKUP($A186,'Data Vlaue (Cr)'!$C:$FB,66)*100</f>
        <v>80.55</v>
      </c>
    </row>
    <row r="187" spans="1:15" x14ac:dyDescent="0.25">
      <c r="A187" s="101" t="str">
        <f>'Data Vlaue (Cr)'!C182</f>
        <v>SBILIFE</v>
      </c>
      <c r="B187" s="50">
        <f>VLOOKUP($A187,'Data Vlaue (Cr)'!$C:$FB,8)</f>
        <v>1982.5</v>
      </c>
      <c r="C187" s="50">
        <f>VLOOKUP($A187,'Data Vlaue (Cr)'!$C:$FB,11)*100</f>
        <v>0.59</v>
      </c>
      <c r="D187" s="50">
        <f>VLOOKUP($A187,'Data Vlaue (Cr)'!$C:$FB,143)</f>
        <v>1083.27</v>
      </c>
      <c r="E187" s="50">
        <f>VLOOKUP($A187,'Data Vlaue (Cr)'!$C:$FB,144)</f>
        <v>880.81</v>
      </c>
      <c r="F187" s="50">
        <f>VLOOKUP($A187,'Data Vlaue (Cr)'!$C:$FB,146)*100</f>
        <v>22.99</v>
      </c>
      <c r="G187" s="49">
        <f>VLOOKUP($A187,'Data Vlaue (Cr)'!$C:$FB,43)</f>
        <v>347</v>
      </c>
      <c r="H187" s="49">
        <f>VLOOKUP($A187,'Data Vlaue (Cr)'!$C:$FB,44)</f>
        <v>132</v>
      </c>
      <c r="I187" s="49">
        <f>VLOOKUP($A187,'Data Vlaue (Cr)'!$C:$FB,46)*100</f>
        <v>162.63</v>
      </c>
      <c r="J187" s="51">
        <f>VLOOKUP($A187,'Data Vlaue (Cr)'!$C:$FB,59)</f>
        <v>535</v>
      </c>
      <c r="K187" s="51">
        <f>VLOOKUP($A187,'Data Vlaue (Cr)'!$C:$FB,60)</f>
        <v>514</v>
      </c>
      <c r="L187" s="51">
        <f>VLOOKUP($A187,'Data Vlaue (Cr)'!$C:$FB,62)*100</f>
        <v>4.17</v>
      </c>
      <c r="M187" s="51">
        <f>VLOOKUP($A187,'Data Vlaue (Cr)'!$C:$FB,63)</f>
        <v>190</v>
      </c>
      <c r="N187" s="51">
        <f>VLOOKUP($A187,'Data Vlaue (Cr)'!$C:$FB,64)</f>
        <v>224</v>
      </c>
      <c r="O187" s="51">
        <f>VLOOKUP($A187,'Data Vlaue (Cr)'!$C:$FB,66)*100</f>
        <v>-15.35</v>
      </c>
    </row>
    <row r="188" spans="1:15" x14ac:dyDescent="0.25">
      <c r="A188" s="101" t="str">
        <f>'Data Vlaue (Cr)'!C183</f>
        <v>SBIN</v>
      </c>
      <c r="B188" s="50">
        <f>VLOOKUP($A188,'Data Vlaue (Cr)'!$C:$FB,8)</f>
        <v>1107.8499999999999</v>
      </c>
      <c r="C188" s="50">
        <f>VLOOKUP($A188,'Data Vlaue (Cr)'!$C:$FB,11)*100</f>
        <v>2.5499999999999998</v>
      </c>
      <c r="D188" s="50">
        <f>VLOOKUP($A188,'Data Vlaue (Cr)'!$C:$FB,143)</f>
        <v>35333.29</v>
      </c>
      <c r="E188" s="50">
        <f>VLOOKUP($A188,'Data Vlaue (Cr)'!$C:$FB,144)</f>
        <v>11374.77</v>
      </c>
      <c r="F188" s="50">
        <f>VLOOKUP($A188,'Data Vlaue (Cr)'!$C:$FB,146)*100</f>
        <v>210.63</v>
      </c>
      <c r="G188" s="49">
        <f>VLOOKUP($A188,'Data Vlaue (Cr)'!$C:$FB,43)</f>
        <v>3058</v>
      </c>
      <c r="H188" s="49">
        <f>VLOOKUP($A188,'Data Vlaue (Cr)'!$C:$FB,44)</f>
        <v>1341</v>
      </c>
      <c r="I188" s="49">
        <f>VLOOKUP($A188,'Data Vlaue (Cr)'!$C:$FB,46)*100</f>
        <v>128.06</v>
      </c>
      <c r="J188" s="51">
        <f>VLOOKUP($A188,'Data Vlaue (Cr)'!$C:$FB,59)</f>
        <v>20639</v>
      </c>
      <c r="K188" s="51">
        <f>VLOOKUP($A188,'Data Vlaue (Cr)'!$C:$FB,60)</f>
        <v>6309</v>
      </c>
      <c r="L188" s="51">
        <f>VLOOKUP($A188,'Data Vlaue (Cr)'!$C:$FB,62)*100</f>
        <v>227.16</v>
      </c>
      <c r="M188" s="51">
        <f>VLOOKUP($A188,'Data Vlaue (Cr)'!$C:$FB,63)</f>
        <v>11251</v>
      </c>
      <c r="N188" s="51">
        <f>VLOOKUP($A188,'Data Vlaue (Cr)'!$C:$FB,64)</f>
        <v>3894</v>
      </c>
      <c r="O188" s="51">
        <f>VLOOKUP($A188,'Data Vlaue (Cr)'!$C:$FB,66)*100</f>
        <v>188.92</v>
      </c>
    </row>
    <row r="189" spans="1:15" x14ac:dyDescent="0.25">
      <c r="A189" s="101" t="str">
        <f>'Data Vlaue (Cr)'!C184</f>
        <v>SHREECEM</v>
      </c>
      <c r="B189" s="50">
        <f>VLOOKUP($A189,'Data Vlaue (Cr)'!$C:$FB,8)</f>
        <v>25490</v>
      </c>
      <c r="C189" s="50">
        <f>VLOOKUP($A189,'Data Vlaue (Cr)'!$C:$FB,11)*100</f>
        <v>0.79</v>
      </c>
      <c r="D189" s="50">
        <f>VLOOKUP($A189,'Data Vlaue (Cr)'!$C:$FB,143)</f>
        <v>266.64</v>
      </c>
      <c r="E189" s="50">
        <f>VLOOKUP($A189,'Data Vlaue (Cr)'!$C:$FB,144)</f>
        <v>165.06</v>
      </c>
      <c r="F189" s="50">
        <f>VLOOKUP($A189,'Data Vlaue (Cr)'!$C:$FB,146)*100</f>
        <v>61.539999999999992</v>
      </c>
      <c r="G189" s="49">
        <f>VLOOKUP($A189,'Data Vlaue (Cr)'!$C:$FB,43)</f>
        <v>144</v>
      </c>
      <c r="H189" s="49">
        <f>VLOOKUP($A189,'Data Vlaue (Cr)'!$C:$FB,44)</f>
        <v>68</v>
      </c>
      <c r="I189" s="49">
        <f>VLOOKUP($A189,'Data Vlaue (Cr)'!$C:$FB,46)*100</f>
        <v>112.92</v>
      </c>
      <c r="J189" s="51">
        <f>VLOOKUP($A189,'Data Vlaue (Cr)'!$C:$FB,59)</f>
        <v>87</v>
      </c>
      <c r="K189" s="51">
        <f>VLOOKUP($A189,'Data Vlaue (Cr)'!$C:$FB,60)</f>
        <v>80</v>
      </c>
      <c r="L189" s="51">
        <f>VLOOKUP($A189,'Data Vlaue (Cr)'!$C:$FB,62)*100</f>
        <v>8.1199999999999992</v>
      </c>
      <c r="M189" s="51">
        <f>VLOOKUP($A189,'Data Vlaue (Cr)'!$C:$FB,63)</f>
        <v>33</v>
      </c>
      <c r="N189" s="51">
        <f>VLOOKUP($A189,'Data Vlaue (Cr)'!$C:$FB,64)</f>
        <v>16</v>
      </c>
      <c r="O189" s="51">
        <f>VLOOKUP($A189,'Data Vlaue (Cr)'!$C:$FB,66)*100</f>
        <v>112.9</v>
      </c>
    </row>
    <row r="190" spans="1:15" x14ac:dyDescent="0.25">
      <c r="A190" s="101" t="str">
        <f>'Data Vlaue (Cr)'!C185</f>
        <v>SHRIRAMFIN</v>
      </c>
      <c r="B190" s="50">
        <f>VLOOKUP($A190,'Data Vlaue (Cr)'!$C:$FB,8)</f>
        <v>1045.1500000000001</v>
      </c>
      <c r="C190" s="50">
        <f>VLOOKUP($A190,'Data Vlaue (Cr)'!$C:$FB,11)*100</f>
        <v>0.79</v>
      </c>
      <c r="D190" s="50">
        <f>VLOOKUP($A190,'Data Vlaue (Cr)'!$C:$FB,143)</f>
        <v>3273.34</v>
      </c>
      <c r="E190" s="50">
        <f>VLOOKUP($A190,'Data Vlaue (Cr)'!$C:$FB,144)</f>
        <v>2649.6</v>
      </c>
      <c r="F190" s="50">
        <f>VLOOKUP($A190,'Data Vlaue (Cr)'!$C:$FB,146)*100</f>
        <v>23.54</v>
      </c>
      <c r="G190" s="49">
        <f>VLOOKUP($A190,'Data Vlaue (Cr)'!$C:$FB,43)</f>
        <v>785</v>
      </c>
      <c r="H190" s="49">
        <f>VLOOKUP($A190,'Data Vlaue (Cr)'!$C:$FB,44)</f>
        <v>604</v>
      </c>
      <c r="I190" s="49">
        <f>VLOOKUP($A190,'Data Vlaue (Cr)'!$C:$FB,46)*100</f>
        <v>30.06</v>
      </c>
      <c r="J190" s="51">
        <f>VLOOKUP($A190,'Data Vlaue (Cr)'!$C:$FB,59)</f>
        <v>1652</v>
      </c>
      <c r="K190" s="51">
        <f>VLOOKUP($A190,'Data Vlaue (Cr)'!$C:$FB,60)</f>
        <v>1386</v>
      </c>
      <c r="L190" s="51">
        <f>VLOOKUP($A190,'Data Vlaue (Cr)'!$C:$FB,62)*100</f>
        <v>19.149999999999999</v>
      </c>
      <c r="M190" s="51">
        <f>VLOOKUP($A190,'Data Vlaue (Cr)'!$C:$FB,63)</f>
        <v>778</v>
      </c>
      <c r="N190" s="51">
        <f>VLOOKUP($A190,'Data Vlaue (Cr)'!$C:$FB,64)</f>
        <v>629</v>
      </c>
      <c r="O190" s="51">
        <f>VLOOKUP($A190,'Data Vlaue (Cr)'!$C:$FB,66)*100</f>
        <v>23.66</v>
      </c>
    </row>
    <row r="191" spans="1:15" x14ac:dyDescent="0.25">
      <c r="A191" s="101" t="str">
        <f>'Data Vlaue (Cr)'!C186</f>
        <v>SIEMENS</v>
      </c>
      <c r="B191" s="50">
        <f>VLOOKUP($A191,'Data Vlaue (Cr)'!$C:$FB,8)</f>
        <v>3709</v>
      </c>
      <c r="C191" s="50">
        <f>VLOOKUP($A191,'Data Vlaue (Cr)'!$C:$FB,11)*100</f>
        <v>0.03</v>
      </c>
      <c r="D191" s="50">
        <f>VLOOKUP($A191,'Data Vlaue (Cr)'!$C:$FB,143)</f>
        <v>2850.54</v>
      </c>
      <c r="E191" s="50">
        <f>VLOOKUP($A191,'Data Vlaue (Cr)'!$C:$FB,144)</f>
        <v>5275.89</v>
      </c>
      <c r="F191" s="50">
        <f>VLOOKUP($A191,'Data Vlaue (Cr)'!$C:$FB,146)*100</f>
        <v>-45.97</v>
      </c>
      <c r="G191" s="49">
        <f>VLOOKUP($A191,'Data Vlaue (Cr)'!$C:$FB,43)</f>
        <v>340</v>
      </c>
      <c r="H191" s="49">
        <f>VLOOKUP($A191,'Data Vlaue (Cr)'!$C:$FB,44)</f>
        <v>425</v>
      </c>
      <c r="I191" s="49">
        <f>VLOOKUP($A191,'Data Vlaue (Cr)'!$C:$FB,46)*100</f>
        <v>-19.96</v>
      </c>
      <c r="J191" s="51">
        <f>VLOOKUP($A191,'Data Vlaue (Cr)'!$C:$FB,59)</f>
        <v>1611</v>
      </c>
      <c r="K191" s="51">
        <f>VLOOKUP($A191,'Data Vlaue (Cr)'!$C:$FB,60)</f>
        <v>3346</v>
      </c>
      <c r="L191" s="51">
        <f>VLOOKUP($A191,'Data Vlaue (Cr)'!$C:$FB,62)*100</f>
        <v>-51.839999999999996</v>
      </c>
      <c r="M191" s="51">
        <f>VLOOKUP($A191,'Data Vlaue (Cr)'!$C:$FB,63)</f>
        <v>849</v>
      </c>
      <c r="N191" s="51">
        <f>VLOOKUP($A191,'Data Vlaue (Cr)'!$C:$FB,64)</f>
        <v>1555</v>
      </c>
      <c r="O191" s="51">
        <f>VLOOKUP($A191,'Data Vlaue (Cr)'!$C:$FB,66)*100</f>
        <v>-45.410000000000004</v>
      </c>
    </row>
    <row r="192" spans="1:15" x14ac:dyDescent="0.25">
      <c r="A192" s="101" t="str">
        <f>'Data Vlaue (Cr)'!C187</f>
        <v>SOLARINDS</v>
      </c>
      <c r="B192" s="50">
        <f>VLOOKUP($A192,'Data Vlaue (Cr)'!$C:$FB,8)</f>
        <v>14907</v>
      </c>
      <c r="C192" s="50">
        <f>VLOOKUP($A192,'Data Vlaue (Cr)'!$C:$FB,11)*100</f>
        <v>-1.21</v>
      </c>
      <c r="D192" s="50">
        <f>VLOOKUP($A192,'Data Vlaue (Cr)'!$C:$FB,143)</f>
        <v>606.17999999999995</v>
      </c>
      <c r="E192" s="50">
        <f>VLOOKUP($A192,'Data Vlaue (Cr)'!$C:$FB,144)</f>
        <v>1748.2</v>
      </c>
      <c r="F192" s="50">
        <f>VLOOKUP($A192,'Data Vlaue (Cr)'!$C:$FB,146)*100</f>
        <v>-65.33</v>
      </c>
      <c r="G192" s="49">
        <f>VLOOKUP($A192,'Data Vlaue (Cr)'!$C:$FB,43)</f>
        <v>117</v>
      </c>
      <c r="H192" s="49">
        <f>VLOOKUP($A192,'Data Vlaue (Cr)'!$C:$FB,44)</f>
        <v>187</v>
      </c>
      <c r="I192" s="49">
        <f>VLOOKUP($A192,'Data Vlaue (Cr)'!$C:$FB,46)*100</f>
        <v>-37.15</v>
      </c>
      <c r="J192" s="51">
        <f>VLOOKUP($A192,'Data Vlaue (Cr)'!$C:$FB,59)</f>
        <v>241</v>
      </c>
      <c r="K192" s="51">
        <f>VLOOKUP($A192,'Data Vlaue (Cr)'!$C:$FB,60)</f>
        <v>468</v>
      </c>
      <c r="L192" s="51">
        <f>VLOOKUP($A192,'Data Vlaue (Cr)'!$C:$FB,62)*100</f>
        <v>-48.42</v>
      </c>
      <c r="M192" s="51">
        <f>VLOOKUP($A192,'Data Vlaue (Cr)'!$C:$FB,63)</f>
        <v>258</v>
      </c>
      <c r="N192" s="51">
        <f>VLOOKUP($A192,'Data Vlaue (Cr)'!$C:$FB,64)</f>
        <v>1267</v>
      </c>
      <c r="O192" s="51">
        <f>VLOOKUP($A192,'Data Vlaue (Cr)'!$C:$FB,66)*100</f>
        <v>-79.679999999999993</v>
      </c>
    </row>
    <row r="193" spans="1:15" x14ac:dyDescent="0.25">
      <c r="A193" s="101" t="str">
        <f>'Data Vlaue (Cr)'!C188</f>
        <v>SONACOMS</v>
      </c>
      <c r="B193" s="50">
        <f>VLOOKUP($A193,'Data Vlaue (Cr)'!$C:$FB,8)</f>
        <v>576.54999999999995</v>
      </c>
      <c r="C193" s="50">
        <f>VLOOKUP($A193,'Data Vlaue (Cr)'!$C:$FB,11)*100</f>
        <v>-2.91</v>
      </c>
      <c r="D193" s="50">
        <f>VLOOKUP($A193,'Data Vlaue (Cr)'!$C:$FB,143)</f>
        <v>522.91</v>
      </c>
      <c r="E193" s="50">
        <f>VLOOKUP($A193,'Data Vlaue (Cr)'!$C:$FB,144)</f>
        <v>1081.5899999999999</v>
      </c>
      <c r="F193" s="50">
        <f>VLOOKUP($A193,'Data Vlaue (Cr)'!$C:$FB,146)*100</f>
        <v>-51.65</v>
      </c>
      <c r="G193" s="49">
        <f>VLOOKUP($A193,'Data Vlaue (Cr)'!$C:$FB,43)</f>
        <v>160</v>
      </c>
      <c r="H193" s="49">
        <f>VLOOKUP($A193,'Data Vlaue (Cr)'!$C:$FB,44)</f>
        <v>230</v>
      </c>
      <c r="I193" s="49">
        <f>VLOOKUP($A193,'Data Vlaue (Cr)'!$C:$FB,46)*100</f>
        <v>-30.599999999999998</v>
      </c>
      <c r="J193" s="51">
        <f>VLOOKUP($A193,'Data Vlaue (Cr)'!$C:$FB,59)</f>
        <v>213</v>
      </c>
      <c r="K193" s="51">
        <f>VLOOKUP($A193,'Data Vlaue (Cr)'!$C:$FB,60)</f>
        <v>594</v>
      </c>
      <c r="L193" s="51">
        <f>VLOOKUP($A193,'Data Vlaue (Cr)'!$C:$FB,62)*100</f>
        <v>-64.059999999999988</v>
      </c>
      <c r="M193" s="51">
        <f>VLOOKUP($A193,'Data Vlaue (Cr)'!$C:$FB,63)</f>
        <v>136</v>
      </c>
      <c r="N193" s="51">
        <f>VLOOKUP($A193,'Data Vlaue (Cr)'!$C:$FB,64)</f>
        <v>210</v>
      </c>
      <c r="O193" s="51">
        <f>VLOOKUP($A193,'Data Vlaue (Cr)'!$C:$FB,66)*100</f>
        <v>-35.5</v>
      </c>
    </row>
    <row r="194" spans="1:15" x14ac:dyDescent="0.25">
      <c r="A194" s="101" t="str">
        <f>'Data Vlaue (Cr)'!C189</f>
        <v>SRF</v>
      </c>
      <c r="B194" s="50">
        <f>VLOOKUP($A194,'Data Vlaue (Cr)'!$C:$FB,8)</f>
        <v>2465.1</v>
      </c>
      <c r="C194" s="50">
        <f>VLOOKUP($A194,'Data Vlaue (Cr)'!$C:$FB,11)*100</f>
        <v>-1.18</v>
      </c>
      <c r="D194" s="50">
        <f>VLOOKUP($A194,'Data Vlaue (Cr)'!$C:$FB,143)</f>
        <v>771.09</v>
      </c>
      <c r="E194" s="50">
        <f>VLOOKUP($A194,'Data Vlaue (Cr)'!$C:$FB,144)</f>
        <v>1079.07</v>
      </c>
      <c r="F194" s="50">
        <f>VLOOKUP($A194,'Data Vlaue (Cr)'!$C:$FB,146)*100</f>
        <v>-28.54</v>
      </c>
      <c r="G194" s="49">
        <f>VLOOKUP($A194,'Data Vlaue (Cr)'!$C:$FB,43)</f>
        <v>113</v>
      </c>
      <c r="H194" s="49">
        <f>VLOOKUP($A194,'Data Vlaue (Cr)'!$C:$FB,44)</f>
        <v>175</v>
      </c>
      <c r="I194" s="49">
        <f>VLOOKUP($A194,'Data Vlaue (Cr)'!$C:$FB,46)*100</f>
        <v>-35.620000000000005</v>
      </c>
      <c r="J194" s="51">
        <f>VLOOKUP($A194,'Data Vlaue (Cr)'!$C:$FB,59)</f>
        <v>476</v>
      </c>
      <c r="K194" s="51">
        <f>VLOOKUP($A194,'Data Vlaue (Cr)'!$C:$FB,60)</f>
        <v>642</v>
      </c>
      <c r="L194" s="51">
        <f>VLOOKUP($A194,'Data Vlaue (Cr)'!$C:$FB,62)*100</f>
        <v>-25.83</v>
      </c>
      <c r="M194" s="51">
        <f>VLOOKUP($A194,'Data Vlaue (Cr)'!$C:$FB,63)</f>
        <v>158</v>
      </c>
      <c r="N194" s="51">
        <f>VLOOKUP($A194,'Data Vlaue (Cr)'!$C:$FB,64)</f>
        <v>223</v>
      </c>
      <c r="O194" s="51">
        <f>VLOOKUP($A194,'Data Vlaue (Cr)'!$C:$FB,66)*100</f>
        <v>-28.970000000000002</v>
      </c>
    </row>
    <row r="195" spans="1:15" x14ac:dyDescent="0.25">
      <c r="A195" s="101" t="str">
        <f>'Data Vlaue (Cr)'!C190</f>
        <v>SUNPHARMA</v>
      </c>
      <c r="B195" s="50">
        <f>VLOOKUP($A195,'Data Vlaue (Cr)'!$C:$FB,8)</f>
        <v>1668.6</v>
      </c>
      <c r="C195" s="50">
        <f>VLOOKUP($A195,'Data Vlaue (Cr)'!$C:$FB,11)*100</f>
        <v>-0.41000000000000003</v>
      </c>
      <c r="D195" s="50">
        <f>VLOOKUP($A195,'Data Vlaue (Cr)'!$C:$FB,143)</f>
        <v>2043.7</v>
      </c>
      <c r="E195" s="50">
        <f>VLOOKUP($A195,'Data Vlaue (Cr)'!$C:$FB,144)</f>
        <v>3368.03</v>
      </c>
      <c r="F195" s="50">
        <f>VLOOKUP($A195,'Data Vlaue (Cr)'!$C:$FB,146)*100</f>
        <v>-39.32</v>
      </c>
      <c r="G195" s="49">
        <f>VLOOKUP($A195,'Data Vlaue (Cr)'!$C:$FB,43)</f>
        <v>308</v>
      </c>
      <c r="H195" s="49">
        <f>VLOOKUP($A195,'Data Vlaue (Cr)'!$C:$FB,44)</f>
        <v>458</v>
      </c>
      <c r="I195" s="49">
        <f>VLOOKUP($A195,'Data Vlaue (Cr)'!$C:$FB,46)*100</f>
        <v>-32.74</v>
      </c>
      <c r="J195" s="51">
        <f>VLOOKUP($A195,'Data Vlaue (Cr)'!$C:$FB,59)</f>
        <v>1134</v>
      </c>
      <c r="K195" s="51">
        <f>VLOOKUP($A195,'Data Vlaue (Cr)'!$C:$FB,60)</f>
        <v>1634</v>
      </c>
      <c r="L195" s="51">
        <f>VLOOKUP($A195,'Data Vlaue (Cr)'!$C:$FB,62)*100</f>
        <v>-30.570000000000004</v>
      </c>
      <c r="M195" s="51">
        <f>VLOOKUP($A195,'Data Vlaue (Cr)'!$C:$FB,63)</f>
        <v>559</v>
      </c>
      <c r="N195" s="51">
        <f>VLOOKUP($A195,'Data Vlaue (Cr)'!$C:$FB,64)</f>
        <v>1205</v>
      </c>
      <c r="O195" s="51">
        <f>VLOOKUP($A195,'Data Vlaue (Cr)'!$C:$FB,66)*100</f>
        <v>-53.580000000000005</v>
      </c>
    </row>
    <row r="196" spans="1:15" x14ac:dyDescent="0.25">
      <c r="A196" s="101" t="str">
        <f>'Data Vlaue (Cr)'!C191</f>
        <v>SUPREMEIND</v>
      </c>
      <c r="B196" s="50">
        <f>VLOOKUP($A196,'Data Vlaue (Cr)'!$C:$FB,8)</f>
        <v>3711.8</v>
      </c>
      <c r="C196" s="50">
        <f>VLOOKUP($A196,'Data Vlaue (Cr)'!$C:$FB,11)*100</f>
        <v>0.08</v>
      </c>
      <c r="D196" s="50">
        <f>VLOOKUP($A196,'Data Vlaue (Cr)'!$C:$FB,143)</f>
        <v>544.1</v>
      </c>
      <c r="E196" s="50">
        <f>VLOOKUP($A196,'Data Vlaue (Cr)'!$C:$FB,144)</f>
        <v>881.58</v>
      </c>
      <c r="F196" s="50">
        <f>VLOOKUP($A196,'Data Vlaue (Cr)'!$C:$FB,146)*100</f>
        <v>-38.279999999999994</v>
      </c>
      <c r="G196" s="49">
        <f>VLOOKUP($A196,'Data Vlaue (Cr)'!$C:$FB,43)</f>
        <v>100</v>
      </c>
      <c r="H196" s="49">
        <f>VLOOKUP($A196,'Data Vlaue (Cr)'!$C:$FB,44)</f>
        <v>282</v>
      </c>
      <c r="I196" s="49">
        <f>VLOOKUP($A196,'Data Vlaue (Cr)'!$C:$FB,46)*100</f>
        <v>-64.510000000000005</v>
      </c>
      <c r="J196" s="51">
        <f>VLOOKUP($A196,'Data Vlaue (Cr)'!$C:$FB,59)</f>
        <v>311</v>
      </c>
      <c r="K196" s="51">
        <f>VLOOKUP($A196,'Data Vlaue (Cr)'!$C:$FB,60)</f>
        <v>408</v>
      </c>
      <c r="L196" s="51">
        <f>VLOOKUP($A196,'Data Vlaue (Cr)'!$C:$FB,62)*100</f>
        <v>-23.96</v>
      </c>
      <c r="M196" s="51">
        <f>VLOOKUP($A196,'Data Vlaue (Cr)'!$C:$FB,63)</f>
        <v>113</v>
      </c>
      <c r="N196" s="51">
        <f>VLOOKUP($A196,'Data Vlaue (Cr)'!$C:$FB,64)</f>
        <v>171</v>
      </c>
      <c r="O196" s="51">
        <f>VLOOKUP($A196,'Data Vlaue (Cr)'!$C:$FB,66)*100</f>
        <v>-33.89</v>
      </c>
    </row>
    <row r="197" spans="1:15" x14ac:dyDescent="0.25">
      <c r="A197" s="101" t="str">
        <f>'Data Vlaue (Cr)'!C192</f>
        <v>SUZLON</v>
      </c>
      <c r="B197" s="50">
        <f>VLOOKUP($A197,'Data Vlaue (Cr)'!$C:$FB,8)</f>
        <v>52.5</v>
      </c>
      <c r="C197" s="50">
        <f>VLOOKUP($A197,'Data Vlaue (Cr)'!$C:$FB,11)*100</f>
        <v>-0.80999999999999994</v>
      </c>
      <c r="D197" s="50">
        <f>VLOOKUP($A197,'Data Vlaue (Cr)'!$C:$FB,143)</f>
        <v>3165.89</v>
      </c>
      <c r="E197" s="50">
        <f>VLOOKUP($A197,'Data Vlaue (Cr)'!$C:$FB,144)</f>
        <v>5915.71</v>
      </c>
      <c r="F197" s="50">
        <f>VLOOKUP($A197,'Data Vlaue (Cr)'!$C:$FB,146)*100</f>
        <v>-46.48</v>
      </c>
      <c r="G197" s="49">
        <f>VLOOKUP($A197,'Data Vlaue (Cr)'!$C:$FB,43)</f>
        <v>537</v>
      </c>
      <c r="H197" s="49">
        <f>VLOOKUP($A197,'Data Vlaue (Cr)'!$C:$FB,44)</f>
        <v>1071</v>
      </c>
      <c r="I197" s="49">
        <f>VLOOKUP($A197,'Data Vlaue (Cr)'!$C:$FB,46)*100</f>
        <v>-49.82</v>
      </c>
      <c r="J197" s="51">
        <f>VLOOKUP($A197,'Data Vlaue (Cr)'!$C:$FB,59)</f>
        <v>1645</v>
      </c>
      <c r="K197" s="51">
        <f>VLOOKUP($A197,'Data Vlaue (Cr)'!$C:$FB,60)</f>
        <v>3270</v>
      </c>
      <c r="L197" s="51">
        <f>VLOOKUP($A197,'Data Vlaue (Cr)'!$C:$FB,62)*100</f>
        <v>-49.7</v>
      </c>
      <c r="M197" s="51">
        <f>VLOOKUP($A197,'Data Vlaue (Cr)'!$C:$FB,63)</f>
        <v>922</v>
      </c>
      <c r="N197" s="51">
        <f>VLOOKUP($A197,'Data Vlaue (Cr)'!$C:$FB,64)</f>
        <v>1535</v>
      </c>
      <c r="O197" s="51">
        <f>VLOOKUP($A197,'Data Vlaue (Cr)'!$C:$FB,66)*100</f>
        <v>-39.97</v>
      </c>
    </row>
    <row r="198" spans="1:15" x14ac:dyDescent="0.25">
      <c r="A198" s="101" t="str">
        <f>'Data Vlaue (Cr)'!C193</f>
        <v>SWIGGY</v>
      </c>
      <c r="B198" s="50">
        <f>VLOOKUP($A198,'Data Vlaue (Cr)'!$C:$FB,8)</f>
        <v>279.14999999999998</v>
      </c>
      <c r="C198" s="50">
        <f>VLOOKUP($A198,'Data Vlaue (Cr)'!$C:$FB,11)*100</f>
        <v>0.61</v>
      </c>
      <c r="D198" s="50">
        <f>VLOOKUP($A198,'Data Vlaue (Cr)'!$C:$FB,143)</f>
        <v>852.05</v>
      </c>
      <c r="E198" s="50">
        <f>VLOOKUP($A198,'Data Vlaue (Cr)'!$C:$FB,144)</f>
        <v>917.92</v>
      </c>
      <c r="F198" s="50">
        <f>VLOOKUP($A198,'Data Vlaue (Cr)'!$C:$FB,146)*100</f>
        <v>-7.1800000000000006</v>
      </c>
      <c r="G198" s="49">
        <f>VLOOKUP($A198,'Data Vlaue (Cr)'!$C:$FB,43)</f>
        <v>231</v>
      </c>
      <c r="H198" s="49">
        <f>VLOOKUP($A198,'Data Vlaue (Cr)'!$C:$FB,44)</f>
        <v>230</v>
      </c>
      <c r="I198" s="49">
        <f>VLOOKUP($A198,'Data Vlaue (Cr)'!$C:$FB,46)*100</f>
        <v>0.38999999999999996</v>
      </c>
      <c r="J198" s="51">
        <f>VLOOKUP($A198,'Data Vlaue (Cr)'!$C:$FB,59)</f>
        <v>464</v>
      </c>
      <c r="K198" s="51">
        <f>VLOOKUP($A198,'Data Vlaue (Cr)'!$C:$FB,60)</f>
        <v>507</v>
      </c>
      <c r="L198" s="51">
        <f>VLOOKUP($A198,'Data Vlaue (Cr)'!$C:$FB,62)*100</f>
        <v>-8.48</v>
      </c>
      <c r="M198" s="51">
        <f>VLOOKUP($A198,'Data Vlaue (Cr)'!$C:$FB,63)</f>
        <v>132</v>
      </c>
      <c r="N198" s="51">
        <f>VLOOKUP($A198,'Data Vlaue (Cr)'!$C:$FB,64)</f>
        <v>159</v>
      </c>
      <c r="O198" s="51">
        <f>VLOOKUP($A198,'Data Vlaue (Cr)'!$C:$FB,66)*100</f>
        <v>-17.080000000000002</v>
      </c>
    </row>
    <row r="199" spans="1:15" x14ac:dyDescent="0.25">
      <c r="A199" s="101" t="str">
        <f>'Data Vlaue (Cr)'!C194</f>
        <v>TATACONSUM</v>
      </c>
      <c r="B199" s="50">
        <f>VLOOKUP($A199,'Data Vlaue (Cr)'!$C:$FB,8)</f>
        <v>1120.4000000000001</v>
      </c>
      <c r="C199" s="50">
        <f>VLOOKUP($A199,'Data Vlaue (Cr)'!$C:$FB,11)*100</f>
        <v>0.65</v>
      </c>
      <c r="D199" s="50">
        <f>VLOOKUP($A199,'Data Vlaue (Cr)'!$C:$FB,143)</f>
        <v>560.32000000000005</v>
      </c>
      <c r="E199" s="50">
        <f>VLOOKUP($A199,'Data Vlaue (Cr)'!$C:$FB,144)</f>
        <v>1059.97</v>
      </c>
      <c r="F199" s="50">
        <f>VLOOKUP($A199,'Data Vlaue (Cr)'!$C:$FB,146)*100</f>
        <v>-47.14</v>
      </c>
      <c r="G199" s="49">
        <f>VLOOKUP($A199,'Data Vlaue (Cr)'!$C:$FB,43)</f>
        <v>129</v>
      </c>
      <c r="H199" s="49">
        <f>VLOOKUP($A199,'Data Vlaue (Cr)'!$C:$FB,44)</f>
        <v>189</v>
      </c>
      <c r="I199" s="49">
        <f>VLOOKUP($A199,'Data Vlaue (Cr)'!$C:$FB,46)*100</f>
        <v>-31.840000000000003</v>
      </c>
      <c r="J199" s="51">
        <f>VLOOKUP($A199,'Data Vlaue (Cr)'!$C:$FB,59)</f>
        <v>304</v>
      </c>
      <c r="K199" s="51">
        <f>VLOOKUP($A199,'Data Vlaue (Cr)'!$C:$FB,60)</f>
        <v>689</v>
      </c>
      <c r="L199" s="51">
        <f>VLOOKUP($A199,'Data Vlaue (Cr)'!$C:$FB,62)*100</f>
        <v>-55.92</v>
      </c>
      <c r="M199" s="51">
        <f>VLOOKUP($A199,'Data Vlaue (Cr)'!$C:$FB,63)</f>
        <v>120</v>
      </c>
      <c r="N199" s="51">
        <f>VLOOKUP($A199,'Data Vlaue (Cr)'!$C:$FB,64)</f>
        <v>165</v>
      </c>
      <c r="O199" s="51">
        <f>VLOOKUP($A199,'Data Vlaue (Cr)'!$C:$FB,66)*100</f>
        <v>-27.3</v>
      </c>
    </row>
    <row r="200" spans="1:15" x14ac:dyDescent="0.25">
      <c r="A200" s="101" t="str">
        <f>'Data Vlaue (Cr)'!C195</f>
        <v>TATAELXSI</v>
      </c>
      <c r="B200" s="50">
        <f>VLOOKUP($A200,'Data Vlaue (Cr)'!$C:$FB,8)</f>
        <v>4516.6000000000004</v>
      </c>
      <c r="C200" s="50">
        <f>VLOOKUP($A200,'Data Vlaue (Cr)'!$C:$FB,11)*100</f>
        <v>-1.6500000000000001</v>
      </c>
      <c r="D200" s="50">
        <f>VLOOKUP($A200,'Data Vlaue (Cr)'!$C:$FB,143)</f>
        <v>1431.87</v>
      </c>
      <c r="E200" s="50">
        <f>VLOOKUP($A200,'Data Vlaue (Cr)'!$C:$FB,144)</f>
        <v>1819.32</v>
      </c>
      <c r="F200" s="50">
        <f>VLOOKUP($A200,'Data Vlaue (Cr)'!$C:$FB,146)*100</f>
        <v>-21.3</v>
      </c>
      <c r="G200" s="49">
        <f>VLOOKUP($A200,'Data Vlaue (Cr)'!$C:$FB,43)</f>
        <v>196</v>
      </c>
      <c r="H200" s="49">
        <f>VLOOKUP($A200,'Data Vlaue (Cr)'!$C:$FB,44)</f>
        <v>234</v>
      </c>
      <c r="I200" s="49">
        <f>VLOOKUP($A200,'Data Vlaue (Cr)'!$C:$FB,46)*100</f>
        <v>-16.18</v>
      </c>
      <c r="J200" s="51">
        <f>VLOOKUP($A200,'Data Vlaue (Cr)'!$C:$FB,59)</f>
        <v>752</v>
      </c>
      <c r="K200" s="51">
        <f>VLOOKUP($A200,'Data Vlaue (Cr)'!$C:$FB,60)</f>
        <v>1049</v>
      </c>
      <c r="L200" s="51">
        <f>VLOOKUP($A200,'Data Vlaue (Cr)'!$C:$FB,62)*100</f>
        <v>-28.310000000000002</v>
      </c>
      <c r="M200" s="51">
        <f>VLOOKUP($A200,'Data Vlaue (Cr)'!$C:$FB,63)</f>
        <v>426</v>
      </c>
      <c r="N200" s="51">
        <f>VLOOKUP($A200,'Data Vlaue (Cr)'!$C:$FB,64)</f>
        <v>440</v>
      </c>
      <c r="O200" s="51">
        <f>VLOOKUP($A200,'Data Vlaue (Cr)'!$C:$FB,66)*100</f>
        <v>-3.2099999999999995</v>
      </c>
    </row>
    <row r="201" spans="1:15" x14ac:dyDescent="0.25">
      <c r="A201" s="101" t="str">
        <f>'Data Vlaue (Cr)'!C196</f>
        <v>TATAPOWER</v>
      </c>
      <c r="B201" s="50">
        <f>VLOOKUP($A201,'Data Vlaue (Cr)'!$C:$FB,8)</f>
        <v>433.6</v>
      </c>
      <c r="C201" s="50">
        <f>VLOOKUP($A201,'Data Vlaue (Cr)'!$C:$FB,11)*100</f>
        <v>1.4000000000000001</v>
      </c>
      <c r="D201" s="50">
        <f>VLOOKUP($A201,'Data Vlaue (Cr)'!$C:$FB,143)</f>
        <v>8565.2800000000007</v>
      </c>
      <c r="E201" s="50">
        <f>VLOOKUP($A201,'Data Vlaue (Cr)'!$C:$FB,144)</f>
        <v>4208.7</v>
      </c>
      <c r="F201" s="50">
        <f>VLOOKUP($A201,'Data Vlaue (Cr)'!$C:$FB,146)*100</f>
        <v>103.50999999999999</v>
      </c>
      <c r="G201" s="49">
        <f>VLOOKUP($A201,'Data Vlaue (Cr)'!$C:$FB,43)</f>
        <v>926</v>
      </c>
      <c r="H201" s="49">
        <f>VLOOKUP($A201,'Data Vlaue (Cr)'!$C:$FB,44)</f>
        <v>459</v>
      </c>
      <c r="I201" s="49">
        <f>VLOOKUP($A201,'Data Vlaue (Cr)'!$C:$FB,46)*100</f>
        <v>101.71</v>
      </c>
      <c r="J201" s="51">
        <f>VLOOKUP($A201,'Data Vlaue (Cr)'!$C:$FB,59)</f>
        <v>4785</v>
      </c>
      <c r="K201" s="51">
        <f>VLOOKUP($A201,'Data Vlaue (Cr)'!$C:$FB,60)</f>
        <v>2151</v>
      </c>
      <c r="L201" s="51">
        <f>VLOOKUP($A201,'Data Vlaue (Cr)'!$C:$FB,62)*100</f>
        <v>122.46</v>
      </c>
      <c r="M201" s="51">
        <f>VLOOKUP($A201,'Data Vlaue (Cr)'!$C:$FB,63)</f>
        <v>2776</v>
      </c>
      <c r="N201" s="51">
        <f>VLOOKUP($A201,'Data Vlaue (Cr)'!$C:$FB,64)</f>
        <v>1604</v>
      </c>
      <c r="O201" s="51">
        <f>VLOOKUP($A201,'Data Vlaue (Cr)'!$C:$FB,66)*100</f>
        <v>73.03</v>
      </c>
    </row>
    <row r="202" spans="1:15" x14ac:dyDescent="0.25">
      <c r="A202" s="101" t="str">
        <f>'Data Vlaue (Cr)'!C197</f>
        <v>TATASTEEL</v>
      </c>
      <c r="B202" s="50">
        <f>VLOOKUP($A202,'Data Vlaue (Cr)'!$C:$FB,8)</f>
        <v>211.72</v>
      </c>
      <c r="C202" s="50">
        <f>VLOOKUP($A202,'Data Vlaue (Cr)'!$C:$FB,11)*100</f>
        <v>-0.19</v>
      </c>
      <c r="D202" s="50">
        <f>VLOOKUP($A202,'Data Vlaue (Cr)'!$C:$FB,143)</f>
        <v>4506.08</v>
      </c>
      <c r="E202" s="50">
        <f>VLOOKUP($A202,'Data Vlaue (Cr)'!$C:$FB,144)</f>
        <v>4791.0600000000004</v>
      </c>
      <c r="F202" s="50">
        <f>VLOOKUP($A202,'Data Vlaue (Cr)'!$C:$FB,146)*100</f>
        <v>-5.9499999999999993</v>
      </c>
      <c r="G202" s="49">
        <f>VLOOKUP($A202,'Data Vlaue (Cr)'!$C:$FB,43)</f>
        <v>712</v>
      </c>
      <c r="H202" s="49">
        <f>VLOOKUP($A202,'Data Vlaue (Cr)'!$C:$FB,44)</f>
        <v>628</v>
      </c>
      <c r="I202" s="49">
        <f>VLOOKUP($A202,'Data Vlaue (Cr)'!$C:$FB,46)*100</f>
        <v>13.350000000000001</v>
      </c>
      <c r="J202" s="51">
        <f>VLOOKUP($A202,'Data Vlaue (Cr)'!$C:$FB,59)</f>
        <v>2395</v>
      </c>
      <c r="K202" s="51">
        <f>VLOOKUP($A202,'Data Vlaue (Cr)'!$C:$FB,60)</f>
        <v>2504</v>
      </c>
      <c r="L202" s="51">
        <f>VLOOKUP($A202,'Data Vlaue (Cr)'!$C:$FB,62)*100</f>
        <v>-4.3600000000000003</v>
      </c>
      <c r="M202" s="51">
        <f>VLOOKUP($A202,'Data Vlaue (Cr)'!$C:$FB,63)</f>
        <v>1348</v>
      </c>
      <c r="N202" s="51">
        <f>VLOOKUP($A202,'Data Vlaue (Cr)'!$C:$FB,64)</f>
        <v>1625</v>
      </c>
      <c r="O202" s="51">
        <f>VLOOKUP($A202,'Data Vlaue (Cr)'!$C:$FB,66)*100</f>
        <v>-17</v>
      </c>
    </row>
    <row r="203" spans="1:15" x14ac:dyDescent="0.25">
      <c r="A203" s="101" t="str">
        <f>'Data Vlaue (Cr)'!C198</f>
        <v>TATATECH</v>
      </c>
      <c r="B203" s="50">
        <f>VLOOKUP($A203,'Data Vlaue (Cr)'!$C:$FB,8)</f>
        <v>576.45000000000005</v>
      </c>
      <c r="C203" s="50">
        <f>VLOOKUP($A203,'Data Vlaue (Cr)'!$C:$FB,11)*100</f>
        <v>-2.1800000000000002</v>
      </c>
      <c r="D203" s="50">
        <f>VLOOKUP($A203,'Data Vlaue (Cr)'!$C:$FB,143)</f>
        <v>137.94</v>
      </c>
      <c r="E203" s="50">
        <f>VLOOKUP($A203,'Data Vlaue (Cr)'!$C:$FB,144)</f>
        <v>136.26</v>
      </c>
      <c r="F203" s="50">
        <f>VLOOKUP($A203,'Data Vlaue (Cr)'!$C:$FB,146)*100</f>
        <v>1.24</v>
      </c>
      <c r="G203" s="49">
        <f>VLOOKUP($A203,'Data Vlaue (Cr)'!$C:$FB,43)</f>
        <v>43</v>
      </c>
      <c r="H203" s="49">
        <f>VLOOKUP($A203,'Data Vlaue (Cr)'!$C:$FB,44)</f>
        <v>29</v>
      </c>
      <c r="I203" s="49">
        <f>VLOOKUP($A203,'Data Vlaue (Cr)'!$C:$FB,46)*100</f>
        <v>49.36</v>
      </c>
      <c r="J203" s="51">
        <f>VLOOKUP($A203,'Data Vlaue (Cr)'!$C:$FB,59)</f>
        <v>64</v>
      </c>
      <c r="K203" s="51">
        <f>VLOOKUP($A203,'Data Vlaue (Cr)'!$C:$FB,60)</f>
        <v>78</v>
      </c>
      <c r="L203" s="51">
        <f>VLOOKUP($A203,'Data Vlaue (Cr)'!$C:$FB,62)*100</f>
        <v>-17.21</v>
      </c>
      <c r="M203" s="51">
        <f>VLOOKUP($A203,'Data Vlaue (Cr)'!$C:$FB,63)</f>
        <v>27</v>
      </c>
      <c r="N203" s="51">
        <f>VLOOKUP($A203,'Data Vlaue (Cr)'!$C:$FB,64)</f>
        <v>24</v>
      </c>
      <c r="O203" s="51">
        <f>VLOOKUP($A203,'Data Vlaue (Cr)'!$C:$FB,66)*100</f>
        <v>9.2299999999999986</v>
      </c>
    </row>
    <row r="204" spans="1:15" x14ac:dyDescent="0.25">
      <c r="A204" s="101" t="str">
        <f>'Data Vlaue (Cr)'!C199</f>
        <v>TCS</v>
      </c>
      <c r="B204" s="50">
        <f>VLOOKUP($A204,'Data Vlaue (Cr)'!$C:$FB,8)</f>
        <v>2579.6</v>
      </c>
      <c r="C204" s="50">
        <f>VLOOKUP($A204,'Data Vlaue (Cr)'!$C:$FB,11)*100</f>
        <v>-6.9999999999999993E-2</v>
      </c>
      <c r="D204" s="50">
        <f>VLOOKUP($A204,'Data Vlaue (Cr)'!$C:$FB,143)</f>
        <v>7337.73</v>
      </c>
      <c r="E204" s="50">
        <f>VLOOKUP($A204,'Data Vlaue (Cr)'!$C:$FB,144)</f>
        <v>7718.46</v>
      </c>
      <c r="F204" s="50">
        <f>VLOOKUP($A204,'Data Vlaue (Cr)'!$C:$FB,146)*100</f>
        <v>-4.93</v>
      </c>
      <c r="G204" s="49">
        <f>VLOOKUP($A204,'Data Vlaue (Cr)'!$C:$FB,43)</f>
        <v>794</v>
      </c>
      <c r="H204" s="49">
        <f>VLOOKUP($A204,'Data Vlaue (Cr)'!$C:$FB,44)</f>
        <v>741</v>
      </c>
      <c r="I204" s="49">
        <f>VLOOKUP($A204,'Data Vlaue (Cr)'!$C:$FB,46)*100</f>
        <v>7.1800000000000006</v>
      </c>
      <c r="J204" s="51">
        <f>VLOOKUP($A204,'Data Vlaue (Cr)'!$C:$FB,59)</f>
        <v>4198</v>
      </c>
      <c r="K204" s="51">
        <f>VLOOKUP($A204,'Data Vlaue (Cr)'!$C:$FB,60)</f>
        <v>4326</v>
      </c>
      <c r="L204" s="51">
        <f>VLOOKUP($A204,'Data Vlaue (Cr)'!$C:$FB,62)*100</f>
        <v>-2.96</v>
      </c>
      <c r="M204" s="51">
        <f>VLOOKUP($A204,'Data Vlaue (Cr)'!$C:$FB,63)</f>
        <v>2228</v>
      </c>
      <c r="N204" s="51">
        <f>VLOOKUP($A204,'Data Vlaue (Cr)'!$C:$FB,64)</f>
        <v>2522</v>
      </c>
      <c r="O204" s="51">
        <f>VLOOKUP($A204,'Data Vlaue (Cr)'!$C:$FB,66)*100</f>
        <v>-11.66</v>
      </c>
    </row>
    <row r="205" spans="1:15" x14ac:dyDescent="0.25">
      <c r="A205" s="101" t="str">
        <f>'Data Vlaue (Cr)'!C200</f>
        <v>TECHM</v>
      </c>
      <c r="B205" s="50">
        <f>VLOOKUP($A205,'Data Vlaue (Cr)'!$C:$FB,8)</f>
        <v>1504.4</v>
      </c>
      <c r="C205" s="50">
        <f>VLOOKUP($A205,'Data Vlaue (Cr)'!$C:$FB,11)*100</f>
        <v>-0.45999999999999996</v>
      </c>
      <c r="D205" s="50">
        <f>VLOOKUP($A205,'Data Vlaue (Cr)'!$C:$FB,143)</f>
        <v>2834.33</v>
      </c>
      <c r="E205" s="50">
        <f>VLOOKUP($A205,'Data Vlaue (Cr)'!$C:$FB,144)</f>
        <v>2964.48</v>
      </c>
      <c r="F205" s="50">
        <f>VLOOKUP($A205,'Data Vlaue (Cr)'!$C:$FB,146)*100</f>
        <v>-4.3900000000000006</v>
      </c>
      <c r="G205" s="49">
        <f>VLOOKUP($A205,'Data Vlaue (Cr)'!$C:$FB,43)</f>
        <v>497</v>
      </c>
      <c r="H205" s="49">
        <f>VLOOKUP($A205,'Data Vlaue (Cr)'!$C:$FB,44)</f>
        <v>382</v>
      </c>
      <c r="I205" s="49">
        <f>VLOOKUP($A205,'Data Vlaue (Cr)'!$C:$FB,46)*100</f>
        <v>30.259999999999998</v>
      </c>
      <c r="J205" s="51">
        <f>VLOOKUP($A205,'Data Vlaue (Cr)'!$C:$FB,59)</f>
        <v>1297</v>
      </c>
      <c r="K205" s="51">
        <f>VLOOKUP($A205,'Data Vlaue (Cr)'!$C:$FB,60)</f>
        <v>1725</v>
      </c>
      <c r="L205" s="51">
        <f>VLOOKUP($A205,'Data Vlaue (Cr)'!$C:$FB,62)*100</f>
        <v>-24.81</v>
      </c>
      <c r="M205" s="51">
        <f>VLOOKUP($A205,'Data Vlaue (Cr)'!$C:$FB,63)</f>
        <v>987</v>
      </c>
      <c r="N205" s="51">
        <f>VLOOKUP($A205,'Data Vlaue (Cr)'!$C:$FB,64)</f>
        <v>796</v>
      </c>
      <c r="O205" s="51">
        <f>VLOOKUP($A205,'Data Vlaue (Cr)'!$C:$FB,66)*100</f>
        <v>23.98</v>
      </c>
    </row>
    <row r="206" spans="1:15" x14ac:dyDescent="0.25">
      <c r="A206" s="101" t="str">
        <f>'Data Vlaue (Cr)'!C201</f>
        <v>TIINDIA</v>
      </c>
      <c r="B206" s="50">
        <f>VLOOKUP($A206,'Data Vlaue (Cr)'!$C:$FB,8)</f>
        <v>2873.1</v>
      </c>
      <c r="C206" s="50">
        <f>VLOOKUP($A206,'Data Vlaue (Cr)'!$C:$FB,11)*100</f>
        <v>2.97</v>
      </c>
      <c r="D206" s="50">
        <f>VLOOKUP($A206,'Data Vlaue (Cr)'!$C:$FB,143)</f>
        <v>1241.96</v>
      </c>
      <c r="E206" s="50">
        <f>VLOOKUP($A206,'Data Vlaue (Cr)'!$C:$FB,144)</f>
        <v>406.25</v>
      </c>
      <c r="F206" s="50">
        <f>VLOOKUP($A206,'Data Vlaue (Cr)'!$C:$FB,146)*100</f>
        <v>205.71</v>
      </c>
      <c r="G206" s="49">
        <f>VLOOKUP($A206,'Data Vlaue (Cr)'!$C:$FB,43)</f>
        <v>151</v>
      </c>
      <c r="H206" s="49">
        <f>VLOOKUP($A206,'Data Vlaue (Cr)'!$C:$FB,44)</f>
        <v>81</v>
      </c>
      <c r="I206" s="49">
        <f>VLOOKUP($A206,'Data Vlaue (Cr)'!$C:$FB,46)*100</f>
        <v>85.33</v>
      </c>
      <c r="J206" s="51">
        <f>VLOOKUP($A206,'Data Vlaue (Cr)'!$C:$FB,59)</f>
        <v>896</v>
      </c>
      <c r="K206" s="51">
        <f>VLOOKUP($A206,'Data Vlaue (Cr)'!$C:$FB,60)</f>
        <v>286</v>
      </c>
      <c r="L206" s="51">
        <f>VLOOKUP($A206,'Data Vlaue (Cr)'!$C:$FB,62)*100</f>
        <v>213.68</v>
      </c>
      <c r="M206" s="51">
        <f>VLOOKUP($A206,'Data Vlaue (Cr)'!$C:$FB,63)</f>
        <v>175</v>
      </c>
      <c r="N206" s="51">
        <f>VLOOKUP($A206,'Data Vlaue (Cr)'!$C:$FB,64)</f>
        <v>40</v>
      </c>
      <c r="O206" s="51">
        <f>VLOOKUP($A206,'Data Vlaue (Cr)'!$C:$FB,66)*100</f>
        <v>342.88</v>
      </c>
    </row>
    <row r="207" spans="1:15" x14ac:dyDescent="0.25">
      <c r="A207" s="101" t="str">
        <f>'Data Vlaue (Cr)'!C202</f>
        <v>TITAN</v>
      </c>
      <c r="B207" s="50">
        <f>VLOOKUP($A207,'Data Vlaue (Cr)'!$C:$FB,8)</f>
        <v>4513</v>
      </c>
      <c r="C207" s="50">
        <f>VLOOKUP($A207,'Data Vlaue (Cr)'!$C:$FB,11)*100</f>
        <v>-0.28999999999999998</v>
      </c>
      <c r="D207" s="50">
        <f>VLOOKUP($A207,'Data Vlaue (Cr)'!$C:$FB,143)</f>
        <v>3602.39</v>
      </c>
      <c r="E207" s="50">
        <f>VLOOKUP($A207,'Data Vlaue (Cr)'!$C:$FB,144)</f>
        <v>13007.91</v>
      </c>
      <c r="F207" s="50">
        <f>VLOOKUP($A207,'Data Vlaue (Cr)'!$C:$FB,146)*100</f>
        <v>-72.31</v>
      </c>
      <c r="G207" s="49">
        <f>VLOOKUP($A207,'Data Vlaue (Cr)'!$C:$FB,43)</f>
        <v>430</v>
      </c>
      <c r="H207" s="49">
        <f>VLOOKUP($A207,'Data Vlaue (Cr)'!$C:$FB,44)</f>
        <v>1442</v>
      </c>
      <c r="I207" s="49">
        <f>VLOOKUP($A207,'Data Vlaue (Cr)'!$C:$FB,46)*100</f>
        <v>-70.17</v>
      </c>
      <c r="J207" s="51">
        <f>VLOOKUP($A207,'Data Vlaue (Cr)'!$C:$FB,59)</f>
        <v>1783</v>
      </c>
      <c r="K207" s="51">
        <f>VLOOKUP($A207,'Data Vlaue (Cr)'!$C:$FB,60)</f>
        <v>6042</v>
      </c>
      <c r="L207" s="51">
        <f>VLOOKUP($A207,'Data Vlaue (Cr)'!$C:$FB,62)*100</f>
        <v>-70.489999999999995</v>
      </c>
      <c r="M207" s="51">
        <f>VLOOKUP($A207,'Data Vlaue (Cr)'!$C:$FB,63)</f>
        <v>1369</v>
      </c>
      <c r="N207" s="51">
        <f>VLOOKUP($A207,'Data Vlaue (Cr)'!$C:$FB,64)</f>
        <v>5603</v>
      </c>
      <c r="O207" s="51">
        <f>VLOOKUP($A207,'Data Vlaue (Cr)'!$C:$FB,66)*100</f>
        <v>-75.56</v>
      </c>
    </row>
    <row r="208" spans="1:15" x14ac:dyDescent="0.25">
      <c r="A208" s="101" t="str">
        <f>'Data Vlaue (Cr)'!C203</f>
        <v>TMPV</v>
      </c>
      <c r="B208" s="50">
        <f>VLOOKUP($A208,'Data Vlaue (Cr)'!$C:$FB,8)</f>
        <v>355.7</v>
      </c>
      <c r="C208" s="50">
        <f>VLOOKUP($A208,'Data Vlaue (Cr)'!$C:$FB,11)*100</f>
        <v>-1.22</v>
      </c>
      <c r="D208" s="50">
        <f>VLOOKUP($A208,'Data Vlaue (Cr)'!$C:$FB,143)</f>
        <v>2821.43</v>
      </c>
      <c r="E208" s="50">
        <f>VLOOKUP($A208,'Data Vlaue (Cr)'!$C:$FB,144)</f>
        <v>2480.38</v>
      </c>
      <c r="F208" s="50">
        <f>VLOOKUP($A208,'Data Vlaue (Cr)'!$C:$FB,146)*100</f>
        <v>13.750000000000002</v>
      </c>
      <c r="G208" s="49">
        <f>VLOOKUP($A208,'Data Vlaue (Cr)'!$C:$FB,43)</f>
        <v>359</v>
      </c>
      <c r="H208" s="49">
        <f>VLOOKUP($A208,'Data Vlaue (Cr)'!$C:$FB,44)</f>
        <v>320</v>
      </c>
      <c r="I208" s="49">
        <f>VLOOKUP($A208,'Data Vlaue (Cr)'!$C:$FB,46)*100</f>
        <v>12.13</v>
      </c>
      <c r="J208" s="51">
        <f>VLOOKUP($A208,'Data Vlaue (Cr)'!$C:$FB,59)</f>
        <v>1392</v>
      </c>
      <c r="K208" s="51">
        <f>VLOOKUP($A208,'Data Vlaue (Cr)'!$C:$FB,60)</f>
        <v>1237</v>
      </c>
      <c r="L208" s="51">
        <f>VLOOKUP($A208,'Data Vlaue (Cr)'!$C:$FB,62)*100</f>
        <v>12.53</v>
      </c>
      <c r="M208" s="51">
        <f>VLOOKUP($A208,'Data Vlaue (Cr)'!$C:$FB,63)</f>
        <v>1012</v>
      </c>
      <c r="N208" s="51">
        <f>VLOOKUP($A208,'Data Vlaue (Cr)'!$C:$FB,64)</f>
        <v>857</v>
      </c>
      <c r="O208" s="51">
        <f>VLOOKUP($A208,'Data Vlaue (Cr)'!$C:$FB,66)*100</f>
        <v>18.029999999999998</v>
      </c>
    </row>
    <row r="209" spans="1:15" x14ac:dyDescent="0.25">
      <c r="A209" s="101" t="str">
        <f>'Data Vlaue (Cr)'!C204</f>
        <v>TORNTPHARM</v>
      </c>
      <c r="B209" s="50">
        <f>VLOOKUP($A209,'Data Vlaue (Cr)'!$C:$FB,8)</f>
        <v>4191.2</v>
      </c>
      <c r="C209" s="50">
        <f>VLOOKUP($A209,'Data Vlaue (Cr)'!$C:$FB,11)*100</f>
        <v>0.27999999999999997</v>
      </c>
      <c r="D209" s="50">
        <f>VLOOKUP($A209,'Data Vlaue (Cr)'!$C:$FB,143)</f>
        <v>633.5</v>
      </c>
      <c r="E209" s="50">
        <f>VLOOKUP($A209,'Data Vlaue (Cr)'!$C:$FB,144)</f>
        <v>535.52</v>
      </c>
      <c r="F209" s="50">
        <f>VLOOKUP($A209,'Data Vlaue (Cr)'!$C:$FB,146)*100</f>
        <v>18.29</v>
      </c>
      <c r="G209" s="49">
        <f>VLOOKUP($A209,'Data Vlaue (Cr)'!$C:$FB,43)</f>
        <v>226</v>
      </c>
      <c r="H209" s="49">
        <f>VLOOKUP($A209,'Data Vlaue (Cr)'!$C:$FB,44)</f>
        <v>105</v>
      </c>
      <c r="I209" s="49">
        <f>VLOOKUP($A209,'Data Vlaue (Cr)'!$C:$FB,46)*100</f>
        <v>114.77999999999999</v>
      </c>
      <c r="J209" s="51">
        <f>VLOOKUP($A209,'Data Vlaue (Cr)'!$C:$FB,59)</f>
        <v>244</v>
      </c>
      <c r="K209" s="51">
        <f>VLOOKUP($A209,'Data Vlaue (Cr)'!$C:$FB,60)</f>
        <v>293</v>
      </c>
      <c r="L209" s="51">
        <f>VLOOKUP($A209,'Data Vlaue (Cr)'!$C:$FB,62)*100</f>
        <v>-16.509999999999998</v>
      </c>
      <c r="M209" s="51">
        <f>VLOOKUP($A209,'Data Vlaue (Cr)'!$C:$FB,63)</f>
        <v>172</v>
      </c>
      <c r="N209" s="51">
        <f>VLOOKUP($A209,'Data Vlaue (Cr)'!$C:$FB,64)</f>
        <v>137</v>
      </c>
      <c r="O209" s="51">
        <f>VLOOKUP($A209,'Data Vlaue (Cr)'!$C:$FB,66)*100</f>
        <v>25.900000000000002</v>
      </c>
    </row>
    <row r="210" spans="1:15" x14ac:dyDescent="0.25">
      <c r="A210" s="101" t="str">
        <f>'Data Vlaue (Cr)'!C205</f>
        <v>TORNTPOWER</v>
      </c>
      <c r="B210" s="50">
        <f>VLOOKUP($A210,'Data Vlaue (Cr)'!$C:$FB,8)</f>
        <v>1606.3</v>
      </c>
      <c r="C210" s="50">
        <f>VLOOKUP($A210,'Data Vlaue (Cr)'!$C:$FB,11)*100</f>
        <v>2.64</v>
      </c>
      <c r="D210" s="50">
        <f>VLOOKUP($A210,'Data Vlaue (Cr)'!$C:$FB,143)</f>
        <v>2976.17</v>
      </c>
      <c r="E210" s="50">
        <f>VLOOKUP($A210,'Data Vlaue (Cr)'!$C:$FB,144)</f>
        <v>459.87</v>
      </c>
      <c r="F210" s="50">
        <f>VLOOKUP($A210,'Data Vlaue (Cr)'!$C:$FB,146)*100</f>
        <v>547.17999999999995</v>
      </c>
      <c r="G210" s="49">
        <f>VLOOKUP($A210,'Data Vlaue (Cr)'!$C:$FB,43)</f>
        <v>193</v>
      </c>
      <c r="H210" s="49">
        <f>VLOOKUP($A210,'Data Vlaue (Cr)'!$C:$FB,44)</f>
        <v>91</v>
      </c>
      <c r="I210" s="49">
        <f>VLOOKUP($A210,'Data Vlaue (Cr)'!$C:$FB,46)*100</f>
        <v>111.88</v>
      </c>
      <c r="J210" s="51">
        <f>VLOOKUP($A210,'Data Vlaue (Cr)'!$C:$FB,59)</f>
        <v>2011</v>
      </c>
      <c r="K210" s="51">
        <f>VLOOKUP($A210,'Data Vlaue (Cr)'!$C:$FB,60)</f>
        <v>297</v>
      </c>
      <c r="L210" s="51">
        <f>VLOOKUP($A210,'Data Vlaue (Cr)'!$C:$FB,62)*100</f>
        <v>578.21</v>
      </c>
      <c r="M210" s="51">
        <f>VLOOKUP($A210,'Data Vlaue (Cr)'!$C:$FB,63)</f>
        <v>729</v>
      </c>
      <c r="N210" s="51">
        <f>VLOOKUP($A210,'Data Vlaue (Cr)'!$C:$FB,64)</f>
        <v>83</v>
      </c>
      <c r="O210" s="51">
        <f>VLOOKUP($A210,'Data Vlaue (Cr)'!$C:$FB,66)*100</f>
        <v>777.84</v>
      </c>
    </row>
    <row r="211" spans="1:15" x14ac:dyDescent="0.25">
      <c r="A211" s="101" t="str">
        <f>'Data Vlaue (Cr)'!C206</f>
        <v>TRENT</v>
      </c>
      <c r="B211" s="50">
        <f>VLOOKUP($A211,'Data Vlaue (Cr)'!$C:$FB,8)</f>
        <v>4242.8</v>
      </c>
      <c r="C211" s="50">
        <f>VLOOKUP($A211,'Data Vlaue (Cr)'!$C:$FB,11)*100</f>
        <v>3.29</v>
      </c>
      <c r="D211" s="50">
        <f>VLOOKUP($A211,'Data Vlaue (Cr)'!$C:$FB,143)</f>
        <v>10949.35</v>
      </c>
      <c r="E211" s="50">
        <f>VLOOKUP($A211,'Data Vlaue (Cr)'!$C:$FB,144)</f>
        <v>4484.8500000000004</v>
      </c>
      <c r="F211" s="50">
        <f>VLOOKUP($A211,'Data Vlaue (Cr)'!$C:$FB,146)*100</f>
        <v>144.14000000000001</v>
      </c>
      <c r="G211" s="49">
        <f>VLOOKUP($A211,'Data Vlaue (Cr)'!$C:$FB,43)</f>
        <v>792</v>
      </c>
      <c r="H211" s="49">
        <f>VLOOKUP($A211,'Data Vlaue (Cr)'!$C:$FB,44)</f>
        <v>472</v>
      </c>
      <c r="I211" s="49">
        <f>VLOOKUP($A211,'Data Vlaue (Cr)'!$C:$FB,46)*100</f>
        <v>67.7</v>
      </c>
      <c r="J211" s="51">
        <f>VLOOKUP($A211,'Data Vlaue (Cr)'!$C:$FB,59)</f>
        <v>7230</v>
      </c>
      <c r="K211" s="51">
        <f>VLOOKUP($A211,'Data Vlaue (Cr)'!$C:$FB,60)</f>
        <v>2744</v>
      </c>
      <c r="L211" s="51">
        <f>VLOOKUP($A211,'Data Vlaue (Cr)'!$C:$FB,62)*100</f>
        <v>163.49</v>
      </c>
      <c r="M211" s="51">
        <f>VLOOKUP($A211,'Data Vlaue (Cr)'!$C:$FB,63)</f>
        <v>2724</v>
      </c>
      <c r="N211" s="51">
        <f>VLOOKUP($A211,'Data Vlaue (Cr)'!$C:$FB,64)</f>
        <v>1313</v>
      </c>
      <c r="O211" s="51">
        <f>VLOOKUP($A211,'Data Vlaue (Cr)'!$C:$FB,66)*100</f>
        <v>107.52</v>
      </c>
    </row>
    <row r="212" spans="1:15" x14ac:dyDescent="0.25">
      <c r="A212" s="101" t="str">
        <f>'Data Vlaue (Cr)'!C207</f>
        <v>TVSMOTOR</v>
      </c>
      <c r="B212" s="50">
        <f>VLOOKUP($A212,'Data Vlaue (Cr)'!$C:$FB,8)</f>
        <v>3761.9</v>
      </c>
      <c r="C212" s="50">
        <f>VLOOKUP($A212,'Data Vlaue (Cr)'!$C:$FB,11)*100</f>
        <v>0.70000000000000007</v>
      </c>
      <c r="D212" s="50">
        <f>VLOOKUP($A212,'Data Vlaue (Cr)'!$C:$FB,143)</f>
        <v>1223.67</v>
      </c>
      <c r="E212" s="50">
        <f>VLOOKUP($A212,'Data Vlaue (Cr)'!$C:$FB,144)</f>
        <v>1167.74</v>
      </c>
      <c r="F212" s="50">
        <f>VLOOKUP($A212,'Data Vlaue (Cr)'!$C:$FB,146)*100</f>
        <v>4.79</v>
      </c>
      <c r="G212" s="49">
        <f>VLOOKUP($A212,'Data Vlaue (Cr)'!$C:$FB,43)</f>
        <v>252</v>
      </c>
      <c r="H212" s="49">
        <f>VLOOKUP($A212,'Data Vlaue (Cr)'!$C:$FB,44)</f>
        <v>465</v>
      </c>
      <c r="I212" s="49">
        <f>VLOOKUP($A212,'Data Vlaue (Cr)'!$C:$FB,46)*100</f>
        <v>-45.879999999999995</v>
      </c>
      <c r="J212" s="51">
        <f>VLOOKUP($A212,'Data Vlaue (Cr)'!$C:$FB,59)</f>
        <v>540</v>
      </c>
      <c r="K212" s="51">
        <f>VLOOKUP($A212,'Data Vlaue (Cr)'!$C:$FB,60)</f>
        <v>424</v>
      </c>
      <c r="L212" s="51">
        <f>VLOOKUP($A212,'Data Vlaue (Cr)'!$C:$FB,62)*100</f>
        <v>27.37</v>
      </c>
      <c r="M212" s="51">
        <f>VLOOKUP($A212,'Data Vlaue (Cr)'!$C:$FB,63)</f>
        <v>416</v>
      </c>
      <c r="N212" s="51">
        <f>VLOOKUP($A212,'Data Vlaue (Cr)'!$C:$FB,64)</f>
        <v>264</v>
      </c>
      <c r="O212" s="51">
        <f>VLOOKUP($A212,'Data Vlaue (Cr)'!$C:$FB,66)*100</f>
        <v>57.58</v>
      </c>
    </row>
    <row r="213" spans="1:15" x14ac:dyDescent="0.25">
      <c r="A213" s="101" t="str">
        <f>'Data Vlaue (Cr)'!C208</f>
        <v>ULTRACEMCO</v>
      </c>
      <c r="B213" s="50">
        <f>VLOOKUP($A213,'Data Vlaue (Cr)'!$C:$FB,8)</f>
        <v>11917</v>
      </c>
      <c r="C213" s="50">
        <f>VLOOKUP($A213,'Data Vlaue (Cr)'!$C:$FB,11)*100</f>
        <v>0.26</v>
      </c>
      <c r="D213" s="50">
        <f>VLOOKUP($A213,'Data Vlaue (Cr)'!$C:$FB,143)</f>
        <v>2190.9699999999998</v>
      </c>
      <c r="E213" s="50">
        <f>VLOOKUP($A213,'Data Vlaue (Cr)'!$C:$FB,144)</f>
        <v>1954.86</v>
      </c>
      <c r="F213" s="50">
        <f>VLOOKUP($A213,'Data Vlaue (Cr)'!$C:$FB,146)*100</f>
        <v>12.08</v>
      </c>
      <c r="G213" s="49">
        <f>VLOOKUP($A213,'Data Vlaue (Cr)'!$C:$FB,43)</f>
        <v>427</v>
      </c>
      <c r="H213" s="49">
        <f>VLOOKUP($A213,'Data Vlaue (Cr)'!$C:$FB,44)</f>
        <v>483</v>
      </c>
      <c r="I213" s="49">
        <f>VLOOKUP($A213,'Data Vlaue (Cr)'!$C:$FB,46)*100</f>
        <v>-11.74</v>
      </c>
      <c r="J213" s="51">
        <f>VLOOKUP($A213,'Data Vlaue (Cr)'!$C:$FB,59)</f>
        <v>1305</v>
      </c>
      <c r="K213" s="51">
        <f>VLOOKUP($A213,'Data Vlaue (Cr)'!$C:$FB,60)</f>
        <v>1001</v>
      </c>
      <c r="L213" s="51">
        <f>VLOOKUP($A213,'Data Vlaue (Cr)'!$C:$FB,62)*100</f>
        <v>30.31</v>
      </c>
      <c r="M213" s="51">
        <f>VLOOKUP($A213,'Data Vlaue (Cr)'!$C:$FB,63)</f>
        <v>422</v>
      </c>
      <c r="N213" s="51">
        <f>VLOOKUP($A213,'Data Vlaue (Cr)'!$C:$FB,64)</f>
        <v>469</v>
      </c>
      <c r="O213" s="51">
        <f>VLOOKUP($A213,'Data Vlaue (Cr)'!$C:$FB,66)*100</f>
        <v>-9.9699999999999989</v>
      </c>
    </row>
    <row r="214" spans="1:15" x14ac:dyDescent="0.25">
      <c r="A214" s="101" t="str">
        <f>'Data Vlaue (Cr)'!C209</f>
        <v>UNIONBANK</v>
      </c>
      <c r="B214" s="50">
        <f>VLOOKUP($A214,'Data Vlaue (Cr)'!$C:$FB,8)</f>
        <v>189.29</v>
      </c>
      <c r="C214" s="50">
        <f>VLOOKUP($A214,'Data Vlaue (Cr)'!$C:$FB,11)*100</f>
        <v>0.2</v>
      </c>
      <c r="D214" s="50">
        <f>VLOOKUP($A214,'Data Vlaue (Cr)'!$C:$FB,143)</f>
        <v>2222.79</v>
      </c>
      <c r="E214" s="50">
        <f>VLOOKUP($A214,'Data Vlaue (Cr)'!$C:$FB,144)</f>
        <v>1074.72</v>
      </c>
      <c r="F214" s="50">
        <f>VLOOKUP($A214,'Data Vlaue (Cr)'!$C:$FB,146)*100</f>
        <v>106.83</v>
      </c>
      <c r="G214" s="49">
        <f>VLOOKUP($A214,'Data Vlaue (Cr)'!$C:$FB,43)</f>
        <v>560</v>
      </c>
      <c r="H214" s="49">
        <f>VLOOKUP($A214,'Data Vlaue (Cr)'!$C:$FB,44)</f>
        <v>331</v>
      </c>
      <c r="I214" s="49">
        <f>VLOOKUP($A214,'Data Vlaue (Cr)'!$C:$FB,46)*100</f>
        <v>69.3</v>
      </c>
      <c r="J214" s="51">
        <f>VLOOKUP($A214,'Data Vlaue (Cr)'!$C:$FB,59)</f>
        <v>1141</v>
      </c>
      <c r="K214" s="51">
        <f>VLOOKUP($A214,'Data Vlaue (Cr)'!$C:$FB,60)</f>
        <v>472</v>
      </c>
      <c r="L214" s="51">
        <f>VLOOKUP($A214,'Data Vlaue (Cr)'!$C:$FB,62)*100</f>
        <v>141.52000000000001</v>
      </c>
      <c r="M214" s="51">
        <f>VLOOKUP($A214,'Data Vlaue (Cr)'!$C:$FB,63)</f>
        <v>478</v>
      </c>
      <c r="N214" s="51">
        <f>VLOOKUP($A214,'Data Vlaue (Cr)'!$C:$FB,64)</f>
        <v>266</v>
      </c>
      <c r="O214" s="51">
        <f>VLOOKUP($A214,'Data Vlaue (Cr)'!$C:$FB,66)*100</f>
        <v>79.75</v>
      </c>
    </row>
    <row r="215" spans="1:15" x14ac:dyDescent="0.25">
      <c r="A215" s="101" t="str">
        <f>'Data Vlaue (Cr)'!C210</f>
        <v>UNITDSPR</v>
      </c>
      <c r="B215" s="50">
        <f>VLOOKUP($A215,'Data Vlaue (Cr)'!$C:$FB,8)</f>
        <v>1307.7</v>
      </c>
      <c r="C215" s="50">
        <f>VLOOKUP($A215,'Data Vlaue (Cr)'!$C:$FB,11)*100</f>
        <v>0.37</v>
      </c>
      <c r="D215" s="50">
        <f>VLOOKUP($A215,'Data Vlaue (Cr)'!$C:$FB,143)</f>
        <v>1772.49</v>
      </c>
      <c r="E215" s="50">
        <f>VLOOKUP($A215,'Data Vlaue (Cr)'!$C:$FB,144)</f>
        <v>2957.92</v>
      </c>
      <c r="F215" s="50">
        <f>VLOOKUP($A215,'Data Vlaue (Cr)'!$C:$FB,146)*100</f>
        <v>-40.08</v>
      </c>
      <c r="G215" s="49">
        <f>VLOOKUP($A215,'Data Vlaue (Cr)'!$C:$FB,43)</f>
        <v>219</v>
      </c>
      <c r="H215" s="49">
        <f>VLOOKUP($A215,'Data Vlaue (Cr)'!$C:$FB,44)</f>
        <v>418</v>
      </c>
      <c r="I215" s="49">
        <f>VLOOKUP($A215,'Data Vlaue (Cr)'!$C:$FB,46)*100</f>
        <v>-47.75</v>
      </c>
      <c r="J215" s="51">
        <f>VLOOKUP($A215,'Data Vlaue (Cr)'!$C:$FB,59)</f>
        <v>1081</v>
      </c>
      <c r="K215" s="51">
        <f>VLOOKUP($A215,'Data Vlaue (Cr)'!$C:$FB,60)</f>
        <v>1971</v>
      </c>
      <c r="L215" s="51">
        <f>VLOOKUP($A215,'Data Vlaue (Cr)'!$C:$FB,62)*100</f>
        <v>-45.16</v>
      </c>
      <c r="M215" s="51">
        <f>VLOOKUP($A215,'Data Vlaue (Cr)'!$C:$FB,63)</f>
        <v>433</v>
      </c>
      <c r="N215" s="51">
        <f>VLOOKUP($A215,'Data Vlaue (Cr)'!$C:$FB,64)</f>
        <v>538</v>
      </c>
      <c r="O215" s="51">
        <f>VLOOKUP($A215,'Data Vlaue (Cr)'!$C:$FB,66)*100</f>
        <v>-19.59</v>
      </c>
    </row>
    <row r="216" spans="1:15" x14ac:dyDescent="0.25">
      <c r="A216" s="101" t="str">
        <f>'Data Vlaue (Cr)'!C211</f>
        <v>UNOMINDA</v>
      </c>
      <c r="B216" s="50">
        <f>VLOOKUP($A216,'Data Vlaue (Cr)'!$C:$FB,8)</f>
        <v>1129.4000000000001</v>
      </c>
      <c r="C216" s="50">
        <f>VLOOKUP($A216,'Data Vlaue (Cr)'!$C:$FB,11)*100</f>
        <v>2.88</v>
      </c>
      <c r="D216" s="50">
        <f>VLOOKUP($A216,'Data Vlaue (Cr)'!$C:$FB,143)</f>
        <v>957.39</v>
      </c>
      <c r="E216" s="50">
        <f>VLOOKUP($A216,'Data Vlaue (Cr)'!$C:$FB,144)</f>
        <v>231.34</v>
      </c>
      <c r="F216" s="50">
        <f>VLOOKUP($A216,'Data Vlaue (Cr)'!$C:$FB,146)*100</f>
        <v>313.83999999999997</v>
      </c>
      <c r="G216" s="49">
        <f>VLOOKUP($A216,'Data Vlaue (Cr)'!$C:$FB,43)</f>
        <v>160</v>
      </c>
      <c r="H216" s="49">
        <f>VLOOKUP($A216,'Data Vlaue (Cr)'!$C:$FB,44)</f>
        <v>53</v>
      </c>
      <c r="I216" s="49">
        <f>VLOOKUP($A216,'Data Vlaue (Cr)'!$C:$FB,46)*100</f>
        <v>204.25</v>
      </c>
      <c r="J216" s="51">
        <f>VLOOKUP($A216,'Data Vlaue (Cr)'!$C:$FB,59)</f>
        <v>670</v>
      </c>
      <c r="K216" s="51">
        <f>VLOOKUP($A216,'Data Vlaue (Cr)'!$C:$FB,60)</f>
        <v>145</v>
      </c>
      <c r="L216" s="51">
        <f>VLOOKUP($A216,'Data Vlaue (Cr)'!$C:$FB,62)*100</f>
        <v>363.22</v>
      </c>
      <c r="M216" s="51">
        <f>VLOOKUP($A216,'Data Vlaue (Cr)'!$C:$FB,63)</f>
        <v>103</v>
      </c>
      <c r="N216" s="51">
        <f>VLOOKUP($A216,'Data Vlaue (Cr)'!$C:$FB,64)</f>
        <v>32</v>
      </c>
      <c r="O216" s="51">
        <f>VLOOKUP($A216,'Data Vlaue (Cr)'!$C:$FB,66)*100</f>
        <v>219.81</v>
      </c>
    </row>
    <row r="217" spans="1:15" x14ac:dyDescent="0.25">
      <c r="A217" s="101" t="str">
        <f>'Data Vlaue (Cr)'!C212</f>
        <v>UPL</v>
      </c>
      <c r="B217" s="50">
        <f>VLOOKUP($A217,'Data Vlaue (Cr)'!$C:$FB,8)</f>
        <v>656.65</v>
      </c>
      <c r="C217" s="50">
        <f>VLOOKUP($A217,'Data Vlaue (Cr)'!$C:$FB,11)*100</f>
        <v>-1.21</v>
      </c>
      <c r="D217" s="50">
        <f>VLOOKUP($A217,'Data Vlaue (Cr)'!$C:$FB,143)</f>
        <v>738.11</v>
      </c>
      <c r="E217" s="50">
        <f>VLOOKUP($A217,'Data Vlaue (Cr)'!$C:$FB,144)</f>
        <v>999.64</v>
      </c>
      <c r="F217" s="50">
        <f>VLOOKUP($A217,'Data Vlaue (Cr)'!$C:$FB,146)*100</f>
        <v>-26.16</v>
      </c>
      <c r="G217" s="49">
        <f>VLOOKUP($A217,'Data Vlaue (Cr)'!$C:$FB,43)</f>
        <v>146</v>
      </c>
      <c r="H217" s="49">
        <f>VLOOKUP($A217,'Data Vlaue (Cr)'!$C:$FB,44)</f>
        <v>182</v>
      </c>
      <c r="I217" s="49">
        <f>VLOOKUP($A217,'Data Vlaue (Cr)'!$C:$FB,46)*100</f>
        <v>-19.689999999999998</v>
      </c>
      <c r="J217" s="51">
        <f>VLOOKUP($A217,'Data Vlaue (Cr)'!$C:$FB,59)</f>
        <v>350</v>
      </c>
      <c r="K217" s="51">
        <f>VLOOKUP($A217,'Data Vlaue (Cr)'!$C:$FB,60)</f>
        <v>461</v>
      </c>
      <c r="L217" s="51">
        <f>VLOOKUP($A217,'Data Vlaue (Cr)'!$C:$FB,62)*100</f>
        <v>-24</v>
      </c>
      <c r="M217" s="51">
        <f>VLOOKUP($A217,'Data Vlaue (Cr)'!$C:$FB,63)</f>
        <v>228</v>
      </c>
      <c r="N217" s="51">
        <f>VLOOKUP($A217,'Data Vlaue (Cr)'!$C:$FB,64)</f>
        <v>334</v>
      </c>
      <c r="O217" s="51">
        <f>VLOOKUP($A217,'Data Vlaue (Cr)'!$C:$FB,66)*100</f>
        <v>-31.759999999999998</v>
      </c>
    </row>
    <row r="218" spans="1:15" x14ac:dyDescent="0.25">
      <c r="A218" s="101" t="str">
        <f>'Data Vlaue (Cr)'!C213</f>
        <v>VBL</v>
      </c>
      <c r="B218" s="50">
        <f>VLOOKUP($A218,'Data Vlaue (Cr)'!$C:$FB,8)</f>
        <v>466.55</v>
      </c>
      <c r="C218" s="50">
        <f>VLOOKUP($A218,'Data Vlaue (Cr)'!$C:$FB,11)*100</f>
        <v>-1.55</v>
      </c>
      <c r="D218" s="50">
        <f>VLOOKUP($A218,'Data Vlaue (Cr)'!$C:$FB,143)</f>
        <v>1402.04</v>
      </c>
      <c r="E218" s="50">
        <f>VLOOKUP($A218,'Data Vlaue (Cr)'!$C:$FB,144)</f>
        <v>3107.66</v>
      </c>
      <c r="F218" s="50">
        <f>VLOOKUP($A218,'Data Vlaue (Cr)'!$C:$FB,146)*100</f>
        <v>-54.879999999999995</v>
      </c>
      <c r="G218" s="49">
        <f>VLOOKUP($A218,'Data Vlaue (Cr)'!$C:$FB,43)</f>
        <v>355</v>
      </c>
      <c r="H218" s="49">
        <f>VLOOKUP($A218,'Data Vlaue (Cr)'!$C:$FB,44)</f>
        <v>716</v>
      </c>
      <c r="I218" s="49">
        <f>VLOOKUP($A218,'Data Vlaue (Cr)'!$C:$FB,46)*100</f>
        <v>-50.4</v>
      </c>
      <c r="J218" s="51">
        <f>VLOOKUP($A218,'Data Vlaue (Cr)'!$C:$FB,59)</f>
        <v>675</v>
      </c>
      <c r="K218" s="51">
        <f>VLOOKUP($A218,'Data Vlaue (Cr)'!$C:$FB,60)</f>
        <v>1605</v>
      </c>
      <c r="L218" s="51">
        <f>VLOOKUP($A218,'Data Vlaue (Cr)'!$C:$FB,62)*100</f>
        <v>-57.92</v>
      </c>
      <c r="M218" s="51">
        <f>VLOOKUP($A218,'Data Vlaue (Cr)'!$C:$FB,63)</f>
        <v>336</v>
      </c>
      <c r="N218" s="51">
        <f>VLOOKUP($A218,'Data Vlaue (Cr)'!$C:$FB,64)</f>
        <v>721</v>
      </c>
      <c r="O218" s="51">
        <f>VLOOKUP($A218,'Data Vlaue (Cr)'!$C:$FB,66)*100</f>
        <v>-53.38</v>
      </c>
    </row>
    <row r="219" spans="1:15" x14ac:dyDescent="0.25">
      <c r="A219" s="101" t="str">
        <f>'Data Vlaue (Cr)'!C214</f>
        <v>VEDL</v>
      </c>
      <c r="B219" s="50">
        <f>VLOOKUP($A219,'Data Vlaue (Cr)'!$C:$FB,8)</f>
        <v>771</v>
      </c>
      <c r="C219" s="50">
        <f>VLOOKUP($A219,'Data Vlaue (Cr)'!$C:$FB,11)*100</f>
        <v>-2.1</v>
      </c>
      <c r="D219" s="50">
        <f>VLOOKUP($A219,'Data Vlaue (Cr)'!$C:$FB,143)</f>
        <v>4809.37</v>
      </c>
      <c r="E219" s="50">
        <f>VLOOKUP($A219,'Data Vlaue (Cr)'!$C:$FB,144)</f>
        <v>7146.54</v>
      </c>
      <c r="F219" s="50">
        <f>VLOOKUP($A219,'Data Vlaue (Cr)'!$C:$FB,146)*100</f>
        <v>-32.700000000000003</v>
      </c>
      <c r="G219" s="49">
        <f>VLOOKUP($A219,'Data Vlaue (Cr)'!$C:$FB,43)</f>
        <v>747</v>
      </c>
      <c r="H219" s="49">
        <f>VLOOKUP($A219,'Data Vlaue (Cr)'!$C:$FB,44)</f>
        <v>862</v>
      </c>
      <c r="I219" s="49">
        <f>VLOOKUP($A219,'Data Vlaue (Cr)'!$C:$FB,46)*100</f>
        <v>-13.38</v>
      </c>
      <c r="J219" s="51">
        <f>VLOOKUP($A219,'Data Vlaue (Cr)'!$C:$FB,59)</f>
        <v>2297</v>
      </c>
      <c r="K219" s="51">
        <f>VLOOKUP($A219,'Data Vlaue (Cr)'!$C:$FB,60)</f>
        <v>3605</v>
      </c>
      <c r="L219" s="51">
        <f>VLOOKUP($A219,'Data Vlaue (Cr)'!$C:$FB,62)*100</f>
        <v>-36.29</v>
      </c>
      <c r="M219" s="51">
        <f>VLOOKUP($A219,'Data Vlaue (Cr)'!$C:$FB,63)</f>
        <v>1663</v>
      </c>
      <c r="N219" s="51">
        <f>VLOOKUP($A219,'Data Vlaue (Cr)'!$C:$FB,64)</f>
        <v>2507</v>
      </c>
      <c r="O219" s="51">
        <f>VLOOKUP($A219,'Data Vlaue (Cr)'!$C:$FB,66)*100</f>
        <v>-33.68</v>
      </c>
    </row>
    <row r="220" spans="1:15" x14ac:dyDescent="0.25">
      <c r="A220" s="101" t="str">
        <f>'Data Vlaue (Cr)'!C215</f>
        <v>VMM</v>
      </c>
      <c r="B220" s="50">
        <f>VLOOKUP($A220,'Data Vlaue (Cr)'!$C:$FB,8)</f>
        <v>118.61</v>
      </c>
      <c r="C220" s="50">
        <f>VLOOKUP($A220,'Data Vlaue (Cr)'!$C:$FB,11)*100</f>
        <v>-0.28999999999999998</v>
      </c>
      <c r="D220" s="50">
        <f>VLOOKUP($A220,'Data Vlaue (Cr)'!$C:$FB,143)</f>
        <v>162.97999999999999</v>
      </c>
      <c r="E220" s="50">
        <f>VLOOKUP($A220,'Data Vlaue (Cr)'!$C:$FB,144)</f>
        <v>335.93</v>
      </c>
      <c r="F220" s="50">
        <f>VLOOKUP($A220,'Data Vlaue (Cr)'!$C:$FB,146)*100</f>
        <v>-51.480000000000004</v>
      </c>
      <c r="G220" s="49">
        <f>VLOOKUP($A220,'Data Vlaue (Cr)'!$C:$FB,43)</f>
        <v>77</v>
      </c>
      <c r="H220" s="49">
        <f>VLOOKUP($A220,'Data Vlaue (Cr)'!$C:$FB,44)</f>
        <v>152</v>
      </c>
      <c r="I220" s="49">
        <f>VLOOKUP($A220,'Data Vlaue (Cr)'!$C:$FB,46)*100</f>
        <v>-49.53</v>
      </c>
      <c r="J220" s="51">
        <f>VLOOKUP($A220,'Data Vlaue (Cr)'!$C:$FB,59)</f>
        <v>68</v>
      </c>
      <c r="K220" s="51">
        <f>VLOOKUP($A220,'Data Vlaue (Cr)'!$C:$FB,60)</f>
        <v>152</v>
      </c>
      <c r="L220" s="51">
        <f>VLOOKUP($A220,'Data Vlaue (Cr)'!$C:$FB,62)*100</f>
        <v>-55.02</v>
      </c>
      <c r="M220" s="51">
        <f>VLOOKUP($A220,'Data Vlaue (Cr)'!$C:$FB,63)</f>
        <v>17</v>
      </c>
      <c r="N220" s="51">
        <f>VLOOKUP($A220,'Data Vlaue (Cr)'!$C:$FB,64)</f>
        <v>26</v>
      </c>
      <c r="O220" s="51">
        <f>VLOOKUP($A220,'Data Vlaue (Cr)'!$C:$FB,66)*100</f>
        <v>-36.980000000000004</v>
      </c>
    </row>
    <row r="221" spans="1:15" x14ac:dyDescent="0.25">
      <c r="A221" s="101" t="str">
        <f>'Data Vlaue (Cr)'!C216</f>
        <v>VOLTAS</v>
      </c>
      <c r="B221" s="50">
        <f>VLOOKUP($A221,'Data Vlaue (Cr)'!$C:$FB,8)</f>
        <v>1438</v>
      </c>
      <c r="C221" s="50">
        <f>VLOOKUP($A221,'Data Vlaue (Cr)'!$C:$FB,11)*100</f>
        <v>-0.15</v>
      </c>
      <c r="D221" s="50">
        <f>VLOOKUP($A221,'Data Vlaue (Cr)'!$C:$FB,143)</f>
        <v>2682.16</v>
      </c>
      <c r="E221" s="50">
        <f>VLOOKUP($A221,'Data Vlaue (Cr)'!$C:$FB,144)</f>
        <v>2170.27</v>
      </c>
      <c r="F221" s="50">
        <f>VLOOKUP($A221,'Data Vlaue (Cr)'!$C:$FB,146)*100</f>
        <v>23.59</v>
      </c>
      <c r="G221" s="49">
        <f>VLOOKUP($A221,'Data Vlaue (Cr)'!$C:$FB,43)</f>
        <v>381</v>
      </c>
      <c r="H221" s="49">
        <f>VLOOKUP($A221,'Data Vlaue (Cr)'!$C:$FB,44)</f>
        <v>274</v>
      </c>
      <c r="I221" s="49">
        <f>VLOOKUP($A221,'Data Vlaue (Cr)'!$C:$FB,46)*100</f>
        <v>39.4</v>
      </c>
      <c r="J221" s="51">
        <f>VLOOKUP($A221,'Data Vlaue (Cr)'!$C:$FB,59)</f>
        <v>1533</v>
      </c>
      <c r="K221" s="51">
        <f>VLOOKUP($A221,'Data Vlaue (Cr)'!$C:$FB,60)</f>
        <v>1247</v>
      </c>
      <c r="L221" s="51">
        <f>VLOOKUP($A221,'Data Vlaue (Cr)'!$C:$FB,62)*100</f>
        <v>22.900000000000002</v>
      </c>
      <c r="M221" s="51">
        <f>VLOOKUP($A221,'Data Vlaue (Cr)'!$C:$FB,63)</f>
        <v>706</v>
      </c>
      <c r="N221" s="51">
        <f>VLOOKUP($A221,'Data Vlaue (Cr)'!$C:$FB,64)</f>
        <v>643</v>
      </c>
      <c r="O221" s="51">
        <f>VLOOKUP($A221,'Data Vlaue (Cr)'!$C:$FB,66)*100</f>
        <v>9.68</v>
      </c>
    </row>
    <row r="222" spans="1:15" x14ac:dyDescent="0.25">
      <c r="A222" s="101" t="str">
        <f>'Data Vlaue (Cr)'!C217</f>
        <v>WAAREEENER</v>
      </c>
      <c r="B222" s="50">
        <f>VLOOKUP($A222,'Data Vlaue (Cr)'!$C:$FB,8)</f>
        <v>3489.1</v>
      </c>
      <c r="C222" s="50">
        <f>VLOOKUP($A222,'Data Vlaue (Cr)'!$C:$FB,11)*100</f>
        <v>0.66</v>
      </c>
      <c r="D222" s="50">
        <f>VLOOKUP($A222,'Data Vlaue (Cr)'!$C:$FB,143)</f>
        <v>3113.46</v>
      </c>
      <c r="E222" s="50">
        <f>VLOOKUP($A222,'Data Vlaue (Cr)'!$C:$FB,144)</f>
        <v>4355.2700000000004</v>
      </c>
      <c r="F222" s="50">
        <f>VLOOKUP($A222,'Data Vlaue (Cr)'!$C:$FB,146)*100</f>
        <v>-28.51</v>
      </c>
      <c r="G222" s="49">
        <f>VLOOKUP($A222,'Data Vlaue (Cr)'!$C:$FB,43)</f>
        <v>454</v>
      </c>
      <c r="H222" s="49">
        <f>VLOOKUP($A222,'Data Vlaue (Cr)'!$C:$FB,44)</f>
        <v>668</v>
      </c>
      <c r="I222" s="49">
        <f>VLOOKUP($A222,'Data Vlaue (Cr)'!$C:$FB,46)*100</f>
        <v>-32.119999999999997</v>
      </c>
      <c r="J222" s="51">
        <f>VLOOKUP($A222,'Data Vlaue (Cr)'!$C:$FB,59)</f>
        <v>1814</v>
      </c>
      <c r="K222" s="51">
        <f>VLOOKUP($A222,'Data Vlaue (Cr)'!$C:$FB,60)</f>
        <v>2455</v>
      </c>
      <c r="L222" s="51">
        <f>VLOOKUP($A222,'Data Vlaue (Cr)'!$C:$FB,62)*100</f>
        <v>-26.11</v>
      </c>
      <c r="M222" s="51">
        <f>VLOOKUP($A222,'Data Vlaue (Cr)'!$C:$FB,63)</f>
        <v>816</v>
      </c>
      <c r="N222" s="51">
        <f>VLOOKUP($A222,'Data Vlaue (Cr)'!$C:$FB,64)</f>
        <v>1214</v>
      </c>
      <c r="O222" s="51">
        <f>VLOOKUP($A222,'Data Vlaue (Cr)'!$C:$FB,66)*100</f>
        <v>-32.769999999999996</v>
      </c>
    </row>
    <row r="223" spans="1:15" x14ac:dyDescent="0.25">
      <c r="A223" s="101" t="str">
        <f>'Data Vlaue (Cr)'!C218</f>
        <v>WIPRO</v>
      </c>
      <c r="B223" s="50">
        <f>VLOOKUP($A223,'Data Vlaue (Cr)'!$C:$FB,8)</f>
        <v>202.48</v>
      </c>
      <c r="C223" s="50">
        <f>VLOOKUP($A223,'Data Vlaue (Cr)'!$C:$FB,11)*100</f>
        <v>-0.89999999999999991</v>
      </c>
      <c r="D223" s="50">
        <f>VLOOKUP($A223,'Data Vlaue (Cr)'!$C:$FB,143)</f>
        <v>5382.3</v>
      </c>
      <c r="E223" s="50">
        <f>VLOOKUP($A223,'Data Vlaue (Cr)'!$C:$FB,144)</f>
        <v>16616.830000000002</v>
      </c>
      <c r="F223" s="50">
        <f>VLOOKUP($A223,'Data Vlaue (Cr)'!$C:$FB,146)*100</f>
        <v>-67.61</v>
      </c>
      <c r="G223" s="49">
        <f>VLOOKUP($A223,'Data Vlaue (Cr)'!$C:$FB,43)</f>
        <v>580</v>
      </c>
      <c r="H223" s="49">
        <f>VLOOKUP($A223,'Data Vlaue (Cr)'!$C:$FB,44)</f>
        <v>2302</v>
      </c>
      <c r="I223" s="49">
        <f>VLOOKUP($A223,'Data Vlaue (Cr)'!$C:$FB,46)*100</f>
        <v>-74.819999999999993</v>
      </c>
      <c r="J223" s="51">
        <f>VLOOKUP($A223,'Data Vlaue (Cr)'!$C:$FB,59)</f>
        <v>3235</v>
      </c>
      <c r="K223" s="51">
        <f>VLOOKUP($A223,'Data Vlaue (Cr)'!$C:$FB,60)</f>
        <v>9120</v>
      </c>
      <c r="L223" s="51">
        <f>VLOOKUP($A223,'Data Vlaue (Cr)'!$C:$FB,62)*100</f>
        <v>-64.53</v>
      </c>
      <c r="M223" s="51">
        <f>VLOOKUP($A223,'Data Vlaue (Cr)'!$C:$FB,63)</f>
        <v>1416</v>
      </c>
      <c r="N223" s="51">
        <f>VLOOKUP($A223,'Data Vlaue (Cr)'!$C:$FB,64)</f>
        <v>4702</v>
      </c>
      <c r="O223" s="51">
        <f>VLOOKUP($A223,'Data Vlaue (Cr)'!$C:$FB,66)*100</f>
        <v>-69.88</v>
      </c>
    </row>
    <row r="224" spans="1:15" x14ac:dyDescent="0.25">
      <c r="A224" s="101" t="str">
        <f>'Data Vlaue (Cr)'!C219</f>
        <v>YESBANK</v>
      </c>
      <c r="B224" s="50">
        <f>VLOOKUP($A224,'Data Vlaue (Cr)'!$C:$FB,8)</f>
        <v>19.84</v>
      </c>
      <c r="C224" s="50">
        <f>VLOOKUP($A224,'Data Vlaue (Cr)'!$C:$FB,11)*100</f>
        <v>-1.73</v>
      </c>
      <c r="D224" s="50">
        <f>VLOOKUP($A224,'Data Vlaue (Cr)'!$C:$FB,143)</f>
        <v>6310.21</v>
      </c>
      <c r="E224" s="50">
        <f>VLOOKUP($A224,'Data Vlaue (Cr)'!$C:$FB,144)</f>
        <v>3873.05</v>
      </c>
      <c r="F224" s="50">
        <f>VLOOKUP($A224,'Data Vlaue (Cr)'!$C:$FB,146)*100</f>
        <v>62.93</v>
      </c>
      <c r="G224" s="49">
        <f>VLOOKUP($A224,'Data Vlaue (Cr)'!$C:$FB,43)</f>
        <v>1109</v>
      </c>
      <c r="H224" s="49">
        <f>VLOOKUP($A224,'Data Vlaue (Cr)'!$C:$FB,44)</f>
        <v>556</v>
      </c>
      <c r="I224" s="49">
        <f>VLOOKUP($A224,'Data Vlaue (Cr)'!$C:$FB,46)*100</f>
        <v>99.42</v>
      </c>
      <c r="J224" s="51">
        <f>VLOOKUP($A224,'Data Vlaue (Cr)'!$C:$FB,59)</f>
        <v>3954</v>
      </c>
      <c r="K224" s="51">
        <f>VLOOKUP($A224,'Data Vlaue (Cr)'!$C:$FB,60)</f>
        <v>2504</v>
      </c>
      <c r="L224" s="51">
        <f>VLOOKUP($A224,'Data Vlaue (Cr)'!$C:$FB,62)*100</f>
        <v>57.9</v>
      </c>
      <c r="M224" s="51">
        <f>VLOOKUP($A224,'Data Vlaue (Cr)'!$C:$FB,63)</f>
        <v>819</v>
      </c>
      <c r="N224" s="51">
        <f>VLOOKUP($A224,'Data Vlaue (Cr)'!$C:$FB,64)</f>
        <v>517</v>
      </c>
      <c r="O224" s="51">
        <f>VLOOKUP($A224,'Data Vlaue (Cr)'!$C:$FB,66)*100</f>
        <v>58.48</v>
      </c>
    </row>
    <row r="225" spans="1:15" x14ac:dyDescent="0.25">
      <c r="A225" s="101" t="str">
        <f>'Data Vlaue (Cr)'!C220</f>
        <v>ZYDUSLIFE</v>
      </c>
      <c r="B225" s="50">
        <f>VLOOKUP($A225,'Data Vlaue (Cr)'!$C:$FB,8)</f>
        <v>936.5</v>
      </c>
      <c r="C225" s="50">
        <f>VLOOKUP($A225,'Data Vlaue (Cr)'!$C:$FB,11)*100</f>
        <v>-0.79</v>
      </c>
      <c r="D225" s="50">
        <f>VLOOKUP($A225,'Data Vlaue (Cr)'!$C:$FB,143)</f>
        <v>454.57</v>
      </c>
      <c r="E225" s="50">
        <f>VLOOKUP($A225,'Data Vlaue (Cr)'!$C:$FB,144)</f>
        <v>549.94000000000005</v>
      </c>
      <c r="F225" s="50">
        <f>VLOOKUP($A225,'Data Vlaue (Cr)'!$C:$FB,146)*100</f>
        <v>-17.34</v>
      </c>
      <c r="G225" s="49">
        <f>VLOOKUP($A225,'Data Vlaue (Cr)'!$C:$FB,43)</f>
        <v>141</v>
      </c>
      <c r="H225" s="49">
        <f>VLOOKUP($A225,'Data Vlaue (Cr)'!$C:$FB,44)</f>
        <v>77</v>
      </c>
      <c r="I225" s="49">
        <f>VLOOKUP($A225,'Data Vlaue (Cr)'!$C:$FB,46)*100</f>
        <v>84.38</v>
      </c>
      <c r="J225" s="51">
        <f>VLOOKUP($A225,'Data Vlaue (Cr)'!$C:$FB,59)</f>
        <v>225</v>
      </c>
      <c r="K225" s="51">
        <f>VLOOKUP($A225,'Data Vlaue (Cr)'!$C:$FB,60)</f>
        <v>340</v>
      </c>
      <c r="L225" s="51">
        <f>VLOOKUP($A225,'Data Vlaue (Cr)'!$C:$FB,62)*100</f>
        <v>-33.79</v>
      </c>
      <c r="M225" s="51">
        <f>VLOOKUP($A225,'Data Vlaue (Cr)'!$C:$FB,63)</f>
        <v>82</v>
      </c>
      <c r="N225" s="51">
        <f>VLOOKUP($A225,'Data Vlaue (Cr)'!$C:$FB,64)</f>
        <v>123</v>
      </c>
      <c r="O225" s="51">
        <f>VLOOKUP($A225,'Data Vlaue (Cr)'!$C:$FB,66)*100</f>
        <v>-33.239999999999995</v>
      </c>
    </row>
    <row r="226" spans="1:15" x14ac:dyDescent="0.25">
      <c r="A226" s="101"/>
      <c r="B226" s="50"/>
      <c r="C226" s="50"/>
      <c r="D226" s="50"/>
      <c r="E226" s="50"/>
      <c r="F226" s="50"/>
      <c r="G226" s="49"/>
      <c r="H226" s="49"/>
      <c r="I226" s="49"/>
      <c r="J226" s="51"/>
      <c r="K226" s="51"/>
      <c r="L226" s="51"/>
      <c r="M226" s="51"/>
      <c r="N226" s="51"/>
      <c r="O226" s="51"/>
    </row>
    <row r="227" spans="1:15" x14ac:dyDescent="0.25">
      <c r="A227" s="101"/>
      <c r="B227" s="50"/>
      <c r="C227" s="50"/>
      <c r="D227" s="50"/>
      <c r="E227" s="50"/>
      <c r="F227" s="50"/>
      <c r="G227" s="49"/>
      <c r="H227" s="49"/>
      <c r="I227" s="49"/>
      <c r="J227" s="51"/>
      <c r="K227" s="51"/>
      <c r="L227" s="51"/>
      <c r="M227" s="51"/>
      <c r="N227" s="51"/>
      <c r="O227" s="51"/>
    </row>
    <row r="228" spans="1:15" x14ac:dyDescent="0.25">
      <c r="A228" s="101"/>
      <c r="B228" s="50"/>
      <c r="C228" s="50"/>
      <c r="D228" s="50"/>
      <c r="E228" s="50"/>
      <c r="F228" s="50"/>
      <c r="G228" s="49"/>
      <c r="H228" s="49"/>
      <c r="I228" s="49"/>
      <c r="J228" s="51"/>
      <c r="K228" s="51"/>
      <c r="L228" s="51"/>
      <c r="M228" s="51"/>
      <c r="N228" s="51"/>
      <c r="O228" s="51"/>
    </row>
    <row r="229" spans="1:15" x14ac:dyDescent="0.25">
      <c r="A229" s="101"/>
      <c r="B229" s="50"/>
      <c r="C229" s="50"/>
      <c r="D229" s="50"/>
      <c r="E229" s="50"/>
      <c r="F229" s="50"/>
      <c r="G229" s="49"/>
      <c r="H229" s="49"/>
      <c r="I229" s="49"/>
      <c r="J229" s="51"/>
      <c r="K229" s="51"/>
      <c r="L229" s="51"/>
      <c r="M229" s="51"/>
      <c r="N229" s="51"/>
      <c r="O229" s="51"/>
    </row>
    <row r="230" spans="1:15" x14ac:dyDescent="0.25">
      <c r="A230" s="101"/>
      <c r="B230" s="50"/>
      <c r="C230" s="50"/>
      <c r="D230" s="50"/>
      <c r="E230" s="50"/>
      <c r="F230" s="50"/>
      <c r="G230" s="49"/>
      <c r="H230" s="49"/>
      <c r="I230" s="49"/>
      <c r="J230" s="51"/>
      <c r="K230" s="51"/>
      <c r="L230" s="51"/>
      <c r="M230" s="51"/>
      <c r="N230" s="51"/>
      <c r="O230" s="51"/>
    </row>
    <row r="231" spans="1:15" x14ac:dyDescent="0.25">
      <c r="A231" s="101"/>
      <c r="B231" s="17"/>
      <c r="C231" s="17"/>
      <c r="D231" s="17"/>
      <c r="E231" s="17"/>
      <c r="F231" s="17"/>
      <c r="G231" s="17"/>
      <c r="H231" s="17"/>
      <c r="I231" s="17"/>
      <c r="J231" s="17"/>
      <c r="K231" s="17"/>
      <c r="L231" s="17"/>
      <c r="M231" s="17"/>
      <c r="N231" s="17"/>
      <c r="O231" s="17"/>
    </row>
    <row r="232" spans="1:15" x14ac:dyDescent="0.25">
      <c r="A232" s="130" t="s">
        <v>398</v>
      </c>
      <c r="B232" s="130"/>
      <c r="C232" s="130"/>
      <c r="D232" s="131">
        <f>SUM(D7:D231)</f>
        <v>20097481.420000013</v>
      </c>
      <c r="E232" s="131">
        <f>SUM(E7:E231)</f>
        <v>12163201.860000001</v>
      </c>
      <c r="F232" s="132">
        <f>(D232-E232)/E232</f>
        <v>0.65231833289659891</v>
      </c>
      <c r="G232" s="131">
        <f>SUM(G7:G231)</f>
        <v>113232</v>
      </c>
      <c r="H232" s="131">
        <f>SUM(H7:H231)</f>
        <v>111995</v>
      </c>
      <c r="I232" s="132">
        <f>(G232-H232)/H232</f>
        <v>1.104513594356891E-2</v>
      </c>
      <c r="J232" s="131">
        <f>SUM(J7:J231)</f>
        <v>10459047</v>
      </c>
      <c r="K232" s="131">
        <f>SUM(K7:K231)</f>
        <v>6600808</v>
      </c>
      <c r="L232" s="132">
        <f>(J232-K232)/K232</f>
        <v>0.58451010845944917</v>
      </c>
      <c r="M232" s="131">
        <f>SUM(M7:M231)</f>
        <v>9427927</v>
      </c>
      <c r="N232" s="131">
        <f>SUM(N7:N231)</f>
        <v>5453367</v>
      </c>
      <c r="O232" s="132">
        <f>(M232-N232)/N232</f>
        <v>0.72882679636268755</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33"/>
  <sheetViews>
    <sheetView workbookViewId="0">
      <pane ySplit="6" topLeftCell="A195" activePane="bottomLeft" state="frozen"/>
      <selection pane="bottomLeft" activeCell="A7" sqref="A7:A225"/>
    </sheetView>
  </sheetViews>
  <sheetFormatPr defaultRowHeight="15" x14ac:dyDescent="0.25"/>
  <cols>
    <col min="1" max="1" width="14.5703125" bestFit="1" customWidth="1"/>
    <col min="2" max="3" width="9.28515625" bestFit="1" customWidth="1"/>
    <col min="4" max="4" width="12.140625" bestFit="1" customWidth="1"/>
    <col min="5" max="5" width="12.7109375" customWidth="1"/>
    <col min="6" max="6" width="10.28515625" bestFit="1" customWidth="1"/>
    <col min="7" max="8" width="12.5703125" customWidth="1"/>
    <col min="9" max="9" width="9.28515625" bestFit="1" customWidth="1"/>
    <col min="10" max="11" width="12.140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2" t="s">
        <v>315</v>
      </c>
      <c r="B3" s="299"/>
      <c r="C3" s="299"/>
      <c r="D3" s="299"/>
      <c r="E3" s="299"/>
      <c r="F3" s="299"/>
      <c r="G3" s="299"/>
      <c r="H3" s="299"/>
      <c r="I3" s="299"/>
      <c r="J3" s="299"/>
      <c r="K3" s="299"/>
      <c r="L3" s="299"/>
      <c r="M3" s="299"/>
      <c r="N3" s="299"/>
      <c r="O3" s="300"/>
    </row>
    <row r="4" spans="1:15" x14ac:dyDescent="0.25">
      <c r="A4" s="303" t="s">
        <v>330</v>
      </c>
      <c r="B4" s="303" t="s">
        <v>308</v>
      </c>
      <c r="C4" s="303"/>
      <c r="D4" s="303" t="s">
        <v>361</v>
      </c>
      <c r="E4" s="303"/>
      <c r="F4" s="303"/>
      <c r="G4" s="303"/>
      <c r="H4" s="303"/>
      <c r="I4" s="303"/>
      <c r="J4" s="303"/>
      <c r="K4" s="303"/>
      <c r="L4" s="303"/>
      <c r="M4" s="303"/>
      <c r="N4" s="303"/>
      <c r="O4" s="303"/>
    </row>
    <row r="5" spans="1:15" x14ac:dyDescent="0.25">
      <c r="A5" s="304"/>
      <c r="B5" s="304" t="s">
        <v>312</v>
      </c>
      <c r="C5" s="304"/>
      <c r="D5" s="304" t="s">
        <v>315</v>
      </c>
      <c r="E5" s="304"/>
      <c r="F5" s="304"/>
      <c r="G5" s="304" t="s">
        <v>362</v>
      </c>
      <c r="H5" s="304"/>
      <c r="I5" s="304"/>
      <c r="J5" s="304" t="s">
        <v>363</v>
      </c>
      <c r="K5" s="304"/>
      <c r="L5" s="304"/>
      <c r="M5" s="304" t="s">
        <v>364</v>
      </c>
      <c r="N5" s="304"/>
      <c r="O5" s="304"/>
    </row>
    <row r="6" spans="1:15" x14ac:dyDescent="0.25">
      <c r="A6" s="34" t="s">
        <v>318</v>
      </c>
      <c r="B6" s="21">
        <f>'Total Value'!B6</f>
        <v>46132</v>
      </c>
      <c r="C6" s="34" t="s">
        <v>328</v>
      </c>
      <c r="D6" s="21">
        <f>B6</f>
        <v>46132</v>
      </c>
      <c r="E6" s="34" t="s">
        <v>322</v>
      </c>
      <c r="F6" s="34" t="s">
        <v>328</v>
      </c>
      <c r="G6" s="21">
        <f>D6</f>
        <v>46132</v>
      </c>
      <c r="H6" s="34" t="s">
        <v>322</v>
      </c>
      <c r="I6" s="34" t="s">
        <v>328</v>
      </c>
      <c r="J6" s="21">
        <f>D6</f>
        <v>46132</v>
      </c>
      <c r="K6" s="34" t="s">
        <v>322</v>
      </c>
      <c r="L6" s="34" t="s">
        <v>328</v>
      </c>
      <c r="M6" s="21">
        <f>D6</f>
        <v>46132</v>
      </c>
      <c r="N6" s="34" t="s">
        <v>322</v>
      </c>
      <c r="O6" s="34" t="s">
        <v>328</v>
      </c>
    </row>
    <row r="7" spans="1:15" x14ac:dyDescent="0.25">
      <c r="A7" s="101" t="str">
        <f>'Data Vlaue (Cr)'!C2</f>
        <v>360ONE</v>
      </c>
      <c r="B7" s="50">
        <f>VLOOKUP($A7,'Data shares'!$C:$FB,7)</f>
        <v>1109.25</v>
      </c>
      <c r="C7" s="50">
        <f>VLOOKUP($A7,'Data shares'!$C:$FB,10)*100</f>
        <v>-0.36</v>
      </c>
      <c r="D7" s="49">
        <f>VLOOKUP($A7,'Data shares'!$C:$FB,66)</f>
        <v>5341000</v>
      </c>
      <c r="E7" s="49">
        <f>VLOOKUP($A7,'Data shares'!$C:$FB,67)</f>
        <v>10467500</v>
      </c>
      <c r="F7" s="50">
        <f>VLOOKUP($A7,'Data shares'!$C:$FB,69)*100</f>
        <v>-48.980000000000004</v>
      </c>
      <c r="G7" s="49">
        <f>VLOOKUP($A7,'Data shares'!$C:$FB,42)</f>
        <v>1073500</v>
      </c>
      <c r="H7" s="49">
        <f>VLOOKUP($A7,'Data shares'!$C:$FB,43)</f>
        <v>2520500</v>
      </c>
      <c r="I7" s="50">
        <f>VLOOKUP($A7,'Data shares'!$C:$FB,45)*100</f>
        <v>-57.410000000000004</v>
      </c>
      <c r="J7" s="49">
        <f>VLOOKUP($A7,'Data shares'!$C:$FB,58)</f>
        <v>3055500</v>
      </c>
      <c r="K7" s="49">
        <f>VLOOKUP($A7,'Data shares'!$C:$FB,59)</f>
        <v>5152500</v>
      </c>
      <c r="L7" s="50">
        <f>VLOOKUP($A7,'Data shares'!$C:$FB,61)*100</f>
        <v>-40.699999999999996</v>
      </c>
      <c r="M7" s="49">
        <f>VLOOKUP($A7,'Data shares'!$C:$FB,62)</f>
        <v>1212000</v>
      </c>
      <c r="N7" s="49">
        <f>VLOOKUP($A7,'Data shares'!$C:$FB,63)</f>
        <v>2794500</v>
      </c>
      <c r="O7" s="140">
        <f>VLOOKUP($A7,'Data shares'!$C:$FB,65)*100</f>
        <v>-56.63</v>
      </c>
    </row>
    <row r="8" spans="1:15" x14ac:dyDescent="0.25">
      <c r="A8" s="101" t="str">
        <f>'Data Vlaue (Cr)'!C3</f>
        <v>ABB</v>
      </c>
      <c r="B8" s="50">
        <f>VLOOKUP($A8,'Data shares'!$C:$FB,7)</f>
        <v>7158</v>
      </c>
      <c r="C8" s="50">
        <f>VLOOKUP($A8,'Data shares'!$C:$FB,10)*100</f>
        <v>1.83</v>
      </c>
      <c r="D8" s="49">
        <f>VLOOKUP($A8,'Data shares'!$C:$FB,66)</f>
        <v>12710500</v>
      </c>
      <c r="E8" s="49">
        <f>VLOOKUP($A8,'Data shares'!$C:$FB,67)</f>
        <v>6812125</v>
      </c>
      <c r="F8" s="50">
        <f>VLOOKUP($A8,'Data shares'!$C:$FB,69)*100</f>
        <v>86.59</v>
      </c>
      <c r="G8" s="49">
        <f>VLOOKUP($A8,'Data shares'!$C:$FB,42)</f>
        <v>746250</v>
      </c>
      <c r="H8" s="49">
        <f>VLOOKUP($A8,'Data shares'!$C:$FB,43)</f>
        <v>624875</v>
      </c>
      <c r="I8" s="50">
        <f>VLOOKUP($A8,'Data shares'!$C:$FB,45)*100</f>
        <v>19.420000000000002</v>
      </c>
      <c r="J8" s="49">
        <f>VLOOKUP($A8,'Data shares'!$C:$FB,58)</f>
        <v>8811625</v>
      </c>
      <c r="K8" s="49">
        <f>VLOOKUP($A8,'Data shares'!$C:$FB,59)</f>
        <v>4190375</v>
      </c>
      <c r="L8" s="50">
        <f>VLOOKUP($A8,'Data shares'!$C:$FB,61)*100</f>
        <v>110.28</v>
      </c>
      <c r="M8" s="49">
        <f>VLOOKUP($A8,'Data shares'!$C:$FB,62)</f>
        <v>3152625</v>
      </c>
      <c r="N8" s="49">
        <f>VLOOKUP($A8,'Data shares'!$C:$FB,63)</f>
        <v>1996875</v>
      </c>
      <c r="O8" s="140">
        <f>VLOOKUP($A8,'Data shares'!$C:$FB,65)*100</f>
        <v>57.879999999999995</v>
      </c>
    </row>
    <row r="9" spans="1:15" x14ac:dyDescent="0.25">
      <c r="A9" s="101" t="str">
        <f>'Data Vlaue (Cr)'!C4</f>
        <v>ABCAPITAL</v>
      </c>
      <c r="B9" s="50">
        <f>VLOOKUP($A9,'Data shares'!$C:$FB,7)</f>
        <v>341.6</v>
      </c>
      <c r="C9" s="50">
        <f>VLOOKUP($A9,'Data shares'!$C:$FB,10)*100</f>
        <v>0.35000000000000003</v>
      </c>
      <c r="D9" s="49">
        <f>VLOOKUP($A9,'Data shares'!$C:$FB,66)</f>
        <v>38852300</v>
      </c>
      <c r="E9" s="49">
        <f>VLOOKUP($A9,'Data shares'!$C:$FB,67)</f>
        <v>72828300</v>
      </c>
      <c r="F9" s="50">
        <f>VLOOKUP($A9,'Data shares'!$C:$FB,69)*100</f>
        <v>-46.650000000000006</v>
      </c>
      <c r="G9" s="49">
        <f>VLOOKUP($A9,'Data shares'!$C:$FB,42)</f>
        <v>5319600</v>
      </c>
      <c r="H9" s="49">
        <f>VLOOKUP($A9,'Data shares'!$C:$FB,43)</f>
        <v>6472800</v>
      </c>
      <c r="I9" s="50">
        <f>VLOOKUP($A9,'Data shares'!$C:$FB,45)*100</f>
        <v>-17.82</v>
      </c>
      <c r="J9" s="49">
        <f>VLOOKUP($A9,'Data shares'!$C:$FB,58)</f>
        <v>23051600</v>
      </c>
      <c r="K9" s="49">
        <f>VLOOKUP($A9,'Data shares'!$C:$FB,59)</f>
        <v>53651700</v>
      </c>
      <c r="L9" s="50">
        <f>VLOOKUP($A9,'Data shares'!$C:$FB,61)*100</f>
        <v>-57.03</v>
      </c>
      <c r="M9" s="49">
        <f>VLOOKUP($A9,'Data shares'!$C:$FB,62)</f>
        <v>10481100</v>
      </c>
      <c r="N9" s="49">
        <f>VLOOKUP($A9,'Data shares'!$C:$FB,63)</f>
        <v>12703800</v>
      </c>
      <c r="O9" s="140">
        <f>VLOOKUP($A9,'Data shares'!$C:$FB,65)*100</f>
        <v>-17.5</v>
      </c>
    </row>
    <row r="10" spans="1:15" x14ac:dyDescent="0.25">
      <c r="A10" s="101" t="str">
        <f>'Data Vlaue (Cr)'!C5</f>
        <v>ADANIENSOL</v>
      </c>
      <c r="B10" s="50">
        <f>VLOOKUP($A10,'Data shares'!$C:$FB,7)</f>
        <v>1259.4000000000001</v>
      </c>
      <c r="C10" s="50">
        <f>VLOOKUP($A10,'Data shares'!$C:$FB,10)*100</f>
        <v>-0.03</v>
      </c>
      <c r="D10" s="49">
        <f>VLOOKUP($A10,'Data shares'!$C:$FB,66)</f>
        <v>15848325</v>
      </c>
      <c r="E10" s="49">
        <f>VLOOKUP($A10,'Data shares'!$C:$FB,67)</f>
        <v>26327700</v>
      </c>
      <c r="F10" s="50">
        <f>VLOOKUP($A10,'Data shares'!$C:$FB,69)*100</f>
        <v>-39.800000000000004</v>
      </c>
      <c r="G10" s="49">
        <f>VLOOKUP($A10,'Data shares'!$C:$FB,42)</f>
        <v>2870100</v>
      </c>
      <c r="H10" s="49">
        <f>VLOOKUP($A10,'Data shares'!$C:$FB,43)</f>
        <v>6612300</v>
      </c>
      <c r="I10" s="50">
        <f>VLOOKUP($A10,'Data shares'!$C:$FB,45)*100</f>
        <v>-56.589999999999996</v>
      </c>
      <c r="J10" s="49">
        <f>VLOOKUP($A10,'Data shares'!$C:$FB,58)</f>
        <v>9381150</v>
      </c>
      <c r="K10" s="49">
        <f>VLOOKUP($A10,'Data shares'!$C:$FB,59)</f>
        <v>12719025</v>
      </c>
      <c r="L10" s="50">
        <f>VLOOKUP($A10,'Data shares'!$C:$FB,61)*100</f>
        <v>-26.240000000000002</v>
      </c>
      <c r="M10" s="49">
        <f>VLOOKUP($A10,'Data shares'!$C:$FB,62)</f>
        <v>3597075</v>
      </c>
      <c r="N10" s="49">
        <f>VLOOKUP($A10,'Data shares'!$C:$FB,63)</f>
        <v>6996375</v>
      </c>
      <c r="O10" s="140">
        <f>VLOOKUP($A10,'Data shares'!$C:$FB,65)*100</f>
        <v>-48.59</v>
      </c>
    </row>
    <row r="11" spans="1:15" x14ac:dyDescent="0.25">
      <c r="A11" s="101" t="str">
        <f>'Data Vlaue (Cr)'!C6</f>
        <v>ADANIENT</v>
      </c>
      <c r="B11" s="50">
        <f>VLOOKUP($A11,'Data shares'!$C:$FB,7)</f>
        <v>2229.6</v>
      </c>
      <c r="C11" s="50">
        <f>VLOOKUP($A11,'Data shares'!$C:$FB,10)*100</f>
        <v>0.51</v>
      </c>
      <c r="D11" s="49">
        <f>VLOOKUP($A11,'Data shares'!$C:$FB,66)</f>
        <v>25199568</v>
      </c>
      <c r="E11" s="49">
        <f>VLOOKUP($A11,'Data shares'!$C:$FB,67)</f>
        <v>24423978</v>
      </c>
      <c r="F11" s="50">
        <f>VLOOKUP($A11,'Data shares'!$C:$FB,69)*100</f>
        <v>3.18</v>
      </c>
      <c r="G11" s="49">
        <f>VLOOKUP($A11,'Data shares'!$C:$FB,42)</f>
        <v>3426810</v>
      </c>
      <c r="H11" s="49">
        <f>VLOOKUP($A11,'Data shares'!$C:$FB,43)</f>
        <v>3433608</v>
      </c>
      <c r="I11" s="50">
        <f>VLOOKUP($A11,'Data shares'!$C:$FB,45)*100</f>
        <v>-0.2</v>
      </c>
      <c r="J11" s="49">
        <f>VLOOKUP($A11,'Data shares'!$C:$FB,58)</f>
        <v>14348724</v>
      </c>
      <c r="K11" s="49">
        <f>VLOOKUP($A11,'Data shares'!$C:$FB,59)</f>
        <v>14176302</v>
      </c>
      <c r="L11" s="50">
        <f>VLOOKUP($A11,'Data shares'!$C:$FB,61)*100</f>
        <v>1.22</v>
      </c>
      <c r="M11" s="49">
        <f>VLOOKUP($A11,'Data shares'!$C:$FB,62)</f>
        <v>7424034</v>
      </c>
      <c r="N11" s="49">
        <f>VLOOKUP($A11,'Data shares'!$C:$FB,63)</f>
        <v>6814068</v>
      </c>
      <c r="O11" s="140">
        <f>VLOOKUP($A11,'Data shares'!$C:$FB,65)*100</f>
        <v>8.9499999999999993</v>
      </c>
    </row>
    <row r="12" spans="1:15" x14ac:dyDescent="0.25">
      <c r="A12" s="101" t="str">
        <f>'Data Vlaue (Cr)'!C7</f>
        <v>ADANIGREEN</v>
      </c>
      <c r="B12" s="50">
        <f>VLOOKUP($A12,'Data shares'!$C:$FB,7)</f>
        <v>1152.7</v>
      </c>
      <c r="C12" s="50">
        <f>VLOOKUP($A12,'Data shares'!$C:$FB,10)*100</f>
        <v>2.25</v>
      </c>
      <c r="D12" s="49">
        <f>VLOOKUP($A12,'Data shares'!$C:$FB,66)</f>
        <v>50078400</v>
      </c>
      <c r="E12" s="49">
        <f>VLOOKUP($A12,'Data shares'!$C:$FB,67)</f>
        <v>24160800</v>
      </c>
      <c r="F12" s="50">
        <f>VLOOKUP($A12,'Data shares'!$C:$FB,69)*100</f>
        <v>107.27</v>
      </c>
      <c r="G12" s="49">
        <f>VLOOKUP($A12,'Data shares'!$C:$FB,42)</f>
        <v>6015000</v>
      </c>
      <c r="H12" s="49">
        <f>VLOOKUP($A12,'Data shares'!$C:$FB,43)</f>
        <v>3750000</v>
      </c>
      <c r="I12" s="50">
        <f>VLOOKUP($A12,'Data shares'!$C:$FB,45)*100</f>
        <v>60.4</v>
      </c>
      <c r="J12" s="49">
        <f>VLOOKUP($A12,'Data shares'!$C:$FB,58)</f>
        <v>30876600</v>
      </c>
      <c r="K12" s="49">
        <f>VLOOKUP($A12,'Data shares'!$C:$FB,59)</f>
        <v>13622400</v>
      </c>
      <c r="L12" s="50">
        <f>VLOOKUP($A12,'Data shares'!$C:$FB,61)*100</f>
        <v>126.66</v>
      </c>
      <c r="M12" s="49">
        <f>VLOOKUP($A12,'Data shares'!$C:$FB,62)</f>
        <v>13186800</v>
      </c>
      <c r="N12" s="49">
        <f>VLOOKUP($A12,'Data shares'!$C:$FB,63)</f>
        <v>6788400</v>
      </c>
      <c r="O12" s="140">
        <f>VLOOKUP($A12,'Data shares'!$C:$FB,65)*100</f>
        <v>94.25</v>
      </c>
    </row>
    <row r="13" spans="1:15" x14ac:dyDescent="0.25">
      <c r="A13" s="101" t="str">
        <f>'Data Vlaue (Cr)'!C8</f>
        <v>ADANIPORTS</v>
      </c>
      <c r="B13" s="50">
        <f>VLOOKUP($A13,'Data shares'!$C:$FB,7)</f>
        <v>1578.4</v>
      </c>
      <c r="C13" s="50">
        <f>VLOOKUP($A13,'Data shares'!$C:$FB,10)*100</f>
        <v>0.32</v>
      </c>
      <c r="D13" s="49">
        <f>VLOOKUP($A13,'Data shares'!$C:$FB,66)</f>
        <v>30987100</v>
      </c>
      <c r="E13" s="49">
        <f>VLOOKUP($A13,'Data shares'!$C:$FB,67)</f>
        <v>41377250</v>
      </c>
      <c r="F13" s="50">
        <f>VLOOKUP($A13,'Data shares'!$C:$FB,69)*100</f>
        <v>-25.11</v>
      </c>
      <c r="G13" s="49">
        <f>VLOOKUP($A13,'Data shares'!$C:$FB,42)</f>
        <v>3554425</v>
      </c>
      <c r="H13" s="49">
        <f>VLOOKUP($A13,'Data shares'!$C:$FB,43)</f>
        <v>3988100</v>
      </c>
      <c r="I13" s="50">
        <f>VLOOKUP($A13,'Data shares'!$C:$FB,45)*100</f>
        <v>-10.870000000000001</v>
      </c>
      <c r="J13" s="49">
        <f>VLOOKUP($A13,'Data shares'!$C:$FB,58)</f>
        <v>17372650</v>
      </c>
      <c r="K13" s="49">
        <f>VLOOKUP($A13,'Data shares'!$C:$FB,59)</f>
        <v>25247200</v>
      </c>
      <c r="L13" s="50">
        <f>VLOOKUP($A13,'Data shares'!$C:$FB,61)*100</f>
        <v>-31.19</v>
      </c>
      <c r="M13" s="49">
        <f>VLOOKUP($A13,'Data shares'!$C:$FB,62)</f>
        <v>10060025</v>
      </c>
      <c r="N13" s="49">
        <f>VLOOKUP($A13,'Data shares'!$C:$FB,63)</f>
        <v>12141950</v>
      </c>
      <c r="O13" s="140">
        <f>VLOOKUP($A13,'Data shares'!$C:$FB,65)*100</f>
        <v>-17.150000000000002</v>
      </c>
    </row>
    <row r="14" spans="1:15" x14ac:dyDescent="0.25">
      <c r="A14" s="101" t="str">
        <f>'Data Vlaue (Cr)'!C9</f>
        <v>ADANIPOWER</v>
      </c>
      <c r="B14" s="50">
        <f>VLOOKUP($A14,'Data shares'!$C:$FB,7)</f>
        <v>200.83</v>
      </c>
      <c r="C14" s="50">
        <f>VLOOKUP($A14,'Data shares'!$C:$FB,10)*100</f>
        <v>1.17</v>
      </c>
      <c r="D14" s="49">
        <f>VLOOKUP($A14,'Data shares'!$C:$FB,66)</f>
        <v>241059200</v>
      </c>
      <c r="E14" s="49">
        <f>VLOOKUP($A14,'Data shares'!$C:$FB,67)</f>
        <v>240729050</v>
      </c>
      <c r="F14" s="50">
        <f>VLOOKUP($A14,'Data shares'!$C:$FB,69)*100</f>
        <v>0.13999999999999999</v>
      </c>
      <c r="G14" s="49">
        <f>VLOOKUP($A14,'Data shares'!$C:$FB,42)</f>
        <v>44552500</v>
      </c>
      <c r="H14" s="49">
        <f>VLOOKUP($A14,'Data shares'!$C:$FB,43)</f>
        <v>62948600</v>
      </c>
      <c r="I14" s="50">
        <f>VLOOKUP($A14,'Data shares'!$C:$FB,45)*100</f>
        <v>-29.220000000000002</v>
      </c>
      <c r="J14" s="49">
        <f>VLOOKUP($A14,'Data shares'!$C:$FB,58)</f>
        <v>147051650</v>
      </c>
      <c r="K14" s="49">
        <f>VLOOKUP($A14,'Data shares'!$C:$FB,59)</f>
        <v>129862550</v>
      </c>
      <c r="L14" s="50">
        <f>VLOOKUP($A14,'Data shares'!$C:$FB,61)*100</f>
        <v>13.239999999999998</v>
      </c>
      <c r="M14" s="49">
        <f>VLOOKUP($A14,'Data shares'!$C:$FB,62)</f>
        <v>49455050</v>
      </c>
      <c r="N14" s="49">
        <f>VLOOKUP($A14,'Data shares'!$C:$FB,63)</f>
        <v>47917900</v>
      </c>
      <c r="O14" s="140">
        <f>VLOOKUP($A14,'Data shares'!$C:$FB,65)*100</f>
        <v>3.2099999999999995</v>
      </c>
    </row>
    <row r="15" spans="1:15" x14ac:dyDescent="0.25">
      <c r="A15" s="101" t="str">
        <f>'Data Vlaue (Cr)'!C10</f>
        <v>ALKEM</v>
      </c>
      <c r="B15" s="50">
        <f>VLOOKUP($A15,'Data shares'!$C:$FB,7)</f>
        <v>5642</v>
      </c>
      <c r="C15" s="50">
        <f>VLOOKUP($A15,'Data shares'!$C:$FB,10)*100</f>
        <v>1.0699999999999998</v>
      </c>
      <c r="D15" s="49">
        <f>VLOOKUP($A15,'Data shares'!$C:$FB,66)</f>
        <v>1528500</v>
      </c>
      <c r="E15" s="49">
        <f>VLOOKUP($A15,'Data shares'!$C:$FB,67)</f>
        <v>479000</v>
      </c>
      <c r="F15" s="50">
        <f>VLOOKUP($A15,'Data shares'!$C:$FB,69)*100</f>
        <v>219.1</v>
      </c>
      <c r="G15" s="49">
        <f>VLOOKUP($A15,'Data shares'!$C:$FB,42)</f>
        <v>189750</v>
      </c>
      <c r="H15" s="49">
        <f>VLOOKUP($A15,'Data shares'!$C:$FB,43)</f>
        <v>103875</v>
      </c>
      <c r="I15" s="50">
        <f>VLOOKUP($A15,'Data shares'!$C:$FB,45)*100</f>
        <v>82.67</v>
      </c>
      <c r="J15" s="49">
        <f>VLOOKUP($A15,'Data shares'!$C:$FB,58)</f>
        <v>1075625</v>
      </c>
      <c r="K15" s="49">
        <f>VLOOKUP($A15,'Data shares'!$C:$FB,59)</f>
        <v>282250</v>
      </c>
      <c r="L15" s="50">
        <f>VLOOKUP($A15,'Data shares'!$C:$FB,61)*100</f>
        <v>281.09000000000003</v>
      </c>
      <c r="M15" s="49">
        <f>VLOOKUP($A15,'Data shares'!$C:$FB,62)</f>
        <v>263125</v>
      </c>
      <c r="N15" s="49">
        <f>VLOOKUP($A15,'Data shares'!$C:$FB,63)</f>
        <v>92875</v>
      </c>
      <c r="O15" s="140">
        <f>VLOOKUP($A15,'Data shares'!$C:$FB,65)*100</f>
        <v>183.31</v>
      </c>
    </row>
    <row r="16" spans="1:15" x14ac:dyDescent="0.25">
      <c r="A16" s="101" t="str">
        <f>'Data Vlaue (Cr)'!C11</f>
        <v>AMBER</v>
      </c>
      <c r="B16" s="50">
        <f>VLOOKUP($A16,'Data shares'!$C:$FB,7)</f>
        <v>7980.5</v>
      </c>
      <c r="C16" s="50">
        <f>VLOOKUP($A16,'Data shares'!$C:$FB,10)*100</f>
        <v>0.27999999999999997</v>
      </c>
      <c r="D16" s="49">
        <f>VLOOKUP($A16,'Data shares'!$C:$FB,66)</f>
        <v>3334500</v>
      </c>
      <c r="E16" s="49">
        <f>VLOOKUP($A16,'Data shares'!$C:$FB,67)</f>
        <v>4127900</v>
      </c>
      <c r="F16" s="50">
        <f>VLOOKUP($A16,'Data shares'!$C:$FB,69)*100</f>
        <v>-19.220000000000002</v>
      </c>
      <c r="G16" s="49">
        <f>VLOOKUP($A16,'Data shares'!$C:$FB,42)</f>
        <v>346600</v>
      </c>
      <c r="H16" s="49">
        <f>VLOOKUP($A16,'Data shares'!$C:$FB,43)</f>
        <v>436400</v>
      </c>
      <c r="I16" s="50">
        <f>VLOOKUP($A16,'Data shares'!$C:$FB,45)*100</f>
        <v>-20.580000000000002</v>
      </c>
      <c r="J16" s="49">
        <f>VLOOKUP($A16,'Data shares'!$C:$FB,58)</f>
        <v>1704700</v>
      </c>
      <c r="K16" s="49">
        <f>VLOOKUP($A16,'Data shares'!$C:$FB,59)</f>
        <v>2382800</v>
      </c>
      <c r="L16" s="50">
        <f>VLOOKUP($A16,'Data shares'!$C:$FB,61)*100</f>
        <v>-28.46</v>
      </c>
      <c r="M16" s="49">
        <f>VLOOKUP($A16,'Data shares'!$C:$FB,62)</f>
        <v>1283200</v>
      </c>
      <c r="N16" s="49">
        <f>VLOOKUP($A16,'Data shares'!$C:$FB,63)</f>
        <v>1308700</v>
      </c>
      <c r="O16" s="140">
        <f>VLOOKUP($A16,'Data shares'!$C:$FB,65)*100</f>
        <v>-1.95</v>
      </c>
    </row>
    <row r="17" spans="1:15" x14ac:dyDescent="0.25">
      <c r="A17" s="101" t="str">
        <f>'Data Vlaue (Cr)'!C12</f>
        <v>AMBUJACEM</v>
      </c>
      <c r="B17" s="50">
        <f>VLOOKUP($A17,'Data shares'!$C:$FB,7)</f>
        <v>454.9</v>
      </c>
      <c r="C17" s="50">
        <f>VLOOKUP($A17,'Data shares'!$C:$FB,10)*100</f>
        <v>-0.89</v>
      </c>
      <c r="D17" s="49">
        <f>VLOOKUP($A17,'Data shares'!$C:$FB,66)</f>
        <v>20955900</v>
      </c>
      <c r="E17" s="49">
        <f>VLOOKUP($A17,'Data shares'!$C:$FB,67)</f>
        <v>14400750</v>
      </c>
      <c r="F17" s="50">
        <f>VLOOKUP($A17,'Data shares'!$C:$FB,69)*100</f>
        <v>45.519999999999996</v>
      </c>
      <c r="G17" s="49">
        <f>VLOOKUP($A17,'Data shares'!$C:$FB,42)</f>
        <v>7395150</v>
      </c>
      <c r="H17" s="49">
        <f>VLOOKUP($A17,'Data shares'!$C:$FB,43)</f>
        <v>4075050</v>
      </c>
      <c r="I17" s="50">
        <f>VLOOKUP($A17,'Data shares'!$C:$FB,45)*100</f>
        <v>81.47</v>
      </c>
      <c r="J17" s="49">
        <f>VLOOKUP($A17,'Data shares'!$C:$FB,58)</f>
        <v>10060050</v>
      </c>
      <c r="K17" s="49">
        <f>VLOOKUP($A17,'Data shares'!$C:$FB,59)</f>
        <v>6624450</v>
      </c>
      <c r="L17" s="50">
        <f>VLOOKUP($A17,'Data shares'!$C:$FB,61)*100</f>
        <v>51.859999999999992</v>
      </c>
      <c r="M17" s="49">
        <f>VLOOKUP($A17,'Data shares'!$C:$FB,62)</f>
        <v>3500700</v>
      </c>
      <c r="N17" s="49">
        <f>VLOOKUP($A17,'Data shares'!$C:$FB,63)</f>
        <v>3701250</v>
      </c>
      <c r="O17" s="140">
        <f>VLOOKUP($A17,'Data shares'!$C:$FB,65)*100</f>
        <v>-5.42</v>
      </c>
    </row>
    <row r="18" spans="1:15" x14ac:dyDescent="0.25">
      <c r="A18" s="101" t="str">
        <f>'Data Vlaue (Cr)'!C13</f>
        <v>ANGELONE</v>
      </c>
      <c r="B18" s="50">
        <f>VLOOKUP($A18,'Data shares'!$C:$FB,7)</f>
        <v>319.16000000000003</v>
      </c>
      <c r="C18" s="50">
        <f>VLOOKUP($A18,'Data shares'!$C:$FB,10)*100</f>
        <v>-1.03</v>
      </c>
      <c r="D18" s="49">
        <f>VLOOKUP($A18,'Data shares'!$C:$FB,66)</f>
        <v>204637500</v>
      </c>
      <c r="E18" s="49">
        <f>VLOOKUP($A18,'Data shares'!$C:$FB,67)</f>
        <v>688607500</v>
      </c>
      <c r="F18" s="50">
        <f>VLOOKUP($A18,'Data shares'!$C:$FB,69)*100</f>
        <v>-70.28</v>
      </c>
      <c r="G18" s="49">
        <f>VLOOKUP($A18,'Data shares'!$C:$FB,42)</f>
        <v>21807500</v>
      </c>
      <c r="H18" s="49">
        <f>VLOOKUP($A18,'Data shares'!$C:$FB,43)</f>
        <v>59080000</v>
      </c>
      <c r="I18" s="50">
        <f>VLOOKUP($A18,'Data shares'!$C:$FB,45)*100</f>
        <v>-63.09</v>
      </c>
      <c r="J18" s="49">
        <f>VLOOKUP($A18,'Data shares'!$C:$FB,58)</f>
        <v>105522500</v>
      </c>
      <c r="K18" s="49">
        <f>VLOOKUP($A18,'Data shares'!$C:$FB,59)</f>
        <v>424155000</v>
      </c>
      <c r="L18" s="50">
        <f>VLOOKUP($A18,'Data shares'!$C:$FB,61)*100</f>
        <v>-75.12</v>
      </c>
      <c r="M18" s="49">
        <f>VLOOKUP($A18,'Data shares'!$C:$FB,62)</f>
        <v>77307500</v>
      </c>
      <c r="N18" s="49">
        <f>VLOOKUP($A18,'Data shares'!$C:$FB,63)</f>
        <v>205372500</v>
      </c>
      <c r="O18" s="140">
        <f>VLOOKUP($A18,'Data shares'!$C:$FB,65)*100</f>
        <v>-62.360000000000007</v>
      </c>
    </row>
    <row r="19" spans="1:15" x14ac:dyDescent="0.25">
      <c r="A19" s="101" t="str">
        <f>'Data Vlaue (Cr)'!C14</f>
        <v>APLAPOLLO</v>
      </c>
      <c r="B19" s="50">
        <f>VLOOKUP($A19,'Data shares'!$C:$FB,7)</f>
        <v>2143.9</v>
      </c>
      <c r="C19" s="50">
        <f>VLOOKUP($A19,'Data shares'!$C:$FB,10)*100</f>
        <v>1.81</v>
      </c>
      <c r="D19" s="49">
        <f>VLOOKUP($A19,'Data shares'!$C:$FB,66)</f>
        <v>4569250</v>
      </c>
      <c r="E19" s="49">
        <f>VLOOKUP($A19,'Data shares'!$C:$FB,67)</f>
        <v>5713400</v>
      </c>
      <c r="F19" s="50">
        <f>VLOOKUP($A19,'Data shares'!$C:$FB,69)*100</f>
        <v>-20.03</v>
      </c>
      <c r="G19" s="49">
        <f>VLOOKUP($A19,'Data shares'!$C:$FB,42)</f>
        <v>1023400</v>
      </c>
      <c r="H19" s="49">
        <f>VLOOKUP($A19,'Data shares'!$C:$FB,43)</f>
        <v>752500</v>
      </c>
      <c r="I19" s="50">
        <f>VLOOKUP($A19,'Data shares'!$C:$FB,45)*100</f>
        <v>36</v>
      </c>
      <c r="J19" s="49">
        <f>VLOOKUP($A19,'Data shares'!$C:$FB,58)</f>
        <v>2523850</v>
      </c>
      <c r="K19" s="49">
        <f>VLOOKUP($A19,'Data shares'!$C:$FB,59)</f>
        <v>3880100</v>
      </c>
      <c r="L19" s="50">
        <f>VLOOKUP($A19,'Data shares'!$C:$FB,61)*100</f>
        <v>-34.949999999999996</v>
      </c>
      <c r="M19" s="49">
        <f>VLOOKUP($A19,'Data shares'!$C:$FB,62)</f>
        <v>1022000</v>
      </c>
      <c r="N19" s="49">
        <f>VLOOKUP($A19,'Data shares'!$C:$FB,63)</f>
        <v>1080800</v>
      </c>
      <c r="O19" s="140">
        <f>VLOOKUP($A19,'Data shares'!$C:$FB,65)*100</f>
        <v>-5.4399999999999995</v>
      </c>
    </row>
    <row r="20" spans="1:15" x14ac:dyDescent="0.25">
      <c r="A20" s="101" t="str">
        <f>'Data Vlaue (Cr)'!C15</f>
        <v>APOLLOHOSP</v>
      </c>
      <c r="B20" s="50">
        <f>VLOOKUP($A20,'Data shares'!$C:$FB,7)</f>
        <v>7657</v>
      </c>
      <c r="C20" s="50">
        <f>VLOOKUP($A20,'Data shares'!$C:$FB,10)*100</f>
        <v>-0.54999999999999993</v>
      </c>
      <c r="D20" s="49">
        <f>VLOOKUP($A20,'Data shares'!$C:$FB,66)</f>
        <v>2665250</v>
      </c>
      <c r="E20" s="49">
        <f>VLOOKUP($A20,'Data shares'!$C:$FB,67)</f>
        <v>4238875</v>
      </c>
      <c r="F20" s="50">
        <f>VLOOKUP($A20,'Data shares'!$C:$FB,69)*100</f>
        <v>-37.119999999999997</v>
      </c>
      <c r="G20" s="49">
        <f>VLOOKUP($A20,'Data shares'!$C:$FB,42)</f>
        <v>244500</v>
      </c>
      <c r="H20" s="49">
        <f>VLOOKUP($A20,'Data shares'!$C:$FB,43)</f>
        <v>314625</v>
      </c>
      <c r="I20" s="50">
        <f>VLOOKUP($A20,'Data shares'!$C:$FB,45)*100</f>
        <v>-22.29</v>
      </c>
      <c r="J20" s="49">
        <f>VLOOKUP($A20,'Data shares'!$C:$FB,58)</f>
        <v>1575000</v>
      </c>
      <c r="K20" s="49">
        <f>VLOOKUP($A20,'Data shares'!$C:$FB,59)</f>
        <v>2859875</v>
      </c>
      <c r="L20" s="50">
        <f>VLOOKUP($A20,'Data shares'!$C:$FB,61)*100</f>
        <v>-44.93</v>
      </c>
      <c r="M20" s="49">
        <f>VLOOKUP($A20,'Data shares'!$C:$FB,62)</f>
        <v>845750</v>
      </c>
      <c r="N20" s="49">
        <f>VLOOKUP($A20,'Data shares'!$C:$FB,63)</f>
        <v>1064375</v>
      </c>
      <c r="O20" s="140">
        <f>VLOOKUP($A20,'Data shares'!$C:$FB,65)*100</f>
        <v>-20.54</v>
      </c>
    </row>
    <row r="21" spans="1:15" x14ac:dyDescent="0.25">
      <c r="A21" s="101" t="str">
        <f>'Data Vlaue (Cr)'!C16</f>
        <v>ASHOKLEY</v>
      </c>
      <c r="B21" s="50">
        <f>VLOOKUP($A21,'Data shares'!$C:$FB,7)</f>
        <v>175.96</v>
      </c>
      <c r="C21" s="50">
        <f>VLOOKUP($A21,'Data shares'!$C:$FB,10)*100</f>
        <v>0.67999999999999994</v>
      </c>
      <c r="D21" s="49">
        <f>VLOOKUP($A21,'Data shares'!$C:$FB,66)</f>
        <v>162665000</v>
      </c>
      <c r="E21" s="49">
        <f>VLOOKUP($A21,'Data shares'!$C:$FB,67)</f>
        <v>152315000</v>
      </c>
      <c r="F21" s="50">
        <f>VLOOKUP($A21,'Data shares'!$C:$FB,69)*100</f>
        <v>6.8000000000000007</v>
      </c>
      <c r="G21" s="49">
        <f>VLOOKUP($A21,'Data shares'!$C:$FB,42)</f>
        <v>21080000</v>
      </c>
      <c r="H21" s="49">
        <f>VLOOKUP($A21,'Data shares'!$C:$FB,43)</f>
        <v>32935000</v>
      </c>
      <c r="I21" s="50">
        <f>VLOOKUP($A21,'Data shares'!$C:$FB,45)*100</f>
        <v>-36</v>
      </c>
      <c r="J21" s="49">
        <f>VLOOKUP($A21,'Data shares'!$C:$FB,58)</f>
        <v>96995000</v>
      </c>
      <c r="K21" s="49">
        <f>VLOOKUP($A21,'Data shares'!$C:$FB,59)</f>
        <v>76005000</v>
      </c>
      <c r="L21" s="50">
        <f>VLOOKUP($A21,'Data shares'!$C:$FB,61)*100</f>
        <v>27.62</v>
      </c>
      <c r="M21" s="49">
        <f>VLOOKUP($A21,'Data shares'!$C:$FB,62)</f>
        <v>44590000</v>
      </c>
      <c r="N21" s="49">
        <f>VLOOKUP($A21,'Data shares'!$C:$FB,63)</f>
        <v>43375000</v>
      </c>
      <c r="O21" s="140">
        <f>VLOOKUP($A21,'Data shares'!$C:$FB,65)*100</f>
        <v>2.8000000000000003</v>
      </c>
    </row>
    <row r="22" spans="1:15" x14ac:dyDescent="0.25">
      <c r="A22" s="101" t="str">
        <f>'Data Vlaue (Cr)'!C17</f>
        <v>ASIANPAINT</v>
      </c>
      <c r="B22" s="50">
        <f>VLOOKUP($A22,'Data shares'!$C:$FB,7)</f>
        <v>2516.8000000000002</v>
      </c>
      <c r="C22" s="50">
        <f>VLOOKUP($A22,'Data shares'!$C:$FB,10)*100</f>
        <v>2.1399999999999997</v>
      </c>
      <c r="D22" s="49">
        <f>VLOOKUP($A22,'Data shares'!$C:$FB,66)</f>
        <v>18588500</v>
      </c>
      <c r="E22" s="49">
        <f>VLOOKUP($A22,'Data shares'!$C:$FB,67)</f>
        <v>18909250</v>
      </c>
      <c r="F22" s="50">
        <f>VLOOKUP($A22,'Data shares'!$C:$FB,69)*100</f>
        <v>-1.7000000000000002</v>
      </c>
      <c r="G22" s="49">
        <f>VLOOKUP($A22,'Data shares'!$C:$FB,42)</f>
        <v>1996000</v>
      </c>
      <c r="H22" s="49">
        <f>VLOOKUP($A22,'Data shares'!$C:$FB,43)</f>
        <v>3243750</v>
      </c>
      <c r="I22" s="50">
        <f>VLOOKUP($A22,'Data shares'!$C:$FB,45)*100</f>
        <v>-38.47</v>
      </c>
      <c r="J22" s="49">
        <f>VLOOKUP($A22,'Data shares'!$C:$FB,58)</f>
        <v>9253000</v>
      </c>
      <c r="K22" s="49">
        <f>VLOOKUP($A22,'Data shares'!$C:$FB,59)</f>
        <v>9214250</v>
      </c>
      <c r="L22" s="50">
        <f>VLOOKUP($A22,'Data shares'!$C:$FB,61)*100</f>
        <v>0.42</v>
      </c>
      <c r="M22" s="49">
        <f>VLOOKUP($A22,'Data shares'!$C:$FB,62)</f>
        <v>7339500</v>
      </c>
      <c r="N22" s="49">
        <f>VLOOKUP($A22,'Data shares'!$C:$FB,63)</f>
        <v>6451250</v>
      </c>
      <c r="O22" s="140">
        <f>VLOOKUP($A22,'Data shares'!$C:$FB,65)*100</f>
        <v>13.77</v>
      </c>
    </row>
    <row r="23" spans="1:15" x14ac:dyDescent="0.25">
      <c r="A23" s="101" t="str">
        <f>'Data Vlaue (Cr)'!C18</f>
        <v>ASTRAL</v>
      </c>
      <c r="B23" s="50">
        <f>VLOOKUP($A23,'Data shares'!$C:$FB,7)</f>
        <v>1591.4</v>
      </c>
      <c r="C23" s="50">
        <f>VLOOKUP($A23,'Data shares'!$C:$FB,10)*100</f>
        <v>-0.85000000000000009</v>
      </c>
      <c r="D23" s="49">
        <f>VLOOKUP($A23,'Data shares'!$C:$FB,66)</f>
        <v>9291775</v>
      </c>
      <c r="E23" s="49">
        <f>VLOOKUP($A23,'Data shares'!$C:$FB,67)</f>
        <v>17834275</v>
      </c>
      <c r="F23" s="50">
        <f>VLOOKUP($A23,'Data shares'!$C:$FB,69)*100</f>
        <v>-47.9</v>
      </c>
      <c r="G23" s="49">
        <f>VLOOKUP($A23,'Data shares'!$C:$FB,42)</f>
        <v>2301800</v>
      </c>
      <c r="H23" s="49">
        <f>VLOOKUP($A23,'Data shares'!$C:$FB,43)</f>
        <v>3668175</v>
      </c>
      <c r="I23" s="50">
        <f>VLOOKUP($A23,'Data shares'!$C:$FB,45)*100</f>
        <v>-37.25</v>
      </c>
      <c r="J23" s="49">
        <f>VLOOKUP($A23,'Data shares'!$C:$FB,58)</f>
        <v>5053675</v>
      </c>
      <c r="K23" s="49">
        <f>VLOOKUP($A23,'Data shares'!$C:$FB,59)</f>
        <v>9523400</v>
      </c>
      <c r="L23" s="50">
        <f>VLOOKUP($A23,'Data shares'!$C:$FB,61)*100</f>
        <v>-46.93</v>
      </c>
      <c r="M23" s="49">
        <f>VLOOKUP($A23,'Data shares'!$C:$FB,62)</f>
        <v>1936300</v>
      </c>
      <c r="N23" s="49">
        <f>VLOOKUP($A23,'Data shares'!$C:$FB,63)</f>
        <v>4642700</v>
      </c>
      <c r="O23" s="140">
        <f>VLOOKUP($A23,'Data shares'!$C:$FB,65)*100</f>
        <v>-58.29</v>
      </c>
    </row>
    <row r="24" spans="1:15" x14ac:dyDescent="0.25">
      <c r="A24" s="101" t="str">
        <f>'Data Vlaue (Cr)'!C19</f>
        <v>AUBANK</v>
      </c>
      <c r="B24" s="50">
        <f>VLOOKUP($A24,'Data shares'!$C:$FB,7)</f>
        <v>997.65</v>
      </c>
      <c r="C24" s="50">
        <f>VLOOKUP($A24,'Data shares'!$C:$FB,10)*100</f>
        <v>0.71000000000000008</v>
      </c>
      <c r="D24" s="49">
        <f>VLOOKUP($A24,'Data shares'!$C:$FB,66)</f>
        <v>20703000</v>
      </c>
      <c r="E24" s="49">
        <f>VLOOKUP($A24,'Data shares'!$C:$FB,67)</f>
        <v>11682000</v>
      </c>
      <c r="F24" s="50">
        <f>VLOOKUP($A24,'Data shares'!$C:$FB,69)*100</f>
        <v>77.22</v>
      </c>
      <c r="G24" s="49">
        <f>VLOOKUP($A24,'Data shares'!$C:$FB,42)</f>
        <v>4252000</v>
      </c>
      <c r="H24" s="49">
        <f>VLOOKUP($A24,'Data shares'!$C:$FB,43)</f>
        <v>3023000</v>
      </c>
      <c r="I24" s="50">
        <f>VLOOKUP($A24,'Data shares'!$C:$FB,45)*100</f>
        <v>40.65</v>
      </c>
      <c r="J24" s="49">
        <f>VLOOKUP($A24,'Data shares'!$C:$FB,58)</f>
        <v>10490000</v>
      </c>
      <c r="K24" s="49">
        <f>VLOOKUP($A24,'Data shares'!$C:$FB,59)</f>
        <v>4955000</v>
      </c>
      <c r="L24" s="50">
        <f>VLOOKUP($A24,'Data shares'!$C:$FB,61)*100</f>
        <v>111.71</v>
      </c>
      <c r="M24" s="49">
        <f>VLOOKUP($A24,'Data shares'!$C:$FB,62)</f>
        <v>5961000</v>
      </c>
      <c r="N24" s="49">
        <f>VLOOKUP($A24,'Data shares'!$C:$FB,63)</f>
        <v>3704000</v>
      </c>
      <c r="O24" s="140">
        <f>VLOOKUP($A24,'Data shares'!$C:$FB,65)*100</f>
        <v>60.929999999999993</v>
      </c>
    </row>
    <row r="25" spans="1:15" x14ac:dyDescent="0.25">
      <c r="A25" s="101" t="str">
        <f>'Data Vlaue (Cr)'!C20</f>
        <v>AUROPHARMA</v>
      </c>
      <c r="B25" s="50">
        <f>VLOOKUP($A25,'Data shares'!$C:$FB,7)</f>
        <v>1367.8</v>
      </c>
      <c r="C25" s="50">
        <f>VLOOKUP($A25,'Data shares'!$C:$FB,10)*100</f>
        <v>-1.31</v>
      </c>
      <c r="D25" s="49">
        <f>VLOOKUP($A25,'Data shares'!$C:$FB,66)</f>
        <v>15115650</v>
      </c>
      <c r="E25" s="49">
        <f>VLOOKUP($A25,'Data shares'!$C:$FB,67)</f>
        <v>7662600</v>
      </c>
      <c r="F25" s="50">
        <f>VLOOKUP($A25,'Data shares'!$C:$FB,69)*100</f>
        <v>97.27</v>
      </c>
      <c r="G25" s="49">
        <f>VLOOKUP($A25,'Data shares'!$C:$FB,42)</f>
        <v>9832350</v>
      </c>
      <c r="H25" s="49">
        <f>VLOOKUP($A25,'Data shares'!$C:$FB,43)</f>
        <v>1499850</v>
      </c>
      <c r="I25" s="50">
        <f>VLOOKUP($A25,'Data shares'!$C:$FB,45)*100</f>
        <v>555.56000000000006</v>
      </c>
      <c r="J25" s="49">
        <f>VLOOKUP($A25,'Data shares'!$C:$FB,58)</f>
        <v>3231800</v>
      </c>
      <c r="K25" s="49">
        <f>VLOOKUP($A25,'Data shares'!$C:$FB,59)</f>
        <v>3700400</v>
      </c>
      <c r="L25" s="50">
        <f>VLOOKUP($A25,'Data shares'!$C:$FB,61)*100</f>
        <v>-12.659999999999998</v>
      </c>
      <c r="M25" s="49">
        <f>VLOOKUP($A25,'Data shares'!$C:$FB,62)</f>
        <v>2051500</v>
      </c>
      <c r="N25" s="49">
        <f>VLOOKUP($A25,'Data shares'!$C:$FB,63)</f>
        <v>2462350</v>
      </c>
      <c r="O25" s="140">
        <f>VLOOKUP($A25,'Data shares'!$C:$FB,65)*100</f>
        <v>-16.689999999999998</v>
      </c>
    </row>
    <row r="26" spans="1:15" x14ac:dyDescent="0.25">
      <c r="A26" s="101" t="str">
        <f>'Data Vlaue (Cr)'!C21</f>
        <v>AXISBANK</v>
      </c>
      <c r="B26" s="50">
        <f>VLOOKUP($A26,'Data shares'!$C:$FB,7)</f>
        <v>1354.7</v>
      </c>
      <c r="C26" s="50">
        <f>VLOOKUP($A26,'Data shares'!$C:$FB,10)*100</f>
        <v>-0.32</v>
      </c>
      <c r="D26" s="49">
        <f>VLOOKUP($A26,'Data shares'!$C:$FB,66)</f>
        <v>39440000</v>
      </c>
      <c r="E26" s="49">
        <f>VLOOKUP($A26,'Data shares'!$C:$FB,67)</f>
        <v>34241250</v>
      </c>
      <c r="F26" s="50">
        <f>VLOOKUP($A26,'Data shares'!$C:$FB,69)*100</f>
        <v>15.18</v>
      </c>
      <c r="G26" s="49">
        <f>VLOOKUP($A26,'Data shares'!$C:$FB,42)</f>
        <v>7470000</v>
      </c>
      <c r="H26" s="49">
        <f>VLOOKUP($A26,'Data shares'!$C:$FB,43)</f>
        <v>7070000</v>
      </c>
      <c r="I26" s="50">
        <f>VLOOKUP($A26,'Data shares'!$C:$FB,45)*100</f>
        <v>5.66</v>
      </c>
      <c r="J26" s="49">
        <f>VLOOKUP($A26,'Data shares'!$C:$FB,58)</f>
        <v>18971250</v>
      </c>
      <c r="K26" s="49">
        <f>VLOOKUP($A26,'Data shares'!$C:$FB,59)</f>
        <v>16048125</v>
      </c>
      <c r="L26" s="50">
        <f>VLOOKUP($A26,'Data shares'!$C:$FB,61)*100</f>
        <v>18.21</v>
      </c>
      <c r="M26" s="49">
        <f>VLOOKUP($A26,'Data shares'!$C:$FB,62)</f>
        <v>12998750</v>
      </c>
      <c r="N26" s="49">
        <f>VLOOKUP($A26,'Data shares'!$C:$FB,63)</f>
        <v>11123125</v>
      </c>
      <c r="O26" s="140">
        <f>VLOOKUP($A26,'Data shares'!$C:$FB,65)*100</f>
        <v>16.86</v>
      </c>
    </row>
    <row r="27" spans="1:15" x14ac:dyDescent="0.25">
      <c r="A27" s="101" t="str">
        <f>'Data Vlaue (Cr)'!C22</f>
        <v>BAJAJ-AUTO</v>
      </c>
      <c r="B27" s="50">
        <f>VLOOKUP($A27,'Data shares'!$C:$FB,7)</f>
        <v>9803</v>
      </c>
      <c r="C27" s="50">
        <f>VLOOKUP($A27,'Data shares'!$C:$FB,10)*100</f>
        <v>0.3</v>
      </c>
      <c r="D27" s="49">
        <f>VLOOKUP($A27,'Data shares'!$C:$FB,66)</f>
        <v>2968200</v>
      </c>
      <c r="E27" s="49">
        <f>VLOOKUP($A27,'Data shares'!$C:$FB,67)</f>
        <v>2426100</v>
      </c>
      <c r="F27" s="50">
        <f>VLOOKUP($A27,'Data shares'!$C:$FB,69)*100</f>
        <v>22.34</v>
      </c>
      <c r="G27" s="49">
        <f>VLOOKUP($A27,'Data shares'!$C:$FB,42)</f>
        <v>290325</v>
      </c>
      <c r="H27" s="49">
        <f>VLOOKUP($A27,'Data shares'!$C:$FB,43)</f>
        <v>314025</v>
      </c>
      <c r="I27" s="50">
        <f>VLOOKUP($A27,'Data shares'!$C:$FB,45)*100</f>
        <v>-7.55</v>
      </c>
      <c r="J27" s="49">
        <f>VLOOKUP($A27,'Data shares'!$C:$FB,58)</f>
        <v>1773000</v>
      </c>
      <c r="K27" s="49">
        <f>VLOOKUP($A27,'Data shares'!$C:$FB,59)</f>
        <v>1262475</v>
      </c>
      <c r="L27" s="50">
        <f>VLOOKUP($A27,'Data shares'!$C:$FB,61)*100</f>
        <v>40.44</v>
      </c>
      <c r="M27" s="49">
        <f>VLOOKUP($A27,'Data shares'!$C:$FB,62)</f>
        <v>904875</v>
      </c>
      <c r="N27" s="49">
        <f>VLOOKUP($A27,'Data shares'!$C:$FB,63)</f>
        <v>849600</v>
      </c>
      <c r="O27" s="140">
        <f>VLOOKUP($A27,'Data shares'!$C:$FB,65)*100</f>
        <v>6.5100000000000007</v>
      </c>
    </row>
    <row r="28" spans="1:15" x14ac:dyDescent="0.25">
      <c r="A28" s="101" t="str">
        <f>'Data Vlaue (Cr)'!C23</f>
        <v>BAJAJFINSV</v>
      </c>
      <c r="B28" s="50">
        <f>VLOOKUP($A28,'Data shares'!$C:$FB,7)</f>
        <v>1830.6</v>
      </c>
      <c r="C28" s="50">
        <f>VLOOKUP($A28,'Data shares'!$C:$FB,10)*100</f>
        <v>-0.44999999999999996</v>
      </c>
      <c r="D28" s="49">
        <f>VLOOKUP($A28,'Data shares'!$C:$FB,66)</f>
        <v>5063750</v>
      </c>
      <c r="E28" s="49">
        <f>VLOOKUP($A28,'Data shares'!$C:$FB,67)</f>
        <v>3670250</v>
      </c>
      <c r="F28" s="50">
        <f>VLOOKUP($A28,'Data shares'!$C:$FB,69)*100</f>
        <v>37.97</v>
      </c>
      <c r="G28" s="49">
        <f>VLOOKUP($A28,'Data shares'!$C:$FB,42)</f>
        <v>1213750</v>
      </c>
      <c r="H28" s="49">
        <f>VLOOKUP($A28,'Data shares'!$C:$FB,43)</f>
        <v>448250</v>
      </c>
      <c r="I28" s="50">
        <f>VLOOKUP($A28,'Data shares'!$C:$FB,45)*100</f>
        <v>170.78</v>
      </c>
      <c r="J28" s="49">
        <f>VLOOKUP($A28,'Data shares'!$C:$FB,58)</f>
        <v>2325750</v>
      </c>
      <c r="K28" s="49">
        <f>VLOOKUP($A28,'Data shares'!$C:$FB,59)</f>
        <v>1944000</v>
      </c>
      <c r="L28" s="50">
        <f>VLOOKUP($A28,'Data shares'!$C:$FB,61)*100</f>
        <v>19.64</v>
      </c>
      <c r="M28" s="49">
        <f>VLOOKUP($A28,'Data shares'!$C:$FB,62)</f>
        <v>1524250</v>
      </c>
      <c r="N28" s="49">
        <f>VLOOKUP($A28,'Data shares'!$C:$FB,63)</f>
        <v>1278000</v>
      </c>
      <c r="O28" s="140">
        <f>VLOOKUP($A28,'Data shares'!$C:$FB,65)*100</f>
        <v>19.27</v>
      </c>
    </row>
    <row r="29" spans="1:15" x14ac:dyDescent="0.25">
      <c r="A29" s="101" t="str">
        <f>'Data Vlaue (Cr)'!C24</f>
        <v>BAJAJHLDNG</v>
      </c>
      <c r="B29" s="50">
        <f>VLOOKUP($A29,'Data shares'!$C:$FB,7)</f>
        <v>10388</v>
      </c>
      <c r="C29" s="50">
        <f>VLOOKUP($A29,'Data shares'!$C:$FB,10)*100</f>
        <v>0.31</v>
      </c>
      <c r="D29" s="49">
        <f>VLOOKUP($A29,'Data shares'!$C:$FB,66)</f>
        <v>536400</v>
      </c>
      <c r="E29" s="49">
        <f>VLOOKUP($A29,'Data shares'!$C:$FB,67)</f>
        <v>252400</v>
      </c>
      <c r="F29" s="50">
        <f>VLOOKUP($A29,'Data shares'!$C:$FB,69)*100</f>
        <v>112.52</v>
      </c>
      <c r="G29" s="49">
        <f>VLOOKUP($A29,'Data shares'!$C:$FB,42)</f>
        <v>28900</v>
      </c>
      <c r="H29" s="49">
        <f>VLOOKUP($A29,'Data shares'!$C:$FB,43)</f>
        <v>27600</v>
      </c>
      <c r="I29" s="50">
        <f>VLOOKUP($A29,'Data shares'!$C:$FB,45)*100</f>
        <v>4.71</v>
      </c>
      <c r="J29" s="49">
        <f>VLOOKUP($A29,'Data shares'!$C:$FB,58)</f>
        <v>191250</v>
      </c>
      <c r="K29" s="49">
        <f>VLOOKUP($A29,'Data shares'!$C:$FB,59)</f>
        <v>90100</v>
      </c>
      <c r="L29" s="50">
        <f>VLOOKUP($A29,'Data shares'!$C:$FB,61)*100</f>
        <v>112.26</v>
      </c>
      <c r="M29" s="49">
        <f>VLOOKUP($A29,'Data shares'!$C:$FB,62)</f>
        <v>316250</v>
      </c>
      <c r="N29" s="49">
        <f>VLOOKUP($A29,'Data shares'!$C:$FB,63)</f>
        <v>134700</v>
      </c>
      <c r="O29" s="140">
        <f>VLOOKUP($A29,'Data shares'!$C:$FB,65)*100</f>
        <v>134.78</v>
      </c>
    </row>
    <row r="30" spans="1:15" x14ac:dyDescent="0.25">
      <c r="A30" s="101" t="str">
        <f>'Data Vlaue (Cr)'!C25</f>
        <v>BAJFINANCE</v>
      </c>
      <c r="B30" s="50">
        <f>VLOOKUP($A30,'Data shares'!$C:$FB,7)</f>
        <v>917.75</v>
      </c>
      <c r="C30" s="50">
        <f>VLOOKUP($A30,'Data shares'!$C:$FB,10)*100</f>
        <v>1.05</v>
      </c>
      <c r="D30" s="49">
        <f>VLOOKUP($A30,'Data shares'!$C:$FB,66)</f>
        <v>38284500</v>
      </c>
      <c r="E30" s="49">
        <f>VLOOKUP($A30,'Data shares'!$C:$FB,67)</f>
        <v>27449250</v>
      </c>
      <c r="F30" s="50">
        <f>VLOOKUP($A30,'Data shares'!$C:$FB,69)*100</f>
        <v>39.47</v>
      </c>
      <c r="G30" s="49">
        <f>VLOOKUP($A30,'Data shares'!$C:$FB,42)</f>
        <v>6112500</v>
      </c>
      <c r="H30" s="49">
        <f>VLOOKUP($A30,'Data shares'!$C:$FB,43)</f>
        <v>4827750</v>
      </c>
      <c r="I30" s="50">
        <f>VLOOKUP($A30,'Data shares'!$C:$FB,45)*100</f>
        <v>26.61</v>
      </c>
      <c r="J30" s="49">
        <f>VLOOKUP($A30,'Data shares'!$C:$FB,58)</f>
        <v>20649000</v>
      </c>
      <c r="K30" s="49">
        <f>VLOOKUP($A30,'Data shares'!$C:$FB,59)</f>
        <v>13919250</v>
      </c>
      <c r="L30" s="50">
        <f>VLOOKUP($A30,'Data shares'!$C:$FB,61)*100</f>
        <v>48.35</v>
      </c>
      <c r="M30" s="49">
        <f>VLOOKUP($A30,'Data shares'!$C:$FB,62)</f>
        <v>11523000</v>
      </c>
      <c r="N30" s="49">
        <f>VLOOKUP($A30,'Data shares'!$C:$FB,63)</f>
        <v>8702250</v>
      </c>
      <c r="O30" s="140">
        <f>VLOOKUP($A30,'Data shares'!$C:$FB,65)*100</f>
        <v>32.409999999999997</v>
      </c>
    </row>
    <row r="31" spans="1:15" x14ac:dyDescent="0.25">
      <c r="A31" s="101" t="str">
        <f>'Data Vlaue (Cr)'!C26</f>
        <v>BANDHANBNK</v>
      </c>
      <c r="B31" s="50">
        <f>VLOOKUP($A31,'Data shares'!$C:$FB,7)</f>
        <v>175.43</v>
      </c>
      <c r="C31" s="50">
        <f>VLOOKUP($A31,'Data shares'!$C:$FB,10)*100</f>
        <v>0.54999999999999993</v>
      </c>
      <c r="D31" s="49">
        <f>VLOOKUP($A31,'Data shares'!$C:$FB,66)</f>
        <v>47278800</v>
      </c>
      <c r="E31" s="49">
        <f>VLOOKUP($A31,'Data shares'!$C:$FB,67)</f>
        <v>42001200</v>
      </c>
      <c r="F31" s="50">
        <f>VLOOKUP($A31,'Data shares'!$C:$FB,69)*100</f>
        <v>12.57</v>
      </c>
      <c r="G31" s="49">
        <f>VLOOKUP($A31,'Data shares'!$C:$FB,42)</f>
        <v>17978400</v>
      </c>
      <c r="H31" s="49">
        <f>VLOOKUP($A31,'Data shares'!$C:$FB,43)</f>
        <v>25804800</v>
      </c>
      <c r="I31" s="50">
        <f>VLOOKUP($A31,'Data shares'!$C:$FB,45)*100</f>
        <v>-30.330000000000002</v>
      </c>
      <c r="J31" s="49">
        <f>VLOOKUP($A31,'Data shares'!$C:$FB,58)</f>
        <v>18266400</v>
      </c>
      <c r="K31" s="49">
        <f>VLOOKUP($A31,'Data shares'!$C:$FB,59)</f>
        <v>9324000</v>
      </c>
      <c r="L31" s="50">
        <f>VLOOKUP($A31,'Data shares'!$C:$FB,61)*100</f>
        <v>95.91</v>
      </c>
      <c r="M31" s="49">
        <f>VLOOKUP($A31,'Data shares'!$C:$FB,62)</f>
        <v>11034000</v>
      </c>
      <c r="N31" s="49">
        <f>VLOOKUP($A31,'Data shares'!$C:$FB,63)</f>
        <v>6872400</v>
      </c>
      <c r="O31" s="140">
        <f>VLOOKUP($A31,'Data shares'!$C:$FB,65)*100</f>
        <v>60.56</v>
      </c>
    </row>
    <row r="32" spans="1:15" x14ac:dyDescent="0.25">
      <c r="A32" s="101" t="str">
        <f>'Data Vlaue (Cr)'!C27</f>
        <v>BANKBARODA</v>
      </c>
      <c r="B32" s="50">
        <f>VLOOKUP($A32,'Data shares'!$C:$FB,7)</f>
        <v>281.01</v>
      </c>
      <c r="C32" s="50">
        <f>VLOOKUP($A32,'Data shares'!$C:$FB,10)*100</f>
        <v>0.2</v>
      </c>
      <c r="D32" s="49">
        <f>VLOOKUP($A32,'Data shares'!$C:$FB,66)</f>
        <v>116739675</v>
      </c>
      <c r="E32" s="49">
        <f>VLOOKUP($A32,'Data shares'!$C:$FB,67)</f>
        <v>84333600</v>
      </c>
      <c r="F32" s="50">
        <f>VLOOKUP($A32,'Data shares'!$C:$FB,69)*100</f>
        <v>38.43</v>
      </c>
      <c r="G32" s="49">
        <f>VLOOKUP($A32,'Data shares'!$C:$FB,42)</f>
        <v>26693550</v>
      </c>
      <c r="H32" s="49">
        <f>VLOOKUP($A32,'Data shares'!$C:$FB,43)</f>
        <v>27006525</v>
      </c>
      <c r="I32" s="50">
        <f>VLOOKUP($A32,'Data shares'!$C:$FB,45)*100</f>
        <v>-1.1599999999999999</v>
      </c>
      <c r="J32" s="49">
        <f>VLOOKUP($A32,'Data shares'!$C:$FB,58)</f>
        <v>55560375</v>
      </c>
      <c r="K32" s="49">
        <f>VLOOKUP($A32,'Data shares'!$C:$FB,59)</f>
        <v>33546825</v>
      </c>
      <c r="L32" s="50">
        <f>VLOOKUP($A32,'Data shares'!$C:$FB,61)*100</f>
        <v>65.62</v>
      </c>
      <c r="M32" s="49">
        <f>VLOOKUP($A32,'Data shares'!$C:$FB,62)</f>
        <v>34485750</v>
      </c>
      <c r="N32" s="49">
        <f>VLOOKUP($A32,'Data shares'!$C:$FB,63)</f>
        <v>23780250</v>
      </c>
      <c r="O32" s="140">
        <f>VLOOKUP($A32,'Data shares'!$C:$FB,65)*100</f>
        <v>45.019999999999996</v>
      </c>
    </row>
    <row r="33" spans="1:15" x14ac:dyDescent="0.25">
      <c r="A33" s="101" t="str">
        <f>'Data Vlaue (Cr)'!C28</f>
        <v>BANKINDIA</v>
      </c>
      <c r="B33" s="50">
        <f>VLOOKUP($A33,'Data shares'!$C:$FB,7)</f>
        <v>148.31</v>
      </c>
      <c r="C33" s="50">
        <f>VLOOKUP($A33,'Data shares'!$C:$FB,10)*100</f>
        <v>0.13999999999999999</v>
      </c>
      <c r="D33" s="49">
        <f>VLOOKUP($A33,'Data shares'!$C:$FB,66)</f>
        <v>71682000</v>
      </c>
      <c r="E33" s="49">
        <f>VLOOKUP($A33,'Data shares'!$C:$FB,67)</f>
        <v>49228400</v>
      </c>
      <c r="F33" s="50">
        <f>VLOOKUP($A33,'Data shares'!$C:$FB,69)*100</f>
        <v>45.61</v>
      </c>
      <c r="G33" s="49">
        <f>VLOOKUP($A33,'Data shares'!$C:$FB,42)</f>
        <v>16598400</v>
      </c>
      <c r="H33" s="49">
        <f>VLOOKUP($A33,'Data shares'!$C:$FB,43)</f>
        <v>13993200</v>
      </c>
      <c r="I33" s="50">
        <f>VLOOKUP($A33,'Data shares'!$C:$FB,45)*100</f>
        <v>18.62</v>
      </c>
      <c r="J33" s="49">
        <f>VLOOKUP($A33,'Data shares'!$C:$FB,58)</f>
        <v>43773600</v>
      </c>
      <c r="K33" s="49">
        <f>VLOOKUP($A33,'Data shares'!$C:$FB,59)</f>
        <v>23868000</v>
      </c>
      <c r="L33" s="50">
        <f>VLOOKUP($A33,'Data shares'!$C:$FB,61)*100</f>
        <v>83.399999999999991</v>
      </c>
      <c r="M33" s="49">
        <f>VLOOKUP($A33,'Data shares'!$C:$FB,62)</f>
        <v>11310000</v>
      </c>
      <c r="N33" s="49">
        <f>VLOOKUP($A33,'Data shares'!$C:$FB,63)</f>
        <v>11367200</v>
      </c>
      <c r="O33" s="140">
        <f>VLOOKUP($A33,'Data shares'!$C:$FB,65)*100</f>
        <v>-0.5</v>
      </c>
    </row>
    <row r="34" spans="1:15" x14ac:dyDescent="0.25">
      <c r="A34" s="101" t="str">
        <f>'Data Vlaue (Cr)'!C29</f>
        <v>BANKNIFTY</v>
      </c>
      <c r="B34" s="50">
        <f>VLOOKUP($A34,'Data shares'!$C:$FB,7)</f>
        <v>56582.35</v>
      </c>
      <c r="C34" s="50">
        <f>VLOOKUP($A34,'Data shares'!$C:$FB,10)*100</f>
        <v>0.03</v>
      </c>
      <c r="D34" s="49">
        <f>VLOOKUP($A34,'Data shares'!$C:$FB,66)</f>
        <v>109443510</v>
      </c>
      <c r="E34" s="49">
        <f>VLOOKUP($A34,'Data shares'!$C:$FB,67)</f>
        <v>77146710</v>
      </c>
      <c r="F34" s="50">
        <f>VLOOKUP($A34,'Data shares'!$C:$FB,69)*100</f>
        <v>41.86</v>
      </c>
      <c r="G34" s="49">
        <f>VLOOKUP($A34,'Data shares'!$C:$FB,42)</f>
        <v>1183080</v>
      </c>
      <c r="H34" s="49">
        <f>VLOOKUP($A34,'Data shares'!$C:$FB,43)</f>
        <v>763170</v>
      </c>
      <c r="I34" s="50">
        <f>VLOOKUP($A34,'Data shares'!$C:$FB,45)*100</f>
        <v>55.02</v>
      </c>
      <c r="J34" s="49">
        <f>VLOOKUP($A34,'Data shares'!$C:$FB,58)</f>
        <v>55709760</v>
      </c>
      <c r="K34" s="49">
        <f>VLOOKUP($A34,'Data shares'!$C:$FB,59)</f>
        <v>40643610</v>
      </c>
      <c r="L34" s="50">
        <f>VLOOKUP($A34,'Data shares'!$C:$FB,61)*100</f>
        <v>37.07</v>
      </c>
      <c r="M34" s="49">
        <f>VLOOKUP($A34,'Data shares'!$C:$FB,62)</f>
        <v>52550670</v>
      </c>
      <c r="N34" s="49">
        <f>VLOOKUP($A34,'Data shares'!$C:$FB,63)</f>
        <v>35739930</v>
      </c>
      <c r="O34" s="140">
        <f>VLOOKUP($A34,'Data shares'!$C:$FB,65)*100</f>
        <v>47.04</v>
      </c>
    </row>
    <row r="35" spans="1:15" x14ac:dyDescent="0.25">
      <c r="A35" s="101" t="str">
        <f>'Data Vlaue (Cr)'!C30</f>
        <v>BDL</v>
      </c>
      <c r="B35" s="50">
        <f>VLOOKUP($A35,'Data shares'!$C:$FB,7)</f>
        <v>1369.8</v>
      </c>
      <c r="C35" s="50">
        <f>VLOOKUP($A35,'Data shares'!$C:$FB,10)*100</f>
        <v>-0.79</v>
      </c>
      <c r="D35" s="49">
        <f>VLOOKUP($A35,'Data shares'!$C:$FB,66)</f>
        <v>4786600</v>
      </c>
      <c r="E35" s="49">
        <f>VLOOKUP($A35,'Data shares'!$C:$FB,67)</f>
        <v>10328150</v>
      </c>
      <c r="F35" s="50">
        <f>VLOOKUP($A35,'Data shares'!$C:$FB,69)*100</f>
        <v>-53.65</v>
      </c>
      <c r="G35" s="49">
        <f>VLOOKUP($A35,'Data shares'!$C:$FB,42)</f>
        <v>1037750</v>
      </c>
      <c r="H35" s="49">
        <f>VLOOKUP($A35,'Data shares'!$C:$FB,43)</f>
        <v>1185800</v>
      </c>
      <c r="I35" s="50">
        <f>VLOOKUP($A35,'Data shares'!$C:$FB,45)*100</f>
        <v>-12.49</v>
      </c>
      <c r="J35" s="49">
        <f>VLOOKUP($A35,'Data shares'!$C:$FB,58)</f>
        <v>2170350</v>
      </c>
      <c r="K35" s="49">
        <f>VLOOKUP($A35,'Data shares'!$C:$FB,59)</f>
        <v>6002500</v>
      </c>
      <c r="L35" s="50">
        <f>VLOOKUP($A35,'Data shares'!$C:$FB,61)*100</f>
        <v>-63.839999999999996</v>
      </c>
      <c r="M35" s="49">
        <f>VLOOKUP($A35,'Data shares'!$C:$FB,62)</f>
        <v>1578500</v>
      </c>
      <c r="N35" s="49">
        <f>VLOOKUP($A35,'Data shares'!$C:$FB,63)</f>
        <v>3139850</v>
      </c>
      <c r="O35" s="140">
        <f>VLOOKUP($A35,'Data shares'!$C:$FB,65)*100</f>
        <v>-49.730000000000004</v>
      </c>
    </row>
    <row r="36" spans="1:15" x14ac:dyDescent="0.25">
      <c r="A36" s="101" t="str">
        <f>'Data Vlaue (Cr)'!C31</f>
        <v>BEL</v>
      </c>
      <c r="B36" s="50">
        <f>VLOOKUP($A36,'Data shares'!$C:$FB,7)</f>
        <v>457.55</v>
      </c>
      <c r="C36" s="50">
        <f>VLOOKUP($A36,'Data shares'!$C:$FB,10)*100</f>
        <v>-1.1199999999999999</v>
      </c>
      <c r="D36" s="49">
        <f>VLOOKUP($A36,'Data shares'!$C:$FB,66)</f>
        <v>86208225</v>
      </c>
      <c r="E36" s="49">
        <f>VLOOKUP($A36,'Data shares'!$C:$FB,67)</f>
        <v>128812875</v>
      </c>
      <c r="F36" s="50">
        <f>VLOOKUP($A36,'Data shares'!$C:$FB,69)*100</f>
        <v>-33.07</v>
      </c>
      <c r="G36" s="49">
        <f>VLOOKUP($A36,'Data shares'!$C:$FB,42)</f>
        <v>12974625</v>
      </c>
      <c r="H36" s="49">
        <f>VLOOKUP($A36,'Data shares'!$C:$FB,43)</f>
        <v>12468750</v>
      </c>
      <c r="I36" s="50">
        <f>VLOOKUP($A36,'Data shares'!$C:$FB,45)*100</f>
        <v>4.0599999999999996</v>
      </c>
      <c r="J36" s="49">
        <f>VLOOKUP($A36,'Data shares'!$C:$FB,58)</f>
        <v>46160025</v>
      </c>
      <c r="K36" s="49">
        <f>VLOOKUP($A36,'Data shares'!$C:$FB,59)</f>
        <v>77725200</v>
      </c>
      <c r="L36" s="50">
        <f>VLOOKUP($A36,'Data shares'!$C:$FB,61)*100</f>
        <v>-40.61</v>
      </c>
      <c r="M36" s="49">
        <f>VLOOKUP($A36,'Data shares'!$C:$FB,62)</f>
        <v>27073575</v>
      </c>
      <c r="N36" s="49">
        <f>VLOOKUP($A36,'Data shares'!$C:$FB,63)</f>
        <v>38618925</v>
      </c>
      <c r="O36" s="140">
        <f>VLOOKUP($A36,'Data shares'!$C:$FB,65)*100</f>
        <v>-29.9</v>
      </c>
    </row>
    <row r="37" spans="1:15" x14ac:dyDescent="0.25">
      <c r="A37" s="101" t="str">
        <f>'Data Vlaue (Cr)'!C32</f>
        <v>BHARATFORG</v>
      </c>
      <c r="B37" s="50">
        <f>VLOOKUP($A37,'Data shares'!$C:$FB,7)</f>
        <v>1866.2</v>
      </c>
      <c r="C37" s="50">
        <f>VLOOKUP($A37,'Data shares'!$C:$FB,10)*100</f>
        <v>0.31</v>
      </c>
      <c r="D37" s="49">
        <f>VLOOKUP($A37,'Data shares'!$C:$FB,66)</f>
        <v>6204000</v>
      </c>
      <c r="E37" s="49">
        <f>VLOOKUP($A37,'Data shares'!$C:$FB,67)</f>
        <v>7707000</v>
      </c>
      <c r="F37" s="50">
        <f>VLOOKUP($A37,'Data shares'!$C:$FB,69)*100</f>
        <v>-19.5</v>
      </c>
      <c r="G37" s="49">
        <f>VLOOKUP($A37,'Data shares'!$C:$FB,42)</f>
        <v>1482500</v>
      </c>
      <c r="H37" s="49">
        <f>VLOOKUP($A37,'Data shares'!$C:$FB,43)</f>
        <v>1484500</v>
      </c>
      <c r="I37" s="50">
        <f>VLOOKUP($A37,'Data shares'!$C:$FB,45)*100</f>
        <v>-0.13</v>
      </c>
      <c r="J37" s="49">
        <f>VLOOKUP($A37,'Data shares'!$C:$FB,58)</f>
        <v>2941500</v>
      </c>
      <c r="K37" s="49">
        <f>VLOOKUP($A37,'Data shares'!$C:$FB,59)</f>
        <v>3798000</v>
      </c>
      <c r="L37" s="50">
        <f>VLOOKUP($A37,'Data shares'!$C:$FB,61)*100</f>
        <v>-22.55</v>
      </c>
      <c r="M37" s="49">
        <f>VLOOKUP($A37,'Data shares'!$C:$FB,62)</f>
        <v>1780000</v>
      </c>
      <c r="N37" s="49">
        <f>VLOOKUP($A37,'Data shares'!$C:$FB,63)</f>
        <v>2424500</v>
      </c>
      <c r="O37" s="140">
        <f>VLOOKUP($A37,'Data shares'!$C:$FB,65)*100</f>
        <v>-26.58</v>
      </c>
    </row>
    <row r="38" spans="1:15" x14ac:dyDescent="0.25">
      <c r="A38" s="101" t="str">
        <f>'Data Vlaue (Cr)'!C33</f>
        <v>BHARTIARTL</v>
      </c>
      <c r="B38" s="50">
        <f>VLOOKUP($A38,'Data shares'!$C:$FB,7)</f>
        <v>1846.1</v>
      </c>
      <c r="C38" s="50">
        <f>VLOOKUP($A38,'Data shares'!$C:$FB,10)*100</f>
        <v>-0.04</v>
      </c>
      <c r="D38" s="49">
        <f>VLOOKUP($A38,'Data shares'!$C:$FB,66)</f>
        <v>36109975</v>
      </c>
      <c r="E38" s="49">
        <f>VLOOKUP($A38,'Data shares'!$C:$FB,67)</f>
        <v>26877400</v>
      </c>
      <c r="F38" s="50">
        <f>VLOOKUP($A38,'Data shares'!$C:$FB,69)*100</f>
        <v>34.35</v>
      </c>
      <c r="G38" s="49">
        <f>VLOOKUP($A38,'Data shares'!$C:$FB,42)</f>
        <v>6270950</v>
      </c>
      <c r="H38" s="49">
        <f>VLOOKUP($A38,'Data shares'!$C:$FB,43)</f>
        <v>3909250</v>
      </c>
      <c r="I38" s="50">
        <f>VLOOKUP($A38,'Data shares'!$C:$FB,45)*100</f>
        <v>60.41</v>
      </c>
      <c r="J38" s="49">
        <f>VLOOKUP($A38,'Data shares'!$C:$FB,58)</f>
        <v>20924225</v>
      </c>
      <c r="K38" s="49">
        <f>VLOOKUP($A38,'Data shares'!$C:$FB,59)</f>
        <v>15595200</v>
      </c>
      <c r="L38" s="50">
        <f>VLOOKUP($A38,'Data shares'!$C:$FB,61)*100</f>
        <v>34.17</v>
      </c>
      <c r="M38" s="49">
        <f>VLOOKUP($A38,'Data shares'!$C:$FB,62)</f>
        <v>8914800</v>
      </c>
      <c r="N38" s="49">
        <f>VLOOKUP($A38,'Data shares'!$C:$FB,63)</f>
        <v>7372950</v>
      </c>
      <c r="O38" s="140">
        <f>VLOOKUP($A38,'Data shares'!$C:$FB,65)*100</f>
        <v>20.91</v>
      </c>
    </row>
    <row r="39" spans="1:15" x14ac:dyDescent="0.25">
      <c r="A39" s="101" t="str">
        <f>'Data Vlaue (Cr)'!C34</f>
        <v>BHEL</v>
      </c>
      <c r="B39" s="50">
        <f>VLOOKUP($A39,'Data shares'!$C:$FB,7)</f>
        <v>325.63</v>
      </c>
      <c r="C39" s="50">
        <f>VLOOKUP($A39,'Data shares'!$C:$FB,10)*100</f>
        <v>2.79</v>
      </c>
      <c r="D39" s="49">
        <f>VLOOKUP($A39,'Data shares'!$C:$FB,66)</f>
        <v>424908750</v>
      </c>
      <c r="E39" s="49">
        <f>VLOOKUP($A39,'Data shares'!$C:$FB,67)</f>
        <v>274824375</v>
      </c>
      <c r="F39" s="50">
        <f>VLOOKUP($A39,'Data shares'!$C:$FB,69)*100</f>
        <v>54.61</v>
      </c>
      <c r="G39" s="49">
        <f>VLOOKUP($A39,'Data shares'!$C:$FB,42)</f>
        <v>59151750</v>
      </c>
      <c r="H39" s="49">
        <f>VLOOKUP($A39,'Data shares'!$C:$FB,43)</f>
        <v>37033500</v>
      </c>
      <c r="I39" s="50">
        <f>VLOOKUP($A39,'Data shares'!$C:$FB,45)*100</f>
        <v>59.72</v>
      </c>
      <c r="J39" s="49">
        <f>VLOOKUP($A39,'Data shares'!$C:$FB,58)</f>
        <v>240045750</v>
      </c>
      <c r="K39" s="49">
        <f>VLOOKUP($A39,'Data shares'!$C:$FB,59)</f>
        <v>148863750</v>
      </c>
      <c r="L39" s="50">
        <f>VLOOKUP($A39,'Data shares'!$C:$FB,61)*100</f>
        <v>61.250000000000007</v>
      </c>
      <c r="M39" s="49">
        <f>VLOOKUP($A39,'Data shares'!$C:$FB,62)</f>
        <v>125711250</v>
      </c>
      <c r="N39" s="49">
        <f>VLOOKUP($A39,'Data shares'!$C:$FB,63)</f>
        <v>88927125</v>
      </c>
      <c r="O39" s="140">
        <f>VLOOKUP($A39,'Data shares'!$C:$FB,65)*100</f>
        <v>41.36</v>
      </c>
    </row>
    <row r="40" spans="1:15" x14ac:dyDescent="0.25">
      <c r="A40" s="101" t="str">
        <f>'Data Vlaue (Cr)'!C35</f>
        <v>BIOCON</v>
      </c>
      <c r="B40" s="50">
        <f>VLOOKUP($A40,'Data shares'!$C:$FB,7)</f>
        <v>359.05</v>
      </c>
      <c r="C40" s="50">
        <f>VLOOKUP($A40,'Data shares'!$C:$FB,10)*100</f>
        <v>0.27</v>
      </c>
      <c r="D40" s="49">
        <f>VLOOKUP($A40,'Data shares'!$C:$FB,66)</f>
        <v>38260000</v>
      </c>
      <c r="E40" s="49">
        <f>VLOOKUP($A40,'Data shares'!$C:$FB,67)</f>
        <v>83432500</v>
      </c>
      <c r="F40" s="50">
        <f>VLOOKUP($A40,'Data shares'!$C:$FB,69)*100</f>
        <v>-54.14</v>
      </c>
      <c r="G40" s="49">
        <f>VLOOKUP($A40,'Data shares'!$C:$FB,42)</f>
        <v>6707500</v>
      </c>
      <c r="H40" s="49">
        <f>VLOOKUP($A40,'Data shares'!$C:$FB,43)</f>
        <v>9135000</v>
      </c>
      <c r="I40" s="50">
        <f>VLOOKUP($A40,'Data shares'!$C:$FB,45)*100</f>
        <v>-26.57</v>
      </c>
      <c r="J40" s="49">
        <f>VLOOKUP($A40,'Data shares'!$C:$FB,58)</f>
        <v>22280000</v>
      </c>
      <c r="K40" s="49">
        <f>VLOOKUP($A40,'Data shares'!$C:$FB,59)</f>
        <v>60077500</v>
      </c>
      <c r="L40" s="50">
        <f>VLOOKUP($A40,'Data shares'!$C:$FB,61)*100</f>
        <v>-62.91</v>
      </c>
      <c r="M40" s="49">
        <f>VLOOKUP($A40,'Data shares'!$C:$FB,62)</f>
        <v>9272500</v>
      </c>
      <c r="N40" s="49">
        <f>VLOOKUP($A40,'Data shares'!$C:$FB,63)</f>
        <v>14220000</v>
      </c>
      <c r="O40" s="140">
        <f>VLOOKUP($A40,'Data shares'!$C:$FB,65)*100</f>
        <v>-34.79</v>
      </c>
    </row>
    <row r="41" spans="1:15" x14ac:dyDescent="0.25">
      <c r="A41" s="101" t="str">
        <f>'Data Vlaue (Cr)'!C36</f>
        <v>BLUESTARCO</v>
      </c>
      <c r="B41" s="50">
        <f>VLOOKUP($A41,'Data shares'!$C:$FB,7)</f>
        <v>1889</v>
      </c>
      <c r="C41" s="50">
        <f>VLOOKUP($A41,'Data shares'!$C:$FB,10)*100</f>
        <v>1.23</v>
      </c>
      <c r="D41" s="49">
        <f>VLOOKUP($A41,'Data shares'!$C:$FB,66)</f>
        <v>6786000</v>
      </c>
      <c r="E41" s="49">
        <f>VLOOKUP($A41,'Data shares'!$C:$FB,67)</f>
        <v>4043325</v>
      </c>
      <c r="F41" s="50">
        <f>VLOOKUP($A41,'Data shares'!$C:$FB,69)*100</f>
        <v>67.83</v>
      </c>
      <c r="G41" s="49">
        <f>VLOOKUP($A41,'Data shares'!$C:$FB,42)</f>
        <v>1206400</v>
      </c>
      <c r="H41" s="49">
        <f>VLOOKUP($A41,'Data shares'!$C:$FB,43)</f>
        <v>1398150</v>
      </c>
      <c r="I41" s="50">
        <f>VLOOKUP($A41,'Data shares'!$C:$FB,45)*100</f>
        <v>-13.71</v>
      </c>
      <c r="J41" s="49">
        <f>VLOOKUP($A41,'Data shares'!$C:$FB,58)</f>
        <v>4066725</v>
      </c>
      <c r="K41" s="49">
        <f>VLOOKUP($A41,'Data shares'!$C:$FB,59)</f>
        <v>1745250</v>
      </c>
      <c r="L41" s="50">
        <f>VLOOKUP($A41,'Data shares'!$C:$FB,61)*100</f>
        <v>133.02000000000001</v>
      </c>
      <c r="M41" s="49">
        <f>VLOOKUP($A41,'Data shares'!$C:$FB,62)</f>
        <v>1512875</v>
      </c>
      <c r="N41" s="49">
        <f>VLOOKUP($A41,'Data shares'!$C:$FB,63)</f>
        <v>899925</v>
      </c>
      <c r="O41" s="140">
        <f>VLOOKUP($A41,'Data shares'!$C:$FB,65)*100</f>
        <v>68.11</v>
      </c>
    </row>
    <row r="42" spans="1:15" x14ac:dyDescent="0.25">
      <c r="A42" s="101" t="str">
        <f>'Data Vlaue (Cr)'!C37</f>
        <v>BOSCHLTD</v>
      </c>
      <c r="B42" s="50">
        <f>VLOOKUP($A42,'Data shares'!$C:$FB,7)</f>
        <v>37790</v>
      </c>
      <c r="C42" s="50">
        <f>VLOOKUP($A42,'Data shares'!$C:$FB,10)*100</f>
        <v>0.76</v>
      </c>
      <c r="D42" s="49">
        <f>VLOOKUP($A42,'Data shares'!$C:$FB,66)</f>
        <v>587375</v>
      </c>
      <c r="E42" s="49">
        <f>VLOOKUP($A42,'Data shares'!$C:$FB,67)</f>
        <v>871700</v>
      </c>
      <c r="F42" s="50">
        <f>VLOOKUP($A42,'Data shares'!$C:$FB,69)*100</f>
        <v>-32.619999999999997</v>
      </c>
      <c r="G42" s="49">
        <f>VLOOKUP($A42,'Data shares'!$C:$FB,42)</f>
        <v>43325</v>
      </c>
      <c r="H42" s="49">
        <f>VLOOKUP($A42,'Data shares'!$C:$FB,43)</f>
        <v>28300</v>
      </c>
      <c r="I42" s="50">
        <f>VLOOKUP($A42,'Data shares'!$C:$FB,45)*100</f>
        <v>53.09</v>
      </c>
      <c r="J42" s="49">
        <f>VLOOKUP($A42,'Data shares'!$C:$FB,58)</f>
        <v>257900</v>
      </c>
      <c r="K42" s="49">
        <f>VLOOKUP($A42,'Data shares'!$C:$FB,59)</f>
        <v>177175</v>
      </c>
      <c r="L42" s="50">
        <f>VLOOKUP($A42,'Data shares'!$C:$FB,61)*100</f>
        <v>45.56</v>
      </c>
      <c r="M42" s="49">
        <f>VLOOKUP($A42,'Data shares'!$C:$FB,62)</f>
        <v>286150</v>
      </c>
      <c r="N42" s="49">
        <f>VLOOKUP($A42,'Data shares'!$C:$FB,63)</f>
        <v>666225</v>
      </c>
      <c r="O42" s="140">
        <f>VLOOKUP($A42,'Data shares'!$C:$FB,65)*100</f>
        <v>-57.05</v>
      </c>
    </row>
    <row r="43" spans="1:15" x14ac:dyDescent="0.25">
      <c r="A43" s="101" t="str">
        <f>'Data Vlaue (Cr)'!C38</f>
        <v>BPCL</v>
      </c>
      <c r="B43" s="50">
        <f>VLOOKUP($A43,'Data shares'!$C:$FB,7)</f>
        <v>316.05</v>
      </c>
      <c r="C43" s="50">
        <f>VLOOKUP($A43,'Data shares'!$C:$FB,10)*100</f>
        <v>1.27</v>
      </c>
      <c r="D43" s="49">
        <f>VLOOKUP($A43,'Data shares'!$C:$FB,66)</f>
        <v>104094350</v>
      </c>
      <c r="E43" s="49">
        <f>VLOOKUP($A43,'Data shares'!$C:$FB,67)</f>
        <v>59779300</v>
      </c>
      <c r="F43" s="50">
        <f>VLOOKUP($A43,'Data shares'!$C:$FB,69)*100</f>
        <v>74.13</v>
      </c>
      <c r="G43" s="49">
        <f>VLOOKUP($A43,'Data shares'!$C:$FB,42)</f>
        <v>11237750</v>
      </c>
      <c r="H43" s="49">
        <f>VLOOKUP($A43,'Data shares'!$C:$FB,43)</f>
        <v>7886175</v>
      </c>
      <c r="I43" s="50">
        <f>VLOOKUP($A43,'Data shares'!$C:$FB,45)*100</f>
        <v>42.5</v>
      </c>
      <c r="J43" s="49">
        <f>VLOOKUP($A43,'Data shares'!$C:$FB,58)</f>
        <v>65836625</v>
      </c>
      <c r="K43" s="49">
        <f>VLOOKUP($A43,'Data shares'!$C:$FB,59)</f>
        <v>35060200</v>
      </c>
      <c r="L43" s="50">
        <f>VLOOKUP($A43,'Data shares'!$C:$FB,61)*100</f>
        <v>87.78</v>
      </c>
      <c r="M43" s="49">
        <f>VLOOKUP($A43,'Data shares'!$C:$FB,62)</f>
        <v>27019975</v>
      </c>
      <c r="N43" s="49">
        <f>VLOOKUP($A43,'Data shares'!$C:$FB,63)</f>
        <v>16832925</v>
      </c>
      <c r="O43" s="140">
        <f>VLOOKUP($A43,'Data shares'!$C:$FB,65)*100</f>
        <v>60.519999999999996</v>
      </c>
    </row>
    <row r="44" spans="1:15" x14ac:dyDescent="0.25">
      <c r="A44" s="101" t="str">
        <f>'Data Vlaue (Cr)'!C39</f>
        <v>BRITANNIA</v>
      </c>
      <c r="B44" s="50">
        <f>VLOOKUP($A44,'Data shares'!$C:$FB,7)</f>
        <v>5700</v>
      </c>
      <c r="C44" s="50">
        <f>VLOOKUP($A44,'Data shares'!$C:$FB,10)*100</f>
        <v>-0.62</v>
      </c>
      <c r="D44" s="49">
        <f>VLOOKUP($A44,'Data shares'!$C:$FB,66)</f>
        <v>1408500</v>
      </c>
      <c r="E44" s="49">
        <f>VLOOKUP($A44,'Data shares'!$C:$FB,67)</f>
        <v>3647000</v>
      </c>
      <c r="F44" s="50">
        <f>VLOOKUP($A44,'Data shares'!$C:$FB,69)*100</f>
        <v>-61.38</v>
      </c>
      <c r="G44" s="49">
        <f>VLOOKUP($A44,'Data shares'!$C:$FB,42)</f>
        <v>304000</v>
      </c>
      <c r="H44" s="49">
        <f>VLOOKUP($A44,'Data shares'!$C:$FB,43)</f>
        <v>437625</v>
      </c>
      <c r="I44" s="50">
        <f>VLOOKUP($A44,'Data shares'!$C:$FB,45)*100</f>
        <v>-30.53</v>
      </c>
      <c r="J44" s="49">
        <f>VLOOKUP($A44,'Data shares'!$C:$FB,58)</f>
        <v>754250</v>
      </c>
      <c r="K44" s="49">
        <f>VLOOKUP($A44,'Data shares'!$C:$FB,59)</f>
        <v>2503000</v>
      </c>
      <c r="L44" s="50">
        <f>VLOOKUP($A44,'Data shares'!$C:$FB,61)*100</f>
        <v>-69.87</v>
      </c>
      <c r="M44" s="49">
        <f>VLOOKUP($A44,'Data shares'!$C:$FB,62)</f>
        <v>350250</v>
      </c>
      <c r="N44" s="49">
        <f>VLOOKUP($A44,'Data shares'!$C:$FB,63)</f>
        <v>706375</v>
      </c>
      <c r="O44" s="140">
        <f>VLOOKUP($A44,'Data shares'!$C:$FB,65)*100</f>
        <v>-50.42</v>
      </c>
    </row>
    <row r="45" spans="1:15" x14ac:dyDescent="0.25">
      <c r="A45" s="101" t="str">
        <f>'Data Vlaue (Cr)'!C40</f>
        <v>BSE</v>
      </c>
      <c r="B45" s="50">
        <f>VLOOKUP($A45,'Data shares'!$C:$FB,7)</f>
        <v>3470.7</v>
      </c>
      <c r="C45" s="50">
        <f>VLOOKUP($A45,'Data shares'!$C:$FB,10)*100</f>
        <v>-1.72</v>
      </c>
      <c r="D45" s="49">
        <f>VLOOKUP($A45,'Data shares'!$C:$FB,66)</f>
        <v>29673000</v>
      </c>
      <c r="E45" s="49">
        <f>VLOOKUP($A45,'Data shares'!$C:$FB,67)</f>
        <v>64996500</v>
      </c>
      <c r="F45" s="50">
        <f>VLOOKUP($A45,'Data shares'!$C:$FB,69)*100</f>
        <v>-54.35</v>
      </c>
      <c r="G45" s="49">
        <f>VLOOKUP($A45,'Data shares'!$C:$FB,42)</f>
        <v>3245625</v>
      </c>
      <c r="H45" s="49">
        <f>VLOOKUP($A45,'Data shares'!$C:$FB,43)</f>
        <v>5644875</v>
      </c>
      <c r="I45" s="50">
        <f>VLOOKUP($A45,'Data shares'!$C:$FB,45)*100</f>
        <v>-42.5</v>
      </c>
      <c r="J45" s="49">
        <f>VLOOKUP($A45,'Data shares'!$C:$FB,58)</f>
        <v>11482500</v>
      </c>
      <c r="K45" s="49">
        <f>VLOOKUP($A45,'Data shares'!$C:$FB,59)</f>
        <v>33615750</v>
      </c>
      <c r="L45" s="50">
        <f>VLOOKUP($A45,'Data shares'!$C:$FB,61)*100</f>
        <v>-65.84</v>
      </c>
      <c r="M45" s="49">
        <f>VLOOKUP($A45,'Data shares'!$C:$FB,62)</f>
        <v>14944875</v>
      </c>
      <c r="N45" s="49">
        <f>VLOOKUP($A45,'Data shares'!$C:$FB,63)</f>
        <v>25735875</v>
      </c>
      <c r="O45" s="140">
        <f>VLOOKUP($A45,'Data shares'!$C:$FB,65)*100</f>
        <v>-41.93</v>
      </c>
    </row>
    <row r="46" spans="1:15" x14ac:dyDescent="0.25">
      <c r="A46" s="101" t="str">
        <f>'Data Vlaue (Cr)'!C41</f>
        <v>CAMS</v>
      </c>
      <c r="B46" s="50">
        <f>VLOOKUP($A46,'Data shares'!$C:$FB,7)</f>
        <v>749.25</v>
      </c>
      <c r="C46" s="50">
        <f>VLOOKUP($A46,'Data shares'!$C:$FB,10)*100</f>
        <v>-0.12</v>
      </c>
      <c r="D46" s="49">
        <f>VLOOKUP($A46,'Data shares'!$C:$FB,66)</f>
        <v>5912250</v>
      </c>
      <c r="E46" s="49">
        <f>VLOOKUP($A46,'Data shares'!$C:$FB,67)</f>
        <v>12684750</v>
      </c>
      <c r="F46" s="50">
        <f>VLOOKUP($A46,'Data shares'!$C:$FB,69)*100</f>
        <v>-53.39</v>
      </c>
      <c r="G46" s="49">
        <f>VLOOKUP($A46,'Data shares'!$C:$FB,42)</f>
        <v>1215750</v>
      </c>
      <c r="H46" s="49">
        <f>VLOOKUP($A46,'Data shares'!$C:$FB,43)</f>
        <v>2547000</v>
      </c>
      <c r="I46" s="50">
        <f>VLOOKUP($A46,'Data shares'!$C:$FB,45)*100</f>
        <v>-52.27</v>
      </c>
      <c r="J46" s="49">
        <f>VLOOKUP($A46,'Data shares'!$C:$FB,58)</f>
        <v>2543250</v>
      </c>
      <c r="K46" s="49">
        <f>VLOOKUP($A46,'Data shares'!$C:$FB,59)</f>
        <v>6810750</v>
      </c>
      <c r="L46" s="50">
        <f>VLOOKUP($A46,'Data shares'!$C:$FB,61)*100</f>
        <v>-62.660000000000004</v>
      </c>
      <c r="M46" s="49">
        <f>VLOOKUP($A46,'Data shares'!$C:$FB,62)</f>
        <v>2153250</v>
      </c>
      <c r="N46" s="49">
        <f>VLOOKUP($A46,'Data shares'!$C:$FB,63)</f>
        <v>3327000</v>
      </c>
      <c r="O46" s="140">
        <f>VLOOKUP($A46,'Data shares'!$C:$FB,65)*100</f>
        <v>-35.28</v>
      </c>
    </row>
    <row r="47" spans="1:15" x14ac:dyDescent="0.25">
      <c r="A47" s="101" t="str">
        <f>'Data Vlaue (Cr)'!C42</f>
        <v>CANBK</v>
      </c>
      <c r="B47" s="50">
        <f>VLOOKUP($A47,'Data shares'!$C:$FB,7)</f>
        <v>142.74</v>
      </c>
      <c r="C47" s="50">
        <f>VLOOKUP($A47,'Data shares'!$C:$FB,10)*100</f>
        <v>0.26</v>
      </c>
      <c r="D47" s="49">
        <f>VLOOKUP($A47,'Data shares'!$C:$FB,66)</f>
        <v>224518500</v>
      </c>
      <c r="E47" s="49">
        <f>VLOOKUP($A47,'Data shares'!$C:$FB,67)</f>
        <v>153555750</v>
      </c>
      <c r="F47" s="50">
        <f>VLOOKUP($A47,'Data shares'!$C:$FB,69)*100</f>
        <v>46.21</v>
      </c>
      <c r="G47" s="49">
        <f>VLOOKUP($A47,'Data shares'!$C:$FB,42)</f>
        <v>50901750</v>
      </c>
      <c r="H47" s="49">
        <f>VLOOKUP($A47,'Data shares'!$C:$FB,43)</f>
        <v>51306750</v>
      </c>
      <c r="I47" s="50">
        <f>VLOOKUP($A47,'Data shares'!$C:$FB,45)*100</f>
        <v>-0.79</v>
      </c>
      <c r="J47" s="49">
        <f>VLOOKUP($A47,'Data shares'!$C:$FB,58)</f>
        <v>102377250</v>
      </c>
      <c r="K47" s="49">
        <f>VLOOKUP($A47,'Data shares'!$C:$FB,59)</f>
        <v>65164500</v>
      </c>
      <c r="L47" s="50">
        <f>VLOOKUP($A47,'Data shares'!$C:$FB,61)*100</f>
        <v>57.110000000000007</v>
      </c>
      <c r="M47" s="49">
        <f>VLOOKUP($A47,'Data shares'!$C:$FB,62)</f>
        <v>71239500</v>
      </c>
      <c r="N47" s="49">
        <f>VLOOKUP($A47,'Data shares'!$C:$FB,63)</f>
        <v>37084500</v>
      </c>
      <c r="O47" s="140">
        <f>VLOOKUP($A47,'Data shares'!$C:$FB,65)*100</f>
        <v>92.100000000000009</v>
      </c>
    </row>
    <row r="48" spans="1:15" x14ac:dyDescent="0.25">
      <c r="A48" s="101" t="str">
        <f>'Data Vlaue (Cr)'!C43</f>
        <v>CDSL</v>
      </c>
      <c r="B48" s="50">
        <f>VLOOKUP($A48,'Data shares'!$C:$FB,7)</f>
        <v>1370.3</v>
      </c>
      <c r="C48" s="50">
        <f>VLOOKUP($A48,'Data shares'!$C:$FB,10)*100</f>
        <v>-1.6400000000000001</v>
      </c>
      <c r="D48" s="49">
        <f>VLOOKUP($A48,'Data shares'!$C:$FB,66)</f>
        <v>15124950</v>
      </c>
      <c r="E48" s="49">
        <f>VLOOKUP($A48,'Data shares'!$C:$FB,67)</f>
        <v>19797525</v>
      </c>
      <c r="F48" s="50">
        <f>VLOOKUP($A48,'Data shares'!$C:$FB,69)*100</f>
        <v>-23.599999999999998</v>
      </c>
      <c r="G48" s="49">
        <f>VLOOKUP($A48,'Data shares'!$C:$FB,42)</f>
        <v>3137375</v>
      </c>
      <c r="H48" s="49">
        <f>VLOOKUP($A48,'Data shares'!$C:$FB,43)</f>
        <v>2435325</v>
      </c>
      <c r="I48" s="50">
        <f>VLOOKUP($A48,'Data shares'!$C:$FB,45)*100</f>
        <v>28.83</v>
      </c>
      <c r="J48" s="49">
        <f>VLOOKUP($A48,'Data shares'!$C:$FB,58)</f>
        <v>7126425</v>
      </c>
      <c r="K48" s="49">
        <f>VLOOKUP($A48,'Data shares'!$C:$FB,59)</f>
        <v>11070350</v>
      </c>
      <c r="L48" s="50">
        <f>VLOOKUP($A48,'Data shares'!$C:$FB,61)*100</f>
        <v>-35.630000000000003</v>
      </c>
      <c r="M48" s="49">
        <f>VLOOKUP($A48,'Data shares'!$C:$FB,62)</f>
        <v>4861150</v>
      </c>
      <c r="N48" s="49">
        <f>VLOOKUP($A48,'Data shares'!$C:$FB,63)</f>
        <v>6291850</v>
      </c>
      <c r="O48" s="140">
        <f>VLOOKUP($A48,'Data shares'!$C:$FB,65)*100</f>
        <v>-22.74</v>
      </c>
    </row>
    <row r="49" spans="1:15" x14ac:dyDescent="0.25">
      <c r="A49" s="101" t="str">
        <f>'Data Vlaue (Cr)'!C44</f>
        <v>CGPOWER</v>
      </c>
      <c r="B49" s="50">
        <f>VLOOKUP($A49,'Data shares'!$C:$FB,7)</f>
        <v>795.7</v>
      </c>
      <c r="C49" s="50">
        <f>VLOOKUP($A49,'Data shares'!$C:$FB,10)*100</f>
        <v>2.7</v>
      </c>
      <c r="D49" s="49">
        <f>VLOOKUP($A49,'Data shares'!$C:$FB,66)</f>
        <v>41445150</v>
      </c>
      <c r="E49" s="49">
        <f>VLOOKUP($A49,'Data shares'!$C:$FB,67)</f>
        <v>21726000</v>
      </c>
      <c r="F49" s="50">
        <f>VLOOKUP($A49,'Data shares'!$C:$FB,69)*100</f>
        <v>90.759999999999991</v>
      </c>
      <c r="G49" s="49">
        <f>VLOOKUP($A49,'Data shares'!$C:$FB,42)</f>
        <v>4835650</v>
      </c>
      <c r="H49" s="49">
        <f>VLOOKUP($A49,'Data shares'!$C:$FB,43)</f>
        <v>3585300</v>
      </c>
      <c r="I49" s="50">
        <f>VLOOKUP($A49,'Data shares'!$C:$FB,45)*100</f>
        <v>34.870000000000005</v>
      </c>
      <c r="J49" s="49">
        <f>VLOOKUP($A49,'Data shares'!$C:$FB,58)</f>
        <v>26975600</v>
      </c>
      <c r="K49" s="49">
        <f>VLOOKUP($A49,'Data shares'!$C:$FB,59)</f>
        <v>13750450</v>
      </c>
      <c r="L49" s="50">
        <f>VLOOKUP($A49,'Data shares'!$C:$FB,61)*100</f>
        <v>96.179999999999993</v>
      </c>
      <c r="M49" s="49">
        <f>VLOOKUP($A49,'Data shares'!$C:$FB,62)</f>
        <v>9633900</v>
      </c>
      <c r="N49" s="49">
        <f>VLOOKUP($A49,'Data shares'!$C:$FB,63)</f>
        <v>4390250</v>
      </c>
      <c r="O49" s="140">
        <f>VLOOKUP($A49,'Data shares'!$C:$FB,65)*100</f>
        <v>119.44</v>
      </c>
    </row>
    <row r="50" spans="1:15" x14ac:dyDescent="0.25">
      <c r="A50" s="101" t="str">
        <f>'Data Vlaue (Cr)'!C45</f>
        <v>CHOLAFIN</v>
      </c>
      <c r="B50" s="50">
        <f>VLOOKUP($A50,'Data shares'!$C:$FB,7)</f>
        <v>1569.3</v>
      </c>
      <c r="C50" s="50">
        <f>VLOOKUP($A50,'Data shares'!$C:$FB,10)*100</f>
        <v>-0.61</v>
      </c>
      <c r="D50" s="49">
        <f>VLOOKUP($A50,'Data shares'!$C:$FB,66)</f>
        <v>6628750</v>
      </c>
      <c r="E50" s="49">
        <f>VLOOKUP($A50,'Data shares'!$C:$FB,67)</f>
        <v>11315625</v>
      </c>
      <c r="F50" s="50">
        <f>VLOOKUP($A50,'Data shares'!$C:$FB,69)*100</f>
        <v>-41.42</v>
      </c>
      <c r="G50" s="49">
        <f>VLOOKUP($A50,'Data shares'!$C:$FB,42)</f>
        <v>1560000</v>
      </c>
      <c r="H50" s="49">
        <f>VLOOKUP($A50,'Data shares'!$C:$FB,43)</f>
        <v>3384375</v>
      </c>
      <c r="I50" s="50">
        <f>VLOOKUP($A50,'Data shares'!$C:$FB,45)*100</f>
        <v>-53.910000000000004</v>
      </c>
      <c r="J50" s="49">
        <f>VLOOKUP($A50,'Data shares'!$C:$FB,58)</f>
        <v>3008750</v>
      </c>
      <c r="K50" s="49">
        <f>VLOOKUP($A50,'Data shares'!$C:$FB,59)</f>
        <v>4772500</v>
      </c>
      <c r="L50" s="50">
        <f>VLOOKUP($A50,'Data shares'!$C:$FB,61)*100</f>
        <v>-36.96</v>
      </c>
      <c r="M50" s="49">
        <f>VLOOKUP($A50,'Data shares'!$C:$FB,62)</f>
        <v>2060000</v>
      </c>
      <c r="N50" s="49">
        <f>VLOOKUP($A50,'Data shares'!$C:$FB,63)</f>
        <v>3158750</v>
      </c>
      <c r="O50" s="140">
        <f>VLOOKUP($A50,'Data shares'!$C:$FB,65)*100</f>
        <v>-34.78</v>
      </c>
    </row>
    <row r="51" spans="1:15" x14ac:dyDescent="0.25">
      <c r="A51" s="101" t="str">
        <f>'Data Vlaue (Cr)'!C46</f>
        <v>CIPLA</v>
      </c>
      <c r="B51" s="50">
        <f>VLOOKUP($A51,'Data shares'!$C:$FB,7)</f>
        <v>1229.5</v>
      </c>
      <c r="C51" s="50">
        <f>VLOOKUP($A51,'Data shares'!$C:$FB,10)*100</f>
        <v>-0.91</v>
      </c>
      <c r="D51" s="49">
        <f>VLOOKUP($A51,'Data shares'!$C:$FB,66)</f>
        <v>10544250</v>
      </c>
      <c r="E51" s="49">
        <f>VLOOKUP($A51,'Data shares'!$C:$FB,67)</f>
        <v>9726375</v>
      </c>
      <c r="F51" s="50">
        <f>VLOOKUP($A51,'Data shares'!$C:$FB,69)*100</f>
        <v>8.41</v>
      </c>
      <c r="G51" s="49">
        <f>VLOOKUP($A51,'Data shares'!$C:$FB,42)</f>
        <v>3496125</v>
      </c>
      <c r="H51" s="49">
        <f>VLOOKUP($A51,'Data shares'!$C:$FB,43)</f>
        <v>1634625</v>
      </c>
      <c r="I51" s="50">
        <f>VLOOKUP($A51,'Data shares'!$C:$FB,45)*100</f>
        <v>113.88000000000001</v>
      </c>
      <c r="J51" s="49">
        <f>VLOOKUP($A51,'Data shares'!$C:$FB,58)</f>
        <v>5334000</v>
      </c>
      <c r="K51" s="49">
        <f>VLOOKUP($A51,'Data shares'!$C:$FB,59)</f>
        <v>5894625</v>
      </c>
      <c r="L51" s="50">
        <f>VLOOKUP($A51,'Data shares'!$C:$FB,61)*100</f>
        <v>-9.51</v>
      </c>
      <c r="M51" s="49">
        <f>VLOOKUP($A51,'Data shares'!$C:$FB,62)</f>
        <v>1714125</v>
      </c>
      <c r="N51" s="49">
        <f>VLOOKUP($A51,'Data shares'!$C:$FB,63)</f>
        <v>2197125</v>
      </c>
      <c r="O51" s="140">
        <f>VLOOKUP($A51,'Data shares'!$C:$FB,65)*100</f>
        <v>-21.98</v>
      </c>
    </row>
    <row r="52" spans="1:15" x14ac:dyDescent="0.25">
      <c r="A52" s="101" t="str">
        <f>'Data Vlaue (Cr)'!C47</f>
        <v>COALINDIA</v>
      </c>
      <c r="B52" s="50">
        <f>VLOOKUP($A52,'Data shares'!$C:$FB,7)</f>
        <v>441.75</v>
      </c>
      <c r="C52" s="50">
        <f>VLOOKUP($A52,'Data shares'!$C:$FB,10)*100</f>
        <v>0.67999999999999994</v>
      </c>
      <c r="D52" s="49">
        <f>VLOOKUP($A52,'Data shares'!$C:$FB,66)</f>
        <v>83357100</v>
      </c>
      <c r="E52" s="49">
        <f>VLOOKUP($A52,'Data shares'!$C:$FB,67)</f>
        <v>95242500</v>
      </c>
      <c r="F52" s="50">
        <f>VLOOKUP($A52,'Data shares'!$C:$FB,69)*100</f>
        <v>-12.479999999999999</v>
      </c>
      <c r="G52" s="49">
        <f>VLOOKUP($A52,'Data shares'!$C:$FB,42)</f>
        <v>9953550</v>
      </c>
      <c r="H52" s="49">
        <f>VLOOKUP($A52,'Data shares'!$C:$FB,43)</f>
        <v>13751100</v>
      </c>
      <c r="I52" s="50">
        <f>VLOOKUP($A52,'Data shares'!$C:$FB,45)*100</f>
        <v>-27.62</v>
      </c>
      <c r="J52" s="49">
        <f>VLOOKUP($A52,'Data shares'!$C:$FB,58)</f>
        <v>47548350</v>
      </c>
      <c r="K52" s="49">
        <f>VLOOKUP($A52,'Data shares'!$C:$FB,59)</f>
        <v>50942250</v>
      </c>
      <c r="L52" s="50">
        <f>VLOOKUP($A52,'Data shares'!$C:$FB,61)*100</f>
        <v>-6.660000000000001</v>
      </c>
      <c r="M52" s="49">
        <f>VLOOKUP($A52,'Data shares'!$C:$FB,62)</f>
        <v>25855200</v>
      </c>
      <c r="N52" s="49">
        <f>VLOOKUP($A52,'Data shares'!$C:$FB,63)</f>
        <v>30549150</v>
      </c>
      <c r="O52" s="140">
        <f>VLOOKUP($A52,'Data shares'!$C:$FB,65)*100</f>
        <v>-15.370000000000001</v>
      </c>
    </row>
    <row r="53" spans="1:15" x14ac:dyDescent="0.25">
      <c r="A53" s="101" t="str">
        <f>'Data Vlaue (Cr)'!C48</f>
        <v>COCHINSHIP</v>
      </c>
      <c r="B53" s="50">
        <f>VLOOKUP($A53,'Data shares'!$C:$FB,7)</f>
        <v>1544.9</v>
      </c>
      <c r="C53" s="50">
        <f>VLOOKUP($A53,'Data shares'!$C:$FB,10)*100</f>
        <v>-1.04</v>
      </c>
      <c r="D53" s="49">
        <f>VLOOKUP($A53,'Data shares'!$C:$FB,66)</f>
        <v>4341200</v>
      </c>
      <c r="E53" s="49">
        <f>VLOOKUP($A53,'Data shares'!$C:$FB,67)</f>
        <v>12188800</v>
      </c>
      <c r="F53" s="50">
        <f>VLOOKUP($A53,'Data shares'!$C:$FB,69)*100</f>
        <v>-64.38000000000001</v>
      </c>
      <c r="G53" s="49">
        <f>VLOOKUP($A53,'Data shares'!$C:$FB,42)</f>
        <v>1007200</v>
      </c>
      <c r="H53" s="49">
        <f>VLOOKUP($A53,'Data shares'!$C:$FB,43)</f>
        <v>1715200</v>
      </c>
      <c r="I53" s="50">
        <f>VLOOKUP($A53,'Data shares'!$C:$FB,45)*100</f>
        <v>-41.28</v>
      </c>
      <c r="J53" s="49">
        <f>VLOOKUP($A53,'Data shares'!$C:$FB,58)</f>
        <v>2549600</v>
      </c>
      <c r="K53" s="49">
        <f>VLOOKUP($A53,'Data shares'!$C:$FB,59)</f>
        <v>8815200</v>
      </c>
      <c r="L53" s="50">
        <f>VLOOKUP($A53,'Data shares'!$C:$FB,61)*100</f>
        <v>-71.08</v>
      </c>
      <c r="M53" s="49">
        <f>VLOOKUP($A53,'Data shares'!$C:$FB,62)</f>
        <v>784400</v>
      </c>
      <c r="N53" s="49">
        <f>VLOOKUP($A53,'Data shares'!$C:$FB,63)</f>
        <v>1658400</v>
      </c>
      <c r="O53" s="140">
        <f>VLOOKUP($A53,'Data shares'!$C:$FB,65)*100</f>
        <v>-52.7</v>
      </c>
    </row>
    <row r="54" spans="1:15" x14ac:dyDescent="0.25">
      <c r="A54" s="101" t="str">
        <f>'Data Vlaue (Cr)'!C49</f>
        <v>COFORGE</v>
      </c>
      <c r="B54" s="50">
        <f>VLOOKUP($A54,'Data shares'!$C:$FB,7)</f>
        <v>1288.0999999999999</v>
      </c>
      <c r="C54" s="50">
        <f>VLOOKUP($A54,'Data shares'!$C:$FB,10)*100</f>
        <v>-2.1800000000000002</v>
      </c>
      <c r="D54" s="49">
        <f>VLOOKUP($A54,'Data shares'!$C:$FB,66)</f>
        <v>10797000</v>
      </c>
      <c r="E54" s="49">
        <f>VLOOKUP($A54,'Data shares'!$C:$FB,67)</f>
        <v>12450750</v>
      </c>
      <c r="F54" s="50">
        <f>VLOOKUP($A54,'Data shares'!$C:$FB,69)*100</f>
        <v>-13.28</v>
      </c>
      <c r="G54" s="49">
        <f>VLOOKUP($A54,'Data shares'!$C:$FB,42)</f>
        <v>2655000</v>
      </c>
      <c r="H54" s="49">
        <f>VLOOKUP($A54,'Data shares'!$C:$FB,43)</f>
        <v>2322750</v>
      </c>
      <c r="I54" s="50">
        <f>VLOOKUP($A54,'Data shares'!$C:$FB,45)*100</f>
        <v>14.299999999999999</v>
      </c>
      <c r="J54" s="49">
        <f>VLOOKUP($A54,'Data shares'!$C:$FB,58)</f>
        <v>5152875</v>
      </c>
      <c r="K54" s="49">
        <f>VLOOKUP($A54,'Data shares'!$C:$FB,59)</f>
        <v>6516375</v>
      </c>
      <c r="L54" s="50">
        <f>VLOOKUP($A54,'Data shares'!$C:$FB,61)*100</f>
        <v>-20.919999999999998</v>
      </c>
      <c r="M54" s="49">
        <f>VLOOKUP($A54,'Data shares'!$C:$FB,62)</f>
        <v>2989125</v>
      </c>
      <c r="N54" s="49">
        <f>VLOOKUP($A54,'Data shares'!$C:$FB,63)</f>
        <v>3611625</v>
      </c>
      <c r="O54" s="140">
        <f>VLOOKUP($A54,'Data shares'!$C:$FB,65)*100</f>
        <v>-17.239999999999998</v>
      </c>
    </row>
    <row r="55" spans="1:15" x14ac:dyDescent="0.25">
      <c r="A55" s="101" t="str">
        <f>'Data Vlaue (Cr)'!C50</f>
        <v>COLPAL</v>
      </c>
      <c r="B55" s="50">
        <f>VLOOKUP($A55,'Data shares'!$C:$FB,7)</f>
        <v>2129</v>
      </c>
      <c r="C55" s="50">
        <f>VLOOKUP($A55,'Data shares'!$C:$FB,10)*100</f>
        <v>1.0900000000000001</v>
      </c>
      <c r="D55" s="49">
        <f>VLOOKUP($A55,'Data shares'!$C:$FB,66)</f>
        <v>7849575</v>
      </c>
      <c r="E55" s="49">
        <f>VLOOKUP($A55,'Data shares'!$C:$FB,67)</f>
        <v>41450850</v>
      </c>
      <c r="F55" s="50">
        <f>VLOOKUP($A55,'Data shares'!$C:$FB,69)*100</f>
        <v>-81.06</v>
      </c>
      <c r="G55" s="49">
        <f>VLOOKUP($A55,'Data shares'!$C:$FB,42)</f>
        <v>949950</v>
      </c>
      <c r="H55" s="49">
        <f>VLOOKUP($A55,'Data shares'!$C:$FB,43)</f>
        <v>3161025</v>
      </c>
      <c r="I55" s="50">
        <f>VLOOKUP($A55,'Data shares'!$C:$FB,45)*100</f>
        <v>-69.95</v>
      </c>
      <c r="J55" s="49">
        <f>VLOOKUP($A55,'Data shares'!$C:$FB,58)</f>
        <v>4848525</v>
      </c>
      <c r="K55" s="49">
        <f>VLOOKUP($A55,'Data shares'!$C:$FB,59)</f>
        <v>27826875</v>
      </c>
      <c r="L55" s="50">
        <f>VLOOKUP($A55,'Data shares'!$C:$FB,61)*100</f>
        <v>-82.58</v>
      </c>
      <c r="M55" s="49">
        <f>VLOOKUP($A55,'Data shares'!$C:$FB,62)</f>
        <v>2051100</v>
      </c>
      <c r="N55" s="49">
        <f>VLOOKUP($A55,'Data shares'!$C:$FB,63)</f>
        <v>10462950</v>
      </c>
      <c r="O55" s="140">
        <f>VLOOKUP($A55,'Data shares'!$C:$FB,65)*100</f>
        <v>-80.400000000000006</v>
      </c>
    </row>
    <row r="56" spans="1:15" x14ac:dyDescent="0.25">
      <c r="A56" s="101" t="str">
        <f>'Data Vlaue (Cr)'!C51</f>
        <v>CONCOR</v>
      </c>
      <c r="B56" s="50">
        <f>VLOOKUP($A56,'Data shares'!$C:$FB,7)</f>
        <v>501.05</v>
      </c>
      <c r="C56" s="50">
        <f>VLOOKUP($A56,'Data shares'!$C:$FB,10)*100</f>
        <v>-0.41000000000000003</v>
      </c>
      <c r="D56" s="49">
        <f>VLOOKUP($A56,'Data shares'!$C:$FB,66)</f>
        <v>10245000</v>
      </c>
      <c r="E56" s="49">
        <f>VLOOKUP($A56,'Data shares'!$C:$FB,67)</f>
        <v>14356250</v>
      </c>
      <c r="F56" s="50">
        <f>VLOOKUP($A56,'Data shares'!$C:$FB,69)*100</f>
        <v>-28.64</v>
      </c>
      <c r="G56" s="49">
        <f>VLOOKUP($A56,'Data shares'!$C:$FB,42)</f>
        <v>3100000</v>
      </c>
      <c r="H56" s="49">
        <f>VLOOKUP($A56,'Data shares'!$C:$FB,43)</f>
        <v>4518750</v>
      </c>
      <c r="I56" s="50">
        <f>VLOOKUP($A56,'Data shares'!$C:$FB,45)*100</f>
        <v>-31.4</v>
      </c>
      <c r="J56" s="49">
        <f>VLOOKUP($A56,'Data shares'!$C:$FB,58)</f>
        <v>5146250</v>
      </c>
      <c r="K56" s="49">
        <f>VLOOKUP($A56,'Data shares'!$C:$FB,59)</f>
        <v>6961250</v>
      </c>
      <c r="L56" s="50">
        <f>VLOOKUP($A56,'Data shares'!$C:$FB,61)*100</f>
        <v>-26.07</v>
      </c>
      <c r="M56" s="49">
        <f>VLOOKUP($A56,'Data shares'!$C:$FB,62)</f>
        <v>1998750</v>
      </c>
      <c r="N56" s="49">
        <f>VLOOKUP($A56,'Data shares'!$C:$FB,63)</f>
        <v>2876250</v>
      </c>
      <c r="O56" s="140">
        <f>VLOOKUP($A56,'Data shares'!$C:$FB,65)*100</f>
        <v>-30.509999999999998</v>
      </c>
    </row>
    <row r="57" spans="1:15" x14ac:dyDescent="0.25">
      <c r="A57" s="101" t="str">
        <f>'Data Vlaue (Cr)'!C52</f>
        <v>CROMPTON</v>
      </c>
      <c r="B57" s="50">
        <f>VLOOKUP($A57,'Data shares'!$C:$FB,7)</f>
        <v>261.22000000000003</v>
      </c>
      <c r="C57" s="50">
        <f>VLOOKUP($A57,'Data shares'!$C:$FB,10)*100</f>
        <v>-0.09</v>
      </c>
      <c r="D57" s="49">
        <f>VLOOKUP($A57,'Data shares'!$C:$FB,66)</f>
        <v>21627000</v>
      </c>
      <c r="E57" s="49">
        <f>VLOOKUP($A57,'Data shares'!$C:$FB,67)</f>
        <v>30367800</v>
      </c>
      <c r="F57" s="50">
        <f>VLOOKUP($A57,'Data shares'!$C:$FB,69)*100</f>
        <v>-28.78</v>
      </c>
      <c r="G57" s="49">
        <f>VLOOKUP($A57,'Data shares'!$C:$FB,42)</f>
        <v>5378400</v>
      </c>
      <c r="H57" s="49">
        <f>VLOOKUP($A57,'Data shares'!$C:$FB,43)</f>
        <v>5313600</v>
      </c>
      <c r="I57" s="50">
        <f>VLOOKUP($A57,'Data shares'!$C:$FB,45)*100</f>
        <v>1.22</v>
      </c>
      <c r="J57" s="49">
        <f>VLOOKUP($A57,'Data shares'!$C:$FB,58)</f>
        <v>12618000</v>
      </c>
      <c r="K57" s="49">
        <f>VLOOKUP($A57,'Data shares'!$C:$FB,59)</f>
        <v>17375400</v>
      </c>
      <c r="L57" s="50">
        <f>VLOOKUP($A57,'Data shares'!$C:$FB,61)*100</f>
        <v>-27.38</v>
      </c>
      <c r="M57" s="49">
        <f>VLOOKUP($A57,'Data shares'!$C:$FB,62)</f>
        <v>3630600</v>
      </c>
      <c r="N57" s="49">
        <f>VLOOKUP($A57,'Data shares'!$C:$FB,63)</f>
        <v>7678800</v>
      </c>
      <c r="O57" s="140">
        <f>VLOOKUP($A57,'Data shares'!$C:$FB,65)*100</f>
        <v>-52.72</v>
      </c>
    </row>
    <row r="58" spans="1:15" x14ac:dyDescent="0.25">
      <c r="A58" s="101" t="str">
        <f>'Data Vlaue (Cr)'!C53</f>
        <v>CUMMINSIND</v>
      </c>
      <c r="B58" s="50">
        <f>VLOOKUP($A58,'Data shares'!$C:$FB,7)</f>
        <v>5200.3</v>
      </c>
      <c r="C58" s="50">
        <f>VLOOKUP($A58,'Data shares'!$C:$FB,10)*100</f>
        <v>1.1599999999999999</v>
      </c>
      <c r="D58" s="49">
        <f>VLOOKUP($A58,'Data shares'!$C:$FB,66)</f>
        <v>6529800</v>
      </c>
      <c r="E58" s="49">
        <f>VLOOKUP($A58,'Data shares'!$C:$FB,67)</f>
        <v>7538400</v>
      </c>
      <c r="F58" s="50">
        <f>VLOOKUP($A58,'Data shares'!$C:$FB,69)*100</f>
        <v>-13.38</v>
      </c>
      <c r="G58" s="49">
        <f>VLOOKUP($A58,'Data shares'!$C:$FB,42)</f>
        <v>706000</v>
      </c>
      <c r="H58" s="49">
        <f>VLOOKUP($A58,'Data shares'!$C:$FB,43)</f>
        <v>1439400</v>
      </c>
      <c r="I58" s="50">
        <f>VLOOKUP($A58,'Data shares'!$C:$FB,45)*100</f>
        <v>-50.949999999999996</v>
      </c>
      <c r="J58" s="49">
        <f>VLOOKUP($A58,'Data shares'!$C:$FB,58)</f>
        <v>3831000</v>
      </c>
      <c r="K58" s="49">
        <f>VLOOKUP($A58,'Data shares'!$C:$FB,59)</f>
        <v>4791800</v>
      </c>
      <c r="L58" s="50">
        <f>VLOOKUP($A58,'Data shares'!$C:$FB,61)*100</f>
        <v>-20.05</v>
      </c>
      <c r="M58" s="49">
        <f>VLOOKUP($A58,'Data shares'!$C:$FB,62)</f>
        <v>1992800</v>
      </c>
      <c r="N58" s="49">
        <f>VLOOKUP($A58,'Data shares'!$C:$FB,63)</f>
        <v>1307200</v>
      </c>
      <c r="O58" s="140">
        <f>VLOOKUP($A58,'Data shares'!$C:$FB,65)*100</f>
        <v>52.449999999999996</v>
      </c>
    </row>
    <row r="59" spans="1:15" x14ac:dyDescent="0.25">
      <c r="A59" s="101" t="str">
        <f>'Data Vlaue (Cr)'!C54</f>
        <v>DABUR</v>
      </c>
      <c r="B59" s="50">
        <f>VLOOKUP($A59,'Data shares'!$C:$FB,7)</f>
        <v>441.7</v>
      </c>
      <c r="C59" s="50">
        <f>VLOOKUP($A59,'Data shares'!$C:$FB,10)*100</f>
        <v>-0.26</v>
      </c>
      <c r="D59" s="49">
        <f>VLOOKUP($A59,'Data shares'!$C:$FB,66)</f>
        <v>24085000</v>
      </c>
      <c r="E59" s="49">
        <f>VLOOKUP($A59,'Data shares'!$C:$FB,67)</f>
        <v>58455000</v>
      </c>
      <c r="F59" s="50">
        <f>VLOOKUP($A59,'Data shares'!$C:$FB,69)*100</f>
        <v>-58.8</v>
      </c>
      <c r="G59" s="49">
        <f>VLOOKUP($A59,'Data shares'!$C:$FB,42)</f>
        <v>3192500</v>
      </c>
      <c r="H59" s="49">
        <f>VLOOKUP($A59,'Data shares'!$C:$FB,43)</f>
        <v>8552500</v>
      </c>
      <c r="I59" s="50">
        <f>VLOOKUP($A59,'Data shares'!$C:$FB,45)*100</f>
        <v>-62.67</v>
      </c>
      <c r="J59" s="49">
        <f>VLOOKUP($A59,'Data shares'!$C:$FB,58)</f>
        <v>15905000</v>
      </c>
      <c r="K59" s="49">
        <f>VLOOKUP($A59,'Data shares'!$C:$FB,59)</f>
        <v>38317500</v>
      </c>
      <c r="L59" s="50">
        <f>VLOOKUP($A59,'Data shares'!$C:$FB,61)*100</f>
        <v>-58.489999999999995</v>
      </c>
      <c r="M59" s="49">
        <f>VLOOKUP($A59,'Data shares'!$C:$FB,62)</f>
        <v>4987500</v>
      </c>
      <c r="N59" s="49">
        <f>VLOOKUP($A59,'Data shares'!$C:$FB,63)</f>
        <v>11585000</v>
      </c>
      <c r="O59" s="140">
        <f>VLOOKUP($A59,'Data shares'!$C:$FB,65)*100</f>
        <v>-56.95</v>
      </c>
    </row>
    <row r="60" spans="1:15" x14ac:dyDescent="0.25">
      <c r="A60" s="101" t="str">
        <f>'Data Vlaue (Cr)'!C55</f>
        <v>DALBHARAT</v>
      </c>
      <c r="B60" s="50">
        <f>VLOOKUP($A60,'Data shares'!$C:$FB,7)</f>
        <v>1981.8</v>
      </c>
      <c r="C60" s="50">
        <f>VLOOKUP($A60,'Data shares'!$C:$FB,10)*100</f>
        <v>0.51</v>
      </c>
      <c r="D60" s="49">
        <f>VLOOKUP($A60,'Data shares'!$C:$FB,66)</f>
        <v>1645475</v>
      </c>
      <c r="E60" s="49">
        <f>VLOOKUP($A60,'Data shares'!$C:$FB,67)</f>
        <v>1954225</v>
      </c>
      <c r="F60" s="50">
        <f>VLOOKUP($A60,'Data shares'!$C:$FB,69)*100</f>
        <v>-15.8</v>
      </c>
      <c r="G60" s="49">
        <f>VLOOKUP($A60,'Data shares'!$C:$FB,42)</f>
        <v>495300</v>
      </c>
      <c r="H60" s="49">
        <f>VLOOKUP($A60,'Data shares'!$C:$FB,43)</f>
        <v>577850</v>
      </c>
      <c r="I60" s="50">
        <f>VLOOKUP($A60,'Data shares'!$C:$FB,45)*100</f>
        <v>-14.29</v>
      </c>
      <c r="J60" s="49">
        <f>VLOOKUP($A60,'Data shares'!$C:$FB,58)</f>
        <v>869375</v>
      </c>
      <c r="K60" s="49">
        <f>VLOOKUP($A60,'Data shares'!$C:$FB,59)</f>
        <v>955825</v>
      </c>
      <c r="L60" s="50">
        <f>VLOOKUP($A60,'Data shares'!$C:$FB,61)*100</f>
        <v>-9.0399999999999991</v>
      </c>
      <c r="M60" s="49">
        <f>VLOOKUP($A60,'Data shares'!$C:$FB,62)</f>
        <v>280800</v>
      </c>
      <c r="N60" s="49">
        <f>VLOOKUP($A60,'Data shares'!$C:$FB,63)</f>
        <v>420550</v>
      </c>
      <c r="O60" s="140">
        <f>VLOOKUP($A60,'Data shares'!$C:$FB,65)*100</f>
        <v>-33.229999999999997</v>
      </c>
    </row>
    <row r="61" spans="1:15" x14ac:dyDescent="0.25">
      <c r="A61" s="101" t="str">
        <f>'Data Vlaue (Cr)'!C56</f>
        <v>DELHIVERY</v>
      </c>
      <c r="B61" s="50">
        <f>VLOOKUP($A61,'Data shares'!$C:$FB,7)</f>
        <v>464.5</v>
      </c>
      <c r="C61" s="50">
        <f>VLOOKUP($A61,'Data shares'!$C:$FB,10)*100</f>
        <v>0.32</v>
      </c>
      <c r="D61" s="49">
        <f>VLOOKUP($A61,'Data shares'!$C:$FB,66)</f>
        <v>47901375</v>
      </c>
      <c r="E61" s="49">
        <f>VLOOKUP($A61,'Data shares'!$C:$FB,67)</f>
        <v>45093900</v>
      </c>
      <c r="F61" s="50">
        <f>VLOOKUP($A61,'Data shares'!$C:$FB,69)*100</f>
        <v>6.23</v>
      </c>
      <c r="G61" s="49">
        <f>VLOOKUP($A61,'Data shares'!$C:$FB,42)</f>
        <v>7579975</v>
      </c>
      <c r="H61" s="49">
        <f>VLOOKUP($A61,'Data shares'!$C:$FB,43)</f>
        <v>7324750</v>
      </c>
      <c r="I61" s="50">
        <f>VLOOKUP($A61,'Data shares'!$C:$FB,45)*100</f>
        <v>3.4799999999999995</v>
      </c>
      <c r="J61" s="49">
        <f>VLOOKUP($A61,'Data shares'!$C:$FB,58)</f>
        <v>33260175</v>
      </c>
      <c r="K61" s="49">
        <f>VLOOKUP($A61,'Data shares'!$C:$FB,59)</f>
        <v>31042000</v>
      </c>
      <c r="L61" s="50">
        <f>VLOOKUP($A61,'Data shares'!$C:$FB,61)*100</f>
        <v>7.1499999999999995</v>
      </c>
      <c r="M61" s="49">
        <f>VLOOKUP($A61,'Data shares'!$C:$FB,62)</f>
        <v>7061225</v>
      </c>
      <c r="N61" s="49">
        <f>VLOOKUP($A61,'Data shares'!$C:$FB,63)</f>
        <v>6727150</v>
      </c>
      <c r="O61" s="140">
        <f>VLOOKUP($A61,'Data shares'!$C:$FB,65)*100</f>
        <v>4.97</v>
      </c>
    </row>
    <row r="62" spans="1:15" x14ac:dyDescent="0.25">
      <c r="A62" s="101" t="str">
        <f>'Data Vlaue (Cr)'!C57</f>
        <v>DIVISLAB</v>
      </c>
      <c r="B62" s="50">
        <f>VLOOKUP($A62,'Data shares'!$C:$FB,7)</f>
        <v>6280</v>
      </c>
      <c r="C62" s="50">
        <f>VLOOKUP($A62,'Data shares'!$C:$FB,10)*100</f>
        <v>0.82000000000000006</v>
      </c>
      <c r="D62" s="49">
        <f>VLOOKUP($A62,'Data shares'!$C:$FB,66)</f>
        <v>1876900</v>
      </c>
      <c r="E62" s="49">
        <f>VLOOKUP($A62,'Data shares'!$C:$FB,67)</f>
        <v>1821300</v>
      </c>
      <c r="F62" s="50">
        <f>VLOOKUP($A62,'Data shares'!$C:$FB,69)*100</f>
        <v>3.05</v>
      </c>
      <c r="G62" s="49">
        <f>VLOOKUP($A62,'Data shares'!$C:$FB,42)</f>
        <v>203400</v>
      </c>
      <c r="H62" s="49">
        <f>VLOOKUP($A62,'Data shares'!$C:$FB,43)</f>
        <v>196700</v>
      </c>
      <c r="I62" s="50">
        <f>VLOOKUP($A62,'Data shares'!$C:$FB,45)*100</f>
        <v>3.4099999999999997</v>
      </c>
      <c r="J62" s="49">
        <f>VLOOKUP($A62,'Data shares'!$C:$FB,58)</f>
        <v>1234500</v>
      </c>
      <c r="K62" s="49">
        <f>VLOOKUP($A62,'Data shares'!$C:$FB,59)</f>
        <v>1035900</v>
      </c>
      <c r="L62" s="50">
        <f>VLOOKUP($A62,'Data shares'!$C:$FB,61)*100</f>
        <v>19.170000000000002</v>
      </c>
      <c r="M62" s="49">
        <f>VLOOKUP($A62,'Data shares'!$C:$FB,62)</f>
        <v>439000</v>
      </c>
      <c r="N62" s="49">
        <f>VLOOKUP($A62,'Data shares'!$C:$FB,63)</f>
        <v>588700</v>
      </c>
      <c r="O62" s="140">
        <f>VLOOKUP($A62,'Data shares'!$C:$FB,65)*100</f>
        <v>-25.430000000000003</v>
      </c>
    </row>
    <row r="63" spans="1:15" x14ac:dyDescent="0.25">
      <c r="A63" s="101" t="str">
        <f>'Data Vlaue (Cr)'!C58</f>
        <v>DIXON</v>
      </c>
      <c r="B63" s="50">
        <f>VLOOKUP($A63,'Data shares'!$C:$FB,7)</f>
        <v>11211</v>
      </c>
      <c r="C63" s="50">
        <f>VLOOKUP($A63,'Data shares'!$C:$FB,10)*100</f>
        <v>-1.41</v>
      </c>
      <c r="D63" s="49">
        <f>VLOOKUP($A63,'Data shares'!$C:$FB,66)</f>
        <v>5367300</v>
      </c>
      <c r="E63" s="49">
        <f>VLOOKUP($A63,'Data shares'!$C:$FB,67)</f>
        <v>6342150</v>
      </c>
      <c r="F63" s="50">
        <f>VLOOKUP($A63,'Data shares'!$C:$FB,69)*100</f>
        <v>-15.370000000000001</v>
      </c>
      <c r="G63" s="49">
        <f>VLOOKUP($A63,'Data shares'!$C:$FB,42)</f>
        <v>762200</v>
      </c>
      <c r="H63" s="49">
        <f>VLOOKUP($A63,'Data shares'!$C:$FB,43)</f>
        <v>931050</v>
      </c>
      <c r="I63" s="50">
        <f>VLOOKUP($A63,'Data shares'!$C:$FB,45)*100</f>
        <v>-18.14</v>
      </c>
      <c r="J63" s="49">
        <f>VLOOKUP($A63,'Data shares'!$C:$FB,58)</f>
        <v>2752000</v>
      </c>
      <c r="K63" s="49">
        <f>VLOOKUP($A63,'Data shares'!$C:$FB,59)</f>
        <v>3475950</v>
      </c>
      <c r="L63" s="50">
        <f>VLOOKUP($A63,'Data shares'!$C:$FB,61)*100</f>
        <v>-20.830000000000002</v>
      </c>
      <c r="M63" s="49">
        <f>VLOOKUP($A63,'Data shares'!$C:$FB,62)</f>
        <v>1853100</v>
      </c>
      <c r="N63" s="49">
        <f>VLOOKUP($A63,'Data shares'!$C:$FB,63)</f>
        <v>1935150</v>
      </c>
      <c r="O63" s="140">
        <f>VLOOKUP($A63,'Data shares'!$C:$FB,65)*100</f>
        <v>-4.24</v>
      </c>
    </row>
    <row r="64" spans="1:15" x14ac:dyDescent="0.25">
      <c r="A64" s="101" t="str">
        <f>'Data Vlaue (Cr)'!C59</f>
        <v>DLF</v>
      </c>
      <c r="B64" s="50">
        <f>VLOOKUP($A64,'Data shares'!$C:$FB,7)</f>
        <v>596.4</v>
      </c>
      <c r="C64" s="50">
        <f>VLOOKUP($A64,'Data shares'!$C:$FB,10)*100</f>
        <v>-0.89</v>
      </c>
      <c r="D64" s="49">
        <f>VLOOKUP($A64,'Data shares'!$C:$FB,66)</f>
        <v>20881575</v>
      </c>
      <c r="E64" s="49">
        <f>VLOOKUP($A64,'Data shares'!$C:$FB,67)</f>
        <v>41220300</v>
      </c>
      <c r="F64" s="50">
        <f>VLOOKUP($A64,'Data shares'!$C:$FB,69)*100</f>
        <v>-49.34</v>
      </c>
      <c r="G64" s="49">
        <f>VLOOKUP($A64,'Data shares'!$C:$FB,42)</f>
        <v>5118300</v>
      </c>
      <c r="H64" s="49">
        <f>VLOOKUP($A64,'Data shares'!$C:$FB,43)</f>
        <v>9759750</v>
      </c>
      <c r="I64" s="50">
        <f>VLOOKUP($A64,'Data shares'!$C:$FB,45)*100</f>
        <v>-47.56</v>
      </c>
      <c r="J64" s="49">
        <f>VLOOKUP($A64,'Data shares'!$C:$FB,58)</f>
        <v>9466050</v>
      </c>
      <c r="K64" s="49">
        <f>VLOOKUP($A64,'Data shares'!$C:$FB,59)</f>
        <v>17081625</v>
      </c>
      <c r="L64" s="50">
        <f>VLOOKUP($A64,'Data shares'!$C:$FB,61)*100</f>
        <v>-44.58</v>
      </c>
      <c r="M64" s="49">
        <f>VLOOKUP($A64,'Data shares'!$C:$FB,62)</f>
        <v>6297225</v>
      </c>
      <c r="N64" s="49">
        <f>VLOOKUP($A64,'Data shares'!$C:$FB,63)</f>
        <v>14378925</v>
      </c>
      <c r="O64" s="140">
        <f>VLOOKUP($A64,'Data shares'!$C:$FB,65)*100</f>
        <v>-56.210000000000008</v>
      </c>
    </row>
    <row r="65" spans="1:15" x14ac:dyDescent="0.25">
      <c r="A65" s="101" t="str">
        <f>'Data Vlaue (Cr)'!C60</f>
        <v>DMART</v>
      </c>
      <c r="B65" s="50">
        <f>VLOOKUP($A65,'Data shares'!$C:$FB,7)</f>
        <v>4605.2</v>
      </c>
      <c r="C65" s="50">
        <f>VLOOKUP($A65,'Data shares'!$C:$FB,10)*100</f>
        <v>-0.5</v>
      </c>
      <c r="D65" s="49">
        <f>VLOOKUP($A65,'Data shares'!$C:$FB,66)</f>
        <v>5050350</v>
      </c>
      <c r="E65" s="49">
        <f>VLOOKUP($A65,'Data shares'!$C:$FB,67)</f>
        <v>15516450</v>
      </c>
      <c r="F65" s="50">
        <f>VLOOKUP($A65,'Data shares'!$C:$FB,69)*100</f>
        <v>-67.45</v>
      </c>
      <c r="G65" s="49">
        <f>VLOOKUP($A65,'Data shares'!$C:$FB,42)</f>
        <v>537900</v>
      </c>
      <c r="H65" s="49">
        <f>VLOOKUP($A65,'Data shares'!$C:$FB,43)</f>
        <v>1454700</v>
      </c>
      <c r="I65" s="50">
        <f>VLOOKUP($A65,'Data shares'!$C:$FB,45)*100</f>
        <v>-63.019999999999996</v>
      </c>
      <c r="J65" s="49">
        <f>VLOOKUP($A65,'Data shares'!$C:$FB,58)</f>
        <v>2491950</v>
      </c>
      <c r="K65" s="49">
        <f>VLOOKUP($A65,'Data shares'!$C:$FB,59)</f>
        <v>9702750</v>
      </c>
      <c r="L65" s="50">
        <f>VLOOKUP($A65,'Data shares'!$C:$FB,61)*100</f>
        <v>-74.319999999999993</v>
      </c>
      <c r="M65" s="49">
        <f>VLOOKUP($A65,'Data shares'!$C:$FB,62)</f>
        <v>2020500</v>
      </c>
      <c r="N65" s="49">
        <f>VLOOKUP($A65,'Data shares'!$C:$FB,63)</f>
        <v>4359000</v>
      </c>
      <c r="O65" s="140">
        <f>VLOOKUP($A65,'Data shares'!$C:$FB,65)*100</f>
        <v>-53.65</v>
      </c>
    </row>
    <row r="66" spans="1:15" x14ac:dyDescent="0.25">
      <c r="A66" s="101" t="str">
        <f>'Data Vlaue (Cr)'!C61</f>
        <v>DRREDDY</v>
      </c>
      <c r="B66" s="50">
        <f>VLOOKUP($A66,'Data shares'!$C:$FB,7)</f>
        <v>1232.5999999999999</v>
      </c>
      <c r="C66" s="50">
        <f>VLOOKUP($A66,'Data shares'!$C:$FB,10)*100</f>
        <v>-0.25</v>
      </c>
      <c r="D66" s="49">
        <f>VLOOKUP($A66,'Data shares'!$C:$FB,66)</f>
        <v>11824375</v>
      </c>
      <c r="E66" s="49">
        <f>VLOOKUP($A66,'Data shares'!$C:$FB,67)</f>
        <v>15924375</v>
      </c>
      <c r="F66" s="50">
        <f>VLOOKUP($A66,'Data shares'!$C:$FB,69)*100</f>
        <v>-25.75</v>
      </c>
      <c r="G66" s="49">
        <f>VLOOKUP($A66,'Data shares'!$C:$FB,42)</f>
        <v>1938750</v>
      </c>
      <c r="H66" s="49">
        <f>VLOOKUP($A66,'Data shares'!$C:$FB,43)</f>
        <v>2291875</v>
      </c>
      <c r="I66" s="50">
        <f>VLOOKUP($A66,'Data shares'!$C:$FB,45)*100</f>
        <v>-15.409999999999998</v>
      </c>
      <c r="J66" s="49">
        <f>VLOOKUP($A66,'Data shares'!$C:$FB,58)</f>
        <v>6755625</v>
      </c>
      <c r="K66" s="49">
        <f>VLOOKUP($A66,'Data shares'!$C:$FB,59)</f>
        <v>9595000</v>
      </c>
      <c r="L66" s="50">
        <f>VLOOKUP($A66,'Data shares'!$C:$FB,61)*100</f>
        <v>-29.59</v>
      </c>
      <c r="M66" s="49">
        <f>VLOOKUP($A66,'Data shares'!$C:$FB,62)</f>
        <v>3130000</v>
      </c>
      <c r="N66" s="49">
        <f>VLOOKUP($A66,'Data shares'!$C:$FB,63)</f>
        <v>4037500</v>
      </c>
      <c r="O66" s="140">
        <f>VLOOKUP($A66,'Data shares'!$C:$FB,65)*100</f>
        <v>-22.48</v>
      </c>
    </row>
    <row r="67" spans="1:15" x14ac:dyDescent="0.25">
      <c r="A67" s="101" t="str">
        <f>'Data Vlaue (Cr)'!C62</f>
        <v>EICHERMOT</v>
      </c>
      <c r="B67" s="50">
        <f>VLOOKUP($A67,'Data shares'!$C:$FB,7)</f>
        <v>7243</v>
      </c>
      <c r="C67" s="50">
        <f>VLOOKUP($A67,'Data shares'!$C:$FB,10)*100</f>
        <v>0.74</v>
      </c>
      <c r="D67" s="49">
        <f>VLOOKUP($A67,'Data shares'!$C:$FB,66)</f>
        <v>5190300</v>
      </c>
      <c r="E67" s="49">
        <f>VLOOKUP($A67,'Data shares'!$C:$FB,67)</f>
        <v>4867500</v>
      </c>
      <c r="F67" s="50">
        <f>VLOOKUP($A67,'Data shares'!$C:$FB,69)*100</f>
        <v>6.63</v>
      </c>
      <c r="G67" s="49">
        <f>VLOOKUP($A67,'Data shares'!$C:$FB,42)</f>
        <v>473800</v>
      </c>
      <c r="H67" s="49">
        <f>VLOOKUP($A67,'Data shares'!$C:$FB,43)</f>
        <v>480300</v>
      </c>
      <c r="I67" s="50">
        <f>VLOOKUP($A67,'Data shares'!$C:$FB,45)*100</f>
        <v>-1.35</v>
      </c>
      <c r="J67" s="49">
        <f>VLOOKUP($A67,'Data shares'!$C:$FB,58)</f>
        <v>3530600</v>
      </c>
      <c r="K67" s="49">
        <f>VLOOKUP($A67,'Data shares'!$C:$FB,59)</f>
        <v>3285900</v>
      </c>
      <c r="L67" s="50">
        <f>VLOOKUP($A67,'Data shares'!$C:$FB,61)*100</f>
        <v>7.4499999999999993</v>
      </c>
      <c r="M67" s="49">
        <f>VLOOKUP($A67,'Data shares'!$C:$FB,62)</f>
        <v>1185900</v>
      </c>
      <c r="N67" s="49">
        <f>VLOOKUP($A67,'Data shares'!$C:$FB,63)</f>
        <v>1101300</v>
      </c>
      <c r="O67" s="140">
        <f>VLOOKUP($A67,'Data shares'!$C:$FB,65)*100</f>
        <v>7.68</v>
      </c>
    </row>
    <row r="68" spans="1:15" x14ac:dyDescent="0.25">
      <c r="A68" s="101" t="str">
        <f>'Data Vlaue (Cr)'!C63</f>
        <v>ETERNAL</v>
      </c>
      <c r="B68" s="50">
        <f>VLOOKUP($A68,'Data shares'!$C:$FB,7)</f>
        <v>254.88</v>
      </c>
      <c r="C68" s="50">
        <f>VLOOKUP($A68,'Data shares'!$C:$FB,10)*100</f>
        <v>0.89999999999999991</v>
      </c>
      <c r="D68" s="49">
        <f>VLOOKUP($A68,'Data shares'!$C:$FB,66)</f>
        <v>163512900</v>
      </c>
      <c r="E68" s="49">
        <f>VLOOKUP($A68,'Data shares'!$C:$FB,67)</f>
        <v>164007600</v>
      </c>
      <c r="F68" s="50">
        <f>VLOOKUP($A68,'Data shares'!$C:$FB,69)*100</f>
        <v>-0.3</v>
      </c>
      <c r="G68" s="49">
        <f>VLOOKUP($A68,'Data shares'!$C:$FB,42)</f>
        <v>35337100</v>
      </c>
      <c r="H68" s="49">
        <f>VLOOKUP($A68,'Data shares'!$C:$FB,43)</f>
        <v>35817250</v>
      </c>
      <c r="I68" s="50">
        <f>VLOOKUP($A68,'Data shares'!$C:$FB,45)*100</f>
        <v>-1.34</v>
      </c>
      <c r="J68" s="49">
        <f>VLOOKUP($A68,'Data shares'!$C:$FB,58)</f>
        <v>79569100</v>
      </c>
      <c r="K68" s="49">
        <f>VLOOKUP($A68,'Data shares'!$C:$FB,59)</f>
        <v>86082650</v>
      </c>
      <c r="L68" s="50">
        <f>VLOOKUP($A68,'Data shares'!$C:$FB,61)*100</f>
        <v>-7.57</v>
      </c>
      <c r="M68" s="49">
        <f>VLOOKUP($A68,'Data shares'!$C:$FB,62)</f>
        <v>48606700</v>
      </c>
      <c r="N68" s="49">
        <f>VLOOKUP($A68,'Data shares'!$C:$FB,63)</f>
        <v>42107700</v>
      </c>
      <c r="O68" s="140">
        <f>VLOOKUP($A68,'Data shares'!$C:$FB,65)*100</f>
        <v>15.43</v>
      </c>
    </row>
    <row r="69" spans="1:15" x14ac:dyDescent="0.25">
      <c r="A69" s="101" t="str">
        <f>'Data Vlaue (Cr)'!C64</f>
        <v>EXIDEIND</v>
      </c>
      <c r="B69" s="50">
        <f>VLOOKUP($A69,'Data shares'!$C:$FB,7)</f>
        <v>329.7</v>
      </c>
      <c r="C69" s="50">
        <f>VLOOKUP($A69,'Data shares'!$C:$FB,10)*100</f>
        <v>-0.09</v>
      </c>
      <c r="D69" s="49">
        <f>VLOOKUP($A69,'Data shares'!$C:$FB,66)</f>
        <v>16581600</v>
      </c>
      <c r="E69" s="49">
        <f>VLOOKUP($A69,'Data shares'!$C:$FB,67)</f>
        <v>12105000</v>
      </c>
      <c r="F69" s="50">
        <f>VLOOKUP($A69,'Data shares'!$C:$FB,69)*100</f>
        <v>36.980000000000004</v>
      </c>
      <c r="G69" s="49">
        <f>VLOOKUP($A69,'Data shares'!$C:$FB,42)</f>
        <v>4309200</v>
      </c>
      <c r="H69" s="49">
        <f>VLOOKUP($A69,'Data shares'!$C:$FB,43)</f>
        <v>4354200</v>
      </c>
      <c r="I69" s="50">
        <f>VLOOKUP($A69,'Data shares'!$C:$FB,45)*100</f>
        <v>-1.03</v>
      </c>
      <c r="J69" s="49">
        <f>VLOOKUP($A69,'Data shares'!$C:$FB,58)</f>
        <v>8289000</v>
      </c>
      <c r="K69" s="49">
        <f>VLOOKUP($A69,'Data shares'!$C:$FB,59)</f>
        <v>5094000</v>
      </c>
      <c r="L69" s="50">
        <f>VLOOKUP($A69,'Data shares'!$C:$FB,61)*100</f>
        <v>62.72</v>
      </c>
      <c r="M69" s="49">
        <f>VLOOKUP($A69,'Data shares'!$C:$FB,62)</f>
        <v>3983400</v>
      </c>
      <c r="N69" s="49">
        <f>VLOOKUP($A69,'Data shares'!$C:$FB,63)</f>
        <v>2656800</v>
      </c>
      <c r="O69" s="140">
        <f>VLOOKUP($A69,'Data shares'!$C:$FB,65)*100</f>
        <v>49.93</v>
      </c>
    </row>
    <row r="70" spans="1:15" x14ac:dyDescent="0.25">
      <c r="A70" s="101" t="str">
        <f>'Data Vlaue (Cr)'!C65</f>
        <v>FEDERALBNK</v>
      </c>
      <c r="B70" s="50">
        <f>VLOOKUP($A70,'Data shares'!$C:$FB,7)</f>
        <v>294.35000000000002</v>
      </c>
      <c r="C70" s="50">
        <f>VLOOKUP($A70,'Data shares'!$C:$FB,10)*100</f>
        <v>0.2</v>
      </c>
      <c r="D70" s="49">
        <f>VLOOKUP($A70,'Data shares'!$C:$FB,66)</f>
        <v>109740000</v>
      </c>
      <c r="E70" s="49">
        <f>VLOOKUP($A70,'Data shares'!$C:$FB,67)</f>
        <v>123750000</v>
      </c>
      <c r="F70" s="50">
        <f>VLOOKUP($A70,'Data shares'!$C:$FB,69)*100</f>
        <v>-11.32</v>
      </c>
      <c r="G70" s="49">
        <f>VLOOKUP($A70,'Data shares'!$C:$FB,42)</f>
        <v>21095000</v>
      </c>
      <c r="H70" s="49">
        <f>VLOOKUP($A70,'Data shares'!$C:$FB,43)</f>
        <v>19315000</v>
      </c>
      <c r="I70" s="50">
        <f>VLOOKUP($A70,'Data shares'!$C:$FB,45)*100</f>
        <v>9.2200000000000006</v>
      </c>
      <c r="J70" s="49">
        <f>VLOOKUP($A70,'Data shares'!$C:$FB,58)</f>
        <v>62120000</v>
      </c>
      <c r="K70" s="49">
        <f>VLOOKUP($A70,'Data shares'!$C:$FB,59)</f>
        <v>67255000</v>
      </c>
      <c r="L70" s="50">
        <f>VLOOKUP($A70,'Data shares'!$C:$FB,61)*100</f>
        <v>-7.64</v>
      </c>
      <c r="M70" s="49">
        <f>VLOOKUP($A70,'Data shares'!$C:$FB,62)</f>
        <v>26525000</v>
      </c>
      <c r="N70" s="49">
        <f>VLOOKUP($A70,'Data shares'!$C:$FB,63)</f>
        <v>37180000</v>
      </c>
      <c r="O70" s="140">
        <f>VLOOKUP($A70,'Data shares'!$C:$FB,65)*100</f>
        <v>-28.660000000000004</v>
      </c>
    </row>
    <row r="71" spans="1:15" x14ac:dyDescent="0.25">
      <c r="A71" s="101" t="str">
        <f>'Data Vlaue (Cr)'!C66</f>
        <v>FINNIFTY</v>
      </c>
      <c r="B71" s="50">
        <f>VLOOKUP($A71,'Data shares'!$C:$FB,7)</f>
        <v>26537.1</v>
      </c>
      <c r="C71" s="50">
        <f>VLOOKUP($A71,'Data shares'!$C:$FB,10)*100</f>
        <v>0.06</v>
      </c>
      <c r="D71" s="49">
        <f>VLOOKUP($A71,'Data shares'!$C:$FB,66)</f>
        <v>1066740</v>
      </c>
      <c r="E71" s="49">
        <f>VLOOKUP($A71,'Data shares'!$C:$FB,67)</f>
        <v>931500</v>
      </c>
      <c r="F71" s="50">
        <f>VLOOKUP($A71,'Data shares'!$C:$FB,69)*100</f>
        <v>14.52</v>
      </c>
      <c r="G71" s="49">
        <f>VLOOKUP($A71,'Data shares'!$C:$FB,42)</f>
        <v>11280</v>
      </c>
      <c r="H71" s="49">
        <f>VLOOKUP($A71,'Data shares'!$C:$FB,43)</f>
        <v>13200</v>
      </c>
      <c r="I71" s="50">
        <f>VLOOKUP($A71,'Data shares'!$C:$FB,45)*100</f>
        <v>-14.549999999999999</v>
      </c>
      <c r="J71" s="49">
        <f>VLOOKUP($A71,'Data shares'!$C:$FB,58)</f>
        <v>568920</v>
      </c>
      <c r="K71" s="49">
        <f>VLOOKUP($A71,'Data shares'!$C:$FB,59)</f>
        <v>612900</v>
      </c>
      <c r="L71" s="50">
        <f>VLOOKUP($A71,'Data shares'!$C:$FB,61)*100</f>
        <v>-7.1800000000000006</v>
      </c>
      <c r="M71" s="49">
        <f>VLOOKUP($A71,'Data shares'!$C:$FB,62)</f>
        <v>486540</v>
      </c>
      <c r="N71" s="49">
        <f>VLOOKUP($A71,'Data shares'!$C:$FB,63)</f>
        <v>305400</v>
      </c>
      <c r="O71" s="140">
        <f>VLOOKUP($A71,'Data shares'!$C:$FB,65)*100</f>
        <v>59.309999999999995</v>
      </c>
    </row>
    <row r="72" spans="1:15" x14ac:dyDescent="0.25">
      <c r="A72" s="101" t="str">
        <f>'Data Vlaue (Cr)'!C67</f>
        <v>FORCEMOT</v>
      </c>
      <c r="B72" s="50">
        <f>VLOOKUP($A72,'Data shares'!$C:$FB,7)</f>
        <v>21925</v>
      </c>
      <c r="C72" s="50">
        <f>VLOOKUP($A72,'Data shares'!$C:$FB,10)*100</f>
        <v>-2.02</v>
      </c>
      <c r="D72" s="49">
        <f>VLOOKUP($A72,'Data shares'!$C:$FB,66)</f>
        <v>140375</v>
      </c>
      <c r="E72" s="49">
        <f>VLOOKUP($A72,'Data shares'!$C:$FB,67)</f>
        <v>99725</v>
      </c>
      <c r="F72" s="50">
        <f>VLOOKUP($A72,'Data shares'!$C:$FB,69)*100</f>
        <v>40.760000000000005</v>
      </c>
      <c r="G72" s="49">
        <f>VLOOKUP($A72,'Data shares'!$C:$FB,42)</f>
        <v>27050</v>
      </c>
      <c r="H72" s="49">
        <f>VLOOKUP($A72,'Data shares'!$C:$FB,43)</f>
        <v>33900</v>
      </c>
      <c r="I72" s="50">
        <f>VLOOKUP($A72,'Data shares'!$C:$FB,45)*100</f>
        <v>-20.21</v>
      </c>
      <c r="J72" s="49">
        <f>VLOOKUP($A72,'Data shares'!$C:$FB,58)</f>
        <v>89675</v>
      </c>
      <c r="K72" s="49">
        <f>VLOOKUP($A72,'Data shares'!$C:$FB,59)</f>
        <v>53275</v>
      </c>
      <c r="L72" s="50">
        <f>VLOOKUP($A72,'Data shares'!$C:$FB,61)*100</f>
        <v>68.320000000000007</v>
      </c>
      <c r="M72" s="49">
        <f>VLOOKUP($A72,'Data shares'!$C:$FB,62)</f>
        <v>23650</v>
      </c>
      <c r="N72" s="49">
        <f>VLOOKUP($A72,'Data shares'!$C:$FB,63)</f>
        <v>12550</v>
      </c>
      <c r="O72" s="140">
        <f>VLOOKUP($A72,'Data shares'!$C:$FB,65)*100</f>
        <v>88.449999999999989</v>
      </c>
    </row>
    <row r="73" spans="1:15" x14ac:dyDescent="0.25">
      <c r="A73" s="101" t="str">
        <f>'Data Vlaue (Cr)'!C68</f>
        <v>FORTIS</v>
      </c>
      <c r="B73" s="50">
        <f>VLOOKUP($A73,'Data shares'!$C:$FB,7)</f>
        <v>890.9</v>
      </c>
      <c r="C73" s="50">
        <f>VLOOKUP($A73,'Data shares'!$C:$FB,10)*100</f>
        <v>0.08</v>
      </c>
      <c r="D73" s="49">
        <f>VLOOKUP($A73,'Data shares'!$C:$FB,66)</f>
        <v>4544600</v>
      </c>
      <c r="E73" s="49">
        <f>VLOOKUP($A73,'Data shares'!$C:$FB,67)</f>
        <v>8592425</v>
      </c>
      <c r="F73" s="50">
        <f>VLOOKUP($A73,'Data shares'!$C:$FB,69)*100</f>
        <v>-47.11</v>
      </c>
      <c r="G73" s="49">
        <f>VLOOKUP($A73,'Data shares'!$C:$FB,42)</f>
        <v>1264025</v>
      </c>
      <c r="H73" s="49">
        <f>VLOOKUP($A73,'Data shares'!$C:$FB,43)</f>
        <v>1884025</v>
      </c>
      <c r="I73" s="50">
        <f>VLOOKUP($A73,'Data shares'!$C:$FB,45)*100</f>
        <v>-32.910000000000004</v>
      </c>
      <c r="J73" s="49">
        <f>VLOOKUP($A73,'Data shares'!$C:$FB,58)</f>
        <v>2085525</v>
      </c>
      <c r="K73" s="49">
        <f>VLOOKUP($A73,'Data shares'!$C:$FB,59)</f>
        <v>4605050</v>
      </c>
      <c r="L73" s="50">
        <f>VLOOKUP($A73,'Data shares'!$C:$FB,61)*100</f>
        <v>-54.71</v>
      </c>
      <c r="M73" s="49">
        <f>VLOOKUP($A73,'Data shares'!$C:$FB,62)</f>
        <v>1195050</v>
      </c>
      <c r="N73" s="49">
        <f>VLOOKUP($A73,'Data shares'!$C:$FB,63)</f>
        <v>2103350</v>
      </c>
      <c r="O73" s="140">
        <f>VLOOKUP($A73,'Data shares'!$C:$FB,65)*100</f>
        <v>-43.18</v>
      </c>
    </row>
    <row r="74" spans="1:15" x14ac:dyDescent="0.25">
      <c r="A74" s="101" t="str">
        <f>'Data Vlaue (Cr)'!C69</f>
        <v>GAIL</v>
      </c>
      <c r="B74" s="50">
        <f>VLOOKUP($A74,'Data shares'!$C:$FB,7)</f>
        <v>157.69999999999999</v>
      </c>
      <c r="C74" s="50">
        <f>VLOOKUP($A74,'Data shares'!$C:$FB,10)*100</f>
        <v>-0.08</v>
      </c>
      <c r="D74" s="49">
        <f>VLOOKUP($A74,'Data shares'!$C:$FB,66)</f>
        <v>29751750</v>
      </c>
      <c r="E74" s="49">
        <f>VLOOKUP($A74,'Data shares'!$C:$FB,67)</f>
        <v>35254800</v>
      </c>
      <c r="F74" s="50">
        <f>VLOOKUP($A74,'Data shares'!$C:$FB,69)*100</f>
        <v>-15.61</v>
      </c>
      <c r="G74" s="49">
        <f>VLOOKUP($A74,'Data shares'!$C:$FB,42)</f>
        <v>6533100</v>
      </c>
      <c r="H74" s="49">
        <f>VLOOKUP($A74,'Data shares'!$C:$FB,43)</f>
        <v>11188800</v>
      </c>
      <c r="I74" s="50">
        <f>VLOOKUP($A74,'Data shares'!$C:$FB,45)*100</f>
        <v>-41.61</v>
      </c>
      <c r="J74" s="49">
        <f>VLOOKUP($A74,'Data shares'!$C:$FB,58)</f>
        <v>11078550</v>
      </c>
      <c r="K74" s="49">
        <f>VLOOKUP($A74,'Data shares'!$C:$FB,59)</f>
        <v>13160700</v>
      </c>
      <c r="L74" s="50">
        <f>VLOOKUP($A74,'Data shares'!$C:$FB,61)*100</f>
        <v>-15.82</v>
      </c>
      <c r="M74" s="49">
        <f>VLOOKUP($A74,'Data shares'!$C:$FB,62)</f>
        <v>12140100</v>
      </c>
      <c r="N74" s="49">
        <f>VLOOKUP($A74,'Data shares'!$C:$FB,63)</f>
        <v>10905300</v>
      </c>
      <c r="O74" s="140">
        <f>VLOOKUP($A74,'Data shares'!$C:$FB,65)*100</f>
        <v>11.32</v>
      </c>
    </row>
    <row r="75" spans="1:15" x14ac:dyDescent="0.25">
      <c r="A75" s="101" t="str">
        <f>'Data Vlaue (Cr)'!C70</f>
        <v>GLENMARK</v>
      </c>
      <c r="B75" s="50">
        <f>VLOOKUP($A75,'Data shares'!$C:$FB,7)</f>
        <v>2230.6999999999998</v>
      </c>
      <c r="C75" s="50">
        <f>VLOOKUP($A75,'Data shares'!$C:$FB,10)*100</f>
        <v>-0.84</v>
      </c>
      <c r="D75" s="49">
        <f>VLOOKUP($A75,'Data shares'!$C:$FB,66)</f>
        <v>5812125</v>
      </c>
      <c r="E75" s="49">
        <f>VLOOKUP($A75,'Data shares'!$C:$FB,67)</f>
        <v>6572625</v>
      </c>
      <c r="F75" s="50">
        <f>VLOOKUP($A75,'Data shares'!$C:$FB,69)*100</f>
        <v>-11.57</v>
      </c>
      <c r="G75" s="49">
        <f>VLOOKUP($A75,'Data shares'!$C:$FB,42)</f>
        <v>670125</v>
      </c>
      <c r="H75" s="49">
        <f>VLOOKUP($A75,'Data shares'!$C:$FB,43)</f>
        <v>774750</v>
      </c>
      <c r="I75" s="50">
        <f>VLOOKUP($A75,'Data shares'!$C:$FB,45)*100</f>
        <v>-13.5</v>
      </c>
      <c r="J75" s="49">
        <f>VLOOKUP($A75,'Data shares'!$C:$FB,58)</f>
        <v>2899500</v>
      </c>
      <c r="K75" s="49">
        <f>VLOOKUP($A75,'Data shares'!$C:$FB,59)</f>
        <v>4390500</v>
      </c>
      <c r="L75" s="50">
        <f>VLOOKUP($A75,'Data shares'!$C:$FB,61)*100</f>
        <v>-33.96</v>
      </c>
      <c r="M75" s="49">
        <f>VLOOKUP($A75,'Data shares'!$C:$FB,62)</f>
        <v>2242500</v>
      </c>
      <c r="N75" s="49">
        <f>VLOOKUP($A75,'Data shares'!$C:$FB,63)</f>
        <v>1407375</v>
      </c>
      <c r="O75" s="140">
        <f>VLOOKUP($A75,'Data shares'!$C:$FB,65)*100</f>
        <v>59.34</v>
      </c>
    </row>
    <row r="76" spans="1:15" x14ac:dyDescent="0.25">
      <c r="A76" s="101" t="str">
        <f>'Data Vlaue (Cr)'!C71</f>
        <v>GMRAIRPORT</v>
      </c>
      <c r="B76" s="50">
        <f>VLOOKUP($A76,'Data shares'!$C:$FB,7)</f>
        <v>97.45</v>
      </c>
      <c r="C76" s="50">
        <f>VLOOKUP($A76,'Data shares'!$C:$FB,10)*100</f>
        <v>0.62</v>
      </c>
      <c r="D76" s="49">
        <f>VLOOKUP($A76,'Data shares'!$C:$FB,66)</f>
        <v>99072900</v>
      </c>
      <c r="E76" s="49">
        <f>VLOOKUP($A76,'Data shares'!$C:$FB,67)</f>
        <v>61582275</v>
      </c>
      <c r="F76" s="50">
        <f>VLOOKUP($A76,'Data shares'!$C:$FB,69)*100</f>
        <v>60.88</v>
      </c>
      <c r="G76" s="49">
        <f>VLOOKUP($A76,'Data shares'!$C:$FB,42)</f>
        <v>18295425</v>
      </c>
      <c r="H76" s="49">
        <f>VLOOKUP($A76,'Data shares'!$C:$FB,43)</f>
        <v>22724550</v>
      </c>
      <c r="I76" s="50">
        <f>VLOOKUP($A76,'Data shares'!$C:$FB,45)*100</f>
        <v>-19.489999999999998</v>
      </c>
      <c r="J76" s="49">
        <f>VLOOKUP($A76,'Data shares'!$C:$FB,58)</f>
        <v>59329350</v>
      </c>
      <c r="K76" s="49">
        <f>VLOOKUP($A76,'Data shares'!$C:$FB,59)</f>
        <v>25856325</v>
      </c>
      <c r="L76" s="50">
        <f>VLOOKUP($A76,'Data shares'!$C:$FB,61)*100</f>
        <v>129.46</v>
      </c>
      <c r="M76" s="49">
        <f>VLOOKUP($A76,'Data shares'!$C:$FB,62)</f>
        <v>21448125</v>
      </c>
      <c r="N76" s="49">
        <f>VLOOKUP($A76,'Data shares'!$C:$FB,63)</f>
        <v>13001400</v>
      </c>
      <c r="O76" s="140">
        <f>VLOOKUP($A76,'Data shares'!$C:$FB,65)*100</f>
        <v>64.97</v>
      </c>
    </row>
    <row r="77" spans="1:15" x14ac:dyDescent="0.25">
      <c r="A77" s="101" t="str">
        <f>'Data Vlaue (Cr)'!C72</f>
        <v>GODFRYPHLP</v>
      </c>
      <c r="B77" s="50">
        <f>VLOOKUP($A77,'Data shares'!$C:$FB,7)</f>
        <v>2137.8000000000002</v>
      </c>
      <c r="C77" s="50">
        <f>VLOOKUP($A77,'Data shares'!$C:$FB,10)*100</f>
        <v>-3.17</v>
      </c>
      <c r="D77" s="49">
        <f>VLOOKUP($A77,'Data shares'!$C:$FB,66)</f>
        <v>2364175</v>
      </c>
      <c r="E77" s="49">
        <f>VLOOKUP($A77,'Data shares'!$C:$FB,67)</f>
        <v>9280975</v>
      </c>
      <c r="F77" s="50">
        <f>VLOOKUP($A77,'Data shares'!$C:$FB,69)*100</f>
        <v>-74.53</v>
      </c>
      <c r="G77" s="49">
        <f>VLOOKUP($A77,'Data shares'!$C:$FB,42)</f>
        <v>509025</v>
      </c>
      <c r="H77" s="49">
        <f>VLOOKUP($A77,'Data shares'!$C:$FB,43)</f>
        <v>1638175</v>
      </c>
      <c r="I77" s="50">
        <f>VLOOKUP($A77,'Data shares'!$C:$FB,45)*100</f>
        <v>-68.930000000000007</v>
      </c>
      <c r="J77" s="49">
        <f>VLOOKUP($A77,'Data shares'!$C:$FB,58)</f>
        <v>1440175</v>
      </c>
      <c r="K77" s="49">
        <f>VLOOKUP($A77,'Data shares'!$C:$FB,59)</f>
        <v>6152025</v>
      </c>
      <c r="L77" s="50">
        <f>VLOOKUP($A77,'Data shares'!$C:$FB,61)*100</f>
        <v>-76.59</v>
      </c>
      <c r="M77" s="49">
        <f>VLOOKUP($A77,'Data shares'!$C:$FB,62)</f>
        <v>414975</v>
      </c>
      <c r="N77" s="49">
        <f>VLOOKUP($A77,'Data shares'!$C:$FB,63)</f>
        <v>1490775</v>
      </c>
      <c r="O77" s="140">
        <f>VLOOKUP($A77,'Data shares'!$C:$FB,65)*100</f>
        <v>-72.16</v>
      </c>
    </row>
    <row r="78" spans="1:15" x14ac:dyDescent="0.25">
      <c r="A78" s="101" t="str">
        <f>'Data Vlaue (Cr)'!C73</f>
        <v>GODREJCP</v>
      </c>
      <c r="B78" s="50">
        <f>VLOOKUP($A78,'Data shares'!$C:$FB,7)</f>
        <v>1104.8</v>
      </c>
      <c r="C78" s="50">
        <f>VLOOKUP($A78,'Data shares'!$C:$FB,10)*100</f>
        <v>-0.41000000000000003</v>
      </c>
      <c r="D78" s="49">
        <f>VLOOKUP($A78,'Data shares'!$C:$FB,66)</f>
        <v>2742500</v>
      </c>
      <c r="E78" s="49">
        <f>VLOOKUP($A78,'Data shares'!$C:$FB,67)</f>
        <v>9947500</v>
      </c>
      <c r="F78" s="50">
        <f>VLOOKUP($A78,'Data shares'!$C:$FB,69)*100</f>
        <v>-72.430000000000007</v>
      </c>
      <c r="G78" s="49">
        <f>VLOOKUP($A78,'Data shares'!$C:$FB,42)</f>
        <v>1010500</v>
      </c>
      <c r="H78" s="49">
        <f>VLOOKUP($A78,'Data shares'!$C:$FB,43)</f>
        <v>3853000</v>
      </c>
      <c r="I78" s="50">
        <f>VLOOKUP($A78,'Data shares'!$C:$FB,45)*100</f>
        <v>-73.77</v>
      </c>
      <c r="J78" s="49">
        <f>VLOOKUP($A78,'Data shares'!$C:$FB,58)</f>
        <v>1282500</v>
      </c>
      <c r="K78" s="49">
        <f>VLOOKUP($A78,'Data shares'!$C:$FB,59)</f>
        <v>4474000</v>
      </c>
      <c r="L78" s="50">
        <f>VLOOKUP($A78,'Data shares'!$C:$FB,61)*100</f>
        <v>-71.33</v>
      </c>
      <c r="M78" s="49">
        <f>VLOOKUP($A78,'Data shares'!$C:$FB,62)</f>
        <v>449500</v>
      </c>
      <c r="N78" s="49">
        <f>VLOOKUP($A78,'Data shares'!$C:$FB,63)</f>
        <v>1620500</v>
      </c>
      <c r="O78" s="140">
        <f>VLOOKUP($A78,'Data shares'!$C:$FB,65)*100</f>
        <v>-72.260000000000005</v>
      </c>
    </row>
    <row r="79" spans="1:15" x14ac:dyDescent="0.25">
      <c r="A79" s="101" t="str">
        <f>'Data Vlaue (Cr)'!C74</f>
        <v>GODREJPROP</v>
      </c>
      <c r="B79" s="50">
        <f>VLOOKUP($A79,'Data shares'!$C:$FB,7)</f>
        <v>1759.7</v>
      </c>
      <c r="C79" s="50">
        <f>VLOOKUP($A79,'Data shares'!$C:$FB,10)*100</f>
        <v>0.05</v>
      </c>
      <c r="D79" s="49">
        <f>VLOOKUP($A79,'Data shares'!$C:$FB,66)</f>
        <v>6287050</v>
      </c>
      <c r="E79" s="49">
        <f>VLOOKUP($A79,'Data shares'!$C:$FB,67)</f>
        <v>5262125</v>
      </c>
      <c r="F79" s="50">
        <f>VLOOKUP($A79,'Data shares'!$C:$FB,69)*100</f>
        <v>19.48</v>
      </c>
      <c r="G79" s="49">
        <f>VLOOKUP($A79,'Data shares'!$C:$FB,42)</f>
        <v>1083500</v>
      </c>
      <c r="H79" s="49">
        <f>VLOOKUP($A79,'Data shares'!$C:$FB,43)</f>
        <v>875875</v>
      </c>
      <c r="I79" s="50">
        <f>VLOOKUP($A79,'Data shares'!$C:$FB,45)*100</f>
        <v>23.7</v>
      </c>
      <c r="J79" s="49">
        <f>VLOOKUP($A79,'Data shares'!$C:$FB,58)</f>
        <v>2967800</v>
      </c>
      <c r="K79" s="49">
        <f>VLOOKUP($A79,'Data shares'!$C:$FB,59)</f>
        <v>2407900</v>
      </c>
      <c r="L79" s="50">
        <f>VLOOKUP($A79,'Data shares'!$C:$FB,61)*100</f>
        <v>23.25</v>
      </c>
      <c r="M79" s="49">
        <f>VLOOKUP($A79,'Data shares'!$C:$FB,62)</f>
        <v>2235750</v>
      </c>
      <c r="N79" s="49">
        <f>VLOOKUP($A79,'Data shares'!$C:$FB,63)</f>
        <v>1978350</v>
      </c>
      <c r="O79" s="140">
        <f>VLOOKUP($A79,'Data shares'!$C:$FB,65)*100</f>
        <v>13.01</v>
      </c>
    </row>
    <row r="80" spans="1:15" x14ac:dyDescent="0.25">
      <c r="A80" s="101" t="str">
        <f>'Data Vlaue (Cr)'!C75</f>
        <v>GRASIM</v>
      </c>
      <c r="B80" s="50">
        <f>VLOOKUP($A80,'Data shares'!$C:$FB,7)</f>
        <v>2760.1</v>
      </c>
      <c r="C80" s="50">
        <f>VLOOKUP($A80,'Data shares'!$C:$FB,10)*100</f>
        <v>1.46</v>
      </c>
      <c r="D80" s="49">
        <f>VLOOKUP($A80,'Data shares'!$C:$FB,66)</f>
        <v>5792500</v>
      </c>
      <c r="E80" s="49">
        <f>VLOOKUP($A80,'Data shares'!$C:$FB,67)</f>
        <v>2267250</v>
      </c>
      <c r="F80" s="50">
        <f>VLOOKUP($A80,'Data shares'!$C:$FB,69)*100</f>
        <v>155.49</v>
      </c>
      <c r="G80" s="49">
        <f>VLOOKUP($A80,'Data shares'!$C:$FB,42)</f>
        <v>2847000</v>
      </c>
      <c r="H80" s="49">
        <f>VLOOKUP($A80,'Data shares'!$C:$FB,43)</f>
        <v>497500</v>
      </c>
      <c r="I80" s="50">
        <f>VLOOKUP($A80,'Data shares'!$C:$FB,45)*100</f>
        <v>472.26</v>
      </c>
      <c r="J80" s="49">
        <f>VLOOKUP($A80,'Data shares'!$C:$FB,58)</f>
        <v>2112500</v>
      </c>
      <c r="K80" s="49">
        <f>VLOOKUP($A80,'Data shares'!$C:$FB,59)</f>
        <v>1249750</v>
      </c>
      <c r="L80" s="50">
        <f>VLOOKUP($A80,'Data shares'!$C:$FB,61)*100</f>
        <v>69.03</v>
      </c>
      <c r="M80" s="49">
        <f>VLOOKUP($A80,'Data shares'!$C:$FB,62)</f>
        <v>833000</v>
      </c>
      <c r="N80" s="49">
        <f>VLOOKUP($A80,'Data shares'!$C:$FB,63)</f>
        <v>520000</v>
      </c>
      <c r="O80" s="140">
        <f>VLOOKUP($A80,'Data shares'!$C:$FB,65)*100</f>
        <v>60.19</v>
      </c>
    </row>
    <row r="81" spans="1:15" x14ac:dyDescent="0.25">
      <c r="A81" s="101" t="str">
        <f>'Data Vlaue (Cr)'!C76</f>
        <v>HAL</v>
      </c>
      <c r="B81" s="50">
        <f>VLOOKUP($A81,'Data shares'!$C:$FB,7)</f>
        <v>4344.5</v>
      </c>
      <c r="C81" s="50">
        <f>VLOOKUP($A81,'Data shares'!$C:$FB,10)*100</f>
        <v>-0.9900000000000001</v>
      </c>
      <c r="D81" s="49">
        <f>VLOOKUP($A81,'Data shares'!$C:$FB,66)</f>
        <v>6739200</v>
      </c>
      <c r="E81" s="49">
        <f>VLOOKUP($A81,'Data shares'!$C:$FB,67)</f>
        <v>8750700</v>
      </c>
      <c r="F81" s="50">
        <f>VLOOKUP($A81,'Data shares'!$C:$FB,69)*100</f>
        <v>-22.99</v>
      </c>
      <c r="G81" s="49">
        <f>VLOOKUP($A81,'Data shares'!$C:$FB,42)</f>
        <v>982050</v>
      </c>
      <c r="H81" s="49">
        <f>VLOOKUP($A81,'Data shares'!$C:$FB,43)</f>
        <v>935700</v>
      </c>
      <c r="I81" s="50">
        <f>VLOOKUP($A81,'Data shares'!$C:$FB,45)*100</f>
        <v>4.95</v>
      </c>
      <c r="J81" s="49">
        <f>VLOOKUP($A81,'Data shares'!$C:$FB,58)</f>
        <v>3391650</v>
      </c>
      <c r="K81" s="49">
        <f>VLOOKUP($A81,'Data shares'!$C:$FB,59)</f>
        <v>4740750</v>
      </c>
      <c r="L81" s="50">
        <f>VLOOKUP($A81,'Data shares'!$C:$FB,61)*100</f>
        <v>-28.46</v>
      </c>
      <c r="M81" s="49">
        <f>VLOOKUP($A81,'Data shares'!$C:$FB,62)</f>
        <v>2365500</v>
      </c>
      <c r="N81" s="49">
        <f>VLOOKUP($A81,'Data shares'!$C:$FB,63)</f>
        <v>3074250</v>
      </c>
      <c r="O81" s="140">
        <f>VLOOKUP($A81,'Data shares'!$C:$FB,65)*100</f>
        <v>-23.05</v>
      </c>
    </row>
    <row r="82" spans="1:15" x14ac:dyDescent="0.25">
      <c r="A82" s="101" t="str">
        <f>'Data Vlaue (Cr)'!C77</f>
        <v>HAVELLS</v>
      </c>
      <c r="B82" s="50">
        <f>VLOOKUP($A82,'Data shares'!$C:$FB,7)</f>
        <v>1302.0999999999999</v>
      </c>
      <c r="C82" s="50">
        <f>VLOOKUP($A82,'Data shares'!$C:$FB,10)*100</f>
        <v>-0.33</v>
      </c>
      <c r="D82" s="49">
        <f>VLOOKUP($A82,'Data shares'!$C:$FB,66)</f>
        <v>4600500</v>
      </c>
      <c r="E82" s="49">
        <f>VLOOKUP($A82,'Data shares'!$C:$FB,67)</f>
        <v>7586500</v>
      </c>
      <c r="F82" s="50">
        <f>VLOOKUP($A82,'Data shares'!$C:$FB,69)*100</f>
        <v>-39.36</v>
      </c>
      <c r="G82" s="49">
        <f>VLOOKUP($A82,'Data shares'!$C:$FB,42)</f>
        <v>1225500</v>
      </c>
      <c r="H82" s="49">
        <f>VLOOKUP($A82,'Data shares'!$C:$FB,43)</f>
        <v>1597500</v>
      </c>
      <c r="I82" s="50">
        <f>VLOOKUP($A82,'Data shares'!$C:$FB,45)*100</f>
        <v>-23.29</v>
      </c>
      <c r="J82" s="49">
        <f>VLOOKUP($A82,'Data shares'!$C:$FB,58)</f>
        <v>2309000</v>
      </c>
      <c r="K82" s="49">
        <f>VLOOKUP($A82,'Data shares'!$C:$FB,59)</f>
        <v>4491500</v>
      </c>
      <c r="L82" s="50">
        <f>VLOOKUP($A82,'Data shares'!$C:$FB,61)*100</f>
        <v>-48.59</v>
      </c>
      <c r="M82" s="49">
        <f>VLOOKUP($A82,'Data shares'!$C:$FB,62)</f>
        <v>1066000</v>
      </c>
      <c r="N82" s="49">
        <f>VLOOKUP($A82,'Data shares'!$C:$FB,63)</f>
        <v>1497500</v>
      </c>
      <c r="O82" s="140">
        <f>VLOOKUP($A82,'Data shares'!$C:$FB,65)*100</f>
        <v>-28.810000000000002</v>
      </c>
    </row>
    <row r="83" spans="1:15" x14ac:dyDescent="0.25">
      <c r="A83" s="101" t="str">
        <f>'Data Vlaue (Cr)'!C78</f>
        <v>HCLTECH</v>
      </c>
      <c r="B83" s="50">
        <f>VLOOKUP($A83,'Data shares'!$C:$FB,7)</f>
        <v>1428.3</v>
      </c>
      <c r="C83" s="50">
        <f>VLOOKUP($A83,'Data shares'!$C:$FB,10)*100</f>
        <v>-0.97</v>
      </c>
      <c r="D83" s="49">
        <f>VLOOKUP($A83,'Data shares'!$C:$FB,66)</f>
        <v>20744850</v>
      </c>
      <c r="E83" s="49">
        <f>VLOOKUP($A83,'Data shares'!$C:$FB,67)</f>
        <v>23090200</v>
      </c>
      <c r="F83" s="50">
        <f>VLOOKUP($A83,'Data shares'!$C:$FB,69)*100</f>
        <v>-10.16</v>
      </c>
      <c r="G83" s="49">
        <f>VLOOKUP($A83,'Data shares'!$C:$FB,42)</f>
        <v>6958700</v>
      </c>
      <c r="H83" s="49">
        <f>VLOOKUP($A83,'Data shares'!$C:$FB,43)</f>
        <v>7057400</v>
      </c>
      <c r="I83" s="50">
        <f>VLOOKUP($A83,'Data shares'!$C:$FB,45)*100</f>
        <v>-1.4000000000000001</v>
      </c>
      <c r="J83" s="49">
        <f>VLOOKUP($A83,'Data shares'!$C:$FB,58)</f>
        <v>8901550</v>
      </c>
      <c r="K83" s="49">
        <f>VLOOKUP($A83,'Data shares'!$C:$FB,59)</f>
        <v>10275300</v>
      </c>
      <c r="L83" s="50">
        <f>VLOOKUP($A83,'Data shares'!$C:$FB,61)*100</f>
        <v>-13.370000000000001</v>
      </c>
      <c r="M83" s="49">
        <f>VLOOKUP($A83,'Data shares'!$C:$FB,62)</f>
        <v>4884600</v>
      </c>
      <c r="N83" s="49">
        <f>VLOOKUP($A83,'Data shares'!$C:$FB,63)</f>
        <v>5757500</v>
      </c>
      <c r="O83" s="140">
        <f>VLOOKUP($A83,'Data shares'!$C:$FB,65)*100</f>
        <v>-15.160000000000002</v>
      </c>
    </row>
    <row r="84" spans="1:15" x14ac:dyDescent="0.25">
      <c r="A84" s="101" t="str">
        <f>'Data Vlaue (Cr)'!C79</f>
        <v>HDFCAMC</v>
      </c>
      <c r="B84" s="50">
        <f>VLOOKUP($A84,'Data shares'!$C:$FB,7)</f>
        <v>2768.2</v>
      </c>
      <c r="C84" s="50">
        <f>VLOOKUP($A84,'Data shares'!$C:$FB,10)*100</f>
        <v>-0.86999999999999988</v>
      </c>
      <c r="D84" s="49">
        <f>VLOOKUP($A84,'Data shares'!$C:$FB,66)</f>
        <v>6798900</v>
      </c>
      <c r="E84" s="49">
        <f>VLOOKUP($A84,'Data shares'!$C:$FB,67)</f>
        <v>32129100</v>
      </c>
      <c r="F84" s="50">
        <f>VLOOKUP($A84,'Data shares'!$C:$FB,69)*100</f>
        <v>-78.84</v>
      </c>
      <c r="G84" s="49">
        <f>VLOOKUP($A84,'Data shares'!$C:$FB,42)</f>
        <v>1071000</v>
      </c>
      <c r="H84" s="49">
        <f>VLOOKUP($A84,'Data shares'!$C:$FB,43)</f>
        <v>2414100</v>
      </c>
      <c r="I84" s="50">
        <f>VLOOKUP($A84,'Data shares'!$C:$FB,45)*100</f>
        <v>-55.64</v>
      </c>
      <c r="J84" s="49">
        <f>VLOOKUP($A84,'Data shares'!$C:$FB,58)</f>
        <v>3178800</v>
      </c>
      <c r="K84" s="49">
        <f>VLOOKUP($A84,'Data shares'!$C:$FB,59)</f>
        <v>20601000</v>
      </c>
      <c r="L84" s="50">
        <f>VLOOKUP($A84,'Data shares'!$C:$FB,61)*100</f>
        <v>-84.570000000000007</v>
      </c>
      <c r="M84" s="49">
        <f>VLOOKUP($A84,'Data shares'!$C:$FB,62)</f>
        <v>2549100</v>
      </c>
      <c r="N84" s="49">
        <f>VLOOKUP($A84,'Data shares'!$C:$FB,63)</f>
        <v>9114000</v>
      </c>
      <c r="O84" s="140">
        <f>VLOOKUP($A84,'Data shares'!$C:$FB,65)*100</f>
        <v>-72.03</v>
      </c>
    </row>
    <row r="85" spans="1:15" x14ac:dyDescent="0.25">
      <c r="A85" s="101" t="str">
        <f>'Data Vlaue (Cr)'!C80</f>
        <v>HDFCBANK</v>
      </c>
      <c r="B85" s="50">
        <f>VLOOKUP($A85,'Data shares'!$C:$FB,7)</f>
        <v>795.45</v>
      </c>
      <c r="C85" s="50">
        <f>VLOOKUP($A85,'Data shares'!$C:$FB,10)*100</f>
        <v>-0.55999999999999994</v>
      </c>
      <c r="D85" s="49">
        <f>VLOOKUP($A85,'Data shares'!$C:$FB,66)</f>
        <v>408091750</v>
      </c>
      <c r="E85" s="49">
        <f>VLOOKUP($A85,'Data shares'!$C:$FB,67)</f>
        <v>196860400</v>
      </c>
      <c r="F85" s="50">
        <f>VLOOKUP($A85,'Data shares'!$C:$FB,69)*100</f>
        <v>107.3</v>
      </c>
      <c r="G85" s="49">
        <f>VLOOKUP($A85,'Data shares'!$C:$FB,42)</f>
        <v>67928850</v>
      </c>
      <c r="H85" s="49">
        <f>VLOOKUP($A85,'Data shares'!$C:$FB,43)</f>
        <v>33108900</v>
      </c>
      <c r="I85" s="50">
        <f>VLOOKUP($A85,'Data shares'!$C:$FB,45)*100</f>
        <v>105.17</v>
      </c>
      <c r="J85" s="49">
        <f>VLOOKUP($A85,'Data shares'!$C:$FB,58)</f>
        <v>232230900</v>
      </c>
      <c r="K85" s="49">
        <f>VLOOKUP($A85,'Data shares'!$C:$FB,59)</f>
        <v>105810650</v>
      </c>
      <c r="L85" s="50">
        <f>VLOOKUP($A85,'Data shares'!$C:$FB,61)*100</f>
        <v>119.48</v>
      </c>
      <c r="M85" s="49">
        <f>VLOOKUP($A85,'Data shares'!$C:$FB,62)</f>
        <v>107932000</v>
      </c>
      <c r="N85" s="49">
        <f>VLOOKUP($A85,'Data shares'!$C:$FB,63)</f>
        <v>57940850</v>
      </c>
      <c r="O85" s="140">
        <f>VLOOKUP($A85,'Data shares'!$C:$FB,65)*100</f>
        <v>86.28</v>
      </c>
    </row>
    <row r="86" spans="1:15" x14ac:dyDescent="0.25">
      <c r="A86" s="101" t="str">
        <f>'Data Vlaue (Cr)'!C81</f>
        <v>HDFCLIFE</v>
      </c>
      <c r="B86" s="50">
        <f>VLOOKUP($A86,'Data shares'!$C:$FB,7)</f>
        <v>609.75</v>
      </c>
      <c r="C86" s="50">
        <f>VLOOKUP($A86,'Data shares'!$C:$FB,10)*100</f>
        <v>-1.0900000000000001</v>
      </c>
      <c r="D86" s="49">
        <f>VLOOKUP($A86,'Data shares'!$C:$FB,66)</f>
        <v>41750500</v>
      </c>
      <c r="E86" s="49">
        <f>VLOOKUP($A86,'Data shares'!$C:$FB,67)</f>
        <v>112887500</v>
      </c>
      <c r="F86" s="50">
        <f>VLOOKUP($A86,'Data shares'!$C:$FB,69)*100</f>
        <v>-63.019999999999996</v>
      </c>
      <c r="G86" s="49">
        <f>VLOOKUP($A86,'Data shares'!$C:$FB,42)</f>
        <v>5321800</v>
      </c>
      <c r="H86" s="49">
        <f>VLOOKUP($A86,'Data shares'!$C:$FB,43)</f>
        <v>11900900</v>
      </c>
      <c r="I86" s="50">
        <f>VLOOKUP($A86,'Data shares'!$C:$FB,45)*100</f>
        <v>-55.279999999999994</v>
      </c>
      <c r="J86" s="49">
        <f>VLOOKUP($A86,'Data shares'!$C:$FB,58)</f>
        <v>23256200</v>
      </c>
      <c r="K86" s="49">
        <f>VLOOKUP($A86,'Data shares'!$C:$FB,59)</f>
        <v>59659600</v>
      </c>
      <c r="L86" s="50">
        <f>VLOOKUP($A86,'Data shares'!$C:$FB,61)*100</f>
        <v>-61.019999999999996</v>
      </c>
      <c r="M86" s="49">
        <f>VLOOKUP($A86,'Data shares'!$C:$FB,62)</f>
        <v>13172500</v>
      </c>
      <c r="N86" s="49">
        <f>VLOOKUP($A86,'Data shares'!$C:$FB,63)</f>
        <v>41327000</v>
      </c>
      <c r="O86" s="140">
        <f>VLOOKUP($A86,'Data shares'!$C:$FB,65)*100</f>
        <v>-68.13</v>
      </c>
    </row>
    <row r="87" spans="1:15" x14ac:dyDescent="0.25">
      <c r="A87" s="101" t="str">
        <f>'Data Vlaue (Cr)'!C82</f>
        <v>HEROMOTOCO</v>
      </c>
      <c r="B87" s="50">
        <f>VLOOKUP($A87,'Data shares'!$C:$FB,7)</f>
        <v>5282.5</v>
      </c>
      <c r="C87" s="50">
        <f>VLOOKUP($A87,'Data shares'!$C:$FB,10)*100</f>
        <v>0.9900000000000001</v>
      </c>
      <c r="D87" s="49">
        <f>VLOOKUP($A87,'Data shares'!$C:$FB,66)</f>
        <v>6888000</v>
      </c>
      <c r="E87" s="49">
        <f>VLOOKUP($A87,'Data shares'!$C:$FB,67)</f>
        <v>7485750</v>
      </c>
      <c r="F87" s="50">
        <f>VLOOKUP($A87,'Data shares'!$C:$FB,69)*100</f>
        <v>-7.99</v>
      </c>
      <c r="G87" s="49">
        <f>VLOOKUP($A87,'Data shares'!$C:$FB,42)</f>
        <v>684150</v>
      </c>
      <c r="H87" s="49">
        <f>VLOOKUP($A87,'Data shares'!$C:$FB,43)</f>
        <v>993450</v>
      </c>
      <c r="I87" s="50">
        <f>VLOOKUP($A87,'Data shares'!$C:$FB,45)*100</f>
        <v>-31.130000000000003</v>
      </c>
      <c r="J87" s="49">
        <f>VLOOKUP($A87,'Data shares'!$C:$FB,58)</f>
        <v>4541250</v>
      </c>
      <c r="K87" s="49">
        <f>VLOOKUP($A87,'Data shares'!$C:$FB,59)</f>
        <v>4682700</v>
      </c>
      <c r="L87" s="50">
        <f>VLOOKUP($A87,'Data shares'!$C:$FB,61)*100</f>
        <v>-3.02</v>
      </c>
      <c r="M87" s="49">
        <f>VLOOKUP($A87,'Data shares'!$C:$FB,62)</f>
        <v>1662600</v>
      </c>
      <c r="N87" s="49">
        <f>VLOOKUP($A87,'Data shares'!$C:$FB,63)</f>
        <v>1809600</v>
      </c>
      <c r="O87" s="140">
        <f>VLOOKUP($A87,'Data shares'!$C:$FB,65)*100</f>
        <v>-8.1199999999999992</v>
      </c>
    </row>
    <row r="88" spans="1:15" x14ac:dyDescent="0.25">
      <c r="A88" s="101" t="str">
        <f>'Data Vlaue (Cr)'!C83</f>
        <v>HINDALCO</v>
      </c>
      <c r="B88" s="50">
        <f>VLOOKUP($A88,'Data shares'!$C:$FB,7)</f>
        <v>1015.25</v>
      </c>
      <c r="C88" s="50">
        <f>VLOOKUP($A88,'Data shares'!$C:$FB,10)*100</f>
        <v>-2.29</v>
      </c>
      <c r="D88" s="49">
        <f>VLOOKUP($A88,'Data shares'!$C:$FB,66)</f>
        <v>43316700</v>
      </c>
      <c r="E88" s="49">
        <f>VLOOKUP($A88,'Data shares'!$C:$FB,67)</f>
        <v>41369300</v>
      </c>
      <c r="F88" s="50">
        <f>VLOOKUP($A88,'Data shares'!$C:$FB,69)*100</f>
        <v>4.71</v>
      </c>
      <c r="G88" s="49">
        <f>VLOOKUP($A88,'Data shares'!$C:$FB,42)</f>
        <v>6448400</v>
      </c>
      <c r="H88" s="49">
        <f>VLOOKUP($A88,'Data shares'!$C:$FB,43)</f>
        <v>4491900</v>
      </c>
      <c r="I88" s="50">
        <f>VLOOKUP($A88,'Data shares'!$C:$FB,45)*100</f>
        <v>43.56</v>
      </c>
      <c r="J88" s="49">
        <f>VLOOKUP($A88,'Data shares'!$C:$FB,58)</f>
        <v>21142800</v>
      </c>
      <c r="K88" s="49">
        <f>VLOOKUP($A88,'Data shares'!$C:$FB,59)</f>
        <v>20665400</v>
      </c>
      <c r="L88" s="50">
        <f>VLOOKUP($A88,'Data shares'!$C:$FB,61)*100</f>
        <v>2.31</v>
      </c>
      <c r="M88" s="49">
        <f>VLOOKUP($A88,'Data shares'!$C:$FB,62)</f>
        <v>15725500</v>
      </c>
      <c r="N88" s="49">
        <f>VLOOKUP($A88,'Data shares'!$C:$FB,63)</f>
        <v>16212000</v>
      </c>
      <c r="O88" s="140">
        <f>VLOOKUP($A88,'Data shares'!$C:$FB,65)*100</f>
        <v>-3</v>
      </c>
    </row>
    <row r="89" spans="1:15" x14ac:dyDescent="0.25">
      <c r="A89" s="101" t="str">
        <f>'Data Vlaue (Cr)'!C84</f>
        <v>HINDPETRO</v>
      </c>
      <c r="B89" s="50">
        <f>VLOOKUP($A89,'Data shares'!$C:$FB,7)</f>
        <v>379.5</v>
      </c>
      <c r="C89" s="50">
        <f>VLOOKUP($A89,'Data shares'!$C:$FB,10)*100</f>
        <v>2.33</v>
      </c>
      <c r="D89" s="49">
        <f>VLOOKUP($A89,'Data shares'!$C:$FB,66)</f>
        <v>73345500</v>
      </c>
      <c r="E89" s="49">
        <f>VLOOKUP($A89,'Data shares'!$C:$FB,67)</f>
        <v>37808775</v>
      </c>
      <c r="F89" s="50">
        <f>VLOOKUP($A89,'Data shares'!$C:$FB,69)*100</f>
        <v>93.99</v>
      </c>
      <c r="G89" s="49">
        <f>VLOOKUP($A89,'Data shares'!$C:$FB,42)</f>
        <v>14825025</v>
      </c>
      <c r="H89" s="49">
        <f>VLOOKUP($A89,'Data shares'!$C:$FB,43)</f>
        <v>7456050</v>
      </c>
      <c r="I89" s="50">
        <f>VLOOKUP($A89,'Data shares'!$C:$FB,45)*100</f>
        <v>98.83</v>
      </c>
      <c r="J89" s="49">
        <f>VLOOKUP($A89,'Data shares'!$C:$FB,58)</f>
        <v>36832725</v>
      </c>
      <c r="K89" s="49">
        <f>VLOOKUP($A89,'Data shares'!$C:$FB,59)</f>
        <v>16971525</v>
      </c>
      <c r="L89" s="50">
        <f>VLOOKUP($A89,'Data shares'!$C:$FB,61)*100</f>
        <v>117.02999999999999</v>
      </c>
      <c r="M89" s="49">
        <f>VLOOKUP($A89,'Data shares'!$C:$FB,62)</f>
        <v>21687750</v>
      </c>
      <c r="N89" s="49">
        <f>VLOOKUP($A89,'Data shares'!$C:$FB,63)</f>
        <v>13381200</v>
      </c>
      <c r="O89" s="140">
        <f>VLOOKUP($A89,'Data shares'!$C:$FB,65)*100</f>
        <v>62.08</v>
      </c>
    </row>
    <row r="90" spans="1:15" x14ac:dyDescent="0.25">
      <c r="A90" s="101" t="str">
        <f>'Data Vlaue (Cr)'!C85</f>
        <v>HINDUNILVR</v>
      </c>
      <c r="B90" s="50">
        <f>VLOOKUP($A90,'Data shares'!$C:$FB,7)</f>
        <v>2231.5</v>
      </c>
      <c r="C90" s="50">
        <f>VLOOKUP($A90,'Data shares'!$C:$FB,10)*100</f>
        <v>-0.42</v>
      </c>
      <c r="D90" s="49">
        <f>VLOOKUP($A90,'Data shares'!$C:$FB,66)</f>
        <v>14665500</v>
      </c>
      <c r="E90" s="49">
        <f>VLOOKUP($A90,'Data shares'!$C:$FB,67)</f>
        <v>59895600</v>
      </c>
      <c r="F90" s="50">
        <f>VLOOKUP($A90,'Data shares'!$C:$FB,69)*100</f>
        <v>-75.510000000000005</v>
      </c>
      <c r="G90" s="49">
        <f>VLOOKUP($A90,'Data shares'!$C:$FB,42)</f>
        <v>1360200</v>
      </c>
      <c r="H90" s="49">
        <f>VLOOKUP($A90,'Data shares'!$C:$FB,43)</f>
        <v>4886400</v>
      </c>
      <c r="I90" s="50">
        <f>VLOOKUP($A90,'Data shares'!$C:$FB,45)*100</f>
        <v>-72.16</v>
      </c>
      <c r="J90" s="49">
        <f>VLOOKUP($A90,'Data shares'!$C:$FB,58)</f>
        <v>8043900</v>
      </c>
      <c r="K90" s="49">
        <f>VLOOKUP($A90,'Data shares'!$C:$FB,59)</f>
        <v>38680800</v>
      </c>
      <c r="L90" s="50">
        <f>VLOOKUP($A90,'Data shares'!$C:$FB,61)*100</f>
        <v>-79.2</v>
      </c>
      <c r="M90" s="49">
        <f>VLOOKUP($A90,'Data shares'!$C:$FB,62)</f>
        <v>5261400</v>
      </c>
      <c r="N90" s="49">
        <f>VLOOKUP($A90,'Data shares'!$C:$FB,63)</f>
        <v>16328400</v>
      </c>
      <c r="O90" s="140">
        <f>VLOOKUP($A90,'Data shares'!$C:$FB,65)*100</f>
        <v>-67.78</v>
      </c>
    </row>
    <row r="91" spans="1:15" x14ac:dyDescent="0.25">
      <c r="A91" s="101" t="str">
        <f>'Data Vlaue (Cr)'!C86</f>
        <v>HINDZINC</v>
      </c>
      <c r="B91" s="50">
        <f>VLOOKUP($A91,'Data shares'!$C:$FB,7)</f>
        <v>590.29999999999995</v>
      </c>
      <c r="C91" s="50">
        <f>VLOOKUP($A91,'Data shares'!$C:$FB,10)*100</f>
        <v>-0.33999999999999997</v>
      </c>
      <c r="D91" s="49">
        <f>VLOOKUP($A91,'Data shares'!$C:$FB,66)</f>
        <v>33371450</v>
      </c>
      <c r="E91" s="49">
        <f>VLOOKUP($A91,'Data shares'!$C:$FB,67)</f>
        <v>31339175</v>
      </c>
      <c r="F91" s="50">
        <f>VLOOKUP($A91,'Data shares'!$C:$FB,69)*100</f>
        <v>6.4799999999999995</v>
      </c>
      <c r="G91" s="49">
        <f>VLOOKUP($A91,'Data shares'!$C:$FB,42)</f>
        <v>4683175</v>
      </c>
      <c r="H91" s="49">
        <f>VLOOKUP($A91,'Data shares'!$C:$FB,43)</f>
        <v>5538225</v>
      </c>
      <c r="I91" s="50">
        <f>VLOOKUP($A91,'Data shares'!$C:$FB,45)*100</f>
        <v>-15.440000000000001</v>
      </c>
      <c r="J91" s="49">
        <f>VLOOKUP($A91,'Data shares'!$C:$FB,58)</f>
        <v>18165525</v>
      </c>
      <c r="K91" s="49">
        <f>VLOOKUP($A91,'Data shares'!$C:$FB,59)</f>
        <v>16158975</v>
      </c>
      <c r="L91" s="50">
        <f>VLOOKUP($A91,'Data shares'!$C:$FB,61)*100</f>
        <v>12.42</v>
      </c>
      <c r="M91" s="49">
        <f>VLOOKUP($A91,'Data shares'!$C:$FB,62)</f>
        <v>10522750</v>
      </c>
      <c r="N91" s="49">
        <f>VLOOKUP($A91,'Data shares'!$C:$FB,63)</f>
        <v>9641975</v>
      </c>
      <c r="O91" s="140">
        <f>VLOOKUP($A91,'Data shares'!$C:$FB,65)*100</f>
        <v>9.1300000000000008</v>
      </c>
    </row>
    <row r="92" spans="1:15" x14ac:dyDescent="0.25">
      <c r="A92" s="101" t="str">
        <f>'Data Vlaue (Cr)'!C87</f>
        <v>HUDCO</v>
      </c>
      <c r="B92" s="50">
        <f>VLOOKUP($A92,'Data shares'!$C:$FB,7)</f>
        <v>199.4</v>
      </c>
      <c r="C92" s="50">
        <f>VLOOKUP($A92,'Data shares'!$C:$FB,10)*100</f>
        <v>1.26</v>
      </c>
      <c r="D92" s="49">
        <f>VLOOKUP($A92,'Data shares'!$C:$FB,66)</f>
        <v>47555175</v>
      </c>
      <c r="E92" s="49">
        <f>VLOOKUP($A92,'Data shares'!$C:$FB,67)</f>
        <v>45584925</v>
      </c>
      <c r="F92" s="50">
        <f>VLOOKUP($A92,'Data shares'!$C:$FB,69)*100</f>
        <v>4.32</v>
      </c>
      <c r="G92" s="49">
        <f>VLOOKUP($A92,'Data shares'!$C:$FB,42)</f>
        <v>6596175</v>
      </c>
      <c r="H92" s="49">
        <f>VLOOKUP($A92,'Data shares'!$C:$FB,43)</f>
        <v>7728375</v>
      </c>
      <c r="I92" s="50">
        <f>VLOOKUP($A92,'Data shares'!$C:$FB,45)*100</f>
        <v>-14.649999999999999</v>
      </c>
      <c r="J92" s="49">
        <f>VLOOKUP($A92,'Data shares'!$C:$FB,58)</f>
        <v>27031275</v>
      </c>
      <c r="K92" s="49">
        <f>VLOOKUP($A92,'Data shares'!$C:$FB,59)</f>
        <v>24120300</v>
      </c>
      <c r="L92" s="50">
        <f>VLOOKUP($A92,'Data shares'!$C:$FB,61)*100</f>
        <v>12.07</v>
      </c>
      <c r="M92" s="49">
        <f>VLOOKUP($A92,'Data shares'!$C:$FB,62)</f>
        <v>13927725</v>
      </c>
      <c r="N92" s="49">
        <f>VLOOKUP($A92,'Data shares'!$C:$FB,63)</f>
        <v>13736250</v>
      </c>
      <c r="O92" s="140">
        <f>VLOOKUP($A92,'Data shares'!$C:$FB,65)*100</f>
        <v>1.39</v>
      </c>
    </row>
    <row r="93" spans="1:15" x14ac:dyDescent="0.25">
      <c r="A93" s="101" t="str">
        <f>'Data Vlaue (Cr)'!C88</f>
        <v>HYUNDAI</v>
      </c>
      <c r="B93" s="50">
        <f>VLOOKUP($A93,'Data shares'!$C:$FB,7)</f>
        <v>1886</v>
      </c>
      <c r="C93" s="50">
        <f>VLOOKUP($A93,'Data shares'!$C:$FB,10)*100</f>
        <v>-0.88</v>
      </c>
      <c r="D93" s="49">
        <f>VLOOKUP($A93,'Data shares'!$C:$FB,66)</f>
        <v>3135825</v>
      </c>
      <c r="E93" s="49">
        <f>VLOOKUP($A93,'Data shares'!$C:$FB,67)</f>
        <v>7158800</v>
      </c>
      <c r="F93" s="50">
        <f>VLOOKUP($A93,'Data shares'!$C:$FB,69)*100</f>
        <v>-56.2</v>
      </c>
      <c r="G93" s="49">
        <f>VLOOKUP($A93,'Data shares'!$C:$FB,42)</f>
        <v>1211925</v>
      </c>
      <c r="H93" s="49">
        <f>VLOOKUP($A93,'Data shares'!$C:$FB,43)</f>
        <v>2300650</v>
      </c>
      <c r="I93" s="50">
        <f>VLOOKUP($A93,'Data shares'!$C:$FB,45)*100</f>
        <v>-47.32</v>
      </c>
      <c r="J93" s="49">
        <f>VLOOKUP($A93,'Data shares'!$C:$FB,58)</f>
        <v>1575200</v>
      </c>
      <c r="K93" s="49">
        <f>VLOOKUP($A93,'Data shares'!$C:$FB,59)</f>
        <v>3902250</v>
      </c>
      <c r="L93" s="50">
        <f>VLOOKUP($A93,'Data shares'!$C:$FB,61)*100</f>
        <v>-59.63</v>
      </c>
      <c r="M93" s="49">
        <f>VLOOKUP($A93,'Data shares'!$C:$FB,62)</f>
        <v>348700</v>
      </c>
      <c r="N93" s="49">
        <f>VLOOKUP($A93,'Data shares'!$C:$FB,63)</f>
        <v>955900</v>
      </c>
      <c r="O93" s="140">
        <f>VLOOKUP($A93,'Data shares'!$C:$FB,65)*100</f>
        <v>-63.519999999999996</v>
      </c>
    </row>
    <row r="94" spans="1:15" x14ac:dyDescent="0.25">
      <c r="A94" s="101" t="str">
        <f>'Data Vlaue (Cr)'!C89</f>
        <v>ICICIBANK</v>
      </c>
      <c r="B94" s="50">
        <f>VLOOKUP($A94,'Data shares'!$C:$FB,7)</f>
        <v>1356.2</v>
      </c>
      <c r="C94" s="50">
        <f>VLOOKUP($A94,'Data shares'!$C:$FB,10)*100</f>
        <v>0.70000000000000007</v>
      </c>
      <c r="D94" s="49">
        <f>VLOOKUP($A94,'Data shares'!$C:$FB,66)</f>
        <v>228769100</v>
      </c>
      <c r="E94" s="49">
        <f>VLOOKUP($A94,'Data shares'!$C:$FB,67)</f>
        <v>116723600</v>
      </c>
      <c r="F94" s="50">
        <f>VLOOKUP($A94,'Data shares'!$C:$FB,69)*100</f>
        <v>95.99</v>
      </c>
      <c r="G94" s="49">
        <f>VLOOKUP($A94,'Data shares'!$C:$FB,42)</f>
        <v>23648800</v>
      </c>
      <c r="H94" s="49">
        <f>VLOOKUP($A94,'Data shares'!$C:$FB,43)</f>
        <v>18178300</v>
      </c>
      <c r="I94" s="50">
        <f>VLOOKUP($A94,'Data shares'!$C:$FB,45)*100</f>
        <v>30.09</v>
      </c>
      <c r="J94" s="49">
        <f>VLOOKUP($A94,'Data shares'!$C:$FB,58)</f>
        <v>134738800</v>
      </c>
      <c r="K94" s="49">
        <f>VLOOKUP($A94,'Data shares'!$C:$FB,59)</f>
        <v>58716700</v>
      </c>
      <c r="L94" s="50">
        <f>VLOOKUP($A94,'Data shares'!$C:$FB,61)*100</f>
        <v>129.47</v>
      </c>
      <c r="M94" s="49">
        <f>VLOOKUP($A94,'Data shares'!$C:$FB,62)</f>
        <v>70381500</v>
      </c>
      <c r="N94" s="49">
        <f>VLOOKUP($A94,'Data shares'!$C:$FB,63)</f>
        <v>39828600</v>
      </c>
      <c r="O94" s="140">
        <f>VLOOKUP($A94,'Data shares'!$C:$FB,65)*100</f>
        <v>76.709999999999994</v>
      </c>
    </row>
    <row r="95" spans="1:15" x14ac:dyDescent="0.25">
      <c r="A95" s="101" t="str">
        <f>'Data Vlaue (Cr)'!C90</f>
        <v>ICICIGI</v>
      </c>
      <c r="B95" s="50">
        <f>VLOOKUP($A95,'Data shares'!$C:$FB,7)</f>
        <v>1876.5</v>
      </c>
      <c r="C95" s="50">
        <f>VLOOKUP($A95,'Data shares'!$C:$FB,10)*100</f>
        <v>-0.8</v>
      </c>
      <c r="D95" s="49">
        <f>VLOOKUP($A95,'Data shares'!$C:$FB,66)</f>
        <v>2057250</v>
      </c>
      <c r="E95" s="49">
        <f>VLOOKUP($A95,'Data shares'!$C:$FB,67)</f>
        <v>4885725</v>
      </c>
      <c r="F95" s="50">
        <f>VLOOKUP($A95,'Data shares'!$C:$FB,69)*100</f>
        <v>-57.89</v>
      </c>
      <c r="G95" s="49">
        <f>VLOOKUP($A95,'Data shares'!$C:$FB,42)</f>
        <v>385450</v>
      </c>
      <c r="H95" s="49">
        <f>VLOOKUP($A95,'Data shares'!$C:$FB,43)</f>
        <v>746850</v>
      </c>
      <c r="I95" s="50">
        <f>VLOOKUP($A95,'Data shares'!$C:$FB,45)*100</f>
        <v>-48.39</v>
      </c>
      <c r="J95" s="49">
        <f>VLOOKUP($A95,'Data shares'!$C:$FB,58)</f>
        <v>1042925</v>
      </c>
      <c r="K95" s="49">
        <f>VLOOKUP($A95,'Data shares'!$C:$FB,59)</f>
        <v>2501525</v>
      </c>
      <c r="L95" s="50">
        <f>VLOOKUP($A95,'Data shares'!$C:$FB,61)*100</f>
        <v>-58.309999999999995</v>
      </c>
      <c r="M95" s="49">
        <f>VLOOKUP($A95,'Data shares'!$C:$FB,62)</f>
        <v>628875</v>
      </c>
      <c r="N95" s="49">
        <f>VLOOKUP($A95,'Data shares'!$C:$FB,63)</f>
        <v>1637350</v>
      </c>
      <c r="O95" s="140">
        <f>VLOOKUP($A95,'Data shares'!$C:$FB,65)*100</f>
        <v>-61.59</v>
      </c>
    </row>
    <row r="96" spans="1:15" x14ac:dyDescent="0.25">
      <c r="A96" s="101" t="str">
        <f>'Data Vlaue (Cr)'!C91</f>
        <v>ICICIPRULI</v>
      </c>
      <c r="B96" s="50">
        <f>VLOOKUP($A96,'Data shares'!$C:$FB,7)</f>
        <v>557.9</v>
      </c>
      <c r="C96" s="50">
        <f>VLOOKUP($A96,'Data shares'!$C:$FB,10)*100</f>
        <v>-0.73</v>
      </c>
      <c r="D96" s="49">
        <f>VLOOKUP($A96,'Data shares'!$C:$FB,66)</f>
        <v>11621700</v>
      </c>
      <c r="E96" s="49">
        <f>VLOOKUP($A96,'Data shares'!$C:$FB,67)</f>
        <v>18208625</v>
      </c>
      <c r="F96" s="50">
        <f>VLOOKUP($A96,'Data shares'!$C:$FB,69)*100</f>
        <v>-36.17</v>
      </c>
      <c r="G96" s="49">
        <f>VLOOKUP($A96,'Data shares'!$C:$FB,42)</f>
        <v>2475300</v>
      </c>
      <c r="H96" s="49">
        <f>VLOOKUP($A96,'Data shares'!$C:$FB,43)</f>
        <v>3208825</v>
      </c>
      <c r="I96" s="50">
        <f>VLOOKUP($A96,'Data shares'!$C:$FB,45)*100</f>
        <v>-22.86</v>
      </c>
      <c r="J96" s="49">
        <f>VLOOKUP($A96,'Data shares'!$C:$FB,58)</f>
        <v>5506525</v>
      </c>
      <c r="K96" s="49">
        <f>VLOOKUP($A96,'Data shares'!$C:$FB,59)</f>
        <v>9655150</v>
      </c>
      <c r="L96" s="50">
        <f>VLOOKUP($A96,'Data shares'!$C:$FB,61)*100</f>
        <v>-42.970000000000006</v>
      </c>
      <c r="M96" s="49">
        <f>VLOOKUP($A96,'Data shares'!$C:$FB,62)</f>
        <v>3639875</v>
      </c>
      <c r="N96" s="49">
        <f>VLOOKUP($A96,'Data shares'!$C:$FB,63)</f>
        <v>5344650</v>
      </c>
      <c r="O96" s="140">
        <f>VLOOKUP($A96,'Data shares'!$C:$FB,65)*100</f>
        <v>-31.900000000000002</v>
      </c>
    </row>
    <row r="97" spans="1:15" x14ac:dyDescent="0.25">
      <c r="A97" s="101" t="str">
        <f>'Data Vlaue (Cr)'!C92</f>
        <v>IDEA</v>
      </c>
      <c r="B97" s="50">
        <f>VLOOKUP($A97,'Data shares'!$C:$FB,7)</f>
        <v>9.4700000000000006</v>
      </c>
      <c r="C97" s="50">
        <f>VLOOKUP($A97,'Data shares'!$C:$FB,10)*100</f>
        <v>-1.46</v>
      </c>
      <c r="D97" s="49">
        <f>VLOOKUP($A97,'Data shares'!$C:$FB,66)</f>
        <v>2146465725</v>
      </c>
      <c r="E97" s="49">
        <f>VLOOKUP($A97,'Data shares'!$C:$FB,67)</f>
        <v>1973067375</v>
      </c>
      <c r="F97" s="50">
        <f>VLOOKUP($A97,'Data shares'!$C:$FB,69)*100</f>
        <v>8.7900000000000009</v>
      </c>
      <c r="G97" s="49">
        <f>VLOOKUP($A97,'Data shares'!$C:$FB,42)</f>
        <v>1044321225</v>
      </c>
      <c r="H97" s="49">
        <f>VLOOKUP($A97,'Data shares'!$C:$FB,43)</f>
        <v>786296475</v>
      </c>
      <c r="I97" s="50">
        <f>VLOOKUP($A97,'Data shares'!$C:$FB,45)*100</f>
        <v>32.82</v>
      </c>
      <c r="J97" s="49">
        <f>VLOOKUP($A97,'Data shares'!$C:$FB,58)</f>
        <v>806738325</v>
      </c>
      <c r="K97" s="49">
        <f>VLOOKUP($A97,'Data shares'!$C:$FB,59)</f>
        <v>858128850</v>
      </c>
      <c r="L97" s="50">
        <f>VLOOKUP($A97,'Data shares'!$C:$FB,61)*100</f>
        <v>-5.99</v>
      </c>
      <c r="M97" s="49">
        <f>VLOOKUP($A97,'Data shares'!$C:$FB,62)</f>
        <v>295406175</v>
      </c>
      <c r="N97" s="49">
        <f>VLOOKUP($A97,'Data shares'!$C:$FB,63)</f>
        <v>328642050</v>
      </c>
      <c r="O97" s="140">
        <f>VLOOKUP($A97,'Data shares'!$C:$FB,65)*100</f>
        <v>-10.11</v>
      </c>
    </row>
    <row r="98" spans="1:15" x14ac:dyDescent="0.25">
      <c r="A98" s="101" t="str">
        <f>'Data Vlaue (Cr)'!C93</f>
        <v>IDFCFIRSTB</v>
      </c>
      <c r="B98" s="50">
        <f>VLOOKUP($A98,'Data shares'!$C:$FB,7)</f>
        <v>67.5</v>
      </c>
      <c r="C98" s="50">
        <f>VLOOKUP($A98,'Data shares'!$C:$FB,10)*100</f>
        <v>-1.5</v>
      </c>
      <c r="D98" s="49">
        <f>VLOOKUP($A98,'Data shares'!$C:$FB,66)</f>
        <v>203011200</v>
      </c>
      <c r="E98" s="49">
        <f>VLOOKUP($A98,'Data shares'!$C:$FB,67)</f>
        <v>215634475</v>
      </c>
      <c r="F98" s="50">
        <f>VLOOKUP($A98,'Data shares'!$C:$FB,69)*100</f>
        <v>-5.8500000000000005</v>
      </c>
      <c r="G98" s="49">
        <f>VLOOKUP($A98,'Data shares'!$C:$FB,42)</f>
        <v>90143725</v>
      </c>
      <c r="H98" s="49">
        <f>VLOOKUP($A98,'Data shares'!$C:$FB,43)</f>
        <v>70221025</v>
      </c>
      <c r="I98" s="50">
        <f>VLOOKUP($A98,'Data shares'!$C:$FB,45)*100</f>
        <v>28.37</v>
      </c>
      <c r="J98" s="49">
        <f>VLOOKUP($A98,'Data shares'!$C:$FB,58)</f>
        <v>60788350</v>
      </c>
      <c r="K98" s="49">
        <f>VLOOKUP($A98,'Data shares'!$C:$FB,59)</f>
        <v>77372050</v>
      </c>
      <c r="L98" s="50">
        <f>VLOOKUP($A98,'Data shares'!$C:$FB,61)*100</f>
        <v>-21.43</v>
      </c>
      <c r="M98" s="49">
        <f>VLOOKUP($A98,'Data shares'!$C:$FB,62)</f>
        <v>52079125</v>
      </c>
      <c r="N98" s="49">
        <f>VLOOKUP($A98,'Data shares'!$C:$FB,63)</f>
        <v>68041400</v>
      </c>
      <c r="O98" s="140">
        <f>VLOOKUP($A98,'Data shares'!$C:$FB,65)*100</f>
        <v>-23.46</v>
      </c>
    </row>
    <row r="99" spans="1:15" x14ac:dyDescent="0.25">
      <c r="A99" s="101" t="str">
        <f>'Data Vlaue (Cr)'!C94</f>
        <v>IEX</v>
      </c>
      <c r="B99" s="50">
        <f>VLOOKUP($A99,'Data shares'!$C:$FB,7)</f>
        <v>124.99</v>
      </c>
      <c r="C99" s="50">
        <f>VLOOKUP($A99,'Data shares'!$C:$FB,10)*100</f>
        <v>-7.9699999999999989</v>
      </c>
      <c r="D99" s="49">
        <f>VLOOKUP($A99,'Data shares'!$C:$FB,66)</f>
        <v>292068750</v>
      </c>
      <c r="E99" s="49">
        <f>VLOOKUP($A99,'Data shares'!$C:$FB,67)</f>
        <v>65677500</v>
      </c>
      <c r="F99" s="50">
        <f>VLOOKUP($A99,'Data shares'!$C:$FB,69)*100</f>
        <v>344.7</v>
      </c>
      <c r="G99" s="49">
        <f>VLOOKUP($A99,'Data shares'!$C:$FB,42)</f>
        <v>51423750</v>
      </c>
      <c r="H99" s="49">
        <f>VLOOKUP($A99,'Data shares'!$C:$FB,43)</f>
        <v>8610000</v>
      </c>
      <c r="I99" s="50">
        <f>VLOOKUP($A99,'Data shares'!$C:$FB,45)*100</f>
        <v>497.26</v>
      </c>
      <c r="J99" s="49">
        <f>VLOOKUP($A99,'Data shares'!$C:$FB,58)</f>
        <v>116591250</v>
      </c>
      <c r="K99" s="49">
        <f>VLOOKUP($A99,'Data shares'!$C:$FB,59)</f>
        <v>39652500</v>
      </c>
      <c r="L99" s="50">
        <f>VLOOKUP($A99,'Data shares'!$C:$FB,61)*100</f>
        <v>194.03</v>
      </c>
      <c r="M99" s="49">
        <f>VLOOKUP($A99,'Data shares'!$C:$FB,62)</f>
        <v>124053750</v>
      </c>
      <c r="N99" s="49">
        <f>VLOOKUP($A99,'Data shares'!$C:$FB,63)</f>
        <v>17415000</v>
      </c>
      <c r="O99" s="140">
        <f>VLOOKUP($A99,'Data shares'!$C:$FB,65)*100</f>
        <v>612.34</v>
      </c>
    </row>
    <row r="100" spans="1:15" x14ac:dyDescent="0.25">
      <c r="A100" s="101" t="str">
        <f>'Data Vlaue (Cr)'!C95</f>
        <v>INDHOTEL</v>
      </c>
      <c r="B100" s="50">
        <f>VLOOKUP($A100,'Data shares'!$C:$FB,7)</f>
        <v>659.5</v>
      </c>
      <c r="C100" s="50">
        <f>VLOOKUP($A100,'Data shares'!$C:$FB,10)*100</f>
        <v>0.03</v>
      </c>
      <c r="D100" s="49">
        <f>VLOOKUP($A100,'Data shares'!$C:$FB,66)</f>
        <v>11338000</v>
      </c>
      <c r="E100" s="49">
        <f>VLOOKUP($A100,'Data shares'!$C:$FB,67)</f>
        <v>15126000</v>
      </c>
      <c r="F100" s="50">
        <f>VLOOKUP($A100,'Data shares'!$C:$FB,69)*100</f>
        <v>-25.040000000000003</v>
      </c>
      <c r="G100" s="49">
        <f>VLOOKUP($A100,'Data shares'!$C:$FB,42)</f>
        <v>3369000</v>
      </c>
      <c r="H100" s="49">
        <f>VLOOKUP($A100,'Data shares'!$C:$FB,43)</f>
        <v>6223000</v>
      </c>
      <c r="I100" s="50">
        <f>VLOOKUP($A100,'Data shares'!$C:$FB,45)*100</f>
        <v>-45.86</v>
      </c>
      <c r="J100" s="49">
        <f>VLOOKUP($A100,'Data shares'!$C:$FB,58)</f>
        <v>4598000</v>
      </c>
      <c r="K100" s="49">
        <f>VLOOKUP($A100,'Data shares'!$C:$FB,59)</f>
        <v>5300000</v>
      </c>
      <c r="L100" s="50">
        <f>VLOOKUP($A100,'Data shares'!$C:$FB,61)*100</f>
        <v>-13.25</v>
      </c>
      <c r="M100" s="49">
        <f>VLOOKUP($A100,'Data shares'!$C:$FB,62)</f>
        <v>3371000</v>
      </c>
      <c r="N100" s="49">
        <f>VLOOKUP($A100,'Data shares'!$C:$FB,63)</f>
        <v>3603000</v>
      </c>
      <c r="O100" s="140">
        <f>VLOOKUP($A100,'Data shares'!$C:$FB,65)*100</f>
        <v>-6.4399999999999995</v>
      </c>
    </row>
    <row r="101" spans="1:15" x14ac:dyDescent="0.25">
      <c r="A101" s="101" t="str">
        <f>'Data Vlaue (Cr)'!C96</f>
        <v>INDIANB</v>
      </c>
      <c r="B101" s="50">
        <f>VLOOKUP($A101,'Data shares'!$C:$FB,7)</f>
        <v>928.3</v>
      </c>
      <c r="C101" s="50">
        <f>VLOOKUP($A101,'Data shares'!$C:$FB,10)*100</f>
        <v>-1.1900000000000002</v>
      </c>
      <c r="D101" s="49">
        <f>VLOOKUP($A101,'Data shares'!$C:$FB,66)</f>
        <v>16914000</v>
      </c>
      <c r="E101" s="49">
        <f>VLOOKUP($A101,'Data shares'!$C:$FB,67)</f>
        <v>9866000</v>
      </c>
      <c r="F101" s="50">
        <f>VLOOKUP($A101,'Data shares'!$C:$FB,69)*100</f>
        <v>71.44</v>
      </c>
      <c r="G101" s="49">
        <f>VLOOKUP($A101,'Data shares'!$C:$FB,42)</f>
        <v>3723000</v>
      </c>
      <c r="H101" s="49">
        <f>VLOOKUP($A101,'Data shares'!$C:$FB,43)</f>
        <v>2230000</v>
      </c>
      <c r="I101" s="50">
        <f>VLOOKUP($A101,'Data shares'!$C:$FB,45)*100</f>
        <v>66.95</v>
      </c>
      <c r="J101" s="49">
        <f>VLOOKUP($A101,'Data shares'!$C:$FB,58)</f>
        <v>9906000</v>
      </c>
      <c r="K101" s="49">
        <f>VLOOKUP($A101,'Data shares'!$C:$FB,59)</f>
        <v>5650000</v>
      </c>
      <c r="L101" s="50">
        <f>VLOOKUP($A101,'Data shares'!$C:$FB,61)*100</f>
        <v>75.33</v>
      </c>
      <c r="M101" s="49">
        <f>VLOOKUP($A101,'Data shares'!$C:$FB,62)</f>
        <v>3285000</v>
      </c>
      <c r="N101" s="49">
        <f>VLOOKUP($A101,'Data shares'!$C:$FB,63)</f>
        <v>1986000</v>
      </c>
      <c r="O101" s="140">
        <f>VLOOKUP($A101,'Data shares'!$C:$FB,65)*100</f>
        <v>65.41</v>
      </c>
    </row>
    <row r="102" spans="1:15" x14ac:dyDescent="0.25">
      <c r="A102" s="101" t="str">
        <f>'Data Vlaue (Cr)'!C97</f>
        <v>INDIAVIX</v>
      </c>
      <c r="B102" s="50">
        <f>VLOOKUP($A102,'Data shares'!$C:$FB,7)</f>
        <v>18.79</v>
      </c>
      <c r="C102" s="50">
        <f>VLOOKUP($A102,'Data shares'!$C:$FB,10)*100</f>
        <v>9.24</v>
      </c>
      <c r="D102" s="49">
        <f>VLOOKUP($A102,'Data shares'!$C:$FB,66)</f>
        <v>0</v>
      </c>
      <c r="E102" s="49">
        <f>VLOOKUP($A102,'Data shares'!$C:$FB,67)</f>
        <v>0</v>
      </c>
      <c r="F102" s="50">
        <f>VLOOKUP($A102,'Data shares'!$C:$FB,69)*100</f>
        <v>0</v>
      </c>
      <c r="G102" s="49">
        <f>VLOOKUP($A102,'Data shares'!$C:$FB,42)</f>
        <v>0</v>
      </c>
      <c r="H102" s="49">
        <f>VLOOKUP($A102,'Data shares'!$C:$FB,43)</f>
        <v>0</v>
      </c>
      <c r="I102" s="50">
        <f>VLOOKUP($A102,'Data shares'!$C:$FB,45)*100</f>
        <v>0</v>
      </c>
      <c r="J102" s="49">
        <f>VLOOKUP($A102,'Data shares'!$C:$FB,58)</f>
        <v>0</v>
      </c>
      <c r="K102" s="49">
        <f>VLOOKUP($A102,'Data shares'!$C:$FB,59)</f>
        <v>0</v>
      </c>
      <c r="L102" s="50">
        <f>VLOOKUP($A102,'Data shares'!$C:$FB,61)*100</f>
        <v>0</v>
      </c>
      <c r="M102" s="49">
        <f>VLOOKUP($A102,'Data shares'!$C:$FB,62)</f>
        <v>0</v>
      </c>
      <c r="N102" s="49">
        <f>VLOOKUP($A102,'Data shares'!$C:$FB,63)</f>
        <v>0</v>
      </c>
      <c r="O102" s="140">
        <f>VLOOKUP($A102,'Data shares'!$C:$FB,65)*100</f>
        <v>0</v>
      </c>
    </row>
    <row r="103" spans="1:15" x14ac:dyDescent="0.25">
      <c r="A103" s="101" t="str">
        <f>'Data Vlaue (Cr)'!C98</f>
        <v>INDIGO</v>
      </c>
      <c r="B103" s="50">
        <f>VLOOKUP($A103,'Data shares'!$C:$FB,7)</f>
        <v>4678.2</v>
      </c>
      <c r="C103" s="50">
        <f>VLOOKUP($A103,'Data shares'!$C:$FB,10)*100</f>
        <v>0.86</v>
      </c>
      <c r="D103" s="49">
        <f>VLOOKUP($A103,'Data shares'!$C:$FB,66)</f>
        <v>11590800</v>
      </c>
      <c r="E103" s="49">
        <f>VLOOKUP($A103,'Data shares'!$C:$FB,67)</f>
        <v>8943000</v>
      </c>
      <c r="F103" s="50">
        <f>VLOOKUP($A103,'Data shares'!$C:$FB,69)*100</f>
        <v>29.609999999999996</v>
      </c>
      <c r="G103" s="49">
        <f>VLOOKUP($A103,'Data shares'!$C:$FB,42)</f>
        <v>1230300</v>
      </c>
      <c r="H103" s="49">
        <f>VLOOKUP($A103,'Data shares'!$C:$FB,43)</f>
        <v>883800</v>
      </c>
      <c r="I103" s="50">
        <f>VLOOKUP($A103,'Data shares'!$C:$FB,45)*100</f>
        <v>39.21</v>
      </c>
      <c r="J103" s="49">
        <f>VLOOKUP($A103,'Data shares'!$C:$FB,58)</f>
        <v>5281500</v>
      </c>
      <c r="K103" s="49">
        <f>VLOOKUP($A103,'Data shares'!$C:$FB,59)</f>
        <v>4264350</v>
      </c>
      <c r="L103" s="50">
        <f>VLOOKUP($A103,'Data shares'!$C:$FB,61)*100</f>
        <v>23.849999999999998</v>
      </c>
      <c r="M103" s="49">
        <f>VLOOKUP($A103,'Data shares'!$C:$FB,62)</f>
        <v>5079000</v>
      </c>
      <c r="N103" s="49">
        <f>VLOOKUP($A103,'Data shares'!$C:$FB,63)</f>
        <v>3794850</v>
      </c>
      <c r="O103" s="140">
        <f>VLOOKUP($A103,'Data shares'!$C:$FB,65)*100</f>
        <v>33.839999999999996</v>
      </c>
    </row>
    <row r="104" spans="1:15" x14ac:dyDescent="0.25">
      <c r="A104" s="101" t="str">
        <f>'Data Vlaue (Cr)'!C99</f>
        <v>INDUSINDBK</v>
      </c>
      <c r="B104" s="50">
        <f>VLOOKUP($A104,'Data shares'!$C:$FB,7)</f>
        <v>851.95</v>
      </c>
      <c r="C104" s="50">
        <f>VLOOKUP($A104,'Data shares'!$C:$FB,10)*100</f>
        <v>-0.22999999999999998</v>
      </c>
      <c r="D104" s="49">
        <f>VLOOKUP($A104,'Data shares'!$C:$FB,66)</f>
        <v>16128000</v>
      </c>
      <c r="E104" s="49">
        <f>VLOOKUP($A104,'Data shares'!$C:$FB,67)</f>
        <v>16914100</v>
      </c>
      <c r="F104" s="50">
        <f>VLOOKUP($A104,'Data shares'!$C:$FB,69)*100</f>
        <v>-4.6500000000000004</v>
      </c>
      <c r="G104" s="49">
        <f>VLOOKUP($A104,'Data shares'!$C:$FB,42)</f>
        <v>4349100</v>
      </c>
      <c r="H104" s="49">
        <f>VLOOKUP($A104,'Data shares'!$C:$FB,43)</f>
        <v>3688300</v>
      </c>
      <c r="I104" s="50">
        <f>VLOOKUP($A104,'Data shares'!$C:$FB,45)*100</f>
        <v>17.919999999999998</v>
      </c>
      <c r="J104" s="49">
        <f>VLOOKUP($A104,'Data shares'!$C:$FB,58)</f>
        <v>6716500</v>
      </c>
      <c r="K104" s="49">
        <f>VLOOKUP($A104,'Data shares'!$C:$FB,59)</f>
        <v>8372700</v>
      </c>
      <c r="L104" s="50">
        <f>VLOOKUP($A104,'Data shares'!$C:$FB,61)*100</f>
        <v>-19.78</v>
      </c>
      <c r="M104" s="49">
        <f>VLOOKUP($A104,'Data shares'!$C:$FB,62)</f>
        <v>5062400</v>
      </c>
      <c r="N104" s="49">
        <f>VLOOKUP($A104,'Data shares'!$C:$FB,63)</f>
        <v>4853100</v>
      </c>
      <c r="O104" s="140">
        <f>VLOOKUP($A104,'Data shares'!$C:$FB,65)*100</f>
        <v>4.3099999999999996</v>
      </c>
    </row>
    <row r="105" spans="1:15" x14ac:dyDescent="0.25">
      <c r="A105" s="101" t="str">
        <f>'Data Vlaue (Cr)'!C100</f>
        <v>INDUSTOWER</v>
      </c>
      <c r="B105" s="50">
        <f>VLOOKUP($A105,'Data shares'!$C:$FB,7)</f>
        <v>405.8</v>
      </c>
      <c r="C105" s="50">
        <f>VLOOKUP($A105,'Data shares'!$C:$FB,10)*100</f>
        <v>-1.5599999999999998</v>
      </c>
      <c r="D105" s="49">
        <f>VLOOKUP($A105,'Data shares'!$C:$FB,66)</f>
        <v>42163400</v>
      </c>
      <c r="E105" s="49">
        <f>VLOOKUP($A105,'Data shares'!$C:$FB,67)</f>
        <v>73506300</v>
      </c>
      <c r="F105" s="50">
        <f>VLOOKUP($A105,'Data shares'!$C:$FB,69)*100</f>
        <v>-42.64</v>
      </c>
      <c r="G105" s="49">
        <f>VLOOKUP($A105,'Data shares'!$C:$FB,42)</f>
        <v>13538800</v>
      </c>
      <c r="H105" s="49">
        <f>VLOOKUP($A105,'Data shares'!$C:$FB,43)</f>
        <v>19789700</v>
      </c>
      <c r="I105" s="50">
        <f>VLOOKUP($A105,'Data shares'!$C:$FB,45)*100</f>
        <v>-31.59</v>
      </c>
      <c r="J105" s="49">
        <f>VLOOKUP($A105,'Data shares'!$C:$FB,58)</f>
        <v>20583600</v>
      </c>
      <c r="K105" s="49">
        <f>VLOOKUP($A105,'Data shares'!$C:$FB,59)</f>
        <v>35292000</v>
      </c>
      <c r="L105" s="50">
        <f>VLOOKUP($A105,'Data shares'!$C:$FB,61)*100</f>
        <v>-41.68</v>
      </c>
      <c r="M105" s="49">
        <f>VLOOKUP($A105,'Data shares'!$C:$FB,62)</f>
        <v>8041000</v>
      </c>
      <c r="N105" s="49">
        <f>VLOOKUP($A105,'Data shares'!$C:$FB,63)</f>
        <v>18424600</v>
      </c>
      <c r="O105" s="140">
        <f>VLOOKUP($A105,'Data shares'!$C:$FB,65)*100</f>
        <v>-56.36</v>
      </c>
    </row>
    <row r="106" spans="1:15" x14ac:dyDescent="0.25">
      <c r="A106" s="101" t="str">
        <f>'Data Vlaue (Cr)'!C101</f>
        <v>INFY</v>
      </c>
      <c r="B106" s="50">
        <f>VLOOKUP($A106,'Data shares'!$C:$FB,7)</f>
        <v>1312.6</v>
      </c>
      <c r="C106" s="50">
        <f>VLOOKUP($A106,'Data shares'!$C:$FB,10)*100</f>
        <v>-0.45999999999999996</v>
      </c>
      <c r="D106" s="49">
        <f>VLOOKUP($A106,'Data shares'!$C:$FB,66)</f>
        <v>32884400</v>
      </c>
      <c r="E106" s="49">
        <f>VLOOKUP($A106,'Data shares'!$C:$FB,67)</f>
        <v>42485600</v>
      </c>
      <c r="F106" s="50">
        <f>VLOOKUP($A106,'Data shares'!$C:$FB,69)*100</f>
        <v>-22.6</v>
      </c>
      <c r="G106" s="49">
        <f>VLOOKUP($A106,'Data shares'!$C:$FB,42)</f>
        <v>8458000</v>
      </c>
      <c r="H106" s="49">
        <f>VLOOKUP($A106,'Data shares'!$C:$FB,43)</f>
        <v>11066800</v>
      </c>
      <c r="I106" s="50">
        <f>VLOOKUP($A106,'Data shares'!$C:$FB,45)*100</f>
        <v>-23.57</v>
      </c>
      <c r="J106" s="49">
        <f>VLOOKUP($A106,'Data shares'!$C:$FB,58)</f>
        <v>15445200</v>
      </c>
      <c r="K106" s="49">
        <f>VLOOKUP($A106,'Data shares'!$C:$FB,59)</f>
        <v>18127200</v>
      </c>
      <c r="L106" s="50">
        <f>VLOOKUP($A106,'Data shares'!$C:$FB,61)*100</f>
        <v>-14.799999999999999</v>
      </c>
      <c r="M106" s="49">
        <f>VLOOKUP($A106,'Data shares'!$C:$FB,62)</f>
        <v>8981200</v>
      </c>
      <c r="N106" s="49">
        <f>VLOOKUP($A106,'Data shares'!$C:$FB,63)</f>
        <v>13291600</v>
      </c>
      <c r="O106" s="140">
        <f>VLOOKUP($A106,'Data shares'!$C:$FB,65)*100</f>
        <v>-32.43</v>
      </c>
    </row>
    <row r="107" spans="1:15" x14ac:dyDescent="0.25">
      <c r="A107" s="101" t="str">
        <f>'Data Vlaue (Cr)'!C102</f>
        <v>INOXWIND</v>
      </c>
      <c r="B107" s="50">
        <f>VLOOKUP($A107,'Data shares'!$C:$FB,7)</f>
        <v>97.35</v>
      </c>
      <c r="C107" s="50">
        <f>VLOOKUP($A107,'Data shares'!$C:$FB,10)*100</f>
        <v>-0.55999999999999994</v>
      </c>
      <c r="D107" s="49">
        <f>VLOOKUP($A107,'Data shares'!$C:$FB,66)</f>
        <v>44161975</v>
      </c>
      <c r="E107" s="49">
        <f>VLOOKUP($A107,'Data shares'!$C:$FB,67)</f>
        <v>111675850</v>
      </c>
      <c r="F107" s="50">
        <f>VLOOKUP($A107,'Data shares'!$C:$FB,69)*100</f>
        <v>-60.46</v>
      </c>
      <c r="G107" s="49">
        <f>VLOOKUP($A107,'Data shares'!$C:$FB,42)</f>
        <v>16502200</v>
      </c>
      <c r="H107" s="49">
        <f>VLOOKUP($A107,'Data shares'!$C:$FB,43)</f>
        <v>34248500</v>
      </c>
      <c r="I107" s="50">
        <f>VLOOKUP($A107,'Data shares'!$C:$FB,45)*100</f>
        <v>-51.82</v>
      </c>
      <c r="J107" s="49">
        <f>VLOOKUP($A107,'Data shares'!$C:$FB,58)</f>
        <v>20999550</v>
      </c>
      <c r="K107" s="49">
        <f>VLOOKUP($A107,'Data shares'!$C:$FB,59)</f>
        <v>57310825</v>
      </c>
      <c r="L107" s="50">
        <f>VLOOKUP($A107,'Data shares'!$C:$FB,61)*100</f>
        <v>-63.360000000000007</v>
      </c>
      <c r="M107" s="49">
        <f>VLOOKUP($A107,'Data shares'!$C:$FB,62)</f>
        <v>6660225</v>
      </c>
      <c r="N107" s="49">
        <f>VLOOKUP($A107,'Data shares'!$C:$FB,63)</f>
        <v>20116525</v>
      </c>
      <c r="O107" s="140">
        <f>VLOOKUP($A107,'Data shares'!$C:$FB,65)*100</f>
        <v>-66.89</v>
      </c>
    </row>
    <row r="108" spans="1:15" x14ac:dyDescent="0.25">
      <c r="A108" s="101" t="str">
        <f>'Data Vlaue (Cr)'!C103</f>
        <v>IOC</v>
      </c>
      <c r="B108" s="50">
        <f>VLOOKUP($A108,'Data shares'!$C:$FB,7)</f>
        <v>146.87</v>
      </c>
      <c r="C108" s="50">
        <f>VLOOKUP($A108,'Data shares'!$C:$FB,10)*100</f>
        <v>0.67999999999999994</v>
      </c>
      <c r="D108" s="49">
        <f>VLOOKUP($A108,'Data shares'!$C:$FB,66)</f>
        <v>116078625</v>
      </c>
      <c r="E108" s="49">
        <f>VLOOKUP($A108,'Data shares'!$C:$FB,67)</f>
        <v>69717375</v>
      </c>
      <c r="F108" s="50">
        <f>VLOOKUP($A108,'Data shares'!$C:$FB,69)*100</f>
        <v>66.5</v>
      </c>
      <c r="G108" s="49">
        <f>VLOOKUP($A108,'Data shares'!$C:$FB,42)</f>
        <v>23185500</v>
      </c>
      <c r="H108" s="49">
        <f>VLOOKUP($A108,'Data shares'!$C:$FB,43)</f>
        <v>13435500</v>
      </c>
      <c r="I108" s="50">
        <f>VLOOKUP($A108,'Data shares'!$C:$FB,45)*100</f>
        <v>72.570000000000007</v>
      </c>
      <c r="J108" s="49">
        <f>VLOOKUP($A108,'Data shares'!$C:$FB,58)</f>
        <v>55828500</v>
      </c>
      <c r="K108" s="49">
        <f>VLOOKUP($A108,'Data shares'!$C:$FB,59)</f>
        <v>35265750</v>
      </c>
      <c r="L108" s="50">
        <f>VLOOKUP($A108,'Data shares'!$C:$FB,61)*100</f>
        <v>58.309999999999995</v>
      </c>
      <c r="M108" s="49">
        <f>VLOOKUP($A108,'Data shares'!$C:$FB,62)</f>
        <v>37064625</v>
      </c>
      <c r="N108" s="49">
        <f>VLOOKUP($A108,'Data shares'!$C:$FB,63)</f>
        <v>21016125</v>
      </c>
      <c r="O108" s="140">
        <f>VLOOKUP($A108,'Data shares'!$C:$FB,65)*100</f>
        <v>76.36</v>
      </c>
    </row>
    <row r="109" spans="1:15" x14ac:dyDescent="0.25">
      <c r="A109" s="101" t="str">
        <f>'Data Vlaue (Cr)'!C104</f>
        <v>IREDA</v>
      </c>
      <c r="B109" s="50">
        <f>VLOOKUP($A109,'Data shares'!$C:$FB,7)</f>
        <v>130.13999999999999</v>
      </c>
      <c r="C109" s="50">
        <f>VLOOKUP($A109,'Data shares'!$C:$FB,10)*100</f>
        <v>-2.16</v>
      </c>
      <c r="D109" s="49">
        <f>VLOOKUP($A109,'Data shares'!$C:$FB,66)</f>
        <v>33268350</v>
      </c>
      <c r="E109" s="49">
        <f>VLOOKUP($A109,'Data shares'!$C:$FB,67)</f>
        <v>92953350</v>
      </c>
      <c r="F109" s="50">
        <f>VLOOKUP($A109,'Data shares'!$C:$FB,69)*100</f>
        <v>-64.209999999999994</v>
      </c>
      <c r="G109" s="49">
        <f>VLOOKUP($A109,'Data shares'!$C:$FB,42)</f>
        <v>13041000</v>
      </c>
      <c r="H109" s="49">
        <f>VLOOKUP($A109,'Data shares'!$C:$FB,43)</f>
        <v>24743400</v>
      </c>
      <c r="I109" s="50">
        <f>VLOOKUP($A109,'Data shares'!$C:$FB,45)*100</f>
        <v>-47.3</v>
      </c>
      <c r="J109" s="49">
        <f>VLOOKUP($A109,'Data shares'!$C:$FB,58)</f>
        <v>14714250</v>
      </c>
      <c r="K109" s="49">
        <f>VLOOKUP($A109,'Data shares'!$C:$FB,59)</f>
        <v>51536100</v>
      </c>
      <c r="L109" s="50">
        <f>VLOOKUP($A109,'Data shares'!$C:$FB,61)*100</f>
        <v>-71.45</v>
      </c>
      <c r="M109" s="49">
        <f>VLOOKUP($A109,'Data shares'!$C:$FB,62)</f>
        <v>5513100</v>
      </c>
      <c r="N109" s="49">
        <f>VLOOKUP($A109,'Data shares'!$C:$FB,63)</f>
        <v>16673850</v>
      </c>
      <c r="O109" s="140">
        <f>VLOOKUP($A109,'Data shares'!$C:$FB,65)*100</f>
        <v>-66.94</v>
      </c>
    </row>
    <row r="110" spans="1:15" x14ac:dyDescent="0.25">
      <c r="A110" s="101" t="str">
        <f>'Data Vlaue (Cr)'!C105</f>
        <v>IRFC</v>
      </c>
      <c r="B110" s="50">
        <f>VLOOKUP($A110,'Data shares'!$C:$FB,7)</f>
        <v>103.02</v>
      </c>
      <c r="C110" s="50">
        <f>VLOOKUP($A110,'Data shares'!$C:$FB,10)*100</f>
        <v>-1.7399999999999998</v>
      </c>
      <c r="D110" s="49">
        <f>VLOOKUP($A110,'Data shares'!$C:$FB,66)</f>
        <v>53936750</v>
      </c>
      <c r="E110" s="49">
        <f>VLOOKUP($A110,'Data shares'!$C:$FB,67)</f>
        <v>120759500</v>
      </c>
      <c r="F110" s="50">
        <f>VLOOKUP($A110,'Data shares'!$C:$FB,69)*100</f>
        <v>-55.34</v>
      </c>
      <c r="G110" s="49">
        <f>VLOOKUP($A110,'Data shares'!$C:$FB,42)</f>
        <v>11317750</v>
      </c>
      <c r="H110" s="49">
        <f>VLOOKUP($A110,'Data shares'!$C:$FB,43)</f>
        <v>18228250</v>
      </c>
      <c r="I110" s="50">
        <f>VLOOKUP($A110,'Data shares'!$C:$FB,45)*100</f>
        <v>-37.909999999999997</v>
      </c>
      <c r="J110" s="49">
        <f>VLOOKUP($A110,'Data shares'!$C:$FB,58)</f>
        <v>29639500</v>
      </c>
      <c r="K110" s="49">
        <f>VLOOKUP($A110,'Data shares'!$C:$FB,59)</f>
        <v>73686500</v>
      </c>
      <c r="L110" s="50">
        <f>VLOOKUP($A110,'Data shares'!$C:$FB,61)*100</f>
        <v>-59.78</v>
      </c>
      <c r="M110" s="49">
        <f>VLOOKUP($A110,'Data shares'!$C:$FB,62)</f>
        <v>12979500</v>
      </c>
      <c r="N110" s="49">
        <f>VLOOKUP($A110,'Data shares'!$C:$FB,63)</f>
        <v>28844750</v>
      </c>
      <c r="O110" s="140">
        <f>VLOOKUP($A110,'Data shares'!$C:$FB,65)*100</f>
        <v>-55.000000000000007</v>
      </c>
    </row>
    <row r="111" spans="1:15" x14ac:dyDescent="0.25">
      <c r="A111" s="101" t="str">
        <f>'Data Vlaue (Cr)'!C106</f>
        <v>ITC</v>
      </c>
      <c r="B111" s="50">
        <f>VLOOKUP($A111,'Data shares'!$C:$FB,7)</f>
        <v>305</v>
      </c>
      <c r="C111" s="50">
        <f>VLOOKUP($A111,'Data shares'!$C:$FB,10)*100</f>
        <v>-0.59</v>
      </c>
      <c r="D111" s="49">
        <f>VLOOKUP($A111,'Data shares'!$C:$FB,66)</f>
        <v>123320000</v>
      </c>
      <c r="E111" s="49">
        <f>VLOOKUP($A111,'Data shares'!$C:$FB,67)</f>
        <v>440985600</v>
      </c>
      <c r="F111" s="50">
        <f>VLOOKUP($A111,'Data shares'!$C:$FB,69)*100</f>
        <v>-72.040000000000006</v>
      </c>
      <c r="G111" s="49">
        <f>VLOOKUP($A111,'Data shares'!$C:$FB,42)</f>
        <v>11292800</v>
      </c>
      <c r="H111" s="49">
        <f>VLOOKUP($A111,'Data shares'!$C:$FB,43)</f>
        <v>33737600</v>
      </c>
      <c r="I111" s="50">
        <f>VLOOKUP($A111,'Data shares'!$C:$FB,45)*100</f>
        <v>-66.53</v>
      </c>
      <c r="J111" s="49">
        <f>VLOOKUP($A111,'Data shares'!$C:$FB,58)</f>
        <v>83636800</v>
      </c>
      <c r="K111" s="49">
        <f>VLOOKUP($A111,'Data shares'!$C:$FB,59)</f>
        <v>285123200</v>
      </c>
      <c r="L111" s="50">
        <f>VLOOKUP($A111,'Data shares'!$C:$FB,61)*100</f>
        <v>-70.67</v>
      </c>
      <c r="M111" s="49">
        <f>VLOOKUP($A111,'Data shares'!$C:$FB,62)</f>
        <v>28390400</v>
      </c>
      <c r="N111" s="49">
        <f>VLOOKUP($A111,'Data shares'!$C:$FB,63)</f>
        <v>122124800</v>
      </c>
      <c r="O111" s="140">
        <f>VLOOKUP($A111,'Data shares'!$C:$FB,65)*100</f>
        <v>-76.75</v>
      </c>
    </row>
    <row r="112" spans="1:15" x14ac:dyDescent="0.25">
      <c r="A112" s="101" t="str">
        <f>'Data Vlaue (Cr)'!C107</f>
        <v>JINDALSTEL</v>
      </c>
      <c r="B112" s="50">
        <f>VLOOKUP($A112,'Data shares'!$C:$FB,7)</f>
        <v>1287.7</v>
      </c>
      <c r="C112" s="50">
        <f>VLOOKUP($A112,'Data shares'!$C:$FB,10)*100</f>
        <v>1.39</v>
      </c>
      <c r="D112" s="49">
        <f>VLOOKUP($A112,'Data shares'!$C:$FB,66)</f>
        <v>17013750</v>
      </c>
      <c r="E112" s="49">
        <f>VLOOKUP($A112,'Data shares'!$C:$FB,67)</f>
        <v>24908750</v>
      </c>
      <c r="F112" s="50">
        <f>VLOOKUP($A112,'Data shares'!$C:$FB,69)*100</f>
        <v>-31.7</v>
      </c>
      <c r="G112" s="49">
        <f>VLOOKUP($A112,'Data shares'!$C:$FB,42)</f>
        <v>2896875</v>
      </c>
      <c r="H112" s="49">
        <f>VLOOKUP($A112,'Data shares'!$C:$FB,43)</f>
        <v>3737500</v>
      </c>
      <c r="I112" s="50">
        <f>VLOOKUP($A112,'Data shares'!$C:$FB,45)*100</f>
        <v>-22.49</v>
      </c>
      <c r="J112" s="49">
        <f>VLOOKUP($A112,'Data shares'!$C:$FB,58)</f>
        <v>9269375</v>
      </c>
      <c r="K112" s="49">
        <f>VLOOKUP($A112,'Data shares'!$C:$FB,59)</f>
        <v>13189375</v>
      </c>
      <c r="L112" s="50">
        <f>VLOOKUP($A112,'Data shares'!$C:$FB,61)*100</f>
        <v>-29.720000000000002</v>
      </c>
      <c r="M112" s="49">
        <f>VLOOKUP($A112,'Data shares'!$C:$FB,62)</f>
        <v>4847500</v>
      </c>
      <c r="N112" s="49">
        <f>VLOOKUP($A112,'Data shares'!$C:$FB,63)</f>
        <v>7981875</v>
      </c>
      <c r="O112" s="140">
        <f>VLOOKUP($A112,'Data shares'!$C:$FB,65)*100</f>
        <v>-39.269999999999996</v>
      </c>
    </row>
    <row r="113" spans="1:15" x14ac:dyDescent="0.25">
      <c r="A113" s="101" t="str">
        <f>'Data Vlaue (Cr)'!C108</f>
        <v>JIOFIN</v>
      </c>
      <c r="B113" s="50">
        <f>VLOOKUP($A113,'Data shares'!$C:$FB,7)</f>
        <v>237.15</v>
      </c>
      <c r="C113" s="50">
        <f>VLOOKUP($A113,'Data shares'!$C:$FB,10)*100</f>
        <v>-2.75</v>
      </c>
      <c r="D113" s="49">
        <f>VLOOKUP($A113,'Data shares'!$C:$FB,66)</f>
        <v>282105750</v>
      </c>
      <c r="E113" s="49">
        <f>VLOOKUP($A113,'Data shares'!$C:$FB,67)</f>
        <v>212703200</v>
      </c>
      <c r="F113" s="50">
        <f>VLOOKUP($A113,'Data shares'!$C:$FB,69)*100</f>
        <v>32.629999999999995</v>
      </c>
      <c r="G113" s="49">
        <f>VLOOKUP($A113,'Data shares'!$C:$FB,42)</f>
        <v>41973350</v>
      </c>
      <c r="H113" s="49">
        <f>VLOOKUP($A113,'Data shares'!$C:$FB,43)</f>
        <v>43778150</v>
      </c>
      <c r="I113" s="50">
        <f>VLOOKUP($A113,'Data shares'!$C:$FB,45)*100</f>
        <v>-4.12</v>
      </c>
      <c r="J113" s="49">
        <f>VLOOKUP($A113,'Data shares'!$C:$FB,58)</f>
        <v>155356150</v>
      </c>
      <c r="K113" s="49">
        <f>VLOOKUP($A113,'Data shares'!$C:$FB,59)</f>
        <v>126477000</v>
      </c>
      <c r="L113" s="50">
        <f>VLOOKUP($A113,'Data shares'!$C:$FB,61)*100</f>
        <v>22.830000000000002</v>
      </c>
      <c r="M113" s="49">
        <f>VLOOKUP($A113,'Data shares'!$C:$FB,62)</f>
        <v>84776250</v>
      </c>
      <c r="N113" s="49">
        <f>VLOOKUP($A113,'Data shares'!$C:$FB,63)</f>
        <v>42448050</v>
      </c>
      <c r="O113" s="140">
        <f>VLOOKUP($A113,'Data shares'!$C:$FB,65)*100</f>
        <v>99.72</v>
      </c>
    </row>
    <row r="114" spans="1:15" x14ac:dyDescent="0.25">
      <c r="A114" s="101" t="str">
        <f>'Data Vlaue (Cr)'!C109</f>
        <v>JSWENERGY</v>
      </c>
      <c r="B114" s="50">
        <f>VLOOKUP($A114,'Data shares'!$C:$FB,7)</f>
        <v>543.04999999999995</v>
      </c>
      <c r="C114" s="50">
        <f>VLOOKUP($A114,'Data shares'!$C:$FB,10)*100</f>
        <v>0.92999999999999994</v>
      </c>
      <c r="D114" s="49">
        <f>VLOOKUP($A114,'Data shares'!$C:$FB,66)</f>
        <v>28482000</v>
      </c>
      <c r="E114" s="49">
        <f>VLOOKUP($A114,'Data shares'!$C:$FB,67)</f>
        <v>16059000</v>
      </c>
      <c r="F114" s="50">
        <f>VLOOKUP($A114,'Data shares'!$C:$FB,69)*100</f>
        <v>77.36</v>
      </c>
      <c r="G114" s="49">
        <f>VLOOKUP($A114,'Data shares'!$C:$FB,42)</f>
        <v>5311000</v>
      </c>
      <c r="H114" s="49">
        <f>VLOOKUP($A114,'Data shares'!$C:$FB,43)</f>
        <v>3646000</v>
      </c>
      <c r="I114" s="50">
        <f>VLOOKUP($A114,'Data shares'!$C:$FB,45)*100</f>
        <v>45.67</v>
      </c>
      <c r="J114" s="49">
        <f>VLOOKUP($A114,'Data shares'!$C:$FB,58)</f>
        <v>17686000</v>
      </c>
      <c r="K114" s="49">
        <f>VLOOKUP($A114,'Data shares'!$C:$FB,59)</f>
        <v>8100000</v>
      </c>
      <c r="L114" s="50">
        <f>VLOOKUP($A114,'Data shares'!$C:$FB,61)*100</f>
        <v>118.35</v>
      </c>
      <c r="M114" s="49">
        <f>VLOOKUP($A114,'Data shares'!$C:$FB,62)</f>
        <v>5485000</v>
      </c>
      <c r="N114" s="49">
        <f>VLOOKUP($A114,'Data shares'!$C:$FB,63)</f>
        <v>4313000</v>
      </c>
      <c r="O114" s="140">
        <f>VLOOKUP($A114,'Data shares'!$C:$FB,65)*100</f>
        <v>27.169999999999998</v>
      </c>
    </row>
    <row r="115" spans="1:15" x14ac:dyDescent="0.25">
      <c r="A115" s="101" t="str">
        <f>'Data Vlaue (Cr)'!C110</f>
        <v>JSWSTEEL</v>
      </c>
      <c r="B115" s="50">
        <f>VLOOKUP($A115,'Data shares'!$C:$FB,7)</f>
        <v>1274.5</v>
      </c>
      <c r="C115" s="50">
        <f>VLOOKUP($A115,'Data shares'!$C:$FB,10)*100</f>
        <v>2.76</v>
      </c>
      <c r="D115" s="49">
        <f>VLOOKUP($A115,'Data shares'!$C:$FB,66)</f>
        <v>30964950</v>
      </c>
      <c r="E115" s="49">
        <f>VLOOKUP($A115,'Data shares'!$C:$FB,67)</f>
        <v>21487950</v>
      </c>
      <c r="F115" s="50">
        <f>VLOOKUP($A115,'Data shares'!$C:$FB,69)*100</f>
        <v>44.1</v>
      </c>
      <c r="G115" s="49">
        <f>VLOOKUP($A115,'Data shares'!$C:$FB,42)</f>
        <v>5772600</v>
      </c>
      <c r="H115" s="49">
        <f>VLOOKUP($A115,'Data shares'!$C:$FB,43)</f>
        <v>5396625</v>
      </c>
      <c r="I115" s="50">
        <f>VLOOKUP($A115,'Data shares'!$C:$FB,45)*100</f>
        <v>6.97</v>
      </c>
      <c r="J115" s="49">
        <f>VLOOKUP($A115,'Data shares'!$C:$FB,58)</f>
        <v>17338725</v>
      </c>
      <c r="K115" s="49">
        <f>VLOOKUP($A115,'Data shares'!$C:$FB,59)</f>
        <v>10752075</v>
      </c>
      <c r="L115" s="50">
        <f>VLOOKUP($A115,'Data shares'!$C:$FB,61)*100</f>
        <v>61.260000000000005</v>
      </c>
      <c r="M115" s="49">
        <f>VLOOKUP($A115,'Data shares'!$C:$FB,62)</f>
        <v>7853625</v>
      </c>
      <c r="N115" s="49">
        <f>VLOOKUP($A115,'Data shares'!$C:$FB,63)</f>
        <v>5339250</v>
      </c>
      <c r="O115" s="140">
        <f>VLOOKUP($A115,'Data shares'!$C:$FB,65)*100</f>
        <v>47.089999999999996</v>
      </c>
    </row>
    <row r="116" spans="1:15" x14ac:dyDescent="0.25">
      <c r="A116" s="101" t="str">
        <f>'Data Vlaue (Cr)'!C111</f>
        <v>JUBLFOOD</v>
      </c>
      <c r="B116" s="50">
        <f>VLOOKUP($A116,'Data shares'!$C:$FB,7)</f>
        <v>456.15</v>
      </c>
      <c r="C116" s="50">
        <f>VLOOKUP($A116,'Data shares'!$C:$FB,10)*100</f>
        <v>-0.61</v>
      </c>
      <c r="D116" s="49">
        <f>VLOOKUP($A116,'Data shares'!$C:$FB,66)</f>
        <v>29130000</v>
      </c>
      <c r="E116" s="49">
        <f>VLOOKUP($A116,'Data shares'!$C:$FB,67)</f>
        <v>39621250</v>
      </c>
      <c r="F116" s="50">
        <f>VLOOKUP($A116,'Data shares'!$C:$FB,69)*100</f>
        <v>-26.479999999999997</v>
      </c>
      <c r="G116" s="49">
        <f>VLOOKUP($A116,'Data shares'!$C:$FB,42)</f>
        <v>8310000</v>
      </c>
      <c r="H116" s="49">
        <f>VLOOKUP($A116,'Data shares'!$C:$FB,43)</f>
        <v>9136250</v>
      </c>
      <c r="I116" s="50">
        <f>VLOOKUP($A116,'Data shares'!$C:$FB,45)*100</f>
        <v>-9.0399999999999991</v>
      </c>
      <c r="J116" s="49">
        <f>VLOOKUP($A116,'Data shares'!$C:$FB,58)</f>
        <v>14993750</v>
      </c>
      <c r="K116" s="49">
        <f>VLOOKUP($A116,'Data shares'!$C:$FB,59)</f>
        <v>21892500</v>
      </c>
      <c r="L116" s="50">
        <f>VLOOKUP($A116,'Data shares'!$C:$FB,61)*100</f>
        <v>-31.509999999999998</v>
      </c>
      <c r="M116" s="49">
        <f>VLOOKUP($A116,'Data shares'!$C:$FB,62)</f>
        <v>5826250</v>
      </c>
      <c r="N116" s="49">
        <f>VLOOKUP($A116,'Data shares'!$C:$FB,63)</f>
        <v>8592500</v>
      </c>
      <c r="O116" s="140">
        <f>VLOOKUP($A116,'Data shares'!$C:$FB,65)*100</f>
        <v>-32.190000000000005</v>
      </c>
    </row>
    <row r="117" spans="1:15" x14ac:dyDescent="0.25">
      <c r="A117" s="101" t="str">
        <f>'Data Vlaue (Cr)'!C112</f>
        <v>KALYANKJIL</v>
      </c>
      <c r="B117" s="50">
        <f>VLOOKUP($A117,'Data shares'!$C:$FB,7)</f>
        <v>417.5</v>
      </c>
      <c r="C117" s="50">
        <f>VLOOKUP($A117,'Data shares'!$C:$FB,10)*100</f>
        <v>-2.19</v>
      </c>
      <c r="D117" s="49">
        <f>VLOOKUP($A117,'Data shares'!$C:$FB,66)</f>
        <v>29362075</v>
      </c>
      <c r="E117" s="49">
        <f>VLOOKUP($A117,'Data shares'!$C:$FB,67)</f>
        <v>148035900</v>
      </c>
      <c r="F117" s="50">
        <f>VLOOKUP($A117,'Data shares'!$C:$FB,69)*100</f>
        <v>-80.17</v>
      </c>
      <c r="G117" s="49">
        <f>VLOOKUP($A117,'Data shares'!$C:$FB,42)</f>
        <v>3354625</v>
      </c>
      <c r="H117" s="49">
        <f>VLOOKUP($A117,'Data shares'!$C:$FB,43)</f>
        <v>17582700</v>
      </c>
      <c r="I117" s="50">
        <f>VLOOKUP($A117,'Data shares'!$C:$FB,45)*100</f>
        <v>-80.92</v>
      </c>
      <c r="J117" s="49">
        <f>VLOOKUP($A117,'Data shares'!$C:$FB,58)</f>
        <v>17855300</v>
      </c>
      <c r="K117" s="49">
        <f>VLOOKUP($A117,'Data shares'!$C:$FB,59)</f>
        <v>75230550</v>
      </c>
      <c r="L117" s="50">
        <f>VLOOKUP($A117,'Data shares'!$C:$FB,61)*100</f>
        <v>-76.27000000000001</v>
      </c>
      <c r="M117" s="49">
        <f>VLOOKUP($A117,'Data shares'!$C:$FB,62)</f>
        <v>8152150</v>
      </c>
      <c r="N117" s="49">
        <f>VLOOKUP($A117,'Data shares'!$C:$FB,63)</f>
        <v>55222650</v>
      </c>
      <c r="O117" s="140">
        <f>VLOOKUP($A117,'Data shares'!$C:$FB,65)*100</f>
        <v>-85.240000000000009</v>
      </c>
    </row>
    <row r="118" spans="1:15" x14ac:dyDescent="0.25">
      <c r="A118" s="101" t="str">
        <f>'Data Vlaue (Cr)'!C113</f>
        <v>KAYNES</v>
      </c>
      <c r="B118" s="50">
        <f>VLOOKUP($A118,'Data shares'!$C:$FB,7)</f>
        <v>4222.6000000000004</v>
      </c>
      <c r="C118" s="50">
        <f>VLOOKUP($A118,'Data shares'!$C:$FB,10)*100</f>
        <v>0.19</v>
      </c>
      <c r="D118" s="49">
        <f>VLOOKUP($A118,'Data shares'!$C:$FB,66)</f>
        <v>6410500</v>
      </c>
      <c r="E118" s="49">
        <f>VLOOKUP($A118,'Data shares'!$C:$FB,67)</f>
        <v>4778200</v>
      </c>
      <c r="F118" s="50">
        <f>VLOOKUP($A118,'Data shares'!$C:$FB,69)*100</f>
        <v>34.160000000000004</v>
      </c>
      <c r="G118" s="49">
        <f>VLOOKUP($A118,'Data shares'!$C:$FB,42)</f>
        <v>1190200</v>
      </c>
      <c r="H118" s="49">
        <f>VLOOKUP($A118,'Data shares'!$C:$FB,43)</f>
        <v>711200</v>
      </c>
      <c r="I118" s="50">
        <f>VLOOKUP($A118,'Data shares'!$C:$FB,45)*100</f>
        <v>67.349999999999994</v>
      </c>
      <c r="J118" s="49">
        <f>VLOOKUP($A118,'Data shares'!$C:$FB,58)</f>
        <v>3021900</v>
      </c>
      <c r="K118" s="49">
        <f>VLOOKUP($A118,'Data shares'!$C:$FB,59)</f>
        <v>2470300</v>
      </c>
      <c r="L118" s="50">
        <f>VLOOKUP($A118,'Data shares'!$C:$FB,61)*100</f>
        <v>22.33</v>
      </c>
      <c r="M118" s="49">
        <f>VLOOKUP($A118,'Data shares'!$C:$FB,62)</f>
        <v>2198400</v>
      </c>
      <c r="N118" s="49">
        <f>VLOOKUP($A118,'Data shares'!$C:$FB,63)</f>
        <v>1596700</v>
      </c>
      <c r="O118" s="140">
        <f>VLOOKUP($A118,'Data shares'!$C:$FB,65)*100</f>
        <v>37.68</v>
      </c>
    </row>
    <row r="119" spans="1:15" x14ac:dyDescent="0.25">
      <c r="A119" s="101" t="str">
        <f>'Data Vlaue (Cr)'!C114</f>
        <v>KEI</v>
      </c>
      <c r="B119" s="50">
        <f>VLOOKUP($A119,'Data shares'!$C:$FB,7)</f>
        <v>4880.6000000000004</v>
      </c>
      <c r="C119" s="50">
        <f>VLOOKUP($A119,'Data shares'!$C:$FB,10)*100</f>
        <v>0.85000000000000009</v>
      </c>
      <c r="D119" s="49">
        <f>VLOOKUP($A119,'Data shares'!$C:$FB,66)</f>
        <v>2537850</v>
      </c>
      <c r="E119" s="49">
        <f>VLOOKUP($A119,'Data shares'!$C:$FB,67)</f>
        <v>5513200</v>
      </c>
      <c r="F119" s="50">
        <f>VLOOKUP($A119,'Data shares'!$C:$FB,69)*100</f>
        <v>-53.97</v>
      </c>
      <c r="G119" s="49">
        <f>VLOOKUP($A119,'Data shares'!$C:$FB,42)</f>
        <v>705425</v>
      </c>
      <c r="H119" s="49">
        <f>VLOOKUP($A119,'Data shares'!$C:$FB,43)</f>
        <v>772275</v>
      </c>
      <c r="I119" s="50">
        <f>VLOOKUP($A119,'Data shares'!$C:$FB,45)*100</f>
        <v>-8.66</v>
      </c>
      <c r="J119" s="49">
        <f>VLOOKUP($A119,'Data shares'!$C:$FB,58)</f>
        <v>1325275</v>
      </c>
      <c r="K119" s="49">
        <f>VLOOKUP($A119,'Data shares'!$C:$FB,59)</f>
        <v>3695300</v>
      </c>
      <c r="L119" s="50">
        <f>VLOOKUP($A119,'Data shares'!$C:$FB,61)*100</f>
        <v>-64.14</v>
      </c>
      <c r="M119" s="49">
        <f>VLOOKUP($A119,'Data shares'!$C:$FB,62)</f>
        <v>507150</v>
      </c>
      <c r="N119" s="49">
        <f>VLOOKUP($A119,'Data shares'!$C:$FB,63)</f>
        <v>1045625</v>
      </c>
      <c r="O119" s="140">
        <f>VLOOKUP($A119,'Data shares'!$C:$FB,65)*100</f>
        <v>-51.5</v>
      </c>
    </row>
    <row r="120" spans="1:15" x14ac:dyDescent="0.25">
      <c r="A120" s="101" t="str">
        <f>'Data Vlaue (Cr)'!C115</f>
        <v>KFINTECH</v>
      </c>
      <c r="B120" s="50">
        <f>VLOOKUP($A120,'Data shares'!$C:$FB,7)</f>
        <v>975.1</v>
      </c>
      <c r="C120" s="50">
        <f>VLOOKUP($A120,'Data shares'!$C:$FB,10)*100</f>
        <v>-0.09</v>
      </c>
      <c r="D120" s="49">
        <f>VLOOKUP($A120,'Data shares'!$C:$FB,66)</f>
        <v>6351000</v>
      </c>
      <c r="E120" s="49">
        <f>VLOOKUP($A120,'Data shares'!$C:$FB,67)</f>
        <v>9726000</v>
      </c>
      <c r="F120" s="50">
        <f>VLOOKUP($A120,'Data shares'!$C:$FB,69)*100</f>
        <v>-34.699999999999996</v>
      </c>
      <c r="G120" s="49">
        <f>VLOOKUP($A120,'Data shares'!$C:$FB,42)</f>
        <v>1983500</v>
      </c>
      <c r="H120" s="49">
        <f>VLOOKUP($A120,'Data shares'!$C:$FB,43)</f>
        <v>1804500</v>
      </c>
      <c r="I120" s="50">
        <f>VLOOKUP($A120,'Data shares'!$C:$FB,45)*100</f>
        <v>9.92</v>
      </c>
      <c r="J120" s="49">
        <f>VLOOKUP($A120,'Data shares'!$C:$FB,58)</f>
        <v>3321500</v>
      </c>
      <c r="K120" s="49">
        <f>VLOOKUP($A120,'Data shares'!$C:$FB,59)</f>
        <v>6310000</v>
      </c>
      <c r="L120" s="50">
        <f>VLOOKUP($A120,'Data shares'!$C:$FB,61)*100</f>
        <v>-47.36</v>
      </c>
      <c r="M120" s="49">
        <f>VLOOKUP($A120,'Data shares'!$C:$FB,62)</f>
        <v>1046000</v>
      </c>
      <c r="N120" s="49">
        <f>VLOOKUP($A120,'Data shares'!$C:$FB,63)</f>
        <v>1611500</v>
      </c>
      <c r="O120" s="140">
        <f>VLOOKUP($A120,'Data shares'!$C:$FB,65)*100</f>
        <v>-35.089999999999996</v>
      </c>
    </row>
    <row r="121" spans="1:15" x14ac:dyDescent="0.25">
      <c r="A121" s="101" t="str">
        <f>'Data Vlaue (Cr)'!C116</f>
        <v>KOTAKBANK</v>
      </c>
      <c r="B121" s="50">
        <f>VLOOKUP($A121,'Data shares'!$C:$FB,7)</f>
        <v>379.2</v>
      </c>
      <c r="C121" s="50">
        <f>VLOOKUP($A121,'Data shares'!$C:$FB,10)*100</f>
        <v>-1.1499999999999999</v>
      </c>
      <c r="D121" s="49">
        <f>VLOOKUP($A121,'Data shares'!$C:$FB,66)</f>
        <v>66728000</v>
      </c>
      <c r="E121" s="49">
        <f>VLOOKUP($A121,'Data shares'!$C:$FB,67)</f>
        <v>68980000</v>
      </c>
      <c r="F121" s="50">
        <f>VLOOKUP($A121,'Data shares'!$C:$FB,69)*100</f>
        <v>-3.26</v>
      </c>
      <c r="G121" s="49">
        <f>VLOOKUP($A121,'Data shares'!$C:$FB,42)</f>
        <v>21316000</v>
      </c>
      <c r="H121" s="49">
        <f>VLOOKUP($A121,'Data shares'!$C:$FB,43)</f>
        <v>23902000</v>
      </c>
      <c r="I121" s="50">
        <f>VLOOKUP($A121,'Data shares'!$C:$FB,45)*100</f>
        <v>-10.82</v>
      </c>
      <c r="J121" s="49">
        <f>VLOOKUP($A121,'Data shares'!$C:$FB,58)</f>
        <v>29372000</v>
      </c>
      <c r="K121" s="49">
        <f>VLOOKUP($A121,'Data shares'!$C:$FB,59)</f>
        <v>28040000</v>
      </c>
      <c r="L121" s="50">
        <f>VLOOKUP($A121,'Data shares'!$C:$FB,61)*100</f>
        <v>4.75</v>
      </c>
      <c r="M121" s="49">
        <f>VLOOKUP($A121,'Data shares'!$C:$FB,62)</f>
        <v>16040000</v>
      </c>
      <c r="N121" s="49">
        <f>VLOOKUP($A121,'Data shares'!$C:$FB,63)</f>
        <v>17038000</v>
      </c>
      <c r="O121" s="140">
        <f>VLOOKUP($A121,'Data shares'!$C:$FB,65)*100</f>
        <v>-5.86</v>
      </c>
    </row>
    <row r="122" spans="1:15" x14ac:dyDescent="0.25">
      <c r="A122" s="101" t="str">
        <f>'Data Vlaue (Cr)'!C117</f>
        <v>KPITTECH</v>
      </c>
      <c r="B122" s="50">
        <f>VLOOKUP($A122,'Data shares'!$C:$FB,7)</f>
        <v>734.4</v>
      </c>
      <c r="C122" s="50">
        <f>VLOOKUP($A122,'Data shares'!$C:$FB,10)*100</f>
        <v>-1.79</v>
      </c>
      <c r="D122" s="49">
        <f>VLOOKUP($A122,'Data shares'!$C:$FB,66)</f>
        <v>9279450</v>
      </c>
      <c r="E122" s="49">
        <f>VLOOKUP($A122,'Data shares'!$C:$FB,67)</f>
        <v>7751150</v>
      </c>
      <c r="F122" s="50">
        <f>VLOOKUP($A122,'Data shares'!$C:$FB,69)*100</f>
        <v>19.72</v>
      </c>
      <c r="G122" s="49">
        <f>VLOOKUP($A122,'Data shares'!$C:$FB,42)</f>
        <v>1963925</v>
      </c>
      <c r="H122" s="49">
        <f>VLOOKUP($A122,'Data shares'!$C:$FB,43)</f>
        <v>1365950</v>
      </c>
      <c r="I122" s="50">
        <f>VLOOKUP($A122,'Data shares'!$C:$FB,45)*100</f>
        <v>43.78</v>
      </c>
      <c r="J122" s="49">
        <f>VLOOKUP($A122,'Data shares'!$C:$FB,58)</f>
        <v>3520275</v>
      </c>
      <c r="K122" s="49">
        <f>VLOOKUP($A122,'Data shares'!$C:$FB,59)</f>
        <v>4512225</v>
      </c>
      <c r="L122" s="50">
        <f>VLOOKUP($A122,'Data shares'!$C:$FB,61)*100</f>
        <v>-21.98</v>
      </c>
      <c r="M122" s="49">
        <f>VLOOKUP($A122,'Data shares'!$C:$FB,62)</f>
        <v>3795250</v>
      </c>
      <c r="N122" s="49">
        <f>VLOOKUP($A122,'Data shares'!$C:$FB,63)</f>
        <v>1872975</v>
      </c>
      <c r="O122" s="140">
        <f>VLOOKUP($A122,'Data shares'!$C:$FB,65)*100</f>
        <v>102.63</v>
      </c>
    </row>
    <row r="123" spans="1:15" x14ac:dyDescent="0.25">
      <c r="A123" s="101" t="str">
        <f>'Data Vlaue (Cr)'!C118</f>
        <v>LAURUSLABS</v>
      </c>
      <c r="B123" s="50">
        <f>VLOOKUP($A123,'Data shares'!$C:$FB,7)</f>
        <v>1129.5</v>
      </c>
      <c r="C123" s="50">
        <f>VLOOKUP($A123,'Data shares'!$C:$FB,10)*100</f>
        <v>-0.54999999999999993</v>
      </c>
      <c r="D123" s="49">
        <f>VLOOKUP($A123,'Data shares'!$C:$FB,66)</f>
        <v>10331750</v>
      </c>
      <c r="E123" s="49">
        <f>VLOOKUP($A123,'Data shares'!$C:$FB,67)</f>
        <v>12196650</v>
      </c>
      <c r="F123" s="50">
        <f>VLOOKUP($A123,'Data shares'!$C:$FB,69)*100</f>
        <v>-15.290000000000001</v>
      </c>
      <c r="G123" s="49">
        <f>VLOOKUP($A123,'Data shares'!$C:$FB,42)</f>
        <v>2418250</v>
      </c>
      <c r="H123" s="49">
        <f>VLOOKUP($A123,'Data shares'!$C:$FB,43)</f>
        <v>2152200</v>
      </c>
      <c r="I123" s="50">
        <f>VLOOKUP($A123,'Data shares'!$C:$FB,45)*100</f>
        <v>12.36</v>
      </c>
      <c r="J123" s="49">
        <f>VLOOKUP($A123,'Data shares'!$C:$FB,58)</f>
        <v>5102550</v>
      </c>
      <c r="K123" s="49">
        <f>VLOOKUP($A123,'Data shares'!$C:$FB,59)</f>
        <v>6471900</v>
      </c>
      <c r="L123" s="50">
        <f>VLOOKUP($A123,'Data shares'!$C:$FB,61)*100</f>
        <v>-21.16</v>
      </c>
      <c r="M123" s="49">
        <f>VLOOKUP($A123,'Data shares'!$C:$FB,62)</f>
        <v>2810950</v>
      </c>
      <c r="N123" s="49">
        <f>VLOOKUP($A123,'Data shares'!$C:$FB,63)</f>
        <v>3572550</v>
      </c>
      <c r="O123" s="140">
        <f>VLOOKUP($A123,'Data shares'!$C:$FB,65)*100</f>
        <v>-21.32</v>
      </c>
    </row>
    <row r="124" spans="1:15" x14ac:dyDescent="0.25">
      <c r="A124" s="101" t="str">
        <f>'Data Vlaue (Cr)'!C119</f>
        <v>LICHSGFIN</v>
      </c>
      <c r="B124" s="50">
        <f>VLOOKUP($A124,'Data shares'!$C:$FB,7)</f>
        <v>536.70000000000005</v>
      </c>
      <c r="C124" s="50">
        <f>VLOOKUP($A124,'Data shares'!$C:$FB,10)*100</f>
        <v>-0.61</v>
      </c>
      <c r="D124" s="49">
        <f>VLOOKUP($A124,'Data shares'!$C:$FB,66)</f>
        <v>10733000</v>
      </c>
      <c r="E124" s="49">
        <f>VLOOKUP($A124,'Data shares'!$C:$FB,67)</f>
        <v>9559000</v>
      </c>
      <c r="F124" s="50">
        <f>VLOOKUP($A124,'Data shares'!$C:$FB,69)*100</f>
        <v>12.280000000000001</v>
      </c>
      <c r="G124" s="49">
        <f>VLOOKUP($A124,'Data shares'!$C:$FB,42)</f>
        <v>2646000</v>
      </c>
      <c r="H124" s="49">
        <f>VLOOKUP($A124,'Data shares'!$C:$FB,43)</f>
        <v>2244000</v>
      </c>
      <c r="I124" s="50">
        <f>VLOOKUP($A124,'Data shares'!$C:$FB,45)*100</f>
        <v>17.91</v>
      </c>
      <c r="J124" s="49">
        <f>VLOOKUP($A124,'Data shares'!$C:$FB,58)</f>
        <v>5832000</v>
      </c>
      <c r="K124" s="49">
        <f>VLOOKUP($A124,'Data shares'!$C:$FB,59)</f>
        <v>5478000</v>
      </c>
      <c r="L124" s="50">
        <f>VLOOKUP($A124,'Data shares'!$C:$FB,61)*100</f>
        <v>6.4600000000000009</v>
      </c>
      <c r="M124" s="49">
        <f>VLOOKUP($A124,'Data shares'!$C:$FB,62)</f>
        <v>2255000</v>
      </c>
      <c r="N124" s="49">
        <f>VLOOKUP($A124,'Data shares'!$C:$FB,63)</f>
        <v>1837000</v>
      </c>
      <c r="O124" s="140">
        <f>VLOOKUP($A124,'Data shares'!$C:$FB,65)*100</f>
        <v>22.75</v>
      </c>
    </row>
    <row r="125" spans="1:15" x14ac:dyDescent="0.25">
      <c r="A125" s="101" t="str">
        <f>'Data Vlaue (Cr)'!C120</f>
        <v>LICI</v>
      </c>
      <c r="B125" s="50">
        <f>VLOOKUP($A125,'Data shares'!$C:$FB,7)</f>
        <v>828.1</v>
      </c>
      <c r="C125" s="50">
        <f>VLOOKUP($A125,'Data shares'!$C:$FB,10)*100</f>
        <v>-1.67</v>
      </c>
      <c r="D125" s="49">
        <f>VLOOKUP($A125,'Data shares'!$C:$FB,66)</f>
        <v>9800700</v>
      </c>
      <c r="E125" s="49">
        <f>VLOOKUP($A125,'Data shares'!$C:$FB,67)</f>
        <v>9534000</v>
      </c>
      <c r="F125" s="50">
        <f>VLOOKUP($A125,'Data shares'!$C:$FB,69)*100</f>
        <v>2.8000000000000003</v>
      </c>
      <c r="G125" s="49">
        <f>VLOOKUP($A125,'Data shares'!$C:$FB,42)</f>
        <v>2097200</v>
      </c>
      <c r="H125" s="49">
        <f>VLOOKUP($A125,'Data shares'!$C:$FB,43)</f>
        <v>1960000</v>
      </c>
      <c r="I125" s="50">
        <f>VLOOKUP($A125,'Data shares'!$C:$FB,45)*100</f>
        <v>7.0000000000000009</v>
      </c>
      <c r="J125" s="49">
        <f>VLOOKUP($A125,'Data shares'!$C:$FB,58)</f>
        <v>5180700</v>
      </c>
      <c r="K125" s="49">
        <f>VLOOKUP($A125,'Data shares'!$C:$FB,59)</f>
        <v>5163900</v>
      </c>
      <c r="L125" s="50">
        <f>VLOOKUP($A125,'Data shares'!$C:$FB,61)*100</f>
        <v>0.33</v>
      </c>
      <c r="M125" s="49">
        <f>VLOOKUP($A125,'Data shares'!$C:$FB,62)</f>
        <v>2522800</v>
      </c>
      <c r="N125" s="49">
        <f>VLOOKUP($A125,'Data shares'!$C:$FB,63)</f>
        <v>2410100</v>
      </c>
      <c r="O125" s="140">
        <f>VLOOKUP($A125,'Data shares'!$C:$FB,65)*100</f>
        <v>4.68</v>
      </c>
    </row>
    <row r="126" spans="1:15" x14ac:dyDescent="0.25">
      <c r="A126" s="101" t="str">
        <f>'Data Vlaue (Cr)'!C121</f>
        <v>LODHA</v>
      </c>
      <c r="B126" s="50">
        <f>VLOOKUP($A126,'Data shares'!$C:$FB,7)</f>
        <v>856.55</v>
      </c>
      <c r="C126" s="50">
        <f>VLOOKUP($A126,'Data shares'!$C:$FB,10)*100</f>
        <v>-1.83</v>
      </c>
      <c r="D126" s="49">
        <f>VLOOKUP($A126,'Data shares'!$C:$FB,66)</f>
        <v>8994600</v>
      </c>
      <c r="E126" s="49">
        <f>VLOOKUP($A126,'Data shares'!$C:$FB,67)</f>
        <v>15045750</v>
      </c>
      <c r="F126" s="50">
        <f>VLOOKUP($A126,'Data shares'!$C:$FB,69)*100</f>
        <v>-40.22</v>
      </c>
      <c r="G126" s="49">
        <f>VLOOKUP($A126,'Data shares'!$C:$FB,42)</f>
        <v>1990350</v>
      </c>
      <c r="H126" s="49">
        <f>VLOOKUP($A126,'Data shares'!$C:$FB,43)</f>
        <v>3090150</v>
      </c>
      <c r="I126" s="50">
        <f>VLOOKUP($A126,'Data shares'!$C:$FB,45)*100</f>
        <v>-35.589999999999996</v>
      </c>
      <c r="J126" s="49">
        <f>VLOOKUP($A126,'Data shares'!$C:$FB,58)</f>
        <v>3366000</v>
      </c>
      <c r="K126" s="49">
        <f>VLOOKUP($A126,'Data shares'!$C:$FB,59)</f>
        <v>6562350</v>
      </c>
      <c r="L126" s="50">
        <f>VLOOKUP($A126,'Data shares'!$C:$FB,61)*100</f>
        <v>-48.71</v>
      </c>
      <c r="M126" s="49">
        <f>VLOOKUP($A126,'Data shares'!$C:$FB,62)</f>
        <v>3638250</v>
      </c>
      <c r="N126" s="49">
        <f>VLOOKUP($A126,'Data shares'!$C:$FB,63)</f>
        <v>5393250</v>
      </c>
      <c r="O126" s="140">
        <f>VLOOKUP($A126,'Data shares'!$C:$FB,65)*100</f>
        <v>-32.54</v>
      </c>
    </row>
    <row r="127" spans="1:15" x14ac:dyDescent="0.25">
      <c r="A127" s="101" t="str">
        <f>'Data Vlaue (Cr)'!C122</f>
        <v>LT</v>
      </c>
      <c r="B127" s="50">
        <f>VLOOKUP($A127,'Data shares'!$C:$FB,7)</f>
        <v>4051</v>
      </c>
      <c r="C127" s="50">
        <f>VLOOKUP($A127,'Data shares'!$C:$FB,10)*100</f>
        <v>-1.0999999999999999</v>
      </c>
      <c r="D127" s="49">
        <f>VLOOKUP($A127,'Data shares'!$C:$FB,66)</f>
        <v>16262050</v>
      </c>
      <c r="E127" s="49">
        <f>VLOOKUP($A127,'Data shares'!$C:$FB,67)</f>
        <v>13683950</v>
      </c>
      <c r="F127" s="50">
        <f>VLOOKUP($A127,'Data shares'!$C:$FB,69)*100</f>
        <v>18.84</v>
      </c>
      <c r="G127" s="49">
        <f>VLOOKUP($A127,'Data shares'!$C:$FB,42)</f>
        <v>2653350</v>
      </c>
      <c r="H127" s="49">
        <f>VLOOKUP($A127,'Data shares'!$C:$FB,43)</f>
        <v>1954400</v>
      </c>
      <c r="I127" s="50">
        <f>VLOOKUP($A127,'Data shares'!$C:$FB,45)*100</f>
        <v>35.76</v>
      </c>
      <c r="J127" s="49">
        <f>VLOOKUP($A127,'Data shares'!$C:$FB,58)</f>
        <v>7610750</v>
      </c>
      <c r="K127" s="49">
        <f>VLOOKUP($A127,'Data shares'!$C:$FB,59)</f>
        <v>6176625</v>
      </c>
      <c r="L127" s="50">
        <f>VLOOKUP($A127,'Data shares'!$C:$FB,61)*100</f>
        <v>23.22</v>
      </c>
      <c r="M127" s="49">
        <f>VLOOKUP($A127,'Data shares'!$C:$FB,62)</f>
        <v>5997950</v>
      </c>
      <c r="N127" s="49">
        <f>VLOOKUP($A127,'Data shares'!$C:$FB,63)</f>
        <v>5552925</v>
      </c>
      <c r="O127" s="140">
        <f>VLOOKUP($A127,'Data shares'!$C:$FB,65)*100</f>
        <v>8.01</v>
      </c>
    </row>
    <row r="128" spans="1:15" x14ac:dyDescent="0.25">
      <c r="A128" s="101" t="str">
        <f>'Data Vlaue (Cr)'!C123</f>
        <v>LTF</v>
      </c>
      <c r="B128" s="50">
        <f>VLOOKUP($A128,'Data shares'!$C:$FB,7)</f>
        <v>290.14999999999998</v>
      </c>
      <c r="C128" s="50">
        <f>VLOOKUP($A128,'Data shares'!$C:$FB,10)*100</f>
        <v>1.05</v>
      </c>
      <c r="D128" s="49">
        <f>VLOOKUP($A128,'Data shares'!$C:$FB,66)</f>
        <v>42171750</v>
      </c>
      <c r="E128" s="49">
        <f>VLOOKUP($A128,'Data shares'!$C:$FB,67)</f>
        <v>45123750</v>
      </c>
      <c r="F128" s="50">
        <f>VLOOKUP($A128,'Data shares'!$C:$FB,69)*100</f>
        <v>-6.54</v>
      </c>
      <c r="G128" s="49">
        <f>VLOOKUP($A128,'Data shares'!$C:$FB,42)</f>
        <v>11659500</v>
      </c>
      <c r="H128" s="49">
        <f>VLOOKUP($A128,'Data shares'!$C:$FB,43)</f>
        <v>10811250</v>
      </c>
      <c r="I128" s="50">
        <f>VLOOKUP($A128,'Data shares'!$C:$FB,45)*100</f>
        <v>7.85</v>
      </c>
      <c r="J128" s="49">
        <f>VLOOKUP($A128,'Data shares'!$C:$FB,58)</f>
        <v>19957500</v>
      </c>
      <c r="K128" s="49">
        <f>VLOOKUP($A128,'Data shares'!$C:$FB,59)</f>
        <v>21343500</v>
      </c>
      <c r="L128" s="50">
        <f>VLOOKUP($A128,'Data shares'!$C:$FB,61)*100</f>
        <v>-6.49</v>
      </c>
      <c r="M128" s="49">
        <f>VLOOKUP($A128,'Data shares'!$C:$FB,62)</f>
        <v>10554750</v>
      </c>
      <c r="N128" s="49">
        <f>VLOOKUP($A128,'Data shares'!$C:$FB,63)</f>
        <v>12969000</v>
      </c>
      <c r="O128" s="140">
        <f>VLOOKUP($A128,'Data shares'!$C:$FB,65)*100</f>
        <v>-18.62</v>
      </c>
    </row>
    <row r="129" spans="1:15" x14ac:dyDescent="0.25">
      <c r="A129" s="101" t="str">
        <f>'Data Vlaue (Cr)'!C124</f>
        <v>LTM</v>
      </c>
      <c r="B129" s="50">
        <f>VLOOKUP($A129,'Data shares'!$C:$FB,7)</f>
        <v>4715.8</v>
      </c>
      <c r="C129" s="50">
        <f>VLOOKUP($A129,'Data shares'!$C:$FB,10)*100</f>
        <v>-0.8</v>
      </c>
      <c r="D129" s="49">
        <f>VLOOKUP($A129,'Data shares'!$C:$FB,66)</f>
        <v>1667850</v>
      </c>
      <c r="E129" s="49">
        <f>VLOOKUP($A129,'Data shares'!$C:$FB,67)</f>
        <v>2693550</v>
      </c>
      <c r="F129" s="50">
        <f>VLOOKUP($A129,'Data shares'!$C:$FB,69)*100</f>
        <v>-38.080000000000005</v>
      </c>
      <c r="G129" s="49">
        <f>VLOOKUP($A129,'Data shares'!$C:$FB,42)</f>
        <v>538950</v>
      </c>
      <c r="H129" s="49">
        <f>VLOOKUP($A129,'Data shares'!$C:$FB,43)</f>
        <v>621450</v>
      </c>
      <c r="I129" s="50">
        <f>VLOOKUP($A129,'Data shares'!$C:$FB,45)*100</f>
        <v>-13.28</v>
      </c>
      <c r="J129" s="49">
        <f>VLOOKUP($A129,'Data shares'!$C:$FB,58)</f>
        <v>695400</v>
      </c>
      <c r="K129" s="49">
        <f>VLOOKUP($A129,'Data shares'!$C:$FB,59)</f>
        <v>1382400</v>
      </c>
      <c r="L129" s="50">
        <f>VLOOKUP($A129,'Data shares'!$C:$FB,61)*100</f>
        <v>-49.7</v>
      </c>
      <c r="M129" s="49">
        <f>VLOOKUP($A129,'Data shares'!$C:$FB,62)</f>
        <v>433500</v>
      </c>
      <c r="N129" s="49">
        <f>VLOOKUP($A129,'Data shares'!$C:$FB,63)</f>
        <v>689700</v>
      </c>
      <c r="O129" s="140">
        <f>VLOOKUP($A129,'Data shares'!$C:$FB,65)*100</f>
        <v>-37.15</v>
      </c>
    </row>
    <row r="130" spans="1:15" x14ac:dyDescent="0.25">
      <c r="A130" s="101" t="str">
        <f>'Data Vlaue (Cr)'!C125</f>
        <v>LUPIN</v>
      </c>
      <c r="B130" s="50">
        <f>VLOOKUP($A130,'Data shares'!$C:$FB,7)</f>
        <v>2328.6999999999998</v>
      </c>
      <c r="C130" s="50">
        <f>VLOOKUP($A130,'Data shares'!$C:$FB,10)*100</f>
        <v>0.11</v>
      </c>
      <c r="D130" s="49">
        <f>VLOOKUP($A130,'Data shares'!$C:$FB,66)</f>
        <v>8610925</v>
      </c>
      <c r="E130" s="49">
        <f>VLOOKUP($A130,'Data shares'!$C:$FB,67)</f>
        <v>6756650</v>
      </c>
      <c r="F130" s="50">
        <f>VLOOKUP($A130,'Data shares'!$C:$FB,69)*100</f>
        <v>27.439999999999998</v>
      </c>
      <c r="G130" s="49">
        <f>VLOOKUP($A130,'Data shares'!$C:$FB,42)</f>
        <v>1018300</v>
      </c>
      <c r="H130" s="49">
        <f>VLOOKUP($A130,'Data shares'!$C:$FB,43)</f>
        <v>1056125</v>
      </c>
      <c r="I130" s="50">
        <f>VLOOKUP($A130,'Data shares'!$C:$FB,45)*100</f>
        <v>-3.58</v>
      </c>
      <c r="J130" s="49">
        <f>VLOOKUP($A130,'Data shares'!$C:$FB,58)</f>
        <v>5117425</v>
      </c>
      <c r="K130" s="49">
        <f>VLOOKUP($A130,'Data shares'!$C:$FB,59)</f>
        <v>3867075</v>
      </c>
      <c r="L130" s="50">
        <f>VLOOKUP($A130,'Data shares'!$C:$FB,61)*100</f>
        <v>32.33</v>
      </c>
      <c r="M130" s="49">
        <f>VLOOKUP($A130,'Data shares'!$C:$FB,62)</f>
        <v>2475200</v>
      </c>
      <c r="N130" s="49">
        <f>VLOOKUP($A130,'Data shares'!$C:$FB,63)</f>
        <v>1833450</v>
      </c>
      <c r="O130" s="140">
        <f>VLOOKUP($A130,'Data shares'!$C:$FB,65)*100</f>
        <v>35</v>
      </c>
    </row>
    <row r="131" spans="1:15" x14ac:dyDescent="0.25">
      <c r="A131" s="101" t="str">
        <f>'Data Vlaue (Cr)'!C126</f>
        <v>M&amp;M</v>
      </c>
      <c r="B131" s="50">
        <f>VLOOKUP($A131,'Data shares'!$C:$FB,7)</f>
        <v>3221.6</v>
      </c>
      <c r="C131" s="50">
        <f>VLOOKUP($A131,'Data shares'!$C:$FB,10)*100</f>
        <v>0.67</v>
      </c>
      <c r="D131" s="49">
        <f>VLOOKUP($A131,'Data shares'!$C:$FB,66)</f>
        <v>12690000</v>
      </c>
      <c r="E131" s="49">
        <f>VLOOKUP($A131,'Data shares'!$C:$FB,67)</f>
        <v>11856400</v>
      </c>
      <c r="F131" s="50">
        <f>VLOOKUP($A131,'Data shares'!$C:$FB,69)*100</f>
        <v>7.03</v>
      </c>
      <c r="G131" s="49">
        <f>VLOOKUP($A131,'Data shares'!$C:$FB,42)</f>
        <v>2082000</v>
      </c>
      <c r="H131" s="49">
        <f>VLOOKUP($A131,'Data shares'!$C:$FB,43)</f>
        <v>2342200</v>
      </c>
      <c r="I131" s="50">
        <f>VLOOKUP($A131,'Data shares'!$C:$FB,45)*100</f>
        <v>-11.110000000000001</v>
      </c>
      <c r="J131" s="49">
        <f>VLOOKUP($A131,'Data shares'!$C:$FB,58)</f>
        <v>7171600</v>
      </c>
      <c r="K131" s="49">
        <f>VLOOKUP($A131,'Data shares'!$C:$FB,59)</f>
        <v>6127000</v>
      </c>
      <c r="L131" s="50">
        <f>VLOOKUP($A131,'Data shares'!$C:$FB,61)*100</f>
        <v>17.05</v>
      </c>
      <c r="M131" s="49">
        <f>VLOOKUP($A131,'Data shares'!$C:$FB,62)</f>
        <v>3436400</v>
      </c>
      <c r="N131" s="49">
        <f>VLOOKUP($A131,'Data shares'!$C:$FB,63)</f>
        <v>3387200</v>
      </c>
      <c r="O131" s="140">
        <f>VLOOKUP($A131,'Data shares'!$C:$FB,65)*100</f>
        <v>1.4500000000000002</v>
      </c>
    </row>
    <row r="132" spans="1:15" x14ac:dyDescent="0.25">
      <c r="A132" s="101" t="str">
        <f>'Data Vlaue (Cr)'!C127</f>
        <v>MANAPPURAM</v>
      </c>
      <c r="B132" s="50">
        <f>VLOOKUP($A132,'Data shares'!$C:$FB,7)</f>
        <v>269.10000000000002</v>
      </c>
      <c r="C132" s="50">
        <f>VLOOKUP($A132,'Data shares'!$C:$FB,10)*100</f>
        <v>6.9999999999999993E-2</v>
      </c>
      <c r="D132" s="49">
        <f>VLOOKUP($A132,'Data shares'!$C:$FB,66)</f>
        <v>25857000</v>
      </c>
      <c r="E132" s="49">
        <f>VLOOKUP($A132,'Data shares'!$C:$FB,67)</f>
        <v>27111000</v>
      </c>
      <c r="F132" s="50">
        <f>VLOOKUP($A132,'Data shares'!$C:$FB,69)*100</f>
        <v>-4.63</v>
      </c>
      <c r="G132" s="49">
        <f>VLOOKUP($A132,'Data shares'!$C:$FB,42)</f>
        <v>6909000</v>
      </c>
      <c r="H132" s="49">
        <f>VLOOKUP($A132,'Data shares'!$C:$FB,43)</f>
        <v>5028000</v>
      </c>
      <c r="I132" s="50">
        <f>VLOOKUP($A132,'Data shares'!$C:$FB,45)*100</f>
        <v>37.409999999999997</v>
      </c>
      <c r="J132" s="49">
        <f>VLOOKUP($A132,'Data shares'!$C:$FB,58)</f>
        <v>13434000</v>
      </c>
      <c r="K132" s="49">
        <f>VLOOKUP($A132,'Data shares'!$C:$FB,59)</f>
        <v>13167000</v>
      </c>
      <c r="L132" s="50">
        <f>VLOOKUP($A132,'Data shares'!$C:$FB,61)*100</f>
        <v>2.0299999999999998</v>
      </c>
      <c r="M132" s="49">
        <f>VLOOKUP($A132,'Data shares'!$C:$FB,62)</f>
        <v>5514000</v>
      </c>
      <c r="N132" s="49">
        <f>VLOOKUP($A132,'Data shares'!$C:$FB,63)</f>
        <v>8916000</v>
      </c>
      <c r="O132" s="140">
        <f>VLOOKUP($A132,'Data shares'!$C:$FB,65)*100</f>
        <v>-38.159999999999997</v>
      </c>
    </row>
    <row r="133" spans="1:15" x14ac:dyDescent="0.25">
      <c r="A133" s="101" t="str">
        <f>'Data Vlaue (Cr)'!C128</f>
        <v>MANKIND</v>
      </c>
      <c r="B133" s="50">
        <f>VLOOKUP($A133,'Data shares'!$C:$FB,7)</f>
        <v>2144</v>
      </c>
      <c r="C133" s="50">
        <f>VLOOKUP($A133,'Data shares'!$C:$FB,10)*100</f>
        <v>0.89</v>
      </c>
      <c r="D133" s="49">
        <f>VLOOKUP($A133,'Data shares'!$C:$FB,66)</f>
        <v>2667150</v>
      </c>
      <c r="E133" s="49">
        <f>VLOOKUP($A133,'Data shares'!$C:$FB,67)</f>
        <v>1062000</v>
      </c>
      <c r="F133" s="50">
        <f>VLOOKUP($A133,'Data shares'!$C:$FB,69)*100</f>
        <v>151.14000000000001</v>
      </c>
      <c r="G133" s="49">
        <f>VLOOKUP($A133,'Data shares'!$C:$FB,42)</f>
        <v>591750</v>
      </c>
      <c r="H133" s="49">
        <f>VLOOKUP($A133,'Data shares'!$C:$FB,43)</f>
        <v>268875</v>
      </c>
      <c r="I133" s="50">
        <f>VLOOKUP($A133,'Data shares'!$C:$FB,45)*100</f>
        <v>120.08000000000001</v>
      </c>
      <c r="J133" s="49">
        <f>VLOOKUP($A133,'Data shares'!$C:$FB,58)</f>
        <v>1127925</v>
      </c>
      <c r="K133" s="49">
        <f>VLOOKUP($A133,'Data shares'!$C:$FB,59)</f>
        <v>688500</v>
      </c>
      <c r="L133" s="50">
        <f>VLOOKUP($A133,'Data shares'!$C:$FB,61)*100</f>
        <v>63.82</v>
      </c>
      <c r="M133" s="49">
        <f>VLOOKUP($A133,'Data shares'!$C:$FB,62)</f>
        <v>947475</v>
      </c>
      <c r="N133" s="49">
        <f>VLOOKUP($A133,'Data shares'!$C:$FB,63)</f>
        <v>104625</v>
      </c>
      <c r="O133" s="140">
        <f>VLOOKUP($A133,'Data shares'!$C:$FB,65)*100</f>
        <v>805.58999999999992</v>
      </c>
    </row>
    <row r="134" spans="1:15" x14ac:dyDescent="0.25">
      <c r="A134" s="101" t="str">
        <f>'Data Vlaue (Cr)'!C129</f>
        <v>MARICO</v>
      </c>
      <c r="B134" s="50">
        <f>VLOOKUP($A134,'Data shares'!$C:$FB,7)</f>
        <v>760.7</v>
      </c>
      <c r="C134" s="50">
        <f>VLOOKUP($A134,'Data shares'!$C:$FB,10)*100</f>
        <v>0.44999999999999996</v>
      </c>
      <c r="D134" s="49">
        <f>VLOOKUP($A134,'Data shares'!$C:$FB,66)</f>
        <v>10964400</v>
      </c>
      <c r="E134" s="49">
        <f>VLOOKUP($A134,'Data shares'!$C:$FB,67)</f>
        <v>20836800</v>
      </c>
      <c r="F134" s="50">
        <f>VLOOKUP($A134,'Data shares'!$C:$FB,69)*100</f>
        <v>-47.38</v>
      </c>
      <c r="G134" s="49">
        <f>VLOOKUP($A134,'Data shares'!$C:$FB,42)</f>
        <v>2007600</v>
      </c>
      <c r="H134" s="49">
        <f>VLOOKUP($A134,'Data shares'!$C:$FB,43)</f>
        <v>5263200</v>
      </c>
      <c r="I134" s="50">
        <f>VLOOKUP($A134,'Data shares'!$C:$FB,45)*100</f>
        <v>-61.860000000000007</v>
      </c>
      <c r="J134" s="49">
        <f>VLOOKUP($A134,'Data shares'!$C:$FB,58)</f>
        <v>6925200</v>
      </c>
      <c r="K134" s="49">
        <f>VLOOKUP($A134,'Data shares'!$C:$FB,59)</f>
        <v>12246000</v>
      </c>
      <c r="L134" s="50">
        <f>VLOOKUP($A134,'Data shares'!$C:$FB,61)*100</f>
        <v>-43.45</v>
      </c>
      <c r="M134" s="49">
        <f>VLOOKUP($A134,'Data shares'!$C:$FB,62)</f>
        <v>2031600</v>
      </c>
      <c r="N134" s="49">
        <f>VLOOKUP($A134,'Data shares'!$C:$FB,63)</f>
        <v>3327600</v>
      </c>
      <c r="O134" s="140">
        <f>VLOOKUP($A134,'Data shares'!$C:$FB,65)*100</f>
        <v>-38.950000000000003</v>
      </c>
    </row>
    <row r="135" spans="1:15" x14ac:dyDescent="0.25">
      <c r="A135" s="101" t="str">
        <f>'Data Vlaue (Cr)'!C130</f>
        <v>MARUTI</v>
      </c>
      <c r="B135" s="50">
        <f>VLOOKUP($A135,'Data shares'!$C:$FB,7)</f>
        <v>13450</v>
      </c>
      <c r="C135" s="50">
        <f>VLOOKUP($A135,'Data shares'!$C:$FB,10)*100</f>
        <v>-0.02</v>
      </c>
      <c r="D135" s="49">
        <f>VLOOKUP($A135,'Data shares'!$C:$FB,66)</f>
        <v>3496700</v>
      </c>
      <c r="E135" s="49">
        <f>VLOOKUP($A135,'Data shares'!$C:$FB,67)</f>
        <v>9439400</v>
      </c>
      <c r="F135" s="50">
        <f>VLOOKUP($A135,'Data shares'!$C:$FB,69)*100</f>
        <v>-62.960000000000008</v>
      </c>
      <c r="G135" s="49">
        <f>VLOOKUP($A135,'Data shares'!$C:$FB,42)</f>
        <v>297700</v>
      </c>
      <c r="H135" s="49">
        <f>VLOOKUP($A135,'Data shares'!$C:$FB,43)</f>
        <v>617050</v>
      </c>
      <c r="I135" s="50">
        <f>VLOOKUP($A135,'Data shares'!$C:$FB,45)*100</f>
        <v>-51.749999999999993</v>
      </c>
      <c r="J135" s="49">
        <f>VLOOKUP($A135,'Data shares'!$C:$FB,58)</f>
        <v>2067450</v>
      </c>
      <c r="K135" s="49">
        <f>VLOOKUP($A135,'Data shares'!$C:$FB,59)</f>
        <v>6229000</v>
      </c>
      <c r="L135" s="50">
        <f>VLOOKUP($A135,'Data shares'!$C:$FB,61)*100</f>
        <v>-66.81</v>
      </c>
      <c r="M135" s="49">
        <f>VLOOKUP($A135,'Data shares'!$C:$FB,62)</f>
        <v>1131550</v>
      </c>
      <c r="N135" s="49">
        <f>VLOOKUP($A135,'Data shares'!$C:$FB,63)</f>
        <v>2593350</v>
      </c>
      <c r="O135" s="140">
        <f>VLOOKUP($A135,'Data shares'!$C:$FB,65)*100</f>
        <v>-56.37</v>
      </c>
    </row>
    <row r="136" spans="1:15" x14ac:dyDescent="0.25">
      <c r="A136" s="101" t="str">
        <f>'Data Vlaue (Cr)'!C131</f>
        <v>MAXHEALTH</v>
      </c>
      <c r="B136" s="50">
        <f>VLOOKUP($A136,'Data shares'!$C:$FB,7)</f>
        <v>1011.35</v>
      </c>
      <c r="C136" s="50">
        <f>VLOOKUP($A136,'Data shares'!$C:$FB,10)*100</f>
        <v>0.37</v>
      </c>
      <c r="D136" s="49">
        <f>VLOOKUP($A136,'Data shares'!$C:$FB,66)</f>
        <v>11825625</v>
      </c>
      <c r="E136" s="49">
        <f>VLOOKUP($A136,'Data shares'!$C:$FB,67)</f>
        <v>11106375</v>
      </c>
      <c r="F136" s="50">
        <f>VLOOKUP($A136,'Data shares'!$C:$FB,69)*100</f>
        <v>6.4799999999999995</v>
      </c>
      <c r="G136" s="49">
        <f>VLOOKUP($A136,'Data shares'!$C:$FB,42)</f>
        <v>2111025</v>
      </c>
      <c r="H136" s="49">
        <f>VLOOKUP($A136,'Data shares'!$C:$FB,43)</f>
        <v>1555575</v>
      </c>
      <c r="I136" s="50">
        <f>VLOOKUP($A136,'Data shares'!$C:$FB,45)*100</f>
        <v>35.709999999999994</v>
      </c>
      <c r="J136" s="49">
        <f>VLOOKUP($A136,'Data shares'!$C:$FB,58)</f>
        <v>6991425</v>
      </c>
      <c r="K136" s="49">
        <f>VLOOKUP($A136,'Data shares'!$C:$FB,59)</f>
        <v>7097475</v>
      </c>
      <c r="L136" s="50">
        <f>VLOOKUP($A136,'Data shares'!$C:$FB,61)*100</f>
        <v>-1.49</v>
      </c>
      <c r="M136" s="49">
        <f>VLOOKUP($A136,'Data shares'!$C:$FB,62)</f>
        <v>2723175</v>
      </c>
      <c r="N136" s="49">
        <f>VLOOKUP($A136,'Data shares'!$C:$FB,63)</f>
        <v>2453325</v>
      </c>
      <c r="O136" s="140">
        <f>VLOOKUP($A136,'Data shares'!$C:$FB,65)*100</f>
        <v>11</v>
      </c>
    </row>
    <row r="137" spans="1:15" x14ac:dyDescent="0.25">
      <c r="A137" s="101" t="str">
        <f>'Data Vlaue (Cr)'!C132</f>
        <v>MAZDOCK</v>
      </c>
      <c r="B137" s="50">
        <f>VLOOKUP($A137,'Data shares'!$C:$FB,7)</f>
        <v>2621.1999999999998</v>
      </c>
      <c r="C137" s="50">
        <f>VLOOKUP($A137,'Data shares'!$C:$FB,10)*100</f>
        <v>0.18</v>
      </c>
      <c r="D137" s="49">
        <f>VLOOKUP($A137,'Data shares'!$C:$FB,66)</f>
        <v>13960200</v>
      </c>
      <c r="E137" s="49">
        <f>VLOOKUP($A137,'Data shares'!$C:$FB,67)</f>
        <v>17867400</v>
      </c>
      <c r="F137" s="50">
        <f>VLOOKUP($A137,'Data shares'!$C:$FB,69)*100</f>
        <v>-21.87</v>
      </c>
      <c r="G137" s="49">
        <f>VLOOKUP($A137,'Data shares'!$C:$FB,42)</f>
        <v>1631600</v>
      </c>
      <c r="H137" s="49">
        <f>VLOOKUP($A137,'Data shares'!$C:$FB,43)</f>
        <v>1792000</v>
      </c>
      <c r="I137" s="50">
        <f>VLOOKUP($A137,'Data shares'!$C:$FB,45)*100</f>
        <v>-8.9499999999999993</v>
      </c>
      <c r="J137" s="49">
        <f>VLOOKUP($A137,'Data shares'!$C:$FB,58)</f>
        <v>9099000</v>
      </c>
      <c r="K137" s="49">
        <f>VLOOKUP($A137,'Data shares'!$C:$FB,59)</f>
        <v>12222800</v>
      </c>
      <c r="L137" s="50">
        <f>VLOOKUP($A137,'Data shares'!$C:$FB,61)*100</f>
        <v>-25.56</v>
      </c>
      <c r="M137" s="49">
        <f>VLOOKUP($A137,'Data shares'!$C:$FB,62)</f>
        <v>3229600</v>
      </c>
      <c r="N137" s="49">
        <f>VLOOKUP($A137,'Data shares'!$C:$FB,63)</f>
        <v>3852600</v>
      </c>
      <c r="O137" s="140">
        <f>VLOOKUP($A137,'Data shares'!$C:$FB,65)*100</f>
        <v>-16.170000000000002</v>
      </c>
    </row>
    <row r="138" spans="1:15" x14ac:dyDescent="0.25">
      <c r="A138" s="101" t="str">
        <f>'Data Vlaue (Cr)'!C133</f>
        <v>MCX</v>
      </c>
      <c r="B138" s="50">
        <f>VLOOKUP($A138,'Data shares'!$C:$FB,7)</f>
        <v>2859.1</v>
      </c>
      <c r="C138" s="50">
        <f>VLOOKUP($A138,'Data shares'!$C:$FB,10)*100</f>
        <v>0.11</v>
      </c>
      <c r="D138" s="49">
        <f>VLOOKUP($A138,'Data shares'!$C:$FB,66)</f>
        <v>18715000</v>
      </c>
      <c r="E138" s="49">
        <f>VLOOKUP($A138,'Data shares'!$C:$FB,67)</f>
        <v>43651875</v>
      </c>
      <c r="F138" s="50">
        <f>VLOOKUP($A138,'Data shares'!$C:$FB,69)*100</f>
        <v>-57.13</v>
      </c>
      <c r="G138" s="49">
        <f>VLOOKUP($A138,'Data shares'!$C:$FB,42)</f>
        <v>2356250</v>
      </c>
      <c r="H138" s="49">
        <f>VLOOKUP($A138,'Data shares'!$C:$FB,43)</f>
        <v>4693125</v>
      </c>
      <c r="I138" s="50">
        <f>VLOOKUP($A138,'Data shares'!$C:$FB,45)*100</f>
        <v>-49.79</v>
      </c>
      <c r="J138" s="49">
        <f>VLOOKUP($A138,'Data shares'!$C:$FB,58)</f>
        <v>10240000</v>
      </c>
      <c r="K138" s="49">
        <f>VLOOKUP($A138,'Data shares'!$C:$FB,59)</f>
        <v>22473125</v>
      </c>
      <c r="L138" s="50">
        <f>VLOOKUP($A138,'Data shares'!$C:$FB,61)*100</f>
        <v>-54.43</v>
      </c>
      <c r="M138" s="49">
        <f>VLOOKUP($A138,'Data shares'!$C:$FB,62)</f>
        <v>6118750</v>
      </c>
      <c r="N138" s="49">
        <f>VLOOKUP($A138,'Data shares'!$C:$FB,63)</f>
        <v>16485625</v>
      </c>
      <c r="O138" s="140">
        <f>VLOOKUP($A138,'Data shares'!$C:$FB,65)*100</f>
        <v>-62.88</v>
      </c>
    </row>
    <row r="139" spans="1:15" x14ac:dyDescent="0.25">
      <c r="A139" s="101" t="str">
        <f>'Data Vlaue (Cr)'!C134</f>
        <v>MFSL</v>
      </c>
      <c r="B139" s="50">
        <f>VLOOKUP($A139,'Data shares'!$C:$FB,7)</f>
        <v>1688.8</v>
      </c>
      <c r="C139" s="50">
        <f>VLOOKUP($A139,'Data shares'!$C:$FB,10)*100</f>
        <v>0.33</v>
      </c>
      <c r="D139" s="49">
        <f>VLOOKUP($A139,'Data shares'!$C:$FB,66)</f>
        <v>2001600</v>
      </c>
      <c r="E139" s="49">
        <f>VLOOKUP($A139,'Data shares'!$C:$FB,67)</f>
        <v>1715600</v>
      </c>
      <c r="F139" s="50">
        <f>VLOOKUP($A139,'Data shares'!$C:$FB,69)*100</f>
        <v>16.669999999999998</v>
      </c>
      <c r="G139" s="49">
        <f>VLOOKUP($A139,'Data shares'!$C:$FB,42)</f>
        <v>1061600</v>
      </c>
      <c r="H139" s="49">
        <f>VLOOKUP($A139,'Data shares'!$C:$FB,43)</f>
        <v>798800</v>
      </c>
      <c r="I139" s="50">
        <f>VLOOKUP($A139,'Data shares'!$C:$FB,45)*100</f>
        <v>32.9</v>
      </c>
      <c r="J139" s="49">
        <f>VLOOKUP($A139,'Data shares'!$C:$FB,58)</f>
        <v>554800</v>
      </c>
      <c r="K139" s="49">
        <f>VLOOKUP($A139,'Data shares'!$C:$FB,59)</f>
        <v>505200</v>
      </c>
      <c r="L139" s="50">
        <f>VLOOKUP($A139,'Data shares'!$C:$FB,61)*100</f>
        <v>9.82</v>
      </c>
      <c r="M139" s="49">
        <f>VLOOKUP($A139,'Data shares'!$C:$FB,62)</f>
        <v>385200</v>
      </c>
      <c r="N139" s="49">
        <f>VLOOKUP($A139,'Data shares'!$C:$FB,63)</f>
        <v>411600</v>
      </c>
      <c r="O139" s="140">
        <f>VLOOKUP($A139,'Data shares'!$C:$FB,65)*100</f>
        <v>-6.41</v>
      </c>
    </row>
    <row r="140" spans="1:15" x14ac:dyDescent="0.25">
      <c r="A140" s="101" t="str">
        <f>'Data Vlaue (Cr)'!C135</f>
        <v>MIDCPNIFTY</v>
      </c>
      <c r="B140" s="50">
        <f>VLOOKUP($A140,'Data shares'!$C:$FB,7)</f>
        <v>13807.25</v>
      </c>
      <c r="C140" s="50">
        <f>VLOOKUP($A140,'Data shares'!$C:$FB,10)*100</f>
        <v>-0.22999999999999998</v>
      </c>
      <c r="D140" s="49">
        <f>VLOOKUP($A140,'Data shares'!$C:$FB,66)</f>
        <v>28732200</v>
      </c>
      <c r="E140" s="49">
        <f>VLOOKUP($A140,'Data shares'!$C:$FB,67)</f>
        <v>33626640</v>
      </c>
      <c r="F140" s="50">
        <f>VLOOKUP($A140,'Data shares'!$C:$FB,69)*100</f>
        <v>-14.56</v>
      </c>
      <c r="G140" s="49">
        <f>VLOOKUP($A140,'Data shares'!$C:$FB,42)</f>
        <v>540600</v>
      </c>
      <c r="H140" s="49">
        <f>VLOOKUP($A140,'Data shares'!$C:$FB,43)</f>
        <v>551520</v>
      </c>
      <c r="I140" s="50">
        <f>VLOOKUP($A140,'Data shares'!$C:$FB,45)*100</f>
        <v>-1.9800000000000002</v>
      </c>
      <c r="J140" s="49">
        <f>VLOOKUP($A140,'Data shares'!$C:$FB,58)</f>
        <v>14901480</v>
      </c>
      <c r="K140" s="49">
        <f>VLOOKUP($A140,'Data shares'!$C:$FB,59)</f>
        <v>14278920</v>
      </c>
      <c r="L140" s="50">
        <f>VLOOKUP($A140,'Data shares'!$C:$FB,61)*100</f>
        <v>4.3600000000000003</v>
      </c>
      <c r="M140" s="49">
        <f>VLOOKUP($A140,'Data shares'!$C:$FB,62)</f>
        <v>13290120</v>
      </c>
      <c r="N140" s="49">
        <f>VLOOKUP($A140,'Data shares'!$C:$FB,63)</f>
        <v>18796200</v>
      </c>
      <c r="O140" s="140">
        <f>VLOOKUP($A140,'Data shares'!$C:$FB,65)*100</f>
        <v>-29.29</v>
      </c>
    </row>
    <row r="141" spans="1:15" x14ac:dyDescent="0.25">
      <c r="A141" s="101" t="str">
        <f>'Data Vlaue (Cr)'!C136</f>
        <v>MOTHERSON</v>
      </c>
      <c r="B141" s="50">
        <f>VLOOKUP($A141,'Data shares'!$C:$FB,7)</f>
        <v>123.19</v>
      </c>
      <c r="C141" s="50">
        <f>VLOOKUP($A141,'Data shares'!$C:$FB,10)*100</f>
        <v>-1.47</v>
      </c>
      <c r="D141" s="49">
        <f>VLOOKUP($A141,'Data shares'!$C:$FB,66)</f>
        <v>60602100</v>
      </c>
      <c r="E141" s="49">
        <f>VLOOKUP($A141,'Data shares'!$C:$FB,67)</f>
        <v>89642400</v>
      </c>
      <c r="F141" s="50">
        <f>VLOOKUP($A141,'Data shares'!$C:$FB,69)*100</f>
        <v>-32.4</v>
      </c>
      <c r="G141" s="49">
        <f>VLOOKUP($A141,'Data shares'!$C:$FB,42)</f>
        <v>21026850</v>
      </c>
      <c r="H141" s="49">
        <f>VLOOKUP($A141,'Data shares'!$C:$FB,43)</f>
        <v>35251800</v>
      </c>
      <c r="I141" s="50">
        <f>VLOOKUP($A141,'Data shares'!$C:$FB,45)*100</f>
        <v>-40.35</v>
      </c>
      <c r="J141" s="49">
        <f>VLOOKUP($A141,'Data shares'!$C:$FB,58)</f>
        <v>20879250</v>
      </c>
      <c r="K141" s="49">
        <f>VLOOKUP($A141,'Data shares'!$C:$FB,59)</f>
        <v>27084600</v>
      </c>
      <c r="L141" s="50">
        <f>VLOOKUP($A141,'Data shares'!$C:$FB,61)*100</f>
        <v>-22.91</v>
      </c>
      <c r="M141" s="49">
        <f>VLOOKUP($A141,'Data shares'!$C:$FB,62)</f>
        <v>18696000</v>
      </c>
      <c r="N141" s="49">
        <f>VLOOKUP($A141,'Data shares'!$C:$FB,63)</f>
        <v>27306000</v>
      </c>
      <c r="O141" s="140">
        <f>VLOOKUP($A141,'Data shares'!$C:$FB,65)*100</f>
        <v>-31.53</v>
      </c>
    </row>
    <row r="142" spans="1:15" x14ac:dyDescent="0.25">
      <c r="A142" s="101" t="str">
        <f>'Data Vlaue (Cr)'!C137</f>
        <v>MOTILALOFS</v>
      </c>
      <c r="B142" s="50">
        <f>VLOOKUP($A142,'Data shares'!$C:$FB,7)</f>
        <v>807.95</v>
      </c>
      <c r="C142" s="50">
        <f>VLOOKUP($A142,'Data shares'!$C:$FB,10)*100</f>
        <v>-0.91999999999999993</v>
      </c>
      <c r="D142" s="49">
        <f>VLOOKUP($A142,'Data shares'!$C:$FB,66)</f>
        <v>21943350</v>
      </c>
      <c r="E142" s="49">
        <f>VLOOKUP($A142,'Data shares'!$C:$FB,67)</f>
        <v>11142175</v>
      </c>
      <c r="F142" s="50">
        <f>VLOOKUP($A142,'Data shares'!$C:$FB,69)*100</f>
        <v>96.94</v>
      </c>
      <c r="G142" s="49">
        <f>VLOOKUP($A142,'Data shares'!$C:$FB,42)</f>
        <v>4401225</v>
      </c>
      <c r="H142" s="49">
        <f>VLOOKUP($A142,'Data shares'!$C:$FB,43)</f>
        <v>2463725</v>
      </c>
      <c r="I142" s="50">
        <f>VLOOKUP($A142,'Data shares'!$C:$FB,45)*100</f>
        <v>78.64</v>
      </c>
      <c r="J142" s="49">
        <f>VLOOKUP($A142,'Data shares'!$C:$FB,58)</f>
        <v>11786975</v>
      </c>
      <c r="K142" s="49">
        <f>VLOOKUP($A142,'Data shares'!$C:$FB,59)</f>
        <v>7069550</v>
      </c>
      <c r="L142" s="50">
        <f>VLOOKUP($A142,'Data shares'!$C:$FB,61)*100</f>
        <v>66.73</v>
      </c>
      <c r="M142" s="49">
        <f>VLOOKUP($A142,'Data shares'!$C:$FB,62)</f>
        <v>5755150</v>
      </c>
      <c r="N142" s="49">
        <f>VLOOKUP($A142,'Data shares'!$C:$FB,63)</f>
        <v>1608900</v>
      </c>
      <c r="O142" s="140">
        <f>VLOOKUP($A142,'Data shares'!$C:$FB,65)*100</f>
        <v>257.71000000000004</v>
      </c>
    </row>
    <row r="143" spans="1:15" x14ac:dyDescent="0.25">
      <c r="A143" s="101" t="str">
        <f>'Data Vlaue (Cr)'!C138</f>
        <v>MPHASIS</v>
      </c>
      <c r="B143" s="50">
        <f>VLOOKUP($A143,'Data shares'!$C:$FB,7)</f>
        <v>2417</v>
      </c>
      <c r="C143" s="50">
        <f>VLOOKUP($A143,'Data shares'!$C:$FB,10)*100</f>
        <v>-1.8399999999999999</v>
      </c>
      <c r="D143" s="49">
        <f>VLOOKUP($A143,'Data shares'!$C:$FB,66)</f>
        <v>1934900</v>
      </c>
      <c r="E143" s="49">
        <f>VLOOKUP($A143,'Data shares'!$C:$FB,67)</f>
        <v>2353175</v>
      </c>
      <c r="F143" s="50">
        <f>VLOOKUP($A143,'Data shares'!$C:$FB,69)*100</f>
        <v>-17.77</v>
      </c>
      <c r="G143" s="49">
        <f>VLOOKUP($A143,'Data shares'!$C:$FB,42)</f>
        <v>550550</v>
      </c>
      <c r="H143" s="49">
        <f>VLOOKUP($A143,'Data shares'!$C:$FB,43)</f>
        <v>614350</v>
      </c>
      <c r="I143" s="50">
        <f>VLOOKUP($A143,'Data shares'!$C:$FB,45)*100</f>
        <v>-10.38</v>
      </c>
      <c r="J143" s="49">
        <f>VLOOKUP($A143,'Data shares'!$C:$FB,58)</f>
        <v>834900</v>
      </c>
      <c r="K143" s="49">
        <f>VLOOKUP($A143,'Data shares'!$C:$FB,59)</f>
        <v>987525</v>
      </c>
      <c r="L143" s="50">
        <f>VLOOKUP($A143,'Data shares'!$C:$FB,61)*100</f>
        <v>-15.459999999999999</v>
      </c>
      <c r="M143" s="49">
        <f>VLOOKUP($A143,'Data shares'!$C:$FB,62)</f>
        <v>549450</v>
      </c>
      <c r="N143" s="49">
        <f>VLOOKUP($A143,'Data shares'!$C:$FB,63)</f>
        <v>751300</v>
      </c>
      <c r="O143" s="140">
        <f>VLOOKUP($A143,'Data shares'!$C:$FB,65)*100</f>
        <v>-26.87</v>
      </c>
    </row>
    <row r="144" spans="1:15" x14ac:dyDescent="0.25">
      <c r="A144" s="101" t="str">
        <f>'Data Vlaue (Cr)'!C139</f>
        <v>MUTHOOTFIN</v>
      </c>
      <c r="B144" s="50">
        <f>VLOOKUP($A144,'Data shares'!$C:$FB,7)</f>
        <v>3531.2</v>
      </c>
      <c r="C144" s="50">
        <f>VLOOKUP($A144,'Data shares'!$C:$FB,10)*100</f>
        <v>-1.1199999999999999</v>
      </c>
      <c r="D144" s="49">
        <f>VLOOKUP($A144,'Data shares'!$C:$FB,66)</f>
        <v>3218600</v>
      </c>
      <c r="E144" s="49">
        <f>VLOOKUP($A144,'Data shares'!$C:$FB,67)</f>
        <v>8393275</v>
      </c>
      <c r="F144" s="50">
        <f>VLOOKUP($A144,'Data shares'!$C:$FB,69)*100</f>
        <v>-61.650000000000006</v>
      </c>
      <c r="G144" s="49">
        <f>VLOOKUP($A144,'Data shares'!$C:$FB,42)</f>
        <v>607200</v>
      </c>
      <c r="H144" s="49">
        <f>VLOOKUP($A144,'Data shares'!$C:$FB,43)</f>
        <v>1009250</v>
      </c>
      <c r="I144" s="50">
        <f>VLOOKUP($A144,'Data shares'!$C:$FB,45)*100</f>
        <v>-39.839999999999996</v>
      </c>
      <c r="J144" s="49">
        <f>VLOOKUP($A144,'Data shares'!$C:$FB,58)</f>
        <v>1796300</v>
      </c>
      <c r="K144" s="49">
        <f>VLOOKUP($A144,'Data shares'!$C:$FB,59)</f>
        <v>4881800</v>
      </c>
      <c r="L144" s="50">
        <f>VLOOKUP($A144,'Data shares'!$C:$FB,61)*100</f>
        <v>-63.2</v>
      </c>
      <c r="M144" s="49">
        <f>VLOOKUP($A144,'Data shares'!$C:$FB,62)</f>
        <v>815100</v>
      </c>
      <c r="N144" s="49">
        <f>VLOOKUP($A144,'Data shares'!$C:$FB,63)</f>
        <v>2502225</v>
      </c>
      <c r="O144" s="140">
        <f>VLOOKUP($A144,'Data shares'!$C:$FB,65)*100</f>
        <v>-67.42</v>
      </c>
    </row>
    <row r="145" spans="1:15" x14ac:dyDescent="0.25">
      <c r="A145" s="101" t="str">
        <f>'Data Vlaue (Cr)'!C140</f>
        <v>NAM-INDIA</v>
      </c>
      <c r="B145" s="50">
        <f>VLOOKUP($A145,'Data shares'!$C:$FB,7)</f>
        <v>1003</v>
      </c>
      <c r="C145" s="50">
        <f>VLOOKUP($A145,'Data shares'!$C:$FB,10)*100</f>
        <v>-1.1900000000000002</v>
      </c>
      <c r="D145" s="49">
        <f>VLOOKUP($A145,'Data shares'!$C:$FB,66)</f>
        <v>3094375</v>
      </c>
      <c r="E145" s="49">
        <f>VLOOKUP($A145,'Data shares'!$C:$FB,67)</f>
        <v>4853750</v>
      </c>
      <c r="F145" s="50">
        <f>VLOOKUP($A145,'Data shares'!$C:$FB,69)*100</f>
        <v>-36.25</v>
      </c>
      <c r="G145" s="49">
        <f>VLOOKUP($A145,'Data shares'!$C:$FB,42)</f>
        <v>878125</v>
      </c>
      <c r="H145" s="49">
        <f>VLOOKUP($A145,'Data shares'!$C:$FB,43)</f>
        <v>1536875</v>
      </c>
      <c r="I145" s="50">
        <f>VLOOKUP($A145,'Data shares'!$C:$FB,45)*100</f>
        <v>-42.86</v>
      </c>
      <c r="J145" s="49">
        <f>VLOOKUP($A145,'Data shares'!$C:$FB,58)</f>
        <v>1729375</v>
      </c>
      <c r="K145" s="49">
        <f>VLOOKUP($A145,'Data shares'!$C:$FB,59)</f>
        <v>2637500</v>
      </c>
      <c r="L145" s="50">
        <f>VLOOKUP($A145,'Data shares'!$C:$FB,61)*100</f>
        <v>-34.43</v>
      </c>
      <c r="M145" s="49">
        <f>VLOOKUP($A145,'Data shares'!$C:$FB,62)</f>
        <v>486875</v>
      </c>
      <c r="N145" s="49">
        <f>VLOOKUP($A145,'Data shares'!$C:$FB,63)</f>
        <v>679375</v>
      </c>
      <c r="O145" s="140">
        <f>VLOOKUP($A145,'Data shares'!$C:$FB,65)*100</f>
        <v>-28.33</v>
      </c>
    </row>
    <row r="146" spans="1:15" x14ac:dyDescent="0.25">
      <c r="A146" s="101" t="str">
        <f>'Data Vlaue (Cr)'!C141</f>
        <v>NATIONALUM</v>
      </c>
      <c r="B146" s="50">
        <f>VLOOKUP($A146,'Data shares'!$C:$FB,7)</f>
        <v>426.65</v>
      </c>
      <c r="C146" s="50">
        <f>VLOOKUP($A146,'Data shares'!$C:$FB,10)*100</f>
        <v>-2.76</v>
      </c>
      <c r="D146" s="49">
        <f>VLOOKUP($A146,'Data shares'!$C:$FB,66)</f>
        <v>77797500</v>
      </c>
      <c r="E146" s="49">
        <f>VLOOKUP($A146,'Data shares'!$C:$FB,67)</f>
        <v>111757500</v>
      </c>
      <c r="F146" s="50">
        <f>VLOOKUP($A146,'Data shares'!$C:$FB,69)*100</f>
        <v>-30.39</v>
      </c>
      <c r="G146" s="49">
        <f>VLOOKUP($A146,'Data shares'!$C:$FB,42)</f>
        <v>16012500</v>
      </c>
      <c r="H146" s="49">
        <f>VLOOKUP($A146,'Data shares'!$C:$FB,43)</f>
        <v>17906250</v>
      </c>
      <c r="I146" s="50">
        <f>VLOOKUP($A146,'Data shares'!$C:$FB,45)*100</f>
        <v>-10.58</v>
      </c>
      <c r="J146" s="49">
        <f>VLOOKUP($A146,'Data shares'!$C:$FB,58)</f>
        <v>38823750</v>
      </c>
      <c r="K146" s="49">
        <f>VLOOKUP($A146,'Data shares'!$C:$FB,59)</f>
        <v>60705000</v>
      </c>
      <c r="L146" s="50">
        <f>VLOOKUP($A146,'Data shares'!$C:$FB,61)*100</f>
        <v>-36.049999999999997</v>
      </c>
      <c r="M146" s="49">
        <f>VLOOKUP($A146,'Data shares'!$C:$FB,62)</f>
        <v>22961250</v>
      </c>
      <c r="N146" s="49">
        <f>VLOOKUP($A146,'Data shares'!$C:$FB,63)</f>
        <v>33146250</v>
      </c>
      <c r="O146" s="140">
        <f>VLOOKUP($A146,'Data shares'!$C:$FB,65)*100</f>
        <v>-30.73</v>
      </c>
    </row>
    <row r="147" spans="1:15" x14ac:dyDescent="0.25">
      <c r="A147" s="101" t="str">
        <f>'Data Vlaue (Cr)'!C142</f>
        <v>NAUKRI</v>
      </c>
      <c r="B147" s="50">
        <f>VLOOKUP($A147,'Data shares'!$C:$FB,7)</f>
        <v>1067.9000000000001</v>
      </c>
      <c r="C147" s="50">
        <f>VLOOKUP($A147,'Data shares'!$C:$FB,10)*100</f>
        <v>1.27</v>
      </c>
      <c r="D147" s="49">
        <f>VLOOKUP($A147,'Data shares'!$C:$FB,66)</f>
        <v>10855125</v>
      </c>
      <c r="E147" s="49">
        <f>VLOOKUP($A147,'Data shares'!$C:$FB,67)</f>
        <v>4581750</v>
      </c>
      <c r="F147" s="50">
        <f>VLOOKUP($A147,'Data shares'!$C:$FB,69)*100</f>
        <v>136.91999999999999</v>
      </c>
      <c r="G147" s="49">
        <f>VLOOKUP($A147,'Data shares'!$C:$FB,42)</f>
        <v>2695125</v>
      </c>
      <c r="H147" s="49">
        <f>VLOOKUP($A147,'Data shares'!$C:$FB,43)</f>
        <v>1220250</v>
      </c>
      <c r="I147" s="50">
        <f>VLOOKUP($A147,'Data shares'!$C:$FB,45)*100</f>
        <v>120.87</v>
      </c>
      <c r="J147" s="49">
        <f>VLOOKUP($A147,'Data shares'!$C:$FB,58)</f>
        <v>6560625</v>
      </c>
      <c r="K147" s="49">
        <f>VLOOKUP($A147,'Data shares'!$C:$FB,59)</f>
        <v>2352000</v>
      </c>
      <c r="L147" s="50">
        <f>VLOOKUP($A147,'Data shares'!$C:$FB,61)*100</f>
        <v>178.94</v>
      </c>
      <c r="M147" s="49">
        <f>VLOOKUP($A147,'Data shares'!$C:$FB,62)</f>
        <v>1599375</v>
      </c>
      <c r="N147" s="49">
        <f>VLOOKUP($A147,'Data shares'!$C:$FB,63)</f>
        <v>1009500</v>
      </c>
      <c r="O147" s="140">
        <f>VLOOKUP($A147,'Data shares'!$C:$FB,65)*100</f>
        <v>58.430000000000007</v>
      </c>
    </row>
    <row r="148" spans="1:15" x14ac:dyDescent="0.25">
      <c r="A148" s="101" t="str">
        <f>'Data Vlaue (Cr)'!C143</f>
        <v>NBCC</v>
      </c>
      <c r="B148" s="50">
        <f>VLOOKUP($A148,'Data shares'!$C:$FB,7)</f>
        <v>93.32</v>
      </c>
      <c r="C148" s="50">
        <f>VLOOKUP($A148,'Data shares'!$C:$FB,10)*100</f>
        <v>-1.06</v>
      </c>
      <c r="D148" s="49">
        <f>VLOOKUP($A148,'Data shares'!$C:$FB,66)</f>
        <v>33020000</v>
      </c>
      <c r="E148" s="49">
        <f>VLOOKUP($A148,'Data shares'!$C:$FB,67)</f>
        <v>47320000</v>
      </c>
      <c r="F148" s="50">
        <f>VLOOKUP($A148,'Data shares'!$C:$FB,69)*100</f>
        <v>-30.220000000000002</v>
      </c>
      <c r="G148" s="49">
        <f>VLOOKUP($A148,'Data shares'!$C:$FB,42)</f>
        <v>12785500</v>
      </c>
      <c r="H148" s="49">
        <f>VLOOKUP($A148,'Data shares'!$C:$FB,43)</f>
        <v>14410500</v>
      </c>
      <c r="I148" s="50">
        <f>VLOOKUP($A148,'Data shares'!$C:$FB,45)*100</f>
        <v>-11.28</v>
      </c>
      <c r="J148" s="49">
        <f>VLOOKUP($A148,'Data shares'!$C:$FB,58)</f>
        <v>12857000</v>
      </c>
      <c r="K148" s="49">
        <f>VLOOKUP($A148,'Data shares'!$C:$FB,59)</f>
        <v>23172500</v>
      </c>
      <c r="L148" s="50">
        <f>VLOOKUP($A148,'Data shares'!$C:$FB,61)*100</f>
        <v>-44.519999999999996</v>
      </c>
      <c r="M148" s="49">
        <f>VLOOKUP($A148,'Data shares'!$C:$FB,62)</f>
        <v>7377500</v>
      </c>
      <c r="N148" s="49">
        <f>VLOOKUP($A148,'Data shares'!$C:$FB,63)</f>
        <v>9737000</v>
      </c>
      <c r="O148" s="140">
        <f>VLOOKUP($A148,'Data shares'!$C:$FB,65)*100</f>
        <v>-24.23</v>
      </c>
    </row>
    <row r="149" spans="1:15" x14ac:dyDescent="0.25">
      <c r="A149" s="101" t="str">
        <f>'Data Vlaue (Cr)'!C144</f>
        <v>NESTLEIND</v>
      </c>
      <c r="B149" s="50">
        <f>VLOOKUP($A149,'Data shares'!$C:$FB,7)</f>
        <v>1286.4000000000001</v>
      </c>
      <c r="C149" s="50">
        <f>VLOOKUP($A149,'Data shares'!$C:$FB,10)*100</f>
        <v>0.06</v>
      </c>
      <c r="D149" s="49">
        <f>VLOOKUP($A149,'Data shares'!$C:$FB,66)</f>
        <v>13103000</v>
      </c>
      <c r="E149" s="49">
        <f>VLOOKUP($A149,'Data shares'!$C:$FB,67)</f>
        <v>14579000</v>
      </c>
      <c r="F149" s="50">
        <f>VLOOKUP($A149,'Data shares'!$C:$FB,69)*100</f>
        <v>-10.119999999999999</v>
      </c>
      <c r="G149" s="49">
        <f>VLOOKUP($A149,'Data shares'!$C:$FB,42)</f>
        <v>2632000</v>
      </c>
      <c r="H149" s="49">
        <f>VLOOKUP($A149,'Data shares'!$C:$FB,43)</f>
        <v>2015500</v>
      </c>
      <c r="I149" s="50">
        <f>VLOOKUP($A149,'Data shares'!$C:$FB,45)*100</f>
        <v>30.59</v>
      </c>
      <c r="J149" s="49">
        <f>VLOOKUP($A149,'Data shares'!$C:$FB,58)</f>
        <v>7887500</v>
      </c>
      <c r="K149" s="49">
        <f>VLOOKUP($A149,'Data shares'!$C:$FB,59)</f>
        <v>9964500</v>
      </c>
      <c r="L149" s="50">
        <f>VLOOKUP($A149,'Data shares'!$C:$FB,61)*100</f>
        <v>-20.84</v>
      </c>
      <c r="M149" s="49">
        <f>VLOOKUP($A149,'Data shares'!$C:$FB,62)</f>
        <v>2583500</v>
      </c>
      <c r="N149" s="49">
        <f>VLOOKUP($A149,'Data shares'!$C:$FB,63)</f>
        <v>2599000</v>
      </c>
      <c r="O149" s="140">
        <f>VLOOKUP($A149,'Data shares'!$C:$FB,65)*100</f>
        <v>-0.6</v>
      </c>
    </row>
    <row r="150" spans="1:15" x14ac:dyDescent="0.25">
      <c r="A150" s="101" t="str">
        <f>'Data Vlaue (Cr)'!C145</f>
        <v>NHPC</v>
      </c>
      <c r="B150" s="50">
        <f>VLOOKUP($A150,'Data shares'!$C:$FB,7)</f>
        <v>83.1</v>
      </c>
      <c r="C150" s="50">
        <f>VLOOKUP($A150,'Data shares'!$C:$FB,10)*100</f>
        <v>-0.54999999999999993</v>
      </c>
      <c r="D150" s="49">
        <f>VLOOKUP($A150,'Data shares'!$C:$FB,66)</f>
        <v>76608000</v>
      </c>
      <c r="E150" s="49">
        <f>VLOOKUP($A150,'Data shares'!$C:$FB,67)</f>
        <v>129811200</v>
      </c>
      <c r="F150" s="50">
        <f>VLOOKUP($A150,'Data shares'!$C:$FB,69)*100</f>
        <v>-40.99</v>
      </c>
      <c r="G150" s="49">
        <f>VLOOKUP($A150,'Data shares'!$C:$FB,42)</f>
        <v>20307200</v>
      </c>
      <c r="H150" s="49">
        <f>VLOOKUP($A150,'Data shares'!$C:$FB,43)</f>
        <v>43148800</v>
      </c>
      <c r="I150" s="50">
        <f>VLOOKUP($A150,'Data shares'!$C:$FB,45)*100</f>
        <v>-52.94</v>
      </c>
      <c r="J150" s="49">
        <f>VLOOKUP($A150,'Data shares'!$C:$FB,58)</f>
        <v>37843200</v>
      </c>
      <c r="K150" s="49">
        <f>VLOOKUP($A150,'Data shares'!$C:$FB,59)</f>
        <v>60691200</v>
      </c>
      <c r="L150" s="50">
        <f>VLOOKUP($A150,'Data shares'!$C:$FB,61)*100</f>
        <v>-37.65</v>
      </c>
      <c r="M150" s="49">
        <f>VLOOKUP($A150,'Data shares'!$C:$FB,62)</f>
        <v>18457600</v>
      </c>
      <c r="N150" s="49">
        <f>VLOOKUP($A150,'Data shares'!$C:$FB,63)</f>
        <v>25971200</v>
      </c>
      <c r="O150" s="140">
        <f>VLOOKUP($A150,'Data shares'!$C:$FB,65)*100</f>
        <v>-28.93</v>
      </c>
    </row>
    <row r="151" spans="1:15" x14ac:dyDescent="0.25">
      <c r="A151" s="101" t="str">
        <f>'Data Vlaue (Cr)'!C146</f>
        <v>NIFTY</v>
      </c>
      <c r="B151" s="50">
        <f>VLOOKUP($A151,'Data shares'!$C:$FB,7)</f>
        <v>24364.85</v>
      </c>
      <c r="C151" s="50">
        <f>VLOOKUP($A151,'Data shares'!$C:$FB,10)*100</f>
        <v>0.05</v>
      </c>
      <c r="D151" s="49">
        <f>VLOOKUP($A151,'Data shares'!$C:$FB,66)</f>
        <v>7708542010</v>
      </c>
      <c r="E151" s="49">
        <f>VLOOKUP($A151,'Data shares'!$C:$FB,67)</f>
        <v>4531114770</v>
      </c>
      <c r="F151" s="50">
        <f>VLOOKUP($A151,'Data shares'!$C:$FB,69)*100</f>
        <v>70.12</v>
      </c>
      <c r="G151" s="49">
        <f>VLOOKUP($A151,'Data shares'!$C:$FB,42)</f>
        <v>5538520</v>
      </c>
      <c r="H151" s="49">
        <f>VLOOKUP($A151,'Data shares'!$C:$FB,43)</f>
        <v>4074395</v>
      </c>
      <c r="I151" s="50">
        <f>VLOOKUP($A151,'Data shares'!$C:$FB,45)*100</f>
        <v>35.93</v>
      </c>
      <c r="J151" s="49">
        <f>VLOOKUP($A151,'Data shares'!$C:$FB,58)</f>
        <v>4028757070</v>
      </c>
      <c r="K151" s="49">
        <f>VLOOKUP($A151,'Data shares'!$C:$FB,59)</f>
        <v>2459491775</v>
      </c>
      <c r="L151" s="50">
        <f>VLOOKUP($A151,'Data shares'!$C:$FB,61)*100</f>
        <v>63.800000000000004</v>
      </c>
      <c r="M151" s="49">
        <f>VLOOKUP($A151,'Data shares'!$C:$FB,62)</f>
        <v>3674246420</v>
      </c>
      <c r="N151" s="49">
        <f>VLOOKUP($A151,'Data shares'!$C:$FB,63)</f>
        <v>2067548600</v>
      </c>
      <c r="O151" s="140">
        <f>VLOOKUP($A151,'Data shares'!$C:$FB,65)*100</f>
        <v>77.710000000000008</v>
      </c>
    </row>
    <row r="152" spans="1:15" x14ac:dyDescent="0.25">
      <c r="A152" s="101" t="str">
        <f>'Data Vlaue (Cr)'!C147</f>
        <v>NIFTYNXT50</v>
      </c>
      <c r="B152" s="50">
        <f>VLOOKUP($A152,'Data shares'!$C:$FB,7)</f>
        <v>70341</v>
      </c>
      <c r="C152" s="50">
        <f>VLOOKUP($A152,'Data shares'!$C:$FB,10)*100</f>
        <v>0.1</v>
      </c>
      <c r="D152" s="49">
        <f>VLOOKUP($A152,'Data shares'!$C:$FB,66)</f>
        <v>27700</v>
      </c>
      <c r="E152" s="49">
        <f>VLOOKUP($A152,'Data shares'!$C:$FB,67)</f>
        <v>32125</v>
      </c>
      <c r="F152" s="50">
        <f>VLOOKUP($A152,'Data shares'!$C:$FB,69)*100</f>
        <v>-13.77</v>
      </c>
      <c r="G152" s="49">
        <f>VLOOKUP($A152,'Data shares'!$C:$FB,42)</f>
        <v>10175</v>
      </c>
      <c r="H152" s="49">
        <f>VLOOKUP($A152,'Data shares'!$C:$FB,43)</f>
        <v>7700</v>
      </c>
      <c r="I152" s="50">
        <f>VLOOKUP($A152,'Data shares'!$C:$FB,45)*100</f>
        <v>32.14</v>
      </c>
      <c r="J152" s="49">
        <f>VLOOKUP($A152,'Data shares'!$C:$FB,58)</f>
        <v>14075</v>
      </c>
      <c r="K152" s="49">
        <f>VLOOKUP($A152,'Data shares'!$C:$FB,59)</f>
        <v>20125</v>
      </c>
      <c r="L152" s="50">
        <f>VLOOKUP($A152,'Data shares'!$C:$FB,61)*100</f>
        <v>-30.06</v>
      </c>
      <c r="M152" s="49">
        <f>VLOOKUP($A152,'Data shares'!$C:$FB,62)</f>
        <v>3450</v>
      </c>
      <c r="N152" s="49">
        <f>VLOOKUP($A152,'Data shares'!$C:$FB,63)</f>
        <v>4300</v>
      </c>
      <c r="O152" s="140">
        <f>VLOOKUP($A152,'Data shares'!$C:$FB,65)*100</f>
        <v>-19.77</v>
      </c>
    </row>
    <row r="153" spans="1:15" x14ac:dyDescent="0.25">
      <c r="A153" s="101" t="str">
        <f>'Data Vlaue (Cr)'!C148</f>
        <v>NMDC</v>
      </c>
      <c r="B153" s="50">
        <f>VLOOKUP($A153,'Data shares'!$C:$FB,7)</f>
        <v>88.9</v>
      </c>
      <c r="C153" s="50">
        <f>VLOOKUP($A153,'Data shares'!$C:$FB,10)*100</f>
        <v>-0.98</v>
      </c>
      <c r="D153" s="49">
        <f>VLOOKUP($A153,'Data shares'!$C:$FB,66)</f>
        <v>138550500</v>
      </c>
      <c r="E153" s="49">
        <f>VLOOKUP($A153,'Data shares'!$C:$FB,67)</f>
        <v>275109750</v>
      </c>
      <c r="F153" s="50">
        <f>VLOOKUP($A153,'Data shares'!$C:$FB,69)*100</f>
        <v>-49.64</v>
      </c>
      <c r="G153" s="49">
        <f>VLOOKUP($A153,'Data shares'!$C:$FB,42)</f>
        <v>37935000</v>
      </c>
      <c r="H153" s="49">
        <f>VLOOKUP($A153,'Data shares'!$C:$FB,43)</f>
        <v>50712750</v>
      </c>
      <c r="I153" s="50">
        <f>VLOOKUP($A153,'Data shares'!$C:$FB,45)*100</f>
        <v>-25.2</v>
      </c>
      <c r="J153" s="49">
        <f>VLOOKUP($A153,'Data shares'!$C:$FB,58)</f>
        <v>68931000</v>
      </c>
      <c r="K153" s="49">
        <f>VLOOKUP($A153,'Data shares'!$C:$FB,59)</f>
        <v>167042250</v>
      </c>
      <c r="L153" s="50">
        <f>VLOOKUP($A153,'Data shares'!$C:$FB,61)*100</f>
        <v>-58.730000000000004</v>
      </c>
      <c r="M153" s="49">
        <f>VLOOKUP($A153,'Data shares'!$C:$FB,62)</f>
        <v>31684500</v>
      </c>
      <c r="N153" s="49">
        <f>VLOOKUP($A153,'Data shares'!$C:$FB,63)</f>
        <v>57354750</v>
      </c>
      <c r="O153" s="140">
        <f>VLOOKUP($A153,'Data shares'!$C:$FB,65)*100</f>
        <v>-44.76</v>
      </c>
    </row>
    <row r="154" spans="1:15" x14ac:dyDescent="0.25">
      <c r="A154" s="101" t="str">
        <f>'Data Vlaue (Cr)'!C149</f>
        <v>NTPC</v>
      </c>
      <c r="B154" s="50">
        <f>VLOOKUP($A154,'Data shares'!$C:$FB,7)</f>
        <v>398</v>
      </c>
      <c r="C154" s="50">
        <f>VLOOKUP($A154,'Data shares'!$C:$FB,10)*100</f>
        <v>1.1199999999999999</v>
      </c>
      <c r="D154" s="49">
        <f>VLOOKUP($A154,'Data shares'!$C:$FB,66)</f>
        <v>180475500</v>
      </c>
      <c r="E154" s="49">
        <f>VLOOKUP($A154,'Data shares'!$C:$FB,67)</f>
        <v>145749000</v>
      </c>
      <c r="F154" s="50">
        <f>VLOOKUP($A154,'Data shares'!$C:$FB,69)*100</f>
        <v>23.830000000000002</v>
      </c>
      <c r="G154" s="49">
        <f>VLOOKUP($A154,'Data shares'!$C:$FB,42)</f>
        <v>21229500</v>
      </c>
      <c r="H154" s="49">
        <f>VLOOKUP($A154,'Data shares'!$C:$FB,43)</f>
        <v>20563500</v>
      </c>
      <c r="I154" s="50">
        <f>VLOOKUP($A154,'Data shares'!$C:$FB,45)*100</f>
        <v>3.2399999999999998</v>
      </c>
      <c r="J154" s="49">
        <f>VLOOKUP($A154,'Data shares'!$C:$FB,58)</f>
        <v>109485000</v>
      </c>
      <c r="K154" s="49">
        <f>VLOOKUP($A154,'Data shares'!$C:$FB,59)</f>
        <v>84981000</v>
      </c>
      <c r="L154" s="50">
        <f>VLOOKUP($A154,'Data shares'!$C:$FB,61)*100</f>
        <v>28.83</v>
      </c>
      <c r="M154" s="49">
        <f>VLOOKUP($A154,'Data shares'!$C:$FB,62)</f>
        <v>49761000</v>
      </c>
      <c r="N154" s="49">
        <f>VLOOKUP($A154,'Data shares'!$C:$FB,63)</f>
        <v>40204500</v>
      </c>
      <c r="O154" s="140">
        <f>VLOOKUP($A154,'Data shares'!$C:$FB,65)*100</f>
        <v>23.77</v>
      </c>
    </row>
    <row r="155" spans="1:15" x14ac:dyDescent="0.25">
      <c r="A155" s="101" t="str">
        <f>'Data Vlaue (Cr)'!C150</f>
        <v>NUVAMA</v>
      </c>
      <c r="B155" s="50">
        <f>VLOOKUP($A155,'Data shares'!$C:$FB,7)</f>
        <v>1379.1</v>
      </c>
      <c r="C155" s="50">
        <f>VLOOKUP($A155,'Data shares'!$C:$FB,10)*100</f>
        <v>-1.54</v>
      </c>
      <c r="D155" s="49">
        <f>VLOOKUP($A155,'Data shares'!$C:$FB,66)</f>
        <v>3502500</v>
      </c>
      <c r="E155" s="49">
        <f>VLOOKUP($A155,'Data shares'!$C:$FB,67)</f>
        <v>2496500</v>
      </c>
      <c r="F155" s="50">
        <f>VLOOKUP($A155,'Data shares'!$C:$FB,69)*100</f>
        <v>40.300000000000004</v>
      </c>
      <c r="G155" s="49">
        <f>VLOOKUP($A155,'Data shares'!$C:$FB,42)</f>
        <v>412500</v>
      </c>
      <c r="H155" s="49">
        <f>VLOOKUP($A155,'Data shares'!$C:$FB,43)</f>
        <v>680000</v>
      </c>
      <c r="I155" s="50">
        <f>VLOOKUP($A155,'Data shares'!$C:$FB,45)*100</f>
        <v>-39.340000000000003</v>
      </c>
      <c r="J155" s="49">
        <f>VLOOKUP($A155,'Data shares'!$C:$FB,58)</f>
        <v>1233500</v>
      </c>
      <c r="K155" s="49">
        <f>VLOOKUP($A155,'Data shares'!$C:$FB,59)</f>
        <v>1405000</v>
      </c>
      <c r="L155" s="50">
        <f>VLOOKUP($A155,'Data shares'!$C:$FB,61)*100</f>
        <v>-12.21</v>
      </c>
      <c r="M155" s="49">
        <f>VLOOKUP($A155,'Data shares'!$C:$FB,62)</f>
        <v>1856500</v>
      </c>
      <c r="N155" s="49">
        <f>VLOOKUP($A155,'Data shares'!$C:$FB,63)</f>
        <v>411500</v>
      </c>
      <c r="O155" s="140">
        <f>VLOOKUP($A155,'Data shares'!$C:$FB,65)*100</f>
        <v>351.15</v>
      </c>
    </row>
    <row r="156" spans="1:15" x14ac:dyDescent="0.25">
      <c r="A156" s="101" t="str">
        <f>'Data Vlaue (Cr)'!C151</f>
        <v>NYKAA</v>
      </c>
      <c r="B156" s="50">
        <f>VLOOKUP($A156,'Data shares'!$C:$FB,7)</f>
        <v>264.55</v>
      </c>
      <c r="C156" s="50">
        <f>VLOOKUP($A156,'Data shares'!$C:$FB,10)*100</f>
        <v>-1.8900000000000001</v>
      </c>
      <c r="D156" s="49">
        <f>VLOOKUP($A156,'Data shares'!$C:$FB,66)</f>
        <v>19615625</v>
      </c>
      <c r="E156" s="49">
        <f>VLOOKUP($A156,'Data shares'!$C:$FB,67)</f>
        <v>21940625</v>
      </c>
      <c r="F156" s="50">
        <f>VLOOKUP($A156,'Data shares'!$C:$FB,69)*100</f>
        <v>-10.6</v>
      </c>
      <c r="G156" s="49">
        <f>VLOOKUP($A156,'Data shares'!$C:$FB,42)</f>
        <v>4478125</v>
      </c>
      <c r="H156" s="49">
        <f>VLOOKUP($A156,'Data shares'!$C:$FB,43)</f>
        <v>4759375</v>
      </c>
      <c r="I156" s="50">
        <f>VLOOKUP($A156,'Data shares'!$C:$FB,45)*100</f>
        <v>-5.91</v>
      </c>
      <c r="J156" s="49">
        <f>VLOOKUP($A156,'Data shares'!$C:$FB,58)</f>
        <v>11290625</v>
      </c>
      <c r="K156" s="49">
        <f>VLOOKUP($A156,'Data shares'!$C:$FB,59)</f>
        <v>12515625</v>
      </c>
      <c r="L156" s="50">
        <f>VLOOKUP($A156,'Data shares'!$C:$FB,61)*100</f>
        <v>-9.7900000000000009</v>
      </c>
      <c r="M156" s="49">
        <f>VLOOKUP($A156,'Data shares'!$C:$FB,62)</f>
        <v>3846875</v>
      </c>
      <c r="N156" s="49">
        <f>VLOOKUP($A156,'Data shares'!$C:$FB,63)</f>
        <v>4665625</v>
      </c>
      <c r="O156" s="140">
        <f>VLOOKUP($A156,'Data shares'!$C:$FB,65)*100</f>
        <v>-17.549999999999997</v>
      </c>
    </row>
    <row r="157" spans="1:15" x14ac:dyDescent="0.25">
      <c r="A157" s="101" t="str">
        <f>'Data Vlaue (Cr)'!C152</f>
        <v>OBEROIRLTY</v>
      </c>
      <c r="B157" s="50">
        <f>VLOOKUP($A157,'Data shares'!$C:$FB,7)</f>
        <v>1694.9</v>
      </c>
      <c r="C157" s="50">
        <f>VLOOKUP($A157,'Data shares'!$C:$FB,10)*100</f>
        <v>-0.91999999999999993</v>
      </c>
      <c r="D157" s="49">
        <f>VLOOKUP($A157,'Data shares'!$C:$FB,66)</f>
        <v>1629950</v>
      </c>
      <c r="E157" s="49">
        <f>VLOOKUP($A157,'Data shares'!$C:$FB,67)</f>
        <v>1661450</v>
      </c>
      <c r="F157" s="50">
        <f>VLOOKUP($A157,'Data shares'!$C:$FB,69)*100</f>
        <v>-1.9</v>
      </c>
      <c r="G157" s="49">
        <f>VLOOKUP($A157,'Data shares'!$C:$FB,42)</f>
        <v>735000</v>
      </c>
      <c r="H157" s="49">
        <f>VLOOKUP($A157,'Data shares'!$C:$FB,43)</f>
        <v>737450</v>
      </c>
      <c r="I157" s="50">
        <f>VLOOKUP($A157,'Data shares'!$C:$FB,45)*100</f>
        <v>-0.33</v>
      </c>
      <c r="J157" s="49">
        <f>VLOOKUP($A157,'Data shares'!$C:$FB,58)</f>
        <v>397950</v>
      </c>
      <c r="K157" s="49">
        <f>VLOOKUP($A157,'Data shares'!$C:$FB,59)</f>
        <v>506100</v>
      </c>
      <c r="L157" s="50">
        <f>VLOOKUP($A157,'Data shares'!$C:$FB,61)*100</f>
        <v>-21.37</v>
      </c>
      <c r="M157" s="49">
        <f>VLOOKUP($A157,'Data shares'!$C:$FB,62)</f>
        <v>497000</v>
      </c>
      <c r="N157" s="49">
        <f>VLOOKUP($A157,'Data shares'!$C:$FB,63)</f>
        <v>417900</v>
      </c>
      <c r="O157" s="140">
        <f>VLOOKUP($A157,'Data shares'!$C:$FB,65)*100</f>
        <v>18.93</v>
      </c>
    </row>
    <row r="158" spans="1:15" x14ac:dyDescent="0.25">
      <c r="A158" s="101" t="str">
        <f>'Data Vlaue (Cr)'!C153</f>
        <v>OFSS</v>
      </c>
      <c r="B158" s="50">
        <f>VLOOKUP($A158,'Data shares'!$C:$FB,7)</f>
        <v>8082.5</v>
      </c>
      <c r="C158" s="50">
        <f>VLOOKUP($A158,'Data shares'!$C:$FB,10)*100</f>
        <v>1.1299999999999999</v>
      </c>
      <c r="D158" s="49">
        <f>VLOOKUP($A158,'Data shares'!$C:$FB,66)</f>
        <v>2583900</v>
      </c>
      <c r="E158" s="49">
        <f>VLOOKUP($A158,'Data shares'!$C:$FB,67)</f>
        <v>2987400</v>
      </c>
      <c r="F158" s="50">
        <f>VLOOKUP($A158,'Data shares'!$C:$FB,69)*100</f>
        <v>-13.51</v>
      </c>
      <c r="G158" s="49">
        <f>VLOOKUP($A158,'Data shares'!$C:$FB,42)</f>
        <v>490425</v>
      </c>
      <c r="H158" s="49">
        <f>VLOOKUP($A158,'Data shares'!$C:$FB,43)</f>
        <v>261450</v>
      </c>
      <c r="I158" s="50">
        <f>VLOOKUP($A158,'Data shares'!$C:$FB,45)*100</f>
        <v>87.58</v>
      </c>
      <c r="J158" s="49">
        <f>VLOOKUP($A158,'Data shares'!$C:$FB,58)</f>
        <v>1295550</v>
      </c>
      <c r="K158" s="49">
        <f>VLOOKUP($A158,'Data shares'!$C:$FB,59)</f>
        <v>1481325</v>
      </c>
      <c r="L158" s="50">
        <f>VLOOKUP($A158,'Data shares'!$C:$FB,61)*100</f>
        <v>-12.540000000000001</v>
      </c>
      <c r="M158" s="49">
        <f>VLOOKUP($A158,'Data shares'!$C:$FB,62)</f>
        <v>797925</v>
      </c>
      <c r="N158" s="49">
        <f>VLOOKUP($A158,'Data shares'!$C:$FB,63)</f>
        <v>1244625</v>
      </c>
      <c r="O158" s="140">
        <f>VLOOKUP($A158,'Data shares'!$C:$FB,65)*100</f>
        <v>-35.89</v>
      </c>
    </row>
    <row r="159" spans="1:15" x14ac:dyDescent="0.25">
      <c r="A159" s="101" t="str">
        <f>'Data Vlaue (Cr)'!C154</f>
        <v>OIL</v>
      </c>
      <c r="B159" s="50">
        <f>VLOOKUP($A159,'Data shares'!$C:$FB,7)</f>
        <v>471.7</v>
      </c>
      <c r="C159" s="50">
        <f>VLOOKUP($A159,'Data shares'!$C:$FB,10)*100</f>
        <v>0.33999999999999997</v>
      </c>
      <c r="D159" s="49">
        <f>VLOOKUP($A159,'Data shares'!$C:$FB,66)</f>
        <v>15878800</v>
      </c>
      <c r="E159" s="49">
        <f>VLOOKUP($A159,'Data shares'!$C:$FB,67)</f>
        <v>15575000</v>
      </c>
      <c r="F159" s="50">
        <f>VLOOKUP($A159,'Data shares'!$C:$FB,69)*100</f>
        <v>1.95</v>
      </c>
      <c r="G159" s="49">
        <f>VLOOKUP($A159,'Data shares'!$C:$FB,42)</f>
        <v>3647000</v>
      </c>
      <c r="H159" s="49">
        <f>VLOOKUP($A159,'Data shares'!$C:$FB,43)</f>
        <v>2830800</v>
      </c>
      <c r="I159" s="50">
        <f>VLOOKUP($A159,'Data shares'!$C:$FB,45)*100</f>
        <v>28.83</v>
      </c>
      <c r="J159" s="49">
        <f>VLOOKUP($A159,'Data shares'!$C:$FB,58)</f>
        <v>9416400</v>
      </c>
      <c r="K159" s="49">
        <f>VLOOKUP($A159,'Data shares'!$C:$FB,59)</f>
        <v>9622200</v>
      </c>
      <c r="L159" s="50">
        <f>VLOOKUP($A159,'Data shares'!$C:$FB,61)*100</f>
        <v>-2.1399999999999997</v>
      </c>
      <c r="M159" s="49">
        <f>VLOOKUP($A159,'Data shares'!$C:$FB,62)</f>
        <v>2815400</v>
      </c>
      <c r="N159" s="49">
        <f>VLOOKUP($A159,'Data shares'!$C:$FB,63)</f>
        <v>3122000</v>
      </c>
      <c r="O159" s="140">
        <f>VLOOKUP($A159,'Data shares'!$C:$FB,65)*100</f>
        <v>-9.82</v>
      </c>
    </row>
    <row r="160" spans="1:15" x14ac:dyDescent="0.25">
      <c r="A160" s="101" t="str">
        <f>'Data Vlaue (Cr)'!C155</f>
        <v>ONGC</v>
      </c>
      <c r="B160" s="50">
        <f>VLOOKUP($A160,'Data shares'!$C:$FB,7)</f>
        <v>283.35000000000002</v>
      </c>
      <c r="C160" s="50">
        <f>VLOOKUP($A160,'Data shares'!$C:$FB,10)*100</f>
        <v>-0.25</v>
      </c>
      <c r="D160" s="49">
        <f>VLOOKUP($A160,'Data shares'!$C:$FB,66)</f>
        <v>93051000</v>
      </c>
      <c r="E160" s="49">
        <f>VLOOKUP($A160,'Data shares'!$C:$FB,67)</f>
        <v>94585500</v>
      </c>
      <c r="F160" s="50">
        <f>VLOOKUP($A160,'Data shares'!$C:$FB,69)*100</f>
        <v>-1.6199999999999999</v>
      </c>
      <c r="G160" s="49">
        <f>VLOOKUP($A160,'Data shares'!$C:$FB,42)</f>
        <v>10176750</v>
      </c>
      <c r="H160" s="49">
        <f>VLOOKUP($A160,'Data shares'!$C:$FB,43)</f>
        <v>13473000</v>
      </c>
      <c r="I160" s="50">
        <f>VLOOKUP($A160,'Data shares'!$C:$FB,45)*100</f>
        <v>-24.47</v>
      </c>
      <c r="J160" s="49">
        <f>VLOOKUP($A160,'Data shares'!$C:$FB,58)</f>
        <v>62318250</v>
      </c>
      <c r="K160" s="49">
        <f>VLOOKUP($A160,'Data shares'!$C:$FB,59)</f>
        <v>56157750</v>
      </c>
      <c r="L160" s="50">
        <f>VLOOKUP($A160,'Data shares'!$C:$FB,61)*100</f>
        <v>10.97</v>
      </c>
      <c r="M160" s="49">
        <f>VLOOKUP($A160,'Data shares'!$C:$FB,62)</f>
        <v>20556000</v>
      </c>
      <c r="N160" s="49">
        <f>VLOOKUP($A160,'Data shares'!$C:$FB,63)</f>
        <v>24954750</v>
      </c>
      <c r="O160" s="140">
        <f>VLOOKUP($A160,'Data shares'!$C:$FB,65)*100</f>
        <v>-17.630000000000003</v>
      </c>
    </row>
    <row r="161" spans="1:15" x14ac:dyDescent="0.25">
      <c r="A161" s="101" t="str">
        <f>'Data Vlaue (Cr)'!C156</f>
        <v>PAGEIND</v>
      </c>
      <c r="B161" s="50">
        <f>VLOOKUP($A161,'Data shares'!$C:$FB,7)</f>
        <v>38405</v>
      </c>
      <c r="C161" s="50">
        <f>VLOOKUP($A161,'Data shares'!$C:$FB,10)*100</f>
        <v>1.1299999999999999</v>
      </c>
      <c r="D161" s="49">
        <f>VLOOKUP($A161,'Data shares'!$C:$FB,66)</f>
        <v>249915</v>
      </c>
      <c r="E161" s="49">
        <f>VLOOKUP($A161,'Data shares'!$C:$FB,67)</f>
        <v>353220</v>
      </c>
      <c r="F161" s="50">
        <f>VLOOKUP($A161,'Data shares'!$C:$FB,69)*100</f>
        <v>-29.25</v>
      </c>
      <c r="G161" s="49">
        <f>VLOOKUP($A161,'Data shares'!$C:$FB,42)</f>
        <v>54465</v>
      </c>
      <c r="H161" s="49">
        <f>VLOOKUP($A161,'Data shares'!$C:$FB,43)</f>
        <v>81885</v>
      </c>
      <c r="I161" s="50">
        <f>VLOOKUP($A161,'Data shares'!$C:$FB,45)*100</f>
        <v>-33.489999999999995</v>
      </c>
      <c r="J161" s="49">
        <f>VLOOKUP($A161,'Data shares'!$C:$FB,58)</f>
        <v>68535</v>
      </c>
      <c r="K161" s="49">
        <f>VLOOKUP($A161,'Data shares'!$C:$FB,59)</f>
        <v>168630</v>
      </c>
      <c r="L161" s="50">
        <f>VLOOKUP($A161,'Data shares'!$C:$FB,61)*100</f>
        <v>-59.36</v>
      </c>
      <c r="M161" s="49">
        <f>VLOOKUP($A161,'Data shares'!$C:$FB,62)</f>
        <v>126915</v>
      </c>
      <c r="N161" s="49">
        <f>VLOOKUP($A161,'Data shares'!$C:$FB,63)</f>
        <v>102705</v>
      </c>
      <c r="O161" s="140">
        <f>VLOOKUP($A161,'Data shares'!$C:$FB,65)*100</f>
        <v>23.57</v>
      </c>
    </row>
    <row r="162" spans="1:15" x14ac:dyDescent="0.25">
      <c r="A162" s="101" t="str">
        <f>'Data Vlaue (Cr)'!C157</f>
        <v>PATANJALI</v>
      </c>
      <c r="B162" s="50">
        <f>VLOOKUP($A162,'Data shares'!$C:$FB,7)</f>
        <v>459.65</v>
      </c>
      <c r="C162" s="50">
        <f>VLOOKUP($A162,'Data shares'!$C:$FB,10)*100</f>
        <v>-1.8499999999999999</v>
      </c>
      <c r="D162" s="49">
        <f>VLOOKUP($A162,'Data shares'!$C:$FB,66)</f>
        <v>9754200</v>
      </c>
      <c r="E162" s="49">
        <f>VLOOKUP($A162,'Data shares'!$C:$FB,67)</f>
        <v>20628000</v>
      </c>
      <c r="F162" s="50">
        <f>VLOOKUP($A162,'Data shares'!$C:$FB,69)*100</f>
        <v>-52.71</v>
      </c>
      <c r="G162" s="49">
        <f>VLOOKUP($A162,'Data shares'!$C:$FB,42)</f>
        <v>3556800</v>
      </c>
      <c r="H162" s="49">
        <f>VLOOKUP($A162,'Data shares'!$C:$FB,43)</f>
        <v>5481000</v>
      </c>
      <c r="I162" s="50">
        <f>VLOOKUP($A162,'Data shares'!$C:$FB,45)*100</f>
        <v>-35.11</v>
      </c>
      <c r="J162" s="49">
        <f>VLOOKUP($A162,'Data shares'!$C:$FB,58)</f>
        <v>4646700</v>
      </c>
      <c r="K162" s="49">
        <f>VLOOKUP($A162,'Data shares'!$C:$FB,59)</f>
        <v>12480300</v>
      </c>
      <c r="L162" s="50">
        <f>VLOOKUP($A162,'Data shares'!$C:$FB,61)*100</f>
        <v>-62.77</v>
      </c>
      <c r="M162" s="49">
        <f>VLOOKUP($A162,'Data shares'!$C:$FB,62)</f>
        <v>1550700</v>
      </c>
      <c r="N162" s="49">
        <f>VLOOKUP($A162,'Data shares'!$C:$FB,63)</f>
        <v>2666700</v>
      </c>
      <c r="O162" s="140">
        <f>VLOOKUP($A162,'Data shares'!$C:$FB,65)*100</f>
        <v>-41.85</v>
      </c>
    </row>
    <row r="163" spans="1:15" x14ac:dyDescent="0.25">
      <c r="A163" s="101" t="str">
        <f>'Data Vlaue (Cr)'!C158</f>
        <v>PAYTM</v>
      </c>
      <c r="B163" s="50">
        <f>VLOOKUP($A163,'Data shares'!$C:$FB,7)</f>
        <v>1161.3499999999999</v>
      </c>
      <c r="C163" s="50">
        <f>VLOOKUP($A163,'Data shares'!$C:$FB,10)*100</f>
        <v>-0.03</v>
      </c>
      <c r="D163" s="49">
        <f>VLOOKUP($A163,'Data shares'!$C:$FB,66)</f>
        <v>11579700</v>
      </c>
      <c r="E163" s="49">
        <f>VLOOKUP($A163,'Data shares'!$C:$FB,67)</f>
        <v>13382775</v>
      </c>
      <c r="F163" s="50">
        <f>VLOOKUP($A163,'Data shares'!$C:$FB,69)*100</f>
        <v>-13.469999999999999</v>
      </c>
      <c r="G163" s="49">
        <f>VLOOKUP($A163,'Data shares'!$C:$FB,42)</f>
        <v>2012600</v>
      </c>
      <c r="H163" s="49">
        <f>VLOOKUP($A163,'Data shares'!$C:$FB,43)</f>
        <v>2160500</v>
      </c>
      <c r="I163" s="50">
        <f>VLOOKUP($A163,'Data shares'!$C:$FB,45)*100</f>
        <v>-6.8500000000000005</v>
      </c>
      <c r="J163" s="49">
        <f>VLOOKUP($A163,'Data shares'!$C:$FB,58)</f>
        <v>5380950</v>
      </c>
      <c r="K163" s="49">
        <f>VLOOKUP($A163,'Data shares'!$C:$FB,59)</f>
        <v>6519925</v>
      </c>
      <c r="L163" s="50">
        <f>VLOOKUP($A163,'Data shares'!$C:$FB,61)*100</f>
        <v>-17.47</v>
      </c>
      <c r="M163" s="49">
        <f>VLOOKUP($A163,'Data shares'!$C:$FB,62)</f>
        <v>4186150</v>
      </c>
      <c r="N163" s="49">
        <f>VLOOKUP($A163,'Data shares'!$C:$FB,63)</f>
        <v>4702350</v>
      </c>
      <c r="O163" s="140">
        <f>VLOOKUP($A163,'Data shares'!$C:$FB,65)*100</f>
        <v>-10.979999999999999</v>
      </c>
    </row>
    <row r="164" spans="1:15" x14ac:dyDescent="0.25">
      <c r="A164" s="101" t="str">
        <f>'Data Vlaue (Cr)'!C159</f>
        <v>PERSISTENT</v>
      </c>
      <c r="B164" s="50">
        <f>VLOOKUP($A164,'Data shares'!$C:$FB,7)</f>
        <v>5325.2</v>
      </c>
      <c r="C164" s="50">
        <f>VLOOKUP($A164,'Data shares'!$C:$FB,10)*100</f>
        <v>-2.23</v>
      </c>
      <c r="D164" s="49">
        <f>VLOOKUP($A164,'Data shares'!$C:$FB,66)</f>
        <v>7488900</v>
      </c>
      <c r="E164" s="49">
        <f>VLOOKUP($A164,'Data shares'!$C:$FB,67)</f>
        <v>5506000</v>
      </c>
      <c r="F164" s="50">
        <f>VLOOKUP($A164,'Data shares'!$C:$FB,69)*100</f>
        <v>36.01</v>
      </c>
      <c r="G164" s="49">
        <f>VLOOKUP($A164,'Data shares'!$C:$FB,42)</f>
        <v>1920800</v>
      </c>
      <c r="H164" s="49">
        <f>VLOOKUP($A164,'Data shares'!$C:$FB,43)</f>
        <v>1548900</v>
      </c>
      <c r="I164" s="50">
        <f>VLOOKUP($A164,'Data shares'!$C:$FB,45)*100</f>
        <v>24.01</v>
      </c>
      <c r="J164" s="49">
        <f>VLOOKUP($A164,'Data shares'!$C:$FB,58)</f>
        <v>3415600</v>
      </c>
      <c r="K164" s="49">
        <f>VLOOKUP($A164,'Data shares'!$C:$FB,59)</f>
        <v>2191500</v>
      </c>
      <c r="L164" s="50">
        <f>VLOOKUP($A164,'Data shares'!$C:$FB,61)*100</f>
        <v>55.86</v>
      </c>
      <c r="M164" s="49">
        <f>VLOOKUP($A164,'Data shares'!$C:$FB,62)</f>
        <v>2152500</v>
      </c>
      <c r="N164" s="49">
        <f>VLOOKUP($A164,'Data shares'!$C:$FB,63)</f>
        <v>1765600</v>
      </c>
      <c r="O164" s="140">
        <f>VLOOKUP($A164,'Data shares'!$C:$FB,65)*100</f>
        <v>21.91</v>
      </c>
    </row>
    <row r="165" spans="1:15" x14ac:dyDescent="0.25">
      <c r="A165" s="101" t="str">
        <f>'Data Vlaue (Cr)'!C160</f>
        <v>PETRONET</v>
      </c>
      <c r="B165" s="50">
        <f>VLOOKUP($A165,'Data shares'!$C:$FB,7)</f>
        <v>272.13</v>
      </c>
      <c r="C165" s="50">
        <f>VLOOKUP($A165,'Data shares'!$C:$FB,10)*100</f>
        <v>-0.4</v>
      </c>
      <c r="D165" s="49">
        <f>VLOOKUP($A165,'Data shares'!$C:$FB,66)</f>
        <v>9144700</v>
      </c>
      <c r="E165" s="49">
        <f>VLOOKUP($A165,'Data shares'!$C:$FB,67)</f>
        <v>12329100</v>
      </c>
      <c r="F165" s="50">
        <f>VLOOKUP($A165,'Data shares'!$C:$FB,69)*100</f>
        <v>-25.83</v>
      </c>
      <c r="G165" s="49">
        <f>VLOOKUP($A165,'Data shares'!$C:$FB,42)</f>
        <v>2677100</v>
      </c>
      <c r="H165" s="49">
        <f>VLOOKUP($A165,'Data shares'!$C:$FB,43)</f>
        <v>2787300</v>
      </c>
      <c r="I165" s="50">
        <f>VLOOKUP($A165,'Data shares'!$C:$FB,45)*100</f>
        <v>-3.95</v>
      </c>
      <c r="J165" s="49">
        <f>VLOOKUP($A165,'Data shares'!$C:$FB,58)</f>
        <v>4366200</v>
      </c>
      <c r="K165" s="49">
        <f>VLOOKUP($A165,'Data shares'!$C:$FB,59)</f>
        <v>6644300</v>
      </c>
      <c r="L165" s="50">
        <f>VLOOKUP($A165,'Data shares'!$C:$FB,61)*100</f>
        <v>-34.29</v>
      </c>
      <c r="M165" s="49">
        <f>VLOOKUP($A165,'Data shares'!$C:$FB,62)</f>
        <v>2101400</v>
      </c>
      <c r="N165" s="49">
        <f>VLOOKUP($A165,'Data shares'!$C:$FB,63)</f>
        <v>2897500</v>
      </c>
      <c r="O165" s="140">
        <f>VLOOKUP($A165,'Data shares'!$C:$FB,65)*100</f>
        <v>-27.48</v>
      </c>
    </row>
    <row r="166" spans="1:15" x14ac:dyDescent="0.25">
      <c r="A166" s="101" t="str">
        <f>'Data Vlaue (Cr)'!C161</f>
        <v>PFC</v>
      </c>
      <c r="B166" s="50">
        <f>VLOOKUP($A166,'Data shares'!$C:$FB,7)</f>
        <v>472.85</v>
      </c>
      <c r="C166" s="50">
        <f>VLOOKUP($A166,'Data shares'!$C:$FB,10)*100</f>
        <v>1.72</v>
      </c>
      <c r="D166" s="49">
        <f>VLOOKUP($A166,'Data shares'!$C:$FB,66)</f>
        <v>117370500</v>
      </c>
      <c r="E166" s="49">
        <f>VLOOKUP($A166,'Data shares'!$C:$FB,67)</f>
        <v>88002200</v>
      </c>
      <c r="F166" s="50">
        <f>VLOOKUP($A166,'Data shares'!$C:$FB,69)*100</f>
        <v>33.369999999999997</v>
      </c>
      <c r="G166" s="49">
        <f>VLOOKUP($A166,'Data shares'!$C:$FB,42)</f>
        <v>20889700</v>
      </c>
      <c r="H166" s="49">
        <f>VLOOKUP($A166,'Data shares'!$C:$FB,43)</f>
        <v>11954800</v>
      </c>
      <c r="I166" s="50">
        <f>VLOOKUP($A166,'Data shares'!$C:$FB,45)*100</f>
        <v>74.739999999999995</v>
      </c>
      <c r="J166" s="49">
        <f>VLOOKUP($A166,'Data shares'!$C:$FB,58)</f>
        <v>61297600</v>
      </c>
      <c r="K166" s="49">
        <f>VLOOKUP($A166,'Data shares'!$C:$FB,59)</f>
        <v>49897900</v>
      </c>
      <c r="L166" s="50">
        <f>VLOOKUP($A166,'Data shares'!$C:$FB,61)*100</f>
        <v>22.85</v>
      </c>
      <c r="M166" s="49">
        <f>VLOOKUP($A166,'Data shares'!$C:$FB,62)</f>
        <v>35183200</v>
      </c>
      <c r="N166" s="49">
        <f>VLOOKUP($A166,'Data shares'!$C:$FB,63)</f>
        <v>26149500</v>
      </c>
      <c r="O166" s="140">
        <f>VLOOKUP($A166,'Data shares'!$C:$FB,65)*100</f>
        <v>34.549999999999997</v>
      </c>
    </row>
    <row r="167" spans="1:15" x14ac:dyDescent="0.25">
      <c r="A167" s="101" t="str">
        <f>'Data Vlaue (Cr)'!C162</f>
        <v>PGEL</v>
      </c>
      <c r="B167" s="50">
        <f>VLOOKUP($A167,'Data shares'!$C:$FB,7)</f>
        <v>559.04999999999995</v>
      </c>
      <c r="C167" s="50">
        <f>VLOOKUP($A167,'Data shares'!$C:$FB,10)*100</f>
        <v>-0.42</v>
      </c>
      <c r="D167" s="49">
        <f>VLOOKUP($A167,'Data shares'!$C:$FB,66)</f>
        <v>17601600</v>
      </c>
      <c r="E167" s="49">
        <f>VLOOKUP($A167,'Data shares'!$C:$FB,67)</f>
        <v>24452050</v>
      </c>
      <c r="F167" s="50">
        <f>VLOOKUP($A167,'Data shares'!$C:$FB,69)*100</f>
        <v>-28.02</v>
      </c>
      <c r="G167" s="49">
        <f>VLOOKUP($A167,'Data shares'!$C:$FB,42)</f>
        <v>3052350</v>
      </c>
      <c r="H167" s="49">
        <f>VLOOKUP($A167,'Data shares'!$C:$FB,43)</f>
        <v>4114450</v>
      </c>
      <c r="I167" s="50">
        <f>VLOOKUP($A167,'Data shares'!$C:$FB,45)*100</f>
        <v>-25.81</v>
      </c>
      <c r="J167" s="49">
        <f>VLOOKUP($A167,'Data shares'!$C:$FB,58)</f>
        <v>7348250</v>
      </c>
      <c r="K167" s="49">
        <f>VLOOKUP($A167,'Data shares'!$C:$FB,59)</f>
        <v>10114650</v>
      </c>
      <c r="L167" s="50">
        <f>VLOOKUP($A167,'Data shares'!$C:$FB,61)*100</f>
        <v>-27.35</v>
      </c>
      <c r="M167" s="49">
        <f>VLOOKUP($A167,'Data shares'!$C:$FB,62)</f>
        <v>7201000</v>
      </c>
      <c r="N167" s="49">
        <f>VLOOKUP($A167,'Data shares'!$C:$FB,63)</f>
        <v>10222950</v>
      </c>
      <c r="O167" s="140">
        <f>VLOOKUP($A167,'Data shares'!$C:$FB,65)*100</f>
        <v>-29.56</v>
      </c>
    </row>
    <row r="168" spans="1:15" x14ac:dyDescent="0.25">
      <c r="A168" s="101" t="str">
        <f>'Data Vlaue (Cr)'!C163</f>
        <v>PHOENIXLTD</v>
      </c>
      <c r="B168" s="50">
        <f>VLOOKUP($A168,'Data shares'!$C:$FB,7)</f>
        <v>1767.9</v>
      </c>
      <c r="C168" s="50">
        <f>VLOOKUP($A168,'Data shares'!$C:$FB,10)*100</f>
        <v>-1.3599999999999999</v>
      </c>
      <c r="D168" s="49">
        <f>VLOOKUP($A168,'Data shares'!$C:$FB,66)</f>
        <v>1143450</v>
      </c>
      <c r="E168" s="49">
        <f>VLOOKUP($A168,'Data shares'!$C:$FB,67)</f>
        <v>969150</v>
      </c>
      <c r="F168" s="50">
        <f>VLOOKUP($A168,'Data shares'!$C:$FB,69)*100</f>
        <v>17.98</v>
      </c>
      <c r="G168" s="49">
        <f>VLOOKUP($A168,'Data shares'!$C:$FB,42)</f>
        <v>609350</v>
      </c>
      <c r="H168" s="49">
        <f>VLOOKUP($A168,'Data shares'!$C:$FB,43)</f>
        <v>226450</v>
      </c>
      <c r="I168" s="50">
        <f>VLOOKUP($A168,'Data shares'!$C:$FB,45)*100</f>
        <v>169.09</v>
      </c>
      <c r="J168" s="49">
        <f>VLOOKUP($A168,'Data shares'!$C:$FB,58)</f>
        <v>274400</v>
      </c>
      <c r="K168" s="49">
        <f>VLOOKUP($A168,'Data shares'!$C:$FB,59)</f>
        <v>431200</v>
      </c>
      <c r="L168" s="50">
        <f>VLOOKUP($A168,'Data shares'!$C:$FB,61)*100</f>
        <v>-36.36</v>
      </c>
      <c r="M168" s="49">
        <f>VLOOKUP($A168,'Data shares'!$C:$FB,62)</f>
        <v>259700</v>
      </c>
      <c r="N168" s="49">
        <f>VLOOKUP($A168,'Data shares'!$C:$FB,63)</f>
        <v>311500</v>
      </c>
      <c r="O168" s="140">
        <f>VLOOKUP($A168,'Data shares'!$C:$FB,65)*100</f>
        <v>-16.63</v>
      </c>
    </row>
    <row r="169" spans="1:15" x14ac:dyDescent="0.25">
      <c r="A169" s="101" t="str">
        <f>'Data Vlaue (Cr)'!C164</f>
        <v>PIDILITIND</v>
      </c>
      <c r="B169" s="50">
        <f>VLOOKUP($A169,'Data shares'!$C:$FB,7)</f>
        <v>1390.5</v>
      </c>
      <c r="C169" s="50">
        <f>VLOOKUP($A169,'Data shares'!$C:$FB,10)*100</f>
        <v>-0.21</v>
      </c>
      <c r="D169" s="49">
        <f>VLOOKUP($A169,'Data shares'!$C:$FB,66)</f>
        <v>3497500</v>
      </c>
      <c r="E169" s="49">
        <f>VLOOKUP($A169,'Data shares'!$C:$FB,67)</f>
        <v>13960000</v>
      </c>
      <c r="F169" s="50">
        <f>VLOOKUP($A169,'Data shares'!$C:$FB,69)*100</f>
        <v>-74.95</v>
      </c>
      <c r="G169" s="49">
        <f>VLOOKUP($A169,'Data shares'!$C:$FB,42)</f>
        <v>1133500</v>
      </c>
      <c r="H169" s="49">
        <f>VLOOKUP($A169,'Data shares'!$C:$FB,43)</f>
        <v>2698000</v>
      </c>
      <c r="I169" s="50">
        <f>VLOOKUP($A169,'Data shares'!$C:$FB,45)*100</f>
        <v>-57.989999999999995</v>
      </c>
      <c r="J169" s="49">
        <f>VLOOKUP($A169,'Data shares'!$C:$FB,58)</f>
        <v>1469500</v>
      </c>
      <c r="K169" s="49">
        <f>VLOOKUP($A169,'Data shares'!$C:$FB,59)</f>
        <v>8469500</v>
      </c>
      <c r="L169" s="50">
        <f>VLOOKUP($A169,'Data shares'!$C:$FB,61)*100</f>
        <v>-82.65</v>
      </c>
      <c r="M169" s="49">
        <f>VLOOKUP($A169,'Data shares'!$C:$FB,62)</f>
        <v>894500</v>
      </c>
      <c r="N169" s="49">
        <f>VLOOKUP($A169,'Data shares'!$C:$FB,63)</f>
        <v>2792500</v>
      </c>
      <c r="O169" s="140">
        <f>VLOOKUP($A169,'Data shares'!$C:$FB,65)*100</f>
        <v>-67.97</v>
      </c>
    </row>
    <row r="170" spans="1:15" x14ac:dyDescent="0.25">
      <c r="A170" s="101" t="str">
        <f>'Data Vlaue (Cr)'!C165</f>
        <v>PIIND</v>
      </c>
      <c r="B170" s="50">
        <f>VLOOKUP($A170,'Data shares'!$C:$FB,7)</f>
        <v>3037</v>
      </c>
      <c r="C170" s="50">
        <f>VLOOKUP($A170,'Data shares'!$C:$FB,10)*100</f>
        <v>-3.27</v>
      </c>
      <c r="D170" s="49">
        <f>VLOOKUP($A170,'Data shares'!$C:$FB,66)</f>
        <v>1656550</v>
      </c>
      <c r="E170" s="49">
        <f>VLOOKUP($A170,'Data shares'!$C:$FB,67)</f>
        <v>2131500</v>
      </c>
      <c r="F170" s="50">
        <f>VLOOKUP($A170,'Data shares'!$C:$FB,69)*100</f>
        <v>-22.28</v>
      </c>
      <c r="G170" s="49">
        <f>VLOOKUP($A170,'Data shares'!$C:$FB,42)</f>
        <v>543025</v>
      </c>
      <c r="H170" s="49">
        <f>VLOOKUP($A170,'Data shares'!$C:$FB,43)</f>
        <v>670600</v>
      </c>
      <c r="I170" s="50">
        <f>VLOOKUP($A170,'Data shares'!$C:$FB,45)*100</f>
        <v>-19.02</v>
      </c>
      <c r="J170" s="49">
        <f>VLOOKUP($A170,'Data shares'!$C:$FB,58)</f>
        <v>612150</v>
      </c>
      <c r="K170" s="49">
        <f>VLOOKUP($A170,'Data shares'!$C:$FB,59)</f>
        <v>927675</v>
      </c>
      <c r="L170" s="50">
        <f>VLOOKUP($A170,'Data shares'!$C:$FB,61)*100</f>
        <v>-34.01</v>
      </c>
      <c r="M170" s="49">
        <f>VLOOKUP($A170,'Data shares'!$C:$FB,62)</f>
        <v>501375</v>
      </c>
      <c r="N170" s="49">
        <f>VLOOKUP($A170,'Data shares'!$C:$FB,63)</f>
        <v>533225</v>
      </c>
      <c r="O170" s="140">
        <f>VLOOKUP($A170,'Data shares'!$C:$FB,65)*100</f>
        <v>-5.9700000000000006</v>
      </c>
    </row>
    <row r="171" spans="1:15" x14ac:dyDescent="0.25">
      <c r="A171" s="101" t="str">
        <f>'Data Vlaue (Cr)'!C166</f>
        <v>PNB</v>
      </c>
      <c r="B171" s="50">
        <f>VLOOKUP($A171,'Data shares'!$C:$FB,7)</f>
        <v>113.74</v>
      </c>
      <c r="C171" s="50">
        <f>VLOOKUP($A171,'Data shares'!$C:$FB,10)*100</f>
        <v>-0.65</v>
      </c>
      <c r="D171" s="49">
        <f>VLOOKUP($A171,'Data shares'!$C:$FB,66)</f>
        <v>191208000</v>
      </c>
      <c r="E171" s="49">
        <f>VLOOKUP($A171,'Data shares'!$C:$FB,67)</f>
        <v>173592000</v>
      </c>
      <c r="F171" s="50">
        <f>VLOOKUP($A171,'Data shares'!$C:$FB,69)*100</f>
        <v>10.15</v>
      </c>
      <c r="G171" s="49">
        <f>VLOOKUP($A171,'Data shares'!$C:$FB,42)</f>
        <v>52296000</v>
      </c>
      <c r="H171" s="49">
        <f>VLOOKUP($A171,'Data shares'!$C:$FB,43)</f>
        <v>42152000</v>
      </c>
      <c r="I171" s="50">
        <f>VLOOKUP($A171,'Data shares'!$C:$FB,45)*100</f>
        <v>24.07</v>
      </c>
      <c r="J171" s="49">
        <f>VLOOKUP($A171,'Data shares'!$C:$FB,58)</f>
        <v>90184000</v>
      </c>
      <c r="K171" s="49">
        <f>VLOOKUP($A171,'Data shares'!$C:$FB,59)</f>
        <v>82592000</v>
      </c>
      <c r="L171" s="50">
        <f>VLOOKUP($A171,'Data shares'!$C:$FB,61)*100</f>
        <v>9.19</v>
      </c>
      <c r="M171" s="49">
        <f>VLOOKUP($A171,'Data shares'!$C:$FB,62)</f>
        <v>48728000</v>
      </c>
      <c r="N171" s="49">
        <f>VLOOKUP($A171,'Data shares'!$C:$FB,63)</f>
        <v>48848000</v>
      </c>
      <c r="O171" s="140">
        <f>VLOOKUP($A171,'Data shares'!$C:$FB,65)*100</f>
        <v>-0.25</v>
      </c>
    </row>
    <row r="172" spans="1:15" x14ac:dyDescent="0.25">
      <c r="A172" s="101" t="str">
        <f>'Data Vlaue (Cr)'!C167</f>
        <v>PNBHOUSING</v>
      </c>
      <c r="B172" s="50">
        <f>VLOOKUP($A172,'Data shares'!$C:$FB,7)</f>
        <v>906.75</v>
      </c>
      <c r="C172" s="50">
        <f>VLOOKUP($A172,'Data shares'!$C:$FB,10)*100</f>
        <v>-1.8399999999999999</v>
      </c>
      <c r="D172" s="49">
        <f>VLOOKUP($A172,'Data shares'!$C:$FB,66)</f>
        <v>21069100</v>
      </c>
      <c r="E172" s="49">
        <f>VLOOKUP($A172,'Data shares'!$C:$FB,67)</f>
        <v>16272100</v>
      </c>
      <c r="F172" s="50">
        <f>VLOOKUP($A172,'Data shares'!$C:$FB,69)*100</f>
        <v>29.48</v>
      </c>
      <c r="G172" s="49">
        <f>VLOOKUP($A172,'Data shares'!$C:$FB,42)</f>
        <v>3660150</v>
      </c>
      <c r="H172" s="49">
        <f>VLOOKUP($A172,'Data shares'!$C:$FB,43)</f>
        <v>4241900</v>
      </c>
      <c r="I172" s="50">
        <f>VLOOKUP($A172,'Data shares'!$C:$FB,45)*100</f>
        <v>-13.71</v>
      </c>
      <c r="J172" s="49">
        <f>VLOOKUP($A172,'Data shares'!$C:$FB,58)</f>
        <v>10899200</v>
      </c>
      <c r="K172" s="49">
        <f>VLOOKUP($A172,'Data shares'!$C:$FB,59)</f>
        <v>8981700</v>
      </c>
      <c r="L172" s="50">
        <f>VLOOKUP($A172,'Data shares'!$C:$FB,61)*100</f>
        <v>21.349999999999998</v>
      </c>
      <c r="M172" s="49">
        <f>VLOOKUP($A172,'Data shares'!$C:$FB,62)</f>
        <v>6509750</v>
      </c>
      <c r="N172" s="49">
        <f>VLOOKUP($A172,'Data shares'!$C:$FB,63)</f>
        <v>3048500</v>
      </c>
      <c r="O172" s="140">
        <f>VLOOKUP($A172,'Data shares'!$C:$FB,65)*100</f>
        <v>113.53999999999999</v>
      </c>
    </row>
    <row r="173" spans="1:15" x14ac:dyDescent="0.25">
      <c r="A173" s="101" t="str">
        <f>'Data Vlaue (Cr)'!C168</f>
        <v>POLICYBZR</v>
      </c>
      <c r="B173" s="50">
        <f>VLOOKUP($A173,'Data shares'!$C:$FB,7)</f>
        <v>1616.8</v>
      </c>
      <c r="C173" s="50">
        <f>VLOOKUP($A173,'Data shares'!$C:$FB,10)*100</f>
        <v>1.01</v>
      </c>
      <c r="D173" s="49">
        <f>VLOOKUP($A173,'Data shares'!$C:$FB,66)</f>
        <v>6363350</v>
      </c>
      <c r="E173" s="49">
        <f>VLOOKUP($A173,'Data shares'!$C:$FB,67)</f>
        <v>26378450</v>
      </c>
      <c r="F173" s="50">
        <f>VLOOKUP($A173,'Data shares'!$C:$FB,69)*100</f>
        <v>-75.88000000000001</v>
      </c>
      <c r="G173" s="49">
        <f>VLOOKUP($A173,'Data shares'!$C:$FB,42)</f>
        <v>1402800</v>
      </c>
      <c r="H173" s="49">
        <f>VLOOKUP($A173,'Data shares'!$C:$FB,43)</f>
        <v>3527650</v>
      </c>
      <c r="I173" s="50">
        <f>VLOOKUP($A173,'Data shares'!$C:$FB,45)*100</f>
        <v>-60.23</v>
      </c>
      <c r="J173" s="49">
        <f>VLOOKUP($A173,'Data shares'!$C:$FB,58)</f>
        <v>3007900</v>
      </c>
      <c r="K173" s="49">
        <f>VLOOKUP($A173,'Data shares'!$C:$FB,59)</f>
        <v>16956800</v>
      </c>
      <c r="L173" s="50">
        <f>VLOOKUP($A173,'Data shares'!$C:$FB,61)*100</f>
        <v>-82.26</v>
      </c>
      <c r="M173" s="49">
        <f>VLOOKUP($A173,'Data shares'!$C:$FB,62)</f>
        <v>1952650</v>
      </c>
      <c r="N173" s="49">
        <f>VLOOKUP($A173,'Data shares'!$C:$FB,63)</f>
        <v>5894000</v>
      </c>
      <c r="O173" s="140">
        <f>VLOOKUP($A173,'Data shares'!$C:$FB,65)*100</f>
        <v>-66.86999999999999</v>
      </c>
    </row>
    <row r="174" spans="1:15" x14ac:dyDescent="0.25">
      <c r="A174" s="101" t="str">
        <f>'Data Vlaue (Cr)'!C169</f>
        <v>POLYCAB</v>
      </c>
      <c r="B174" s="50">
        <f>VLOOKUP($A174,'Data shares'!$C:$FB,7)</f>
        <v>8198.5</v>
      </c>
      <c r="C174" s="50">
        <f>VLOOKUP($A174,'Data shares'!$C:$FB,10)*100</f>
        <v>0.2</v>
      </c>
      <c r="D174" s="49">
        <f>VLOOKUP($A174,'Data shares'!$C:$FB,66)</f>
        <v>5146500</v>
      </c>
      <c r="E174" s="49">
        <f>VLOOKUP($A174,'Data shares'!$C:$FB,67)</f>
        <v>11672750</v>
      </c>
      <c r="F174" s="50">
        <f>VLOOKUP($A174,'Data shares'!$C:$FB,69)*100</f>
        <v>-55.910000000000004</v>
      </c>
      <c r="G174" s="49">
        <f>VLOOKUP($A174,'Data shares'!$C:$FB,42)</f>
        <v>414250</v>
      </c>
      <c r="H174" s="49">
        <f>VLOOKUP($A174,'Data shares'!$C:$FB,43)</f>
        <v>810375</v>
      </c>
      <c r="I174" s="50">
        <f>VLOOKUP($A174,'Data shares'!$C:$FB,45)*100</f>
        <v>-48.88</v>
      </c>
      <c r="J174" s="49">
        <f>VLOOKUP($A174,'Data shares'!$C:$FB,58)</f>
        <v>1984500</v>
      </c>
      <c r="K174" s="49">
        <f>VLOOKUP($A174,'Data shares'!$C:$FB,59)</f>
        <v>6464875</v>
      </c>
      <c r="L174" s="50">
        <f>VLOOKUP($A174,'Data shares'!$C:$FB,61)*100</f>
        <v>-69.3</v>
      </c>
      <c r="M174" s="49">
        <f>VLOOKUP($A174,'Data shares'!$C:$FB,62)</f>
        <v>2747750</v>
      </c>
      <c r="N174" s="49">
        <f>VLOOKUP($A174,'Data shares'!$C:$FB,63)</f>
        <v>4397500</v>
      </c>
      <c r="O174" s="140">
        <f>VLOOKUP($A174,'Data shares'!$C:$FB,65)*100</f>
        <v>-37.519999999999996</v>
      </c>
    </row>
    <row r="175" spans="1:15" x14ac:dyDescent="0.25">
      <c r="A175" s="101" t="str">
        <f>'Data Vlaue (Cr)'!C170</f>
        <v>POWERGRID</v>
      </c>
      <c r="B175" s="50">
        <f>VLOOKUP($A175,'Data shares'!$C:$FB,7)</f>
        <v>319.7</v>
      </c>
      <c r="C175" s="50">
        <f>VLOOKUP($A175,'Data shares'!$C:$FB,10)*100</f>
        <v>0.5</v>
      </c>
      <c r="D175" s="49">
        <f>VLOOKUP($A175,'Data shares'!$C:$FB,66)</f>
        <v>116983000</v>
      </c>
      <c r="E175" s="49">
        <f>VLOOKUP($A175,'Data shares'!$C:$FB,67)</f>
        <v>130283000</v>
      </c>
      <c r="F175" s="50">
        <f>VLOOKUP($A175,'Data shares'!$C:$FB,69)*100</f>
        <v>-10.209999999999999</v>
      </c>
      <c r="G175" s="49">
        <f>VLOOKUP($A175,'Data shares'!$C:$FB,42)</f>
        <v>22321200</v>
      </c>
      <c r="H175" s="49">
        <f>VLOOKUP($A175,'Data shares'!$C:$FB,43)</f>
        <v>16201300</v>
      </c>
      <c r="I175" s="50">
        <f>VLOOKUP($A175,'Data shares'!$C:$FB,45)*100</f>
        <v>37.769999999999996</v>
      </c>
      <c r="J175" s="49">
        <f>VLOOKUP($A175,'Data shares'!$C:$FB,58)</f>
        <v>70208800</v>
      </c>
      <c r="K175" s="49">
        <f>VLOOKUP($A175,'Data shares'!$C:$FB,59)</f>
        <v>82796300</v>
      </c>
      <c r="L175" s="50">
        <f>VLOOKUP($A175,'Data shares'!$C:$FB,61)*100</f>
        <v>-15.2</v>
      </c>
      <c r="M175" s="49">
        <f>VLOOKUP($A175,'Data shares'!$C:$FB,62)</f>
        <v>24453000</v>
      </c>
      <c r="N175" s="49">
        <f>VLOOKUP($A175,'Data shares'!$C:$FB,63)</f>
        <v>31285400</v>
      </c>
      <c r="O175" s="140">
        <f>VLOOKUP($A175,'Data shares'!$C:$FB,65)*100</f>
        <v>-21.84</v>
      </c>
    </row>
    <row r="176" spans="1:15" x14ac:dyDescent="0.25">
      <c r="A176" s="101" t="str">
        <f>'Data Vlaue (Cr)'!C171</f>
        <v>POWERINDIA</v>
      </c>
      <c r="B176" s="50">
        <f>VLOOKUP($A176,'Data shares'!$C:$FB,7)</f>
        <v>29645</v>
      </c>
      <c r="C176" s="50">
        <f>VLOOKUP($A176,'Data shares'!$C:$FB,10)*100</f>
        <v>2.4899999999999998</v>
      </c>
      <c r="D176" s="49">
        <f>VLOOKUP($A176,'Data shares'!$C:$FB,66)</f>
        <v>1917700</v>
      </c>
      <c r="E176" s="49">
        <f>VLOOKUP($A176,'Data shares'!$C:$FB,67)</f>
        <v>849550</v>
      </c>
      <c r="F176" s="50">
        <f>VLOOKUP($A176,'Data shares'!$C:$FB,69)*100</f>
        <v>125.73</v>
      </c>
      <c r="G176" s="49">
        <f>VLOOKUP($A176,'Data shares'!$C:$FB,42)</f>
        <v>138800</v>
      </c>
      <c r="H176" s="49">
        <f>VLOOKUP($A176,'Data shares'!$C:$FB,43)</f>
        <v>100500</v>
      </c>
      <c r="I176" s="50">
        <f>VLOOKUP($A176,'Data shares'!$C:$FB,45)*100</f>
        <v>38.11</v>
      </c>
      <c r="J176" s="49">
        <f>VLOOKUP($A176,'Data shares'!$C:$FB,58)</f>
        <v>1136650</v>
      </c>
      <c r="K176" s="49">
        <f>VLOOKUP($A176,'Data shares'!$C:$FB,59)</f>
        <v>448800</v>
      </c>
      <c r="L176" s="50">
        <f>VLOOKUP($A176,'Data shares'!$C:$FB,61)*100</f>
        <v>153.26</v>
      </c>
      <c r="M176" s="49">
        <f>VLOOKUP($A176,'Data shares'!$C:$FB,62)</f>
        <v>642250</v>
      </c>
      <c r="N176" s="49">
        <f>VLOOKUP($A176,'Data shares'!$C:$FB,63)</f>
        <v>300250</v>
      </c>
      <c r="O176" s="140">
        <f>VLOOKUP($A176,'Data shares'!$C:$FB,65)*100</f>
        <v>113.91</v>
      </c>
    </row>
    <row r="177" spans="1:15" x14ac:dyDescent="0.25">
      <c r="A177" s="101" t="str">
        <f>'Data Vlaue (Cr)'!C172</f>
        <v>PPLPHARMA</v>
      </c>
      <c r="B177" s="50">
        <f>VLOOKUP($A177,'Data shares'!$C:$FB,7)</f>
        <v>148.79</v>
      </c>
      <c r="C177" s="50">
        <f>VLOOKUP($A177,'Data shares'!$C:$FB,10)*100</f>
        <v>-0.04</v>
      </c>
      <c r="D177" s="49">
        <f>VLOOKUP($A177,'Data shares'!$C:$FB,66)</f>
        <v>6394500</v>
      </c>
      <c r="E177" s="49">
        <f>VLOOKUP($A177,'Data shares'!$C:$FB,67)</f>
        <v>9366000</v>
      </c>
      <c r="F177" s="50">
        <f>VLOOKUP($A177,'Data shares'!$C:$FB,69)*100</f>
        <v>-31.730000000000004</v>
      </c>
      <c r="G177" s="49">
        <f>VLOOKUP($A177,'Data shares'!$C:$FB,42)</f>
        <v>1417500</v>
      </c>
      <c r="H177" s="49">
        <f>VLOOKUP($A177,'Data shares'!$C:$FB,43)</f>
        <v>2176125</v>
      </c>
      <c r="I177" s="50">
        <f>VLOOKUP($A177,'Data shares'!$C:$FB,45)*100</f>
        <v>-34.86</v>
      </c>
      <c r="J177" s="49">
        <f>VLOOKUP($A177,'Data shares'!$C:$FB,58)</f>
        <v>3711750</v>
      </c>
      <c r="K177" s="49">
        <f>VLOOKUP($A177,'Data shares'!$C:$FB,59)</f>
        <v>5738250</v>
      </c>
      <c r="L177" s="50">
        <f>VLOOKUP($A177,'Data shares'!$C:$FB,61)*100</f>
        <v>-35.32</v>
      </c>
      <c r="M177" s="49">
        <f>VLOOKUP($A177,'Data shares'!$C:$FB,62)</f>
        <v>1265250</v>
      </c>
      <c r="N177" s="49">
        <f>VLOOKUP($A177,'Data shares'!$C:$FB,63)</f>
        <v>1451625</v>
      </c>
      <c r="O177" s="140">
        <f>VLOOKUP($A177,'Data shares'!$C:$FB,65)*100</f>
        <v>-12.839999999999998</v>
      </c>
    </row>
    <row r="178" spans="1:15" x14ac:dyDescent="0.25">
      <c r="A178" s="101" t="str">
        <f>'Data Vlaue (Cr)'!C173</f>
        <v>PREMIERENE</v>
      </c>
      <c r="B178" s="50">
        <f>VLOOKUP($A178,'Data shares'!$C:$FB,7)</f>
        <v>1010.75</v>
      </c>
      <c r="C178" s="50">
        <f>VLOOKUP($A178,'Data shares'!$C:$FB,10)*100</f>
        <v>-2.31</v>
      </c>
      <c r="D178" s="49">
        <f>VLOOKUP($A178,'Data shares'!$C:$FB,66)</f>
        <v>10383925</v>
      </c>
      <c r="E178" s="49">
        <f>VLOOKUP($A178,'Data shares'!$C:$FB,67)</f>
        <v>14350850</v>
      </c>
      <c r="F178" s="50">
        <f>VLOOKUP($A178,'Data shares'!$C:$FB,69)*100</f>
        <v>-27.639999999999997</v>
      </c>
      <c r="G178" s="49">
        <f>VLOOKUP($A178,'Data shares'!$C:$FB,42)</f>
        <v>3215400</v>
      </c>
      <c r="H178" s="49">
        <f>VLOOKUP($A178,'Data shares'!$C:$FB,43)</f>
        <v>6743025</v>
      </c>
      <c r="I178" s="50">
        <f>VLOOKUP($A178,'Data shares'!$C:$FB,45)*100</f>
        <v>-52.32</v>
      </c>
      <c r="J178" s="49">
        <f>VLOOKUP($A178,'Data shares'!$C:$FB,58)</f>
        <v>5237100</v>
      </c>
      <c r="K178" s="49">
        <f>VLOOKUP($A178,'Data shares'!$C:$FB,59)</f>
        <v>4509725</v>
      </c>
      <c r="L178" s="50">
        <f>VLOOKUP($A178,'Data shares'!$C:$FB,61)*100</f>
        <v>16.13</v>
      </c>
      <c r="M178" s="49">
        <f>VLOOKUP($A178,'Data shares'!$C:$FB,62)</f>
        <v>1931425</v>
      </c>
      <c r="N178" s="49">
        <f>VLOOKUP($A178,'Data shares'!$C:$FB,63)</f>
        <v>3098100</v>
      </c>
      <c r="O178" s="140">
        <f>VLOOKUP($A178,'Data shares'!$C:$FB,65)*100</f>
        <v>-37.659999999999997</v>
      </c>
    </row>
    <row r="179" spans="1:15" x14ac:dyDescent="0.25">
      <c r="A179" s="101" t="str">
        <f>'Data Vlaue (Cr)'!C174</f>
        <v>PRESTIGE</v>
      </c>
      <c r="B179" s="50">
        <f>VLOOKUP($A179,'Data shares'!$C:$FB,7)</f>
        <v>1373.8</v>
      </c>
      <c r="C179" s="50">
        <f>VLOOKUP($A179,'Data shares'!$C:$FB,10)*100</f>
        <v>1.25</v>
      </c>
      <c r="D179" s="49">
        <f>VLOOKUP($A179,'Data shares'!$C:$FB,66)</f>
        <v>5150250</v>
      </c>
      <c r="E179" s="49">
        <f>VLOOKUP($A179,'Data shares'!$C:$FB,67)</f>
        <v>4607550</v>
      </c>
      <c r="F179" s="50">
        <f>VLOOKUP($A179,'Data shares'!$C:$FB,69)*100</f>
        <v>11.78</v>
      </c>
      <c r="G179" s="49">
        <f>VLOOKUP($A179,'Data shares'!$C:$FB,42)</f>
        <v>1037250</v>
      </c>
      <c r="H179" s="49">
        <f>VLOOKUP($A179,'Data shares'!$C:$FB,43)</f>
        <v>1077300</v>
      </c>
      <c r="I179" s="50">
        <f>VLOOKUP($A179,'Data shares'!$C:$FB,45)*100</f>
        <v>-3.7199999999999998</v>
      </c>
      <c r="J179" s="49">
        <f>VLOOKUP($A179,'Data shares'!$C:$FB,58)</f>
        <v>2502900</v>
      </c>
      <c r="K179" s="49">
        <f>VLOOKUP($A179,'Data shares'!$C:$FB,59)</f>
        <v>2472300</v>
      </c>
      <c r="L179" s="50">
        <f>VLOOKUP($A179,'Data shares'!$C:$FB,61)*100</f>
        <v>1.24</v>
      </c>
      <c r="M179" s="49">
        <f>VLOOKUP($A179,'Data shares'!$C:$FB,62)</f>
        <v>1610100</v>
      </c>
      <c r="N179" s="49">
        <f>VLOOKUP($A179,'Data shares'!$C:$FB,63)</f>
        <v>1057950</v>
      </c>
      <c r="O179" s="140">
        <f>VLOOKUP($A179,'Data shares'!$C:$FB,65)*100</f>
        <v>52.190000000000005</v>
      </c>
    </row>
    <row r="180" spans="1:15" x14ac:dyDescent="0.25">
      <c r="A180" s="101" t="str">
        <f>'Data Vlaue (Cr)'!C175</f>
        <v>RBLBANK</v>
      </c>
      <c r="B180" s="50">
        <f>VLOOKUP($A180,'Data shares'!$C:$FB,7)</f>
        <v>317.5</v>
      </c>
      <c r="C180" s="50">
        <f>VLOOKUP($A180,'Data shares'!$C:$FB,10)*100</f>
        <v>0.62</v>
      </c>
      <c r="D180" s="49">
        <f>VLOOKUP($A180,'Data shares'!$C:$FB,66)</f>
        <v>37277675</v>
      </c>
      <c r="E180" s="49">
        <f>VLOOKUP($A180,'Data shares'!$C:$FB,67)</f>
        <v>55679975</v>
      </c>
      <c r="F180" s="50">
        <f>VLOOKUP($A180,'Data shares'!$C:$FB,69)*100</f>
        <v>-33.050000000000004</v>
      </c>
      <c r="G180" s="49">
        <f>VLOOKUP($A180,'Data shares'!$C:$FB,42)</f>
        <v>10756900</v>
      </c>
      <c r="H180" s="49">
        <f>VLOOKUP($A180,'Data shares'!$C:$FB,43)</f>
        <v>7807325</v>
      </c>
      <c r="I180" s="50">
        <f>VLOOKUP($A180,'Data shares'!$C:$FB,45)*100</f>
        <v>37.78</v>
      </c>
      <c r="J180" s="49">
        <f>VLOOKUP($A180,'Data shares'!$C:$FB,58)</f>
        <v>18056225</v>
      </c>
      <c r="K180" s="49">
        <f>VLOOKUP($A180,'Data shares'!$C:$FB,59)</f>
        <v>34442400</v>
      </c>
      <c r="L180" s="50">
        <f>VLOOKUP($A180,'Data shares'!$C:$FB,61)*100</f>
        <v>-47.58</v>
      </c>
      <c r="M180" s="49">
        <f>VLOOKUP($A180,'Data shares'!$C:$FB,62)</f>
        <v>8464550</v>
      </c>
      <c r="N180" s="49">
        <f>VLOOKUP($A180,'Data shares'!$C:$FB,63)</f>
        <v>13430250</v>
      </c>
      <c r="O180" s="140">
        <f>VLOOKUP($A180,'Data shares'!$C:$FB,65)*100</f>
        <v>-36.97</v>
      </c>
    </row>
    <row r="181" spans="1:15" x14ac:dyDescent="0.25">
      <c r="A181" s="101" t="str">
        <f>'Data Vlaue (Cr)'!C176</f>
        <v>RECLTD</v>
      </c>
      <c r="B181" s="50">
        <f>VLOOKUP($A181,'Data shares'!$C:$FB,7)</f>
        <v>382.7</v>
      </c>
      <c r="C181" s="50">
        <f>VLOOKUP($A181,'Data shares'!$C:$FB,10)*100</f>
        <v>2.52</v>
      </c>
      <c r="D181" s="49">
        <f>VLOOKUP($A181,'Data shares'!$C:$FB,66)</f>
        <v>112973000</v>
      </c>
      <c r="E181" s="49">
        <f>VLOOKUP($A181,'Data shares'!$C:$FB,67)</f>
        <v>102711000</v>
      </c>
      <c r="F181" s="50">
        <f>VLOOKUP($A181,'Data shares'!$C:$FB,69)*100</f>
        <v>9.99</v>
      </c>
      <c r="G181" s="49">
        <f>VLOOKUP($A181,'Data shares'!$C:$FB,42)</f>
        <v>18586400</v>
      </c>
      <c r="H181" s="49">
        <f>VLOOKUP($A181,'Data shares'!$C:$FB,43)</f>
        <v>15696800</v>
      </c>
      <c r="I181" s="50">
        <f>VLOOKUP($A181,'Data shares'!$C:$FB,45)*100</f>
        <v>18.41</v>
      </c>
      <c r="J181" s="49">
        <f>VLOOKUP($A181,'Data shares'!$C:$FB,58)</f>
        <v>59915800</v>
      </c>
      <c r="K181" s="49">
        <f>VLOOKUP($A181,'Data shares'!$C:$FB,59)</f>
        <v>54629400</v>
      </c>
      <c r="L181" s="50">
        <f>VLOOKUP($A181,'Data shares'!$C:$FB,61)*100</f>
        <v>9.68</v>
      </c>
      <c r="M181" s="49">
        <f>VLOOKUP($A181,'Data shares'!$C:$FB,62)</f>
        <v>34470800</v>
      </c>
      <c r="N181" s="49">
        <f>VLOOKUP($A181,'Data shares'!$C:$FB,63)</f>
        <v>32384800</v>
      </c>
      <c r="O181" s="140">
        <f>VLOOKUP($A181,'Data shares'!$C:$FB,65)*100</f>
        <v>6.4399999999999995</v>
      </c>
    </row>
    <row r="182" spans="1:15" x14ac:dyDescent="0.25">
      <c r="A182" s="101" t="str">
        <f>'Data Vlaue (Cr)'!C177</f>
        <v>RELIANCE</v>
      </c>
      <c r="B182" s="50">
        <f>VLOOKUP($A182,'Data shares'!$C:$FB,7)</f>
        <v>1363.3</v>
      </c>
      <c r="C182" s="50">
        <f>VLOOKUP($A182,'Data shares'!$C:$FB,10)*100</f>
        <v>-0.12</v>
      </c>
      <c r="D182" s="49">
        <f>VLOOKUP($A182,'Data shares'!$C:$FB,66)</f>
        <v>122712000</v>
      </c>
      <c r="E182" s="49">
        <f>VLOOKUP($A182,'Data shares'!$C:$FB,67)</f>
        <v>166007000</v>
      </c>
      <c r="F182" s="50">
        <f>VLOOKUP($A182,'Data shares'!$C:$FB,69)*100</f>
        <v>-26.08</v>
      </c>
      <c r="G182" s="49">
        <f>VLOOKUP($A182,'Data shares'!$C:$FB,42)</f>
        <v>13371000</v>
      </c>
      <c r="H182" s="49">
        <f>VLOOKUP($A182,'Data shares'!$C:$FB,43)</f>
        <v>13348500</v>
      </c>
      <c r="I182" s="50">
        <f>VLOOKUP($A182,'Data shares'!$C:$FB,45)*100</f>
        <v>0.16999999999999998</v>
      </c>
      <c r="J182" s="49">
        <f>VLOOKUP($A182,'Data shares'!$C:$FB,58)</f>
        <v>71423000</v>
      </c>
      <c r="K182" s="49">
        <f>VLOOKUP($A182,'Data shares'!$C:$FB,59)</f>
        <v>103088000</v>
      </c>
      <c r="L182" s="50">
        <f>VLOOKUP($A182,'Data shares'!$C:$FB,61)*100</f>
        <v>-30.72</v>
      </c>
      <c r="M182" s="49">
        <f>VLOOKUP($A182,'Data shares'!$C:$FB,62)</f>
        <v>37918000</v>
      </c>
      <c r="N182" s="49">
        <f>VLOOKUP($A182,'Data shares'!$C:$FB,63)</f>
        <v>49570500</v>
      </c>
      <c r="O182" s="140">
        <f>VLOOKUP($A182,'Data shares'!$C:$FB,65)*100</f>
        <v>-23.51</v>
      </c>
    </row>
    <row r="183" spans="1:15" x14ac:dyDescent="0.25">
      <c r="A183" s="101" t="str">
        <f>'Data Vlaue (Cr)'!C178</f>
        <v>RVNL</v>
      </c>
      <c r="B183" s="50">
        <f>VLOOKUP($A183,'Data shares'!$C:$FB,7)</f>
        <v>296.33</v>
      </c>
      <c r="C183" s="50">
        <f>VLOOKUP($A183,'Data shares'!$C:$FB,10)*100</f>
        <v>-2.2200000000000002</v>
      </c>
      <c r="D183" s="49">
        <f>VLOOKUP($A183,'Data shares'!$C:$FB,66)</f>
        <v>45483125</v>
      </c>
      <c r="E183" s="49">
        <f>VLOOKUP($A183,'Data shares'!$C:$FB,67)</f>
        <v>180646925</v>
      </c>
      <c r="F183" s="50">
        <f>VLOOKUP($A183,'Data shares'!$C:$FB,69)*100</f>
        <v>-74.819999999999993</v>
      </c>
      <c r="G183" s="49">
        <f>VLOOKUP($A183,'Data shares'!$C:$FB,42)</f>
        <v>11054725</v>
      </c>
      <c r="H183" s="49">
        <f>VLOOKUP($A183,'Data shares'!$C:$FB,43)</f>
        <v>27189225</v>
      </c>
      <c r="I183" s="50">
        <f>VLOOKUP($A183,'Data shares'!$C:$FB,45)*100</f>
        <v>-59.34</v>
      </c>
      <c r="J183" s="49">
        <f>VLOOKUP($A183,'Data shares'!$C:$FB,58)</f>
        <v>23719850</v>
      </c>
      <c r="K183" s="49">
        <f>VLOOKUP($A183,'Data shares'!$C:$FB,59)</f>
        <v>117882500</v>
      </c>
      <c r="L183" s="50">
        <f>VLOOKUP($A183,'Data shares'!$C:$FB,61)*100</f>
        <v>-79.88</v>
      </c>
      <c r="M183" s="49">
        <f>VLOOKUP($A183,'Data shares'!$C:$FB,62)</f>
        <v>10708550</v>
      </c>
      <c r="N183" s="49">
        <f>VLOOKUP($A183,'Data shares'!$C:$FB,63)</f>
        <v>35575200</v>
      </c>
      <c r="O183" s="140">
        <f>VLOOKUP($A183,'Data shares'!$C:$FB,65)*100</f>
        <v>-69.899999999999991</v>
      </c>
    </row>
    <row r="184" spans="1:15" x14ac:dyDescent="0.25">
      <c r="A184" s="101" t="str">
        <f>'Data Vlaue (Cr)'!C179</f>
        <v>SAIL</v>
      </c>
      <c r="B184" s="50">
        <f>VLOOKUP($A184,'Data shares'!$C:$FB,7)</f>
        <v>172.71</v>
      </c>
      <c r="C184" s="50">
        <f>VLOOKUP($A184,'Data shares'!$C:$FB,10)*100</f>
        <v>-0.36</v>
      </c>
      <c r="D184" s="49">
        <f>VLOOKUP($A184,'Data shares'!$C:$FB,66)</f>
        <v>2881100</v>
      </c>
      <c r="E184" s="49">
        <f>VLOOKUP($A184,'Data shares'!$C:$FB,67)</f>
        <v>3149000</v>
      </c>
      <c r="F184" s="50">
        <f>VLOOKUP($A184,'Data shares'!$C:$FB,69)*100</f>
        <v>-8.51</v>
      </c>
      <c r="G184" s="49">
        <f>VLOOKUP($A184,'Data shares'!$C:$FB,42)</f>
        <v>1950500</v>
      </c>
      <c r="H184" s="49">
        <f>VLOOKUP($A184,'Data shares'!$C:$FB,43)</f>
        <v>2293600</v>
      </c>
      <c r="I184" s="50">
        <f>VLOOKUP($A184,'Data shares'!$C:$FB,45)*100</f>
        <v>-14.96</v>
      </c>
      <c r="J184" s="49">
        <f>VLOOKUP($A184,'Data shares'!$C:$FB,58)</f>
        <v>197400</v>
      </c>
      <c r="K184" s="49">
        <f>VLOOKUP($A184,'Data shares'!$C:$FB,59)</f>
        <v>559300</v>
      </c>
      <c r="L184" s="50">
        <f>VLOOKUP($A184,'Data shares'!$C:$FB,61)*100</f>
        <v>-64.710000000000008</v>
      </c>
      <c r="M184" s="49">
        <f>VLOOKUP($A184,'Data shares'!$C:$FB,62)</f>
        <v>733200</v>
      </c>
      <c r="N184" s="49">
        <f>VLOOKUP($A184,'Data shares'!$C:$FB,63)</f>
        <v>296100</v>
      </c>
      <c r="O184" s="140">
        <f>VLOOKUP($A184,'Data shares'!$C:$FB,65)*100</f>
        <v>147.62</v>
      </c>
    </row>
    <row r="185" spans="1:15" x14ac:dyDescent="0.25">
      <c r="A185" s="101" t="str">
        <f>'Data Vlaue (Cr)'!C180</f>
        <v>SAMMAANCAP</v>
      </c>
      <c r="B185" s="50">
        <f>VLOOKUP($A185,'Data shares'!$C:$FB,7)</f>
        <v>152.07</v>
      </c>
      <c r="C185" s="50">
        <f>VLOOKUP($A185,'Data shares'!$C:$FB,10)*100</f>
        <v>-1.59</v>
      </c>
      <c r="D185" s="49">
        <f>VLOOKUP($A185,'Data shares'!$C:$FB,66)</f>
        <v>2347800</v>
      </c>
      <c r="E185" s="49">
        <f>VLOOKUP($A185,'Data shares'!$C:$FB,67)</f>
        <v>2171500</v>
      </c>
      <c r="F185" s="50">
        <f>VLOOKUP($A185,'Data shares'!$C:$FB,69)*100</f>
        <v>8.1199999999999992</v>
      </c>
      <c r="G185" s="49">
        <f>VLOOKUP($A185,'Data shares'!$C:$FB,42)</f>
        <v>2154300</v>
      </c>
      <c r="H185" s="49">
        <f>VLOOKUP($A185,'Data shares'!$C:$FB,43)</f>
        <v>1849000</v>
      </c>
      <c r="I185" s="50">
        <f>VLOOKUP($A185,'Data shares'!$C:$FB,45)*100</f>
        <v>16.509999999999998</v>
      </c>
      <c r="J185" s="49">
        <f>VLOOKUP($A185,'Data shares'!$C:$FB,58)</f>
        <v>141900</v>
      </c>
      <c r="K185" s="49">
        <f>VLOOKUP($A185,'Data shares'!$C:$FB,59)</f>
        <v>163400</v>
      </c>
      <c r="L185" s="50">
        <f>VLOOKUP($A185,'Data shares'!$C:$FB,61)*100</f>
        <v>-13.16</v>
      </c>
      <c r="M185" s="49">
        <f>VLOOKUP($A185,'Data shares'!$C:$FB,62)</f>
        <v>51600</v>
      </c>
      <c r="N185" s="49">
        <f>VLOOKUP($A185,'Data shares'!$C:$FB,63)</f>
        <v>159100</v>
      </c>
      <c r="O185" s="140">
        <f>VLOOKUP($A185,'Data shares'!$C:$FB,65)*100</f>
        <v>-67.569999999999993</v>
      </c>
    </row>
    <row r="186" spans="1:15" x14ac:dyDescent="0.25">
      <c r="A186" s="101" t="str">
        <f>'Data Vlaue (Cr)'!C181</f>
        <v>SBICARD</v>
      </c>
      <c r="B186" s="50">
        <f>VLOOKUP($A186,'Data shares'!$C:$FB,7)</f>
        <v>675.3</v>
      </c>
      <c r="C186" s="50">
        <f>VLOOKUP($A186,'Data shares'!$C:$FB,10)*100</f>
        <v>-2.86</v>
      </c>
      <c r="D186" s="49">
        <f>VLOOKUP($A186,'Data shares'!$C:$FB,66)</f>
        <v>22430400</v>
      </c>
      <c r="E186" s="49">
        <f>VLOOKUP($A186,'Data shares'!$C:$FB,67)</f>
        <v>12296000</v>
      </c>
      <c r="F186" s="50">
        <f>VLOOKUP($A186,'Data shares'!$C:$FB,69)*100</f>
        <v>82.42</v>
      </c>
      <c r="G186" s="49">
        <f>VLOOKUP($A186,'Data shares'!$C:$FB,42)</f>
        <v>8982400</v>
      </c>
      <c r="H186" s="49">
        <f>VLOOKUP($A186,'Data shares'!$C:$FB,43)</f>
        <v>4532800</v>
      </c>
      <c r="I186" s="50">
        <f>VLOOKUP($A186,'Data shares'!$C:$FB,45)*100</f>
        <v>98.16</v>
      </c>
      <c r="J186" s="49">
        <f>VLOOKUP($A186,'Data shares'!$C:$FB,58)</f>
        <v>8382400</v>
      </c>
      <c r="K186" s="49">
        <f>VLOOKUP($A186,'Data shares'!$C:$FB,59)</f>
        <v>4957600</v>
      </c>
      <c r="L186" s="50">
        <f>VLOOKUP($A186,'Data shares'!$C:$FB,61)*100</f>
        <v>69.08</v>
      </c>
      <c r="M186" s="49">
        <f>VLOOKUP($A186,'Data shares'!$C:$FB,62)</f>
        <v>5065600</v>
      </c>
      <c r="N186" s="49">
        <f>VLOOKUP($A186,'Data shares'!$C:$FB,63)</f>
        <v>2805600</v>
      </c>
      <c r="O186" s="140">
        <f>VLOOKUP($A186,'Data shares'!$C:$FB,65)*100</f>
        <v>80.55</v>
      </c>
    </row>
    <row r="187" spans="1:15" x14ac:dyDescent="0.25">
      <c r="A187" s="101" t="str">
        <f>'Data Vlaue (Cr)'!C182</f>
        <v>SBILIFE</v>
      </c>
      <c r="B187" s="50">
        <f>VLOOKUP($A187,'Data shares'!$C:$FB,7)</f>
        <v>1982.5</v>
      </c>
      <c r="C187" s="50">
        <f>VLOOKUP($A187,'Data shares'!$C:$FB,10)*100</f>
        <v>0.59</v>
      </c>
      <c r="D187" s="49">
        <f>VLOOKUP($A187,'Data shares'!$C:$FB,66)</f>
        <v>5401500</v>
      </c>
      <c r="E187" s="49">
        <f>VLOOKUP($A187,'Data shares'!$C:$FB,67)</f>
        <v>4383000</v>
      </c>
      <c r="F187" s="50">
        <f>VLOOKUP($A187,'Data shares'!$C:$FB,69)*100</f>
        <v>23.24</v>
      </c>
      <c r="G187" s="49">
        <f>VLOOKUP($A187,'Data shares'!$C:$FB,42)</f>
        <v>1750125</v>
      </c>
      <c r="H187" s="49">
        <f>VLOOKUP($A187,'Data shares'!$C:$FB,43)</f>
        <v>666375</v>
      </c>
      <c r="I187" s="50">
        <f>VLOOKUP($A187,'Data shares'!$C:$FB,45)*100</f>
        <v>162.63</v>
      </c>
      <c r="J187" s="49">
        <f>VLOOKUP($A187,'Data shares'!$C:$FB,58)</f>
        <v>2696250</v>
      </c>
      <c r="K187" s="49">
        <f>VLOOKUP($A187,'Data shares'!$C:$FB,59)</f>
        <v>2588250</v>
      </c>
      <c r="L187" s="50">
        <f>VLOOKUP($A187,'Data shares'!$C:$FB,61)*100</f>
        <v>4.17</v>
      </c>
      <c r="M187" s="49">
        <f>VLOOKUP($A187,'Data shares'!$C:$FB,62)</f>
        <v>955125</v>
      </c>
      <c r="N187" s="49">
        <f>VLOOKUP($A187,'Data shares'!$C:$FB,63)</f>
        <v>1128375</v>
      </c>
      <c r="O187" s="140">
        <f>VLOOKUP($A187,'Data shares'!$C:$FB,65)*100</f>
        <v>-15.35</v>
      </c>
    </row>
    <row r="188" spans="1:15" x14ac:dyDescent="0.25">
      <c r="A188" s="101" t="str">
        <f>'Data Vlaue (Cr)'!C183</f>
        <v>SBIN</v>
      </c>
      <c r="B188" s="50">
        <f>VLOOKUP($A188,'Data shares'!$C:$FB,7)</f>
        <v>1107.8499999999999</v>
      </c>
      <c r="C188" s="50">
        <f>VLOOKUP($A188,'Data shares'!$C:$FB,10)*100</f>
        <v>2.5499999999999998</v>
      </c>
      <c r="D188" s="49">
        <f>VLOOKUP($A188,'Data shares'!$C:$FB,66)</f>
        <v>315898500</v>
      </c>
      <c r="E188" s="49">
        <f>VLOOKUP($A188,'Data shares'!$C:$FB,67)</f>
        <v>104343750</v>
      </c>
      <c r="F188" s="50">
        <f>VLOOKUP($A188,'Data shares'!$C:$FB,69)*100</f>
        <v>202.75</v>
      </c>
      <c r="G188" s="49">
        <f>VLOOKUP($A188,'Data shares'!$C:$FB,42)</f>
        <v>27639000</v>
      </c>
      <c r="H188" s="49">
        <f>VLOOKUP($A188,'Data shares'!$C:$FB,43)</f>
        <v>12119250</v>
      </c>
      <c r="I188" s="50">
        <f>VLOOKUP($A188,'Data shares'!$C:$FB,45)*100</f>
        <v>128.06</v>
      </c>
      <c r="J188" s="49">
        <f>VLOOKUP($A188,'Data shares'!$C:$FB,58)</f>
        <v>186557250</v>
      </c>
      <c r="K188" s="49">
        <f>VLOOKUP($A188,'Data shares'!$C:$FB,59)</f>
        <v>57024000</v>
      </c>
      <c r="L188" s="50">
        <f>VLOOKUP($A188,'Data shares'!$C:$FB,61)*100</f>
        <v>227.16</v>
      </c>
      <c r="M188" s="49">
        <f>VLOOKUP($A188,'Data shares'!$C:$FB,62)</f>
        <v>101702250</v>
      </c>
      <c r="N188" s="49">
        <f>VLOOKUP($A188,'Data shares'!$C:$FB,63)</f>
        <v>35200500</v>
      </c>
      <c r="O188" s="140">
        <f>VLOOKUP($A188,'Data shares'!$C:$FB,65)*100</f>
        <v>188.92</v>
      </c>
    </row>
    <row r="189" spans="1:15" x14ac:dyDescent="0.25">
      <c r="A189" s="101" t="str">
        <f>'Data Vlaue (Cr)'!C184</f>
        <v>SHREECEM</v>
      </c>
      <c r="B189" s="50">
        <f>VLOOKUP($A189,'Data shares'!$C:$FB,7)</f>
        <v>25490</v>
      </c>
      <c r="C189" s="50">
        <f>VLOOKUP($A189,'Data shares'!$C:$FB,10)*100</f>
        <v>0.79</v>
      </c>
      <c r="D189" s="49">
        <f>VLOOKUP($A189,'Data shares'!$C:$FB,66)</f>
        <v>104350</v>
      </c>
      <c r="E189" s="49">
        <f>VLOOKUP($A189,'Data shares'!$C:$FB,67)</f>
        <v>64625</v>
      </c>
      <c r="F189" s="50">
        <f>VLOOKUP($A189,'Data shares'!$C:$FB,69)*100</f>
        <v>61.47</v>
      </c>
      <c r="G189" s="49">
        <f>VLOOKUP($A189,'Data shares'!$C:$FB,42)</f>
        <v>56850</v>
      </c>
      <c r="H189" s="49">
        <f>VLOOKUP($A189,'Data shares'!$C:$FB,43)</f>
        <v>26700</v>
      </c>
      <c r="I189" s="50">
        <f>VLOOKUP($A189,'Data shares'!$C:$FB,45)*100</f>
        <v>112.92</v>
      </c>
      <c r="J189" s="49">
        <f>VLOOKUP($A189,'Data shares'!$C:$FB,58)</f>
        <v>34300</v>
      </c>
      <c r="K189" s="49">
        <f>VLOOKUP($A189,'Data shares'!$C:$FB,59)</f>
        <v>31725</v>
      </c>
      <c r="L189" s="50">
        <f>VLOOKUP($A189,'Data shares'!$C:$FB,61)*100</f>
        <v>8.1199999999999992</v>
      </c>
      <c r="M189" s="49">
        <f>VLOOKUP($A189,'Data shares'!$C:$FB,62)</f>
        <v>13200</v>
      </c>
      <c r="N189" s="49">
        <f>VLOOKUP($A189,'Data shares'!$C:$FB,63)</f>
        <v>6200</v>
      </c>
      <c r="O189" s="140">
        <f>VLOOKUP($A189,'Data shares'!$C:$FB,65)*100</f>
        <v>112.9</v>
      </c>
    </row>
    <row r="190" spans="1:15" x14ac:dyDescent="0.25">
      <c r="A190" s="101" t="str">
        <f>'Data Vlaue (Cr)'!C185</f>
        <v>SHRIRAMFIN</v>
      </c>
      <c r="B190" s="50">
        <f>VLOOKUP($A190,'Data shares'!$C:$FB,7)</f>
        <v>1045.1500000000001</v>
      </c>
      <c r="C190" s="50">
        <f>VLOOKUP($A190,'Data shares'!$C:$FB,10)*100</f>
        <v>0.79</v>
      </c>
      <c r="D190" s="49">
        <f>VLOOKUP($A190,'Data shares'!$C:$FB,66)</f>
        <v>30798075</v>
      </c>
      <c r="E190" s="49">
        <f>VLOOKUP($A190,'Data shares'!$C:$FB,67)</f>
        <v>25090725</v>
      </c>
      <c r="F190" s="50">
        <f>VLOOKUP($A190,'Data shares'!$C:$FB,69)*100</f>
        <v>22.75</v>
      </c>
      <c r="G190" s="49">
        <f>VLOOKUP($A190,'Data shares'!$C:$FB,42)</f>
        <v>7520700</v>
      </c>
      <c r="H190" s="49">
        <f>VLOOKUP($A190,'Data shares'!$C:$FB,43)</f>
        <v>5782425</v>
      </c>
      <c r="I190" s="50">
        <f>VLOOKUP($A190,'Data shares'!$C:$FB,45)*100</f>
        <v>30.06</v>
      </c>
      <c r="J190" s="49">
        <f>VLOOKUP($A190,'Data shares'!$C:$FB,58)</f>
        <v>15821850</v>
      </c>
      <c r="K190" s="49">
        <f>VLOOKUP($A190,'Data shares'!$C:$FB,59)</f>
        <v>13279200</v>
      </c>
      <c r="L190" s="50">
        <f>VLOOKUP($A190,'Data shares'!$C:$FB,61)*100</f>
        <v>19.149999999999999</v>
      </c>
      <c r="M190" s="49">
        <f>VLOOKUP($A190,'Data shares'!$C:$FB,62)</f>
        <v>7455525</v>
      </c>
      <c r="N190" s="49">
        <f>VLOOKUP($A190,'Data shares'!$C:$FB,63)</f>
        <v>6029100</v>
      </c>
      <c r="O190" s="140">
        <f>VLOOKUP($A190,'Data shares'!$C:$FB,65)*100</f>
        <v>23.66</v>
      </c>
    </row>
    <row r="191" spans="1:15" x14ac:dyDescent="0.25">
      <c r="A191" s="101" t="str">
        <f>'Data Vlaue (Cr)'!C186</f>
        <v>SIEMENS</v>
      </c>
      <c r="B191" s="50">
        <f>VLOOKUP($A191,'Data shares'!$C:$FB,7)</f>
        <v>3709</v>
      </c>
      <c r="C191" s="50">
        <f>VLOOKUP($A191,'Data shares'!$C:$FB,10)*100</f>
        <v>0.03</v>
      </c>
      <c r="D191" s="49">
        <f>VLOOKUP($A191,'Data shares'!$C:$FB,66)</f>
        <v>7551075</v>
      </c>
      <c r="E191" s="49">
        <f>VLOOKUP($A191,'Data shares'!$C:$FB,67)</f>
        <v>14361900</v>
      </c>
      <c r="F191" s="50">
        <f>VLOOKUP($A191,'Data shares'!$C:$FB,69)*100</f>
        <v>-47.42</v>
      </c>
      <c r="G191" s="49">
        <f>VLOOKUP($A191,'Data shares'!$C:$FB,42)</f>
        <v>916475</v>
      </c>
      <c r="H191" s="49">
        <f>VLOOKUP($A191,'Data shares'!$C:$FB,43)</f>
        <v>1145025</v>
      </c>
      <c r="I191" s="50">
        <f>VLOOKUP($A191,'Data shares'!$C:$FB,45)*100</f>
        <v>-19.96</v>
      </c>
      <c r="J191" s="49">
        <f>VLOOKUP($A191,'Data shares'!$C:$FB,58)</f>
        <v>4345075</v>
      </c>
      <c r="K191" s="49">
        <f>VLOOKUP($A191,'Data shares'!$C:$FB,59)</f>
        <v>9022475</v>
      </c>
      <c r="L191" s="50">
        <f>VLOOKUP($A191,'Data shares'!$C:$FB,61)*100</f>
        <v>-51.839999999999996</v>
      </c>
      <c r="M191" s="49">
        <f>VLOOKUP($A191,'Data shares'!$C:$FB,62)</f>
        <v>2289525</v>
      </c>
      <c r="N191" s="49">
        <f>VLOOKUP($A191,'Data shares'!$C:$FB,63)</f>
        <v>4194400</v>
      </c>
      <c r="O191" s="140">
        <f>VLOOKUP($A191,'Data shares'!$C:$FB,65)*100</f>
        <v>-45.410000000000004</v>
      </c>
    </row>
    <row r="192" spans="1:15" x14ac:dyDescent="0.25">
      <c r="A192" s="101" t="str">
        <f>'Data Vlaue (Cr)'!C187</f>
        <v>SOLARINDS</v>
      </c>
      <c r="B192" s="50">
        <f>VLOOKUP($A192,'Data shares'!$C:$FB,7)</f>
        <v>14907</v>
      </c>
      <c r="C192" s="50">
        <f>VLOOKUP($A192,'Data shares'!$C:$FB,10)*100</f>
        <v>-1.21</v>
      </c>
      <c r="D192" s="49">
        <f>VLOOKUP($A192,'Data shares'!$C:$FB,66)</f>
        <v>412550</v>
      </c>
      <c r="E192" s="49">
        <f>VLOOKUP($A192,'Data shares'!$C:$FB,67)</f>
        <v>1286750</v>
      </c>
      <c r="F192" s="50">
        <f>VLOOKUP($A192,'Data shares'!$C:$FB,69)*100</f>
        <v>-67.94</v>
      </c>
      <c r="G192" s="49">
        <f>VLOOKUP($A192,'Data shares'!$C:$FB,42)</f>
        <v>78500</v>
      </c>
      <c r="H192" s="49">
        <f>VLOOKUP($A192,'Data shares'!$C:$FB,43)</f>
        <v>124900</v>
      </c>
      <c r="I192" s="50">
        <f>VLOOKUP($A192,'Data shares'!$C:$FB,45)*100</f>
        <v>-37.15</v>
      </c>
      <c r="J192" s="49">
        <f>VLOOKUP($A192,'Data shares'!$C:$FB,58)</f>
        <v>161600</v>
      </c>
      <c r="K192" s="49">
        <f>VLOOKUP($A192,'Data shares'!$C:$FB,59)</f>
        <v>313300</v>
      </c>
      <c r="L192" s="50">
        <f>VLOOKUP($A192,'Data shares'!$C:$FB,61)*100</f>
        <v>-48.42</v>
      </c>
      <c r="M192" s="49">
        <f>VLOOKUP($A192,'Data shares'!$C:$FB,62)</f>
        <v>172450</v>
      </c>
      <c r="N192" s="49">
        <f>VLOOKUP($A192,'Data shares'!$C:$FB,63)</f>
        <v>848550</v>
      </c>
      <c r="O192" s="140">
        <f>VLOOKUP($A192,'Data shares'!$C:$FB,65)*100</f>
        <v>-79.679999999999993</v>
      </c>
    </row>
    <row r="193" spans="1:15" x14ac:dyDescent="0.25">
      <c r="A193" s="101" t="str">
        <f>'Data Vlaue (Cr)'!C188</f>
        <v>SONACOMS</v>
      </c>
      <c r="B193" s="50">
        <f>VLOOKUP($A193,'Data shares'!$C:$FB,7)</f>
        <v>576.54999999999995</v>
      </c>
      <c r="C193" s="50">
        <f>VLOOKUP($A193,'Data shares'!$C:$FB,10)*100</f>
        <v>-2.91</v>
      </c>
      <c r="D193" s="49">
        <f>VLOOKUP($A193,'Data shares'!$C:$FB,66)</f>
        <v>8823675</v>
      </c>
      <c r="E193" s="49">
        <f>VLOOKUP($A193,'Data shares'!$C:$FB,67)</f>
        <v>17935225</v>
      </c>
      <c r="F193" s="50">
        <f>VLOOKUP($A193,'Data shares'!$C:$FB,69)*100</f>
        <v>-50.8</v>
      </c>
      <c r="G193" s="49">
        <f>VLOOKUP($A193,'Data shares'!$C:$FB,42)</f>
        <v>2772175</v>
      </c>
      <c r="H193" s="49">
        <f>VLOOKUP($A193,'Data shares'!$C:$FB,43)</f>
        <v>3994725</v>
      </c>
      <c r="I193" s="50">
        <f>VLOOKUP($A193,'Data shares'!$C:$FB,45)*100</f>
        <v>-30.599999999999998</v>
      </c>
      <c r="J193" s="49">
        <f>VLOOKUP($A193,'Data shares'!$C:$FB,58)</f>
        <v>3700725</v>
      </c>
      <c r="K193" s="49">
        <f>VLOOKUP($A193,'Data shares'!$C:$FB,59)</f>
        <v>10296125</v>
      </c>
      <c r="L193" s="50">
        <f>VLOOKUP($A193,'Data shares'!$C:$FB,61)*100</f>
        <v>-64.059999999999988</v>
      </c>
      <c r="M193" s="49">
        <f>VLOOKUP($A193,'Data shares'!$C:$FB,62)</f>
        <v>2350775</v>
      </c>
      <c r="N193" s="49">
        <f>VLOOKUP($A193,'Data shares'!$C:$FB,63)</f>
        <v>3644375</v>
      </c>
      <c r="O193" s="140">
        <f>VLOOKUP($A193,'Data shares'!$C:$FB,65)*100</f>
        <v>-35.5</v>
      </c>
    </row>
    <row r="194" spans="1:15" x14ac:dyDescent="0.25">
      <c r="A194" s="101" t="str">
        <f>'Data Vlaue (Cr)'!C189</f>
        <v>SRF</v>
      </c>
      <c r="B194" s="50">
        <f>VLOOKUP($A194,'Data shares'!$C:$FB,7)</f>
        <v>2465.1</v>
      </c>
      <c r="C194" s="50">
        <f>VLOOKUP($A194,'Data shares'!$C:$FB,10)*100</f>
        <v>-1.18</v>
      </c>
      <c r="D194" s="49">
        <f>VLOOKUP($A194,'Data shares'!$C:$FB,66)</f>
        <v>3030600</v>
      </c>
      <c r="E194" s="49">
        <f>VLOOKUP($A194,'Data shares'!$C:$FB,67)</f>
        <v>4218200</v>
      </c>
      <c r="F194" s="50">
        <f>VLOOKUP($A194,'Data shares'!$C:$FB,69)*100</f>
        <v>-28.15</v>
      </c>
      <c r="G194" s="49">
        <f>VLOOKUP($A194,'Data shares'!$C:$FB,42)</f>
        <v>457600</v>
      </c>
      <c r="H194" s="49">
        <f>VLOOKUP($A194,'Data shares'!$C:$FB,43)</f>
        <v>710800</v>
      </c>
      <c r="I194" s="50">
        <f>VLOOKUP($A194,'Data shares'!$C:$FB,45)*100</f>
        <v>-35.620000000000005</v>
      </c>
      <c r="J194" s="49">
        <f>VLOOKUP($A194,'Data shares'!$C:$FB,58)</f>
        <v>1931600</v>
      </c>
      <c r="K194" s="49">
        <f>VLOOKUP($A194,'Data shares'!$C:$FB,59)</f>
        <v>2604400</v>
      </c>
      <c r="L194" s="50">
        <f>VLOOKUP($A194,'Data shares'!$C:$FB,61)*100</f>
        <v>-25.83</v>
      </c>
      <c r="M194" s="49">
        <f>VLOOKUP($A194,'Data shares'!$C:$FB,62)</f>
        <v>641400</v>
      </c>
      <c r="N194" s="49">
        <f>VLOOKUP($A194,'Data shares'!$C:$FB,63)</f>
        <v>903000</v>
      </c>
      <c r="O194" s="140">
        <f>VLOOKUP($A194,'Data shares'!$C:$FB,65)*100</f>
        <v>-28.970000000000002</v>
      </c>
    </row>
    <row r="195" spans="1:15" x14ac:dyDescent="0.25">
      <c r="A195" s="101" t="str">
        <f>'Data Vlaue (Cr)'!C190</f>
        <v>SUNPHARMA</v>
      </c>
      <c r="B195" s="50">
        <f>VLOOKUP($A195,'Data shares'!$C:$FB,7)</f>
        <v>1668.6</v>
      </c>
      <c r="C195" s="50">
        <f>VLOOKUP($A195,'Data shares'!$C:$FB,10)*100</f>
        <v>-0.41000000000000003</v>
      </c>
      <c r="D195" s="49">
        <f>VLOOKUP($A195,'Data shares'!$C:$FB,66)</f>
        <v>12007800</v>
      </c>
      <c r="E195" s="49">
        <f>VLOOKUP($A195,'Data shares'!$C:$FB,67)</f>
        <v>19776050</v>
      </c>
      <c r="F195" s="50">
        <f>VLOOKUP($A195,'Data shares'!$C:$FB,69)*100</f>
        <v>-39.28</v>
      </c>
      <c r="G195" s="49">
        <f>VLOOKUP($A195,'Data shares'!$C:$FB,42)</f>
        <v>1848000</v>
      </c>
      <c r="H195" s="49">
        <f>VLOOKUP($A195,'Data shares'!$C:$FB,43)</f>
        <v>2747500</v>
      </c>
      <c r="I195" s="50">
        <f>VLOOKUP($A195,'Data shares'!$C:$FB,45)*100</f>
        <v>-32.74</v>
      </c>
      <c r="J195" s="49">
        <f>VLOOKUP($A195,'Data shares'!$C:$FB,58)</f>
        <v>6804350</v>
      </c>
      <c r="K195" s="49">
        <f>VLOOKUP($A195,'Data shares'!$C:$FB,59)</f>
        <v>9800000</v>
      </c>
      <c r="L195" s="50">
        <f>VLOOKUP($A195,'Data shares'!$C:$FB,61)*100</f>
        <v>-30.570000000000004</v>
      </c>
      <c r="M195" s="49">
        <f>VLOOKUP($A195,'Data shares'!$C:$FB,62)</f>
        <v>3355450</v>
      </c>
      <c r="N195" s="49">
        <f>VLOOKUP($A195,'Data shares'!$C:$FB,63)</f>
        <v>7228550</v>
      </c>
      <c r="O195" s="140">
        <f>VLOOKUP($A195,'Data shares'!$C:$FB,65)*100</f>
        <v>-53.580000000000005</v>
      </c>
    </row>
    <row r="196" spans="1:15" x14ac:dyDescent="0.25">
      <c r="A196" s="101" t="str">
        <f>'Data Vlaue (Cr)'!C191</f>
        <v>SUPREMEIND</v>
      </c>
      <c r="B196" s="50">
        <f>VLOOKUP($A196,'Data shares'!$C:$FB,7)</f>
        <v>3711.8</v>
      </c>
      <c r="C196" s="50">
        <f>VLOOKUP($A196,'Data shares'!$C:$FB,10)*100</f>
        <v>0.08</v>
      </c>
      <c r="D196" s="49">
        <f>VLOOKUP($A196,'Data shares'!$C:$FB,66)</f>
        <v>1409275</v>
      </c>
      <c r="E196" s="49">
        <f>VLOOKUP($A196,'Data shares'!$C:$FB,67)</f>
        <v>2318050</v>
      </c>
      <c r="F196" s="50">
        <f>VLOOKUP($A196,'Data shares'!$C:$FB,69)*100</f>
        <v>-39.200000000000003</v>
      </c>
      <c r="G196" s="49">
        <f>VLOOKUP($A196,'Data shares'!$C:$FB,42)</f>
        <v>269325</v>
      </c>
      <c r="H196" s="49">
        <f>VLOOKUP($A196,'Data shares'!$C:$FB,43)</f>
        <v>758800</v>
      </c>
      <c r="I196" s="50">
        <f>VLOOKUP($A196,'Data shares'!$C:$FB,45)*100</f>
        <v>-64.510000000000005</v>
      </c>
      <c r="J196" s="49">
        <f>VLOOKUP($A196,'Data shares'!$C:$FB,58)</f>
        <v>835800</v>
      </c>
      <c r="K196" s="49">
        <f>VLOOKUP($A196,'Data shares'!$C:$FB,59)</f>
        <v>1099175</v>
      </c>
      <c r="L196" s="50">
        <f>VLOOKUP($A196,'Data shares'!$C:$FB,61)*100</f>
        <v>-23.96</v>
      </c>
      <c r="M196" s="49">
        <f>VLOOKUP($A196,'Data shares'!$C:$FB,62)</f>
        <v>304150</v>
      </c>
      <c r="N196" s="49">
        <f>VLOOKUP($A196,'Data shares'!$C:$FB,63)</f>
        <v>460075</v>
      </c>
      <c r="O196" s="140">
        <f>VLOOKUP($A196,'Data shares'!$C:$FB,65)*100</f>
        <v>-33.89</v>
      </c>
    </row>
    <row r="197" spans="1:15" x14ac:dyDescent="0.25">
      <c r="A197" s="101" t="str">
        <f>'Data Vlaue (Cr)'!C192</f>
        <v>SUZLON</v>
      </c>
      <c r="B197" s="50">
        <f>VLOOKUP($A197,'Data shares'!$C:$FB,7)</f>
        <v>52.5</v>
      </c>
      <c r="C197" s="50">
        <f>VLOOKUP($A197,'Data shares'!$C:$FB,10)*100</f>
        <v>-0.80999999999999994</v>
      </c>
      <c r="D197" s="49">
        <f>VLOOKUP($A197,'Data shares'!$C:$FB,66)</f>
        <v>591877550</v>
      </c>
      <c r="E197" s="49">
        <f>VLOOKUP($A197,'Data shares'!$C:$FB,67)</f>
        <v>1120544000</v>
      </c>
      <c r="F197" s="50">
        <f>VLOOKUP($A197,'Data shares'!$C:$FB,69)*100</f>
        <v>-47.18</v>
      </c>
      <c r="G197" s="49">
        <f>VLOOKUP($A197,'Data shares'!$C:$FB,42)</f>
        <v>102496925</v>
      </c>
      <c r="H197" s="49">
        <f>VLOOKUP($A197,'Data shares'!$C:$FB,43)</f>
        <v>204244775</v>
      </c>
      <c r="I197" s="50">
        <f>VLOOKUP($A197,'Data shares'!$C:$FB,45)*100</f>
        <v>-49.82</v>
      </c>
      <c r="J197" s="49">
        <f>VLOOKUP($A197,'Data shares'!$C:$FB,58)</f>
        <v>313645825</v>
      </c>
      <c r="K197" s="49">
        <f>VLOOKUP($A197,'Data shares'!$C:$FB,59)</f>
        <v>623564325</v>
      </c>
      <c r="L197" s="50">
        <f>VLOOKUP($A197,'Data shares'!$C:$FB,61)*100</f>
        <v>-49.7</v>
      </c>
      <c r="M197" s="49">
        <f>VLOOKUP($A197,'Data shares'!$C:$FB,62)</f>
        <v>175734800</v>
      </c>
      <c r="N197" s="49">
        <f>VLOOKUP($A197,'Data shares'!$C:$FB,63)</f>
        <v>292734900</v>
      </c>
      <c r="O197" s="140">
        <f>VLOOKUP($A197,'Data shares'!$C:$FB,65)*100</f>
        <v>-39.97</v>
      </c>
    </row>
    <row r="198" spans="1:15" x14ac:dyDescent="0.25">
      <c r="A198" s="101" t="str">
        <f>'Data Vlaue (Cr)'!C193</f>
        <v>SWIGGY</v>
      </c>
      <c r="B198" s="50">
        <f>VLOOKUP($A198,'Data shares'!$C:$FB,7)</f>
        <v>279.14999999999998</v>
      </c>
      <c r="C198" s="50">
        <f>VLOOKUP($A198,'Data shares'!$C:$FB,10)*100</f>
        <v>0.61</v>
      </c>
      <c r="D198" s="49">
        <f>VLOOKUP($A198,'Data shares'!$C:$FB,66)</f>
        <v>29624400</v>
      </c>
      <c r="E198" s="49">
        <f>VLOOKUP($A198,'Data shares'!$C:$FB,67)</f>
        <v>32104800</v>
      </c>
      <c r="F198" s="50">
        <f>VLOOKUP($A198,'Data shares'!$C:$FB,69)*100</f>
        <v>-7.7299999999999995</v>
      </c>
      <c r="G198" s="49">
        <f>VLOOKUP($A198,'Data shares'!$C:$FB,42)</f>
        <v>8277100</v>
      </c>
      <c r="H198" s="49">
        <f>VLOOKUP($A198,'Data shares'!$C:$FB,43)</f>
        <v>8244600</v>
      </c>
      <c r="I198" s="50">
        <f>VLOOKUP($A198,'Data shares'!$C:$FB,45)*100</f>
        <v>0.38999999999999996</v>
      </c>
      <c r="J198" s="49">
        <f>VLOOKUP($A198,'Data shares'!$C:$FB,58)</f>
        <v>16633500</v>
      </c>
      <c r="K198" s="49">
        <f>VLOOKUP($A198,'Data shares'!$C:$FB,59)</f>
        <v>18175300</v>
      </c>
      <c r="L198" s="50">
        <f>VLOOKUP($A198,'Data shares'!$C:$FB,61)*100</f>
        <v>-8.48</v>
      </c>
      <c r="M198" s="49">
        <f>VLOOKUP($A198,'Data shares'!$C:$FB,62)</f>
        <v>4713800</v>
      </c>
      <c r="N198" s="49">
        <f>VLOOKUP($A198,'Data shares'!$C:$FB,63)</f>
        <v>5684900</v>
      </c>
      <c r="O198" s="140">
        <f>VLOOKUP($A198,'Data shares'!$C:$FB,65)*100</f>
        <v>-17.080000000000002</v>
      </c>
    </row>
    <row r="199" spans="1:15" x14ac:dyDescent="0.25">
      <c r="A199" s="101" t="str">
        <f>'Data Vlaue (Cr)'!C194</f>
        <v>TATACONSUM</v>
      </c>
      <c r="B199" s="50">
        <f>VLOOKUP($A199,'Data shares'!$C:$FB,7)</f>
        <v>1120.4000000000001</v>
      </c>
      <c r="C199" s="50">
        <f>VLOOKUP($A199,'Data shares'!$C:$FB,10)*100</f>
        <v>0.65</v>
      </c>
      <c r="D199" s="49">
        <f>VLOOKUP($A199,'Data shares'!$C:$FB,66)</f>
        <v>4937900</v>
      </c>
      <c r="E199" s="49">
        <f>VLOOKUP($A199,'Data shares'!$C:$FB,67)</f>
        <v>9319750</v>
      </c>
      <c r="F199" s="50">
        <f>VLOOKUP($A199,'Data shares'!$C:$FB,69)*100</f>
        <v>-47.02</v>
      </c>
      <c r="G199" s="49">
        <f>VLOOKUP($A199,'Data shares'!$C:$FB,42)</f>
        <v>1151700</v>
      </c>
      <c r="H199" s="49">
        <f>VLOOKUP($A199,'Data shares'!$C:$FB,43)</f>
        <v>1689600</v>
      </c>
      <c r="I199" s="50">
        <f>VLOOKUP($A199,'Data shares'!$C:$FB,45)*100</f>
        <v>-31.840000000000003</v>
      </c>
      <c r="J199" s="49">
        <f>VLOOKUP($A199,'Data shares'!$C:$FB,58)</f>
        <v>2712600</v>
      </c>
      <c r="K199" s="49">
        <f>VLOOKUP($A199,'Data shares'!$C:$FB,59)</f>
        <v>6153400</v>
      </c>
      <c r="L199" s="50">
        <f>VLOOKUP($A199,'Data shares'!$C:$FB,61)*100</f>
        <v>-55.92</v>
      </c>
      <c r="M199" s="49">
        <f>VLOOKUP($A199,'Data shares'!$C:$FB,62)</f>
        <v>1073600</v>
      </c>
      <c r="N199" s="49">
        <f>VLOOKUP($A199,'Data shares'!$C:$FB,63)</f>
        <v>1476750</v>
      </c>
      <c r="O199" s="140">
        <f>VLOOKUP($A199,'Data shares'!$C:$FB,65)*100</f>
        <v>-27.3</v>
      </c>
    </row>
    <row r="200" spans="1:15" x14ac:dyDescent="0.25">
      <c r="A200" s="101" t="str">
        <f>'Data Vlaue (Cr)'!C195</f>
        <v>TATAELXSI</v>
      </c>
      <c r="B200" s="50">
        <f>VLOOKUP($A200,'Data shares'!$C:$FB,7)</f>
        <v>4516.6000000000004</v>
      </c>
      <c r="C200" s="50">
        <f>VLOOKUP($A200,'Data shares'!$C:$FB,10)*100</f>
        <v>-1.6500000000000001</v>
      </c>
      <c r="D200" s="49">
        <f>VLOOKUP($A200,'Data shares'!$C:$FB,66)</f>
        <v>3036900</v>
      </c>
      <c r="E200" s="49">
        <f>VLOOKUP($A200,'Data shares'!$C:$FB,67)</f>
        <v>3808100</v>
      </c>
      <c r="F200" s="50">
        <f>VLOOKUP($A200,'Data shares'!$C:$FB,69)*100</f>
        <v>-20.25</v>
      </c>
      <c r="G200" s="49">
        <f>VLOOKUP($A200,'Data shares'!$C:$FB,42)</f>
        <v>433700</v>
      </c>
      <c r="H200" s="49">
        <f>VLOOKUP($A200,'Data shares'!$C:$FB,43)</f>
        <v>517400</v>
      </c>
      <c r="I200" s="50">
        <f>VLOOKUP($A200,'Data shares'!$C:$FB,45)*100</f>
        <v>-16.18</v>
      </c>
      <c r="J200" s="49">
        <f>VLOOKUP($A200,'Data shares'!$C:$FB,58)</f>
        <v>1661600</v>
      </c>
      <c r="K200" s="49">
        <f>VLOOKUP($A200,'Data shares'!$C:$FB,59)</f>
        <v>2317900</v>
      </c>
      <c r="L200" s="50">
        <f>VLOOKUP($A200,'Data shares'!$C:$FB,61)*100</f>
        <v>-28.310000000000002</v>
      </c>
      <c r="M200" s="49">
        <f>VLOOKUP($A200,'Data shares'!$C:$FB,62)</f>
        <v>941600</v>
      </c>
      <c r="N200" s="49">
        <f>VLOOKUP($A200,'Data shares'!$C:$FB,63)</f>
        <v>972800</v>
      </c>
      <c r="O200" s="140">
        <f>VLOOKUP($A200,'Data shares'!$C:$FB,65)*100</f>
        <v>-3.2099999999999995</v>
      </c>
    </row>
    <row r="201" spans="1:15" x14ac:dyDescent="0.25">
      <c r="A201" s="101" t="str">
        <f>'Data Vlaue (Cr)'!C196</f>
        <v>TATAPOWER</v>
      </c>
      <c r="B201" s="50">
        <f>VLOOKUP($A201,'Data shares'!$C:$FB,7)</f>
        <v>433.6</v>
      </c>
      <c r="C201" s="50">
        <f>VLOOKUP($A201,'Data shares'!$C:$FB,10)*100</f>
        <v>1.4000000000000001</v>
      </c>
      <c r="D201" s="49">
        <f>VLOOKUP($A201,'Data shares'!$C:$FB,66)</f>
        <v>195634000</v>
      </c>
      <c r="E201" s="49">
        <f>VLOOKUP($A201,'Data shares'!$C:$FB,67)</f>
        <v>97145650</v>
      </c>
      <c r="F201" s="50">
        <f>VLOOKUP($A201,'Data shares'!$C:$FB,69)*100</f>
        <v>101.38000000000001</v>
      </c>
      <c r="G201" s="49">
        <f>VLOOKUP($A201,'Data shares'!$C:$FB,42)</f>
        <v>21336750</v>
      </c>
      <c r="H201" s="49">
        <f>VLOOKUP($A201,'Data shares'!$C:$FB,43)</f>
        <v>10577750</v>
      </c>
      <c r="I201" s="50">
        <f>VLOOKUP($A201,'Data shares'!$C:$FB,45)*100</f>
        <v>101.71</v>
      </c>
      <c r="J201" s="49">
        <f>VLOOKUP($A201,'Data shares'!$C:$FB,58)</f>
        <v>110302950</v>
      </c>
      <c r="K201" s="49">
        <f>VLOOKUP($A201,'Data shares'!$C:$FB,59)</f>
        <v>49584200</v>
      </c>
      <c r="L201" s="50">
        <f>VLOOKUP($A201,'Data shares'!$C:$FB,61)*100</f>
        <v>122.46</v>
      </c>
      <c r="M201" s="49">
        <f>VLOOKUP($A201,'Data shares'!$C:$FB,62)</f>
        <v>63994300</v>
      </c>
      <c r="N201" s="49">
        <f>VLOOKUP($A201,'Data shares'!$C:$FB,63)</f>
        <v>36983700</v>
      </c>
      <c r="O201" s="140">
        <f>VLOOKUP($A201,'Data shares'!$C:$FB,65)*100</f>
        <v>73.03</v>
      </c>
    </row>
    <row r="202" spans="1:15" x14ac:dyDescent="0.25">
      <c r="A202" s="101" t="str">
        <f>'Data Vlaue (Cr)'!C197</f>
        <v>TATASTEEL</v>
      </c>
      <c r="B202" s="50">
        <f>VLOOKUP($A202,'Data shares'!$C:$FB,7)</f>
        <v>211.72</v>
      </c>
      <c r="C202" s="50">
        <f>VLOOKUP($A202,'Data shares'!$C:$FB,10)*100</f>
        <v>-0.19</v>
      </c>
      <c r="D202" s="49">
        <f>VLOOKUP($A202,'Data shares'!$C:$FB,66)</f>
        <v>210639000</v>
      </c>
      <c r="E202" s="49">
        <f>VLOOKUP($A202,'Data shares'!$C:$FB,67)</f>
        <v>224889500</v>
      </c>
      <c r="F202" s="50">
        <f>VLOOKUP($A202,'Data shares'!$C:$FB,69)*100</f>
        <v>-6.34</v>
      </c>
      <c r="G202" s="49">
        <f>VLOOKUP($A202,'Data shares'!$C:$FB,42)</f>
        <v>33660000</v>
      </c>
      <c r="H202" s="49">
        <f>VLOOKUP($A202,'Data shares'!$C:$FB,43)</f>
        <v>29694500</v>
      </c>
      <c r="I202" s="50">
        <f>VLOOKUP($A202,'Data shares'!$C:$FB,45)*100</f>
        <v>13.350000000000001</v>
      </c>
      <c r="J202" s="49">
        <f>VLOOKUP($A202,'Data shares'!$C:$FB,58)</f>
        <v>113228500</v>
      </c>
      <c r="K202" s="49">
        <f>VLOOKUP($A202,'Data shares'!$C:$FB,59)</f>
        <v>118387500</v>
      </c>
      <c r="L202" s="50">
        <f>VLOOKUP($A202,'Data shares'!$C:$FB,61)*100</f>
        <v>-4.3600000000000003</v>
      </c>
      <c r="M202" s="49">
        <f>VLOOKUP($A202,'Data shares'!$C:$FB,62)</f>
        <v>63750500</v>
      </c>
      <c r="N202" s="49">
        <f>VLOOKUP($A202,'Data shares'!$C:$FB,63)</f>
        <v>76807500</v>
      </c>
      <c r="O202" s="140">
        <f>VLOOKUP($A202,'Data shares'!$C:$FB,65)*100</f>
        <v>-17</v>
      </c>
    </row>
    <row r="203" spans="1:15" x14ac:dyDescent="0.25">
      <c r="A203" s="101" t="str">
        <f>'Data Vlaue (Cr)'!C198</f>
        <v>TATATECH</v>
      </c>
      <c r="B203" s="50">
        <f>VLOOKUP($A203,'Data shares'!$C:$FB,7)</f>
        <v>576.45000000000005</v>
      </c>
      <c r="C203" s="50">
        <f>VLOOKUP($A203,'Data shares'!$C:$FB,10)*100</f>
        <v>-2.1800000000000002</v>
      </c>
      <c r="D203" s="49">
        <f>VLOOKUP($A203,'Data shares'!$C:$FB,66)</f>
        <v>2330400</v>
      </c>
      <c r="E203" s="49">
        <f>VLOOKUP($A203,'Data shares'!$C:$FB,67)</f>
        <v>2275200</v>
      </c>
      <c r="F203" s="50">
        <f>VLOOKUP($A203,'Data shares'!$C:$FB,69)*100</f>
        <v>2.4299999999999997</v>
      </c>
      <c r="G203" s="49">
        <f>VLOOKUP($A203,'Data shares'!$C:$FB,42)</f>
        <v>750400</v>
      </c>
      <c r="H203" s="49">
        <f>VLOOKUP($A203,'Data shares'!$C:$FB,43)</f>
        <v>502400</v>
      </c>
      <c r="I203" s="50">
        <f>VLOOKUP($A203,'Data shares'!$C:$FB,45)*100</f>
        <v>49.36</v>
      </c>
      <c r="J203" s="49">
        <f>VLOOKUP($A203,'Data shares'!$C:$FB,58)</f>
        <v>1116000</v>
      </c>
      <c r="K203" s="49">
        <f>VLOOKUP($A203,'Data shares'!$C:$FB,59)</f>
        <v>1348000</v>
      </c>
      <c r="L203" s="50">
        <f>VLOOKUP($A203,'Data shares'!$C:$FB,61)*100</f>
        <v>-17.21</v>
      </c>
      <c r="M203" s="49">
        <f>VLOOKUP($A203,'Data shares'!$C:$FB,62)</f>
        <v>464000</v>
      </c>
      <c r="N203" s="49">
        <f>VLOOKUP($A203,'Data shares'!$C:$FB,63)</f>
        <v>424800</v>
      </c>
      <c r="O203" s="140">
        <f>VLOOKUP($A203,'Data shares'!$C:$FB,65)*100</f>
        <v>9.2299999999999986</v>
      </c>
    </row>
    <row r="204" spans="1:15" x14ac:dyDescent="0.25">
      <c r="A204" s="101" t="str">
        <f>'Data Vlaue (Cr)'!C199</f>
        <v>TCS</v>
      </c>
      <c r="B204" s="50">
        <f>VLOOKUP($A204,'Data shares'!$C:$FB,7)</f>
        <v>2579.6</v>
      </c>
      <c r="C204" s="50">
        <f>VLOOKUP($A204,'Data shares'!$C:$FB,10)*100</f>
        <v>-6.9999999999999993E-2</v>
      </c>
      <c r="D204" s="49">
        <f>VLOOKUP($A204,'Data shares'!$C:$FB,66)</f>
        <v>28151025</v>
      </c>
      <c r="E204" s="49">
        <f>VLOOKUP($A204,'Data shares'!$C:$FB,67)</f>
        <v>29588825</v>
      </c>
      <c r="F204" s="50">
        <f>VLOOKUP($A204,'Data shares'!$C:$FB,69)*100</f>
        <v>-4.8599999999999994</v>
      </c>
      <c r="G204" s="49">
        <f>VLOOKUP($A204,'Data shares'!$C:$FB,42)</f>
        <v>3096625</v>
      </c>
      <c r="H204" s="49">
        <f>VLOOKUP($A204,'Data shares'!$C:$FB,43)</f>
        <v>2889075</v>
      </c>
      <c r="I204" s="50">
        <f>VLOOKUP($A204,'Data shares'!$C:$FB,45)*100</f>
        <v>7.1800000000000006</v>
      </c>
      <c r="J204" s="49">
        <f>VLOOKUP($A204,'Data shares'!$C:$FB,58)</f>
        <v>16367750</v>
      </c>
      <c r="K204" s="49">
        <f>VLOOKUP($A204,'Data shares'!$C:$FB,59)</f>
        <v>16866500</v>
      </c>
      <c r="L204" s="50">
        <f>VLOOKUP($A204,'Data shares'!$C:$FB,61)*100</f>
        <v>-2.96</v>
      </c>
      <c r="M204" s="49">
        <f>VLOOKUP($A204,'Data shares'!$C:$FB,62)</f>
        <v>8686650</v>
      </c>
      <c r="N204" s="49">
        <f>VLOOKUP($A204,'Data shares'!$C:$FB,63)</f>
        <v>9833250</v>
      </c>
      <c r="O204" s="140">
        <f>VLOOKUP($A204,'Data shares'!$C:$FB,65)*100</f>
        <v>-11.66</v>
      </c>
    </row>
    <row r="205" spans="1:15" x14ac:dyDescent="0.25">
      <c r="A205" s="101" t="str">
        <f>'Data Vlaue (Cr)'!C200</f>
        <v>TECHM</v>
      </c>
      <c r="B205" s="50">
        <f>VLOOKUP($A205,'Data shares'!$C:$FB,7)</f>
        <v>1504.4</v>
      </c>
      <c r="C205" s="50">
        <f>VLOOKUP($A205,'Data shares'!$C:$FB,10)*100</f>
        <v>-0.45999999999999996</v>
      </c>
      <c r="D205" s="49">
        <f>VLOOKUP($A205,'Data shares'!$C:$FB,66)</f>
        <v>18570000</v>
      </c>
      <c r="E205" s="49">
        <f>VLOOKUP($A205,'Data shares'!$C:$FB,67)</f>
        <v>19380600</v>
      </c>
      <c r="F205" s="50">
        <f>VLOOKUP($A205,'Data shares'!$C:$FB,69)*100</f>
        <v>-4.18</v>
      </c>
      <c r="G205" s="49">
        <f>VLOOKUP($A205,'Data shares'!$C:$FB,42)</f>
        <v>3321600</v>
      </c>
      <c r="H205" s="49">
        <f>VLOOKUP($A205,'Data shares'!$C:$FB,43)</f>
        <v>2550000</v>
      </c>
      <c r="I205" s="50">
        <f>VLOOKUP($A205,'Data shares'!$C:$FB,45)*100</f>
        <v>30.259999999999998</v>
      </c>
      <c r="J205" s="49">
        <f>VLOOKUP($A205,'Data shares'!$C:$FB,58)</f>
        <v>8658600</v>
      </c>
      <c r="K205" s="49">
        <f>VLOOKUP($A205,'Data shares'!$C:$FB,59)</f>
        <v>11515200</v>
      </c>
      <c r="L205" s="50">
        <f>VLOOKUP($A205,'Data shares'!$C:$FB,61)*100</f>
        <v>-24.81</v>
      </c>
      <c r="M205" s="49">
        <f>VLOOKUP($A205,'Data shares'!$C:$FB,62)</f>
        <v>6589800</v>
      </c>
      <c r="N205" s="49">
        <f>VLOOKUP($A205,'Data shares'!$C:$FB,63)</f>
        <v>5315400</v>
      </c>
      <c r="O205" s="140">
        <f>VLOOKUP($A205,'Data shares'!$C:$FB,65)*100</f>
        <v>23.98</v>
      </c>
    </row>
    <row r="206" spans="1:15" x14ac:dyDescent="0.25">
      <c r="A206" s="101" t="str">
        <f>'Data Vlaue (Cr)'!C201</f>
        <v>TIINDIA</v>
      </c>
      <c r="B206" s="50">
        <f>VLOOKUP($A206,'Data shares'!$C:$FB,7)</f>
        <v>2873.1</v>
      </c>
      <c r="C206" s="50">
        <f>VLOOKUP($A206,'Data shares'!$C:$FB,10)*100</f>
        <v>2.97</v>
      </c>
      <c r="D206" s="49">
        <f>VLOOKUP($A206,'Data shares'!$C:$FB,66)</f>
        <v>4252400</v>
      </c>
      <c r="E206" s="49">
        <f>VLOOKUP($A206,'Data shares'!$C:$FB,67)</f>
        <v>1415000</v>
      </c>
      <c r="F206" s="50">
        <f>VLOOKUP($A206,'Data shares'!$C:$FB,69)*100</f>
        <v>200.51999999999998</v>
      </c>
      <c r="G206" s="49">
        <f>VLOOKUP($A206,'Data shares'!$C:$FB,42)</f>
        <v>525600</v>
      </c>
      <c r="H206" s="49">
        <f>VLOOKUP($A206,'Data shares'!$C:$FB,43)</f>
        <v>283600</v>
      </c>
      <c r="I206" s="50">
        <f>VLOOKUP($A206,'Data shares'!$C:$FB,45)*100</f>
        <v>85.33</v>
      </c>
      <c r="J206" s="49">
        <f>VLOOKUP($A206,'Data shares'!$C:$FB,58)</f>
        <v>3117400</v>
      </c>
      <c r="K206" s="49">
        <f>VLOOKUP($A206,'Data shares'!$C:$FB,59)</f>
        <v>993800</v>
      </c>
      <c r="L206" s="50">
        <f>VLOOKUP($A206,'Data shares'!$C:$FB,61)*100</f>
        <v>213.68</v>
      </c>
      <c r="M206" s="49">
        <f>VLOOKUP($A206,'Data shares'!$C:$FB,62)</f>
        <v>609400</v>
      </c>
      <c r="N206" s="49">
        <f>VLOOKUP($A206,'Data shares'!$C:$FB,63)</f>
        <v>137600</v>
      </c>
      <c r="O206" s="140">
        <f>VLOOKUP($A206,'Data shares'!$C:$FB,65)*100</f>
        <v>342.88</v>
      </c>
    </row>
    <row r="207" spans="1:15" x14ac:dyDescent="0.25">
      <c r="A207" s="101" t="str">
        <f>'Data Vlaue (Cr)'!C202</f>
        <v>TITAN</v>
      </c>
      <c r="B207" s="50">
        <f>VLOOKUP($A207,'Data shares'!$C:$FB,7)</f>
        <v>4513</v>
      </c>
      <c r="C207" s="50">
        <f>VLOOKUP($A207,'Data shares'!$C:$FB,10)*100</f>
        <v>-0.28999999999999998</v>
      </c>
      <c r="D207" s="49">
        <f>VLOOKUP($A207,'Data shares'!$C:$FB,66)</f>
        <v>7942375</v>
      </c>
      <c r="E207" s="49">
        <f>VLOOKUP($A207,'Data shares'!$C:$FB,67)</f>
        <v>29014475</v>
      </c>
      <c r="F207" s="50">
        <f>VLOOKUP($A207,'Data shares'!$C:$FB,69)*100</f>
        <v>-72.63</v>
      </c>
      <c r="G207" s="49">
        <f>VLOOKUP($A207,'Data shares'!$C:$FB,42)</f>
        <v>953575</v>
      </c>
      <c r="H207" s="49">
        <f>VLOOKUP($A207,'Data shares'!$C:$FB,43)</f>
        <v>3196375</v>
      </c>
      <c r="I207" s="50">
        <f>VLOOKUP($A207,'Data shares'!$C:$FB,45)*100</f>
        <v>-70.17</v>
      </c>
      <c r="J207" s="49">
        <f>VLOOKUP($A207,'Data shares'!$C:$FB,58)</f>
        <v>3952550</v>
      </c>
      <c r="K207" s="49">
        <f>VLOOKUP($A207,'Data shares'!$C:$FB,59)</f>
        <v>13395375</v>
      </c>
      <c r="L207" s="50">
        <f>VLOOKUP($A207,'Data shares'!$C:$FB,61)*100</f>
        <v>-70.489999999999995</v>
      </c>
      <c r="M207" s="49">
        <f>VLOOKUP($A207,'Data shares'!$C:$FB,62)</f>
        <v>3036250</v>
      </c>
      <c r="N207" s="49">
        <f>VLOOKUP($A207,'Data shares'!$C:$FB,63)</f>
        <v>12422725</v>
      </c>
      <c r="O207" s="140">
        <f>VLOOKUP($A207,'Data shares'!$C:$FB,65)*100</f>
        <v>-75.56</v>
      </c>
    </row>
    <row r="208" spans="1:15" x14ac:dyDescent="0.25">
      <c r="A208" s="101" t="str">
        <f>'Data Vlaue (Cr)'!C203</f>
        <v>TMPV</v>
      </c>
      <c r="B208" s="50">
        <f>VLOOKUP($A208,'Data shares'!$C:$FB,7)</f>
        <v>355.7</v>
      </c>
      <c r="C208" s="50">
        <f>VLOOKUP($A208,'Data shares'!$C:$FB,10)*100</f>
        <v>-1.22</v>
      </c>
      <c r="D208" s="49">
        <f>VLOOKUP($A208,'Data shares'!$C:$FB,66)</f>
        <v>77915200</v>
      </c>
      <c r="E208" s="49">
        <f>VLOOKUP($A208,'Data shares'!$C:$FB,67)</f>
        <v>68090400</v>
      </c>
      <c r="F208" s="50">
        <f>VLOOKUP($A208,'Data shares'!$C:$FB,69)*100</f>
        <v>14.430000000000001</v>
      </c>
      <c r="G208" s="49">
        <f>VLOOKUP($A208,'Data shares'!$C:$FB,42)</f>
        <v>10136000</v>
      </c>
      <c r="H208" s="49">
        <f>VLOOKUP($A208,'Data shares'!$C:$FB,43)</f>
        <v>9039200</v>
      </c>
      <c r="I208" s="50">
        <f>VLOOKUP($A208,'Data shares'!$C:$FB,45)*100</f>
        <v>12.13</v>
      </c>
      <c r="J208" s="49">
        <f>VLOOKUP($A208,'Data shares'!$C:$FB,58)</f>
        <v>39248000</v>
      </c>
      <c r="K208" s="49">
        <f>VLOOKUP($A208,'Data shares'!$C:$FB,59)</f>
        <v>34878400</v>
      </c>
      <c r="L208" s="50">
        <f>VLOOKUP($A208,'Data shares'!$C:$FB,61)*100</f>
        <v>12.53</v>
      </c>
      <c r="M208" s="49">
        <f>VLOOKUP($A208,'Data shares'!$C:$FB,62)</f>
        <v>28531200</v>
      </c>
      <c r="N208" s="49">
        <f>VLOOKUP($A208,'Data shares'!$C:$FB,63)</f>
        <v>24172800</v>
      </c>
      <c r="O208" s="140">
        <f>VLOOKUP($A208,'Data shares'!$C:$FB,65)*100</f>
        <v>18.029999999999998</v>
      </c>
    </row>
    <row r="209" spans="1:15" x14ac:dyDescent="0.25">
      <c r="A209" s="101" t="str">
        <f>'Data Vlaue (Cr)'!C204</f>
        <v>TORNTPHARM</v>
      </c>
      <c r="B209" s="50">
        <f>VLOOKUP($A209,'Data shares'!$C:$FB,7)</f>
        <v>4191.2</v>
      </c>
      <c r="C209" s="50">
        <f>VLOOKUP($A209,'Data shares'!$C:$FB,10)*100</f>
        <v>0.27999999999999997</v>
      </c>
      <c r="D209" s="49">
        <f>VLOOKUP($A209,'Data shares'!$C:$FB,66)</f>
        <v>1538500</v>
      </c>
      <c r="E209" s="49">
        <f>VLOOKUP($A209,'Data shares'!$C:$FB,67)</f>
        <v>1280250</v>
      </c>
      <c r="F209" s="50">
        <f>VLOOKUP($A209,'Data shares'!$C:$FB,69)*100</f>
        <v>20.169999999999998</v>
      </c>
      <c r="G209" s="49">
        <f>VLOOKUP($A209,'Data shares'!$C:$FB,42)</f>
        <v>541250</v>
      </c>
      <c r="H209" s="49">
        <f>VLOOKUP($A209,'Data shares'!$C:$FB,43)</f>
        <v>252000</v>
      </c>
      <c r="I209" s="50">
        <f>VLOOKUP($A209,'Data shares'!$C:$FB,45)*100</f>
        <v>114.77999999999999</v>
      </c>
      <c r="J209" s="49">
        <f>VLOOKUP($A209,'Data shares'!$C:$FB,58)</f>
        <v>585250</v>
      </c>
      <c r="K209" s="49">
        <f>VLOOKUP($A209,'Data shares'!$C:$FB,59)</f>
        <v>701000</v>
      </c>
      <c r="L209" s="50">
        <f>VLOOKUP($A209,'Data shares'!$C:$FB,61)*100</f>
        <v>-16.509999999999998</v>
      </c>
      <c r="M209" s="49">
        <f>VLOOKUP($A209,'Data shares'!$C:$FB,62)</f>
        <v>412000</v>
      </c>
      <c r="N209" s="49">
        <f>VLOOKUP($A209,'Data shares'!$C:$FB,63)</f>
        <v>327250</v>
      </c>
      <c r="O209" s="140">
        <f>VLOOKUP($A209,'Data shares'!$C:$FB,65)*100</f>
        <v>25.900000000000002</v>
      </c>
    </row>
    <row r="210" spans="1:15" x14ac:dyDescent="0.25">
      <c r="A210" s="101" t="str">
        <f>'Data Vlaue (Cr)'!C205</f>
        <v>TORNTPOWER</v>
      </c>
      <c r="B210" s="50">
        <f>VLOOKUP($A210,'Data shares'!$C:$FB,7)</f>
        <v>1606.3</v>
      </c>
      <c r="C210" s="50">
        <f>VLOOKUP($A210,'Data shares'!$C:$FB,10)*100</f>
        <v>2.64</v>
      </c>
      <c r="D210" s="49">
        <f>VLOOKUP($A210,'Data shares'!$C:$FB,66)</f>
        <v>18227825</v>
      </c>
      <c r="E210" s="49">
        <f>VLOOKUP($A210,'Data shares'!$C:$FB,67)</f>
        <v>2924425</v>
      </c>
      <c r="F210" s="50">
        <f>VLOOKUP($A210,'Data shares'!$C:$FB,69)*100</f>
        <v>523.29999999999995</v>
      </c>
      <c r="G210" s="49">
        <f>VLOOKUP($A210,'Data shares'!$C:$FB,42)</f>
        <v>1197650</v>
      </c>
      <c r="H210" s="49">
        <f>VLOOKUP($A210,'Data shares'!$C:$FB,43)</f>
        <v>565250</v>
      </c>
      <c r="I210" s="50">
        <f>VLOOKUP($A210,'Data shares'!$C:$FB,45)*100</f>
        <v>111.88</v>
      </c>
      <c r="J210" s="49">
        <f>VLOOKUP($A210,'Data shares'!$C:$FB,58)</f>
        <v>12500950</v>
      </c>
      <c r="K210" s="49">
        <f>VLOOKUP($A210,'Data shares'!$C:$FB,59)</f>
        <v>1843225</v>
      </c>
      <c r="L210" s="50">
        <f>VLOOKUP($A210,'Data shares'!$C:$FB,61)*100</f>
        <v>578.21</v>
      </c>
      <c r="M210" s="49">
        <f>VLOOKUP($A210,'Data shares'!$C:$FB,62)</f>
        <v>4529225</v>
      </c>
      <c r="N210" s="49">
        <f>VLOOKUP($A210,'Data shares'!$C:$FB,63)</f>
        <v>515950</v>
      </c>
      <c r="O210" s="140">
        <f>VLOOKUP($A210,'Data shares'!$C:$FB,65)*100</f>
        <v>777.84</v>
      </c>
    </row>
    <row r="211" spans="1:15" x14ac:dyDescent="0.25">
      <c r="A211" s="101" t="str">
        <f>'Data Vlaue (Cr)'!C206</f>
        <v>TRENT</v>
      </c>
      <c r="B211" s="50">
        <f>VLOOKUP($A211,'Data shares'!$C:$FB,7)</f>
        <v>4242.8</v>
      </c>
      <c r="C211" s="50">
        <f>VLOOKUP($A211,'Data shares'!$C:$FB,10)*100</f>
        <v>3.29</v>
      </c>
      <c r="D211" s="49">
        <f>VLOOKUP($A211,'Data shares'!$C:$FB,66)</f>
        <v>25355800</v>
      </c>
      <c r="E211" s="49">
        <f>VLOOKUP($A211,'Data shares'!$C:$FB,67)</f>
        <v>10686300</v>
      </c>
      <c r="F211" s="50">
        <f>VLOOKUP($A211,'Data shares'!$C:$FB,69)*100</f>
        <v>137.27000000000001</v>
      </c>
      <c r="G211" s="49">
        <f>VLOOKUP($A211,'Data shares'!$C:$FB,42)</f>
        <v>1868300</v>
      </c>
      <c r="H211" s="49">
        <f>VLOOKUP($A211,'Data shares'!$C:$FB,43)</f>
        <v>1114100</v>
      </c>
      <c r="I211" s="50">
        <f>VLOOKUP($A211,'Data shares'!$C:$FB,45)*100</f>
        <v>67.7</v>
      </c>
      <c r="J211" s="49">
        <f>VLOOKUP($A211,'Data shares'!$C:$FB,58)</f>
        <v>17059100</v>
      </c>
      <c r="K211" s="49">
        <f>VLOOKUP($A211,'Data shares'!$C:$FB,59)</f>
        <v>6474400</v>
      </c>
      <c r="L211" s="50">
        <f>VLOOKUP($A211,'Data shares'!$C:$FB,61)*100</f>
        <v>163.49</v>
      </c>
      <c r="M211" s="49">
        <f>VLOOKUP($A211,'Data shares'!$C:$FB,62)</f>
        <v>6428400</v>
      </c>
      <c r="N211" s="49">
        <f>VLOOKUP($A211,'Data shares'!$C:$FB,63)</f>
        <v>3097800</v>
      </c>
      <c r="O211" s="140">
        <f>VLOOKUP($A211,'Data shares'!$C:$FB,65)*100</f>
        <v>107.52</v>
      </c>
    </row>
    <row r="212" spans="1:15" x14ac:dyDescent="0.25">
      <c r="A212" s="101" t="str">
        <f>'Data Vlaue (Cr)'!C207</f>
        <v>TVSMOTOR</v>
      </c>
      <c r="B212" s="50">
        <f>VLOOKUP($A212,'Data shares'!$C:$FB,7)</f>
        <v>3761.9</v>
      </c>
      <c r="C212" s="50">
        <f>VLOOKUP($A212,'Data shares'!$C:$FB,10)*100</f>
        <v>0.70000000000000007</v>
      </c>
      <c r="D212" s="49">
        <f>VLOOKUP($A212,'Data shares'!$C:$FB,66)</f>
        <v>3204425</v>
      </c>
      <c r="E212" s="49">
        <f>VLOOKUP($A212,'Data shares'!$C:$FB,67)</f>
        <v>3058825</v>
      </c>
      <c r="F212" s="50">
        <f>VLOOKUP($A212,'Data shares'!$C:$FB,69)*100</f>
        <v>4.7600000000000007</v>
      </c>
      <c r="G212" s="49">
        <f>VLOOKUP($A212,'Data shares'!$C:$FB,42)</f>
        <v>667275</v>
      </c>
      <c r="H212" s="49">
        <f>VLOOKUP($A212,'Data shares'!$C:$FB,43)</f>
        <v>1233050</v>
      </c>
      <c r="I212" s="50">
        <f>VLOOKUP($A212,'Data shares'!$C:$FB,45)*100</f>
        <v>-45.879999999999995</v>
      </c>
      <c r="J212" s="49">
        <f>VLOOKUP($A212,'Data shares'!$C:$FB,58)</f>
        <v>1433250</v>
      </c>
      <c r="K212" s="49">
        <f>VLOOKUP($A212,'Data shares'!$C:$FB,59)</f>
        <v>1125250</v>
      </c>
      <c r="L212" s="50">
        <f>VLOOKUP($A212,'Data shares'!$C:$FB,61)*100</f>
        <v>27.37</v>
      </c>
      <c r="M212" s="49">
        <f>VLOOKUP($A212,'Data shares'!$C:$FB,62)</f>
        <v>1103900</v>
      </c>
      <c r="N212" s="49">
        <f>VLOOKUP($A212,'Data shares'!$C:$FB,63)</f>
        <v>700525</v>
      </c>
      <c r="O212" s="140">
        <f>VLOOKUP($A212,'Data shares'!$C:$FB,65)*100</f>
        <v>57.58</v>
      </c>
    </row>
    <row r="213" spans="1:15" x14ac:dyDescent="0.25">
      <c r="A213" s="101" t="str">
        <f>'Data Vlaue (Cr)'!C208</f>
        <v>ULTRACEMCO</v>
      </c>
      <c r="B213" s="50">
        <f>VLOOKUP($A213,'Data shares'!$C:$FB,7)</f>
        <v>11917</v>
      </c>
      <c r="C213" s="50">
        <f>VLOOKUP($A213,'Data shares'!$C:$FB,10)*100</f>
        <v>0.26</v>
      </c>
      <c r="D213" s="49">
        <f>VLOOKUP($A213,'Data shares'!$C:$FB,66)</f>
        <v>1810200</v>
      </c>
      <c r="E213" s="49">
        <f>VLOOKUP($A213,'Data shares'!$C:$FB,67)</f>
        <v>1642100</v>
      </c>
      <c r="F213" s="50">
        <f>VLOOKUP($A213,'Data shares'!$C:$FB,69)*100</f>
        <v>10.24</v>
      </c>
      <c r="G213" s="49">
        <f>VLOOKUP($A213,'Data shares'!$C:$FB,42)</f>
        <v>358600</v>
      </c>
      <c r="H213" s="49">
        <f>VLOOKUP($A213,'Data shares'!$C:$FB,43)</f>
        <v>406300</v>
      </c>
      <c r="I213" s="50">
        <f>VLOOKUP($A213,'Data shares'!$C:$FB,45)*100</f>
        <v>-11.74</v>
      </c>
      <c r="J213" s="49">
        <f>VLOOKUP($A213,'Data shares'!$C:$FB,58)</f>
        <v>1096800</v>
      </c>
      <c r="K213" s="49">
        <f>VLOOKUP($A213,'Data shares'!$C:$FB,59)</f>
        <v>841700</v>
      </c>
      <c r="L213" s="50">
        <f>VLOOKUP($A213,'Data shares'!$C:$FB,61)*100</f>
        <v>30.31</v>
      </c>
      <c r="M213" s="49">
        <f>VLOOKUP($A213,'Data shares'!$C:$FB,62)</f>
        <v>354800</v>
      </c>
      <c r="N213" s="49">
        <f>VLOOKUP($A213,'Data shares'!$C:$FB,63)</f>
        <v>394100</v>
      </c>
      <c r="O213" s="140">
        <f>VLOOKUP($A213,'Data shares'!$C:$FB,65)*100</f>
        <v>-9.9699999999999989</v>
      </c>
    </row>
    <row r="214" spans="1:15" x14ac:dyDescent="0.25">
      <c r="A214" s="101" t="str">
        <f>'Data Vlaue (Cr)'!C209</f>
        <v>UNIONBANK</v>
      </c>
      <c r="B214" s="50">
        <f>VLOOKUP($A214,'Data shares'!$C:$FB,7)</f>
        <v>189.29</v>
      </c>
      <c r="C214" s="50">
        <f>VLOOKUP($A214,'Data shares'!$C:$FB,10)*100</f>
        <v>0.2</v>
      </c>
      <c r="D214" s="49">
        <f>VLOOKUP($A214,'Data shares'!$C:$FB,66)</f>
        <v>114939375</v>
      </c>
      <c r="E214" s="49">
        <f>VLOOKUP($A214,'Data shares'!$C:$FB,67)</f>
        <v>56396625</v>
      </c>
      <c r="F214" s="50">
        <f>VLOOKUP($A214,'Data shares'!$C:$FB,69)*100</f>
        <v>103.81</v>
      </c>
      <c r="G214" s="49">
        <f>VLOOKUP($A214,'Data shares'!$C:$FB,42)</f>
        <v>29545725</v>
      </c>
      <c r="H214" s="49">
        <f>VLOOKUP($A214,'Data shares'!$C:$FB,43)</f>
        <v>17452200</v>
      </c>
      <c r="I214" s="50">
        <f>VLOOKUP($A214,'Data shares'!$C:$FB,45)*100</f>
        <v>69.3</v>
      </c>
      <c r="J214" s="49">
        <f>VLOOKUP($A214,'Data shares'!$C:$FB,58)</f>
        <v>60180000</v>
      </c>
      <c r="K214" s="49">
        <f>VLOOKUP($A214,'Data shares'!$C:$FB,59)</f>
        <v>24917175</v>
      </c>
      <c r="L214" s="50">
        <f>VLOOKUP($A214,'Data shares'!$C:$FB,61)*100</f>
        <v>141.52000000000001</v>
      </c>
      <c r="M214" s="49">
        <f>VLOOKUP($A214,'Data shares'!$C:$FB,62)</f>
        <v>25213650</v>
      </c>
      <c r="N214" s="49">
        <f>VLOOKUP($A214,'Data shares'!$C:$FB,63)</f>
        <v>14027250</v>
      </c>
      <c r="O214" s="140">
        <f>VLOOKUP($A214,'Data shares'!$C:$FB,65)*100</f>
        <v>79.75</v>
      </c>
    </row>
    <row r="215" spans="1:15" x14ac:dyDescent="0.25">
      <c r="A215" s="101" t="str">
        <f>'Data Vlaue (Cr)'!C210</f>
        <v>UNITDSPR</v>
      </c>
      <c r="B215" s="50">
        <f>VLOOKUP($A215,'Data shares'!$C:$FB,7)</f>
        <v>1307.7</v>
      </c>
      <c r="C215" s="50">
        <f>VLOOKUP($A215,'Data shares'!$C:$FB,10)*100</f>
        <v>0.37</v>
      </c>
      <c r="D215" s="49">
        <f>VLOOKUP($A215,'Data shares'!$C:$FB,66)</f>
        <v>13223600</v>
      </c>
      <c r="E215" s="49">
        <f>VLOOKUP($A215,'Data shares'!$C:$FB,67)</f>
        <v>22348400</v>
      </c>
      <c r="F215" s="50">
        <f>VLOOKUP($A215,'Data shares'!$C:$FB,69)*100</f>
        <v>-40.83</v>
      </c>
      <c r="G215" s="49">
        <f>VLOOKUP($A215,'Data shares'!$C:$FB,42)</f>
        <v>1668800</v>
      </c>
      <c r="H215" s="49">
        <f>VLOOKUP($A215,'Data shares'!$C:$FB,43)</f>
        <v>3193600</v>
      </c>
      <c r="I215" s="50">
        <f>VLOOKUP($A215,'Data shares'!$C:$FB,45)*100</f>
        <v>-47.75</v>
      </c>
      <c r="J215" s="49">
        <f>VLOOKUP($A215,'Data shares'!$C:$FB,58)</f>
        <v>8250400</v>
      </c>
      <c r="K215" s="49">
        <f>VLOOKUP($A215,'Data shares'!$C:$FB,59)</f>
        <v>15045600</v>
      </c>
      <c r="L215" s="50">
        <f>VLOOKUP($A215,'Data shares'!$C:$FB,61)*100</f>
        <v>-45.16</v>
      </c>
      <c r="M215" s="49">
        <f>VLOOKUP($A215,'Data shares'!$C:$FB,62)</f>
        <v>3304400</v>
      </c>
      <c r="N215" s="49">
        <f>VLOOKUP($A215,'Data shares'!$C:$FB,63)</f>
        <v>4109200</v>
      </c>
      <c r="O215" s="140">
        <f>VLOOKUP($A215,'Data shares'!$C:$FB,65)*100</f>
        <v>-19.59</v>
      </c>
    </row>
    <row r="216" spans="1:15" x14ac:dyDescent="0.25">
      <c r="A216" s="101" t="str">
        <f>'Data Vlaue (Cr)'!C211</f>
        <v>UNOMINDA</v>
      </c>
      <c r="B216" s="50">
        <f>VLOOKUP($A216,'Data shares'!$C:$FB,7)</f>
        <v>1129.4000000000001</v>
      </c>
      <c r="C216" s="50">
        <f>VLOOKUP($A216,'Data shares'!$C:$FB,10)*100</f>
        <v>2.88</v>
      </c>
      <c r="D216" s="49">
        <f>VLOOKUP($A216,'Data shares'!$C:$FB,66)</f>
        <v>8275850</v>
      </c>
      <c r="E216" s="49">
        <f>VLOOKUP($A216,'Data shares'!$C:$FB,67)</f>
        <v>2035000</v>
      </c>
      <c r="F216" s="50">
        <f>VLOOKUP($A216,'Data shares'!$C:$FB,69)*100</f>
        <v>306.68</v>
      </c>
      <c r="G216" s="49">
        <f>VLOOKUP($A216,'Data shares'!$C:$FB,42)</f>
        <v>1417350</v>
      </c>
      <c r="H216" s="49">
        <f>VLOOKUP($A216,'Data shares'!$C:$FB,43)</f>
        <v>465850</v>
      </c>
      <c r="I216" s="50">
        <f>VLOOKUP($A216,'Data shares'!$C:$FB,45)*100</f>
        <v>204.25</v>
      </c>
      <c r="J216" s="49">
        <f>VLOOKUP($A216,'Data shares'!$C:$FB,58)</f>
        <v>5943850</v>
      </c>
      <c r="K216" s="49">
        <f>VLOOKUP($A216,'Data shares'!$C:$FB,59)</f>
        <v>1283150</v>
      </c>
      <c r="L216" s="50">
        <f>VLOOKUP($A216,'Data shares'!$C:$FB,61)*100</f>
        <v>363.22</v>
      </c>
      <c r="M216" s="49">
        <f>VLOOKUP($A216,'Data shares'!$C:$FB,62)</f>
        <v>914650</v>
      </c>
      <c r="N216" s="49">
        <f>VLOOKUP($A216,'Data shares'!$C:$FB,63)</f>
        <v>286000</v>
      </c>
      <c r="O216" s="140">
        <f>VLOOKUP($A216,'Data shares'!$C:$FB,65)*100</f>
        <v>219.81</v>
      </c>
    </row>
    <row r="217" spans="1:15" x14ac:dyDescent="0.25">
      <c r="A217" s="101" t="str">
        <f>'Data Vlaue (Cr)'!C212</f>
        <v>UPL</v>
      </c>
      <c r="B217" s="50">
        <f>VLOOKUP($A217,'Data shares'!$C:$FB,7)</f>
        <v>656.65</v>
      </c>
      <c r="C217" s="50">
        <f>VLOOKUP($A217,'Data shares'!$C:$FB,10)*100</f>
        <v>-1.21</v>
      </c>
      <c r="D217" s="49">
        <f>VLOOKUP($A217,'Data shares'!$C:$FB,66)</f>
        <v>11006665</v>
      </c>
      <c r="E217" s="49">
        <f>VLOOKUP($A217,'Data shares'!$C:$FB,67)</f>
        <v>14844025</v>
      </c>
      <c r="F217" s="50">
        <f>VLOOKUP($A217,'Data shares'!$C:$FB,69)*100</f>
        <v>-25.85</v>
      </c>
      <c r="G217" s="49">
        <f>VLOOKUP($A217,'Data shares'!$C:$FB,42)</f>
        <v>2216780</v>
      </c>
      <c r="H217" s="49">
        <f>VLOOKUP($A217,'Data shares'!$C:$FB,43)</f>
        <v>2760135</v>
      </c>
      <c r="I217" s="50">
        <f>VLOOKUP($A217,'Data shares'!$C:$FB,45)*100</f>
        <v>-19.689999999999998</v>
      </c>
      <c r="J217" s="49">
        <f>VLOOKUP($A217,'Data shares'!$C:$FB,58)</f>
        <v>5327860</v>
      </c>
      <c r="K217" s="49">
        <f>VLOOKUP($A217,'Data shares'!$C:$FB,59)</f>
        <v>7010770</v>
      </c>
      <c r="L217" s="50">
        <f>VLOOKUP($A217,'Data shares'!$C:$FB,61)*100</f>
        <v>-24</v>
      </c>
      <c r="M217" s="49">
        <f>VLOOKUP($A217,'Data shares'!$C:$FB,62)</f>
        <v>3462025</v>
      </c>
      <c r="N217" s="49">
        <f>VLOOKUP($A217,'Data shares'!$C:$FB,63)</f>
        <v>5073120</v>
      </c>
      <c r="O217" s="140">
        <f>VLOOKUP($A217,'Data shares'!$C:$FB,65)*100</f>
        <v>-31.759999999999998</v>
      </c>
    </row>
    <row r="218" spans="1:15" x14ac:dyDescent="0.25">
      <c r="A218" s="101" t="str">
        <f>'Data Vlaue (Cr)'!C213</f>
        <v>VBL</v>
      </c>
      <c r="B218" s="50">
        <f>VLOOKUP($A218,'Data shares'!$C:$FB,7)</f>
        <v>466.55</v>
      </c>
      <c r="C218" s="50">
        <f>VLOOKUP($A218,'Data shares'!$C:$FB,10)*100</f>
        <v>-1.55</v>
      </c>
      <c r="D218" s="49">
        <f>VLOOKUP($A218,'Data shares'!$C:$FB,66)</f>
        <v>29219625</v>
      </c>
      <c r="E218" s="49">
        <f>VLOOKUP($A218,'Data shares'!$C:$FB,67)</f>
        <v>65037375</v>
      </c>
      <c r="F218" s="50">
        <f>VLOOKUP($A218,'Data shares'!$C:$FB,69)*100</f>
        <v>-55.069999999999993</v>
      </c>
      <c r="G218" s="49">
        <f>VLOOKUP($A218,'Data shares'!$C:$FB,42)</f>
        <v>7588125</v>
      </c>
      <c r="H218" s="49">
        <f>VLOOKUP($A218,'Data shares'!$C:$FB,43)</f>
        <v>15298875</v>
      </c>
      <c r="I218" s="50">
        <f>VLOOKUP($A218,'Data shares'!$C:$FB,45)*100</f>
        <v>-50.4</v>
      </c>
      <c r="J218" s="49">
        <f>VLOOKUP($A218,'Data shares'!$C:$FB,58)</f>
        <v>14440500</v>
      </c>
      <c r="K218" s="49">
        <f>VLOOKUP($A218,'Data shares'!$C:$FB,59)</f>
        <v>34314750</v>
      </c>
      <c r="L218" s="50">
        <f>VLOOKUP($A218,'Data shares'!$C:$FB,61)*100</f>
        <v>-57.92</v>
      </c>
      <c r="M218" s="49">
        <f>VLOOKUP($A218,'Data shares'!$C:$FB,62)</f>
        <v>7191000</v>
      </c>
      <c r="N218" s="49">
        <f>VLOOKUP($A218,'Data shares'!$C:$FB,63)</f>
        <v>15423750</v>
      </c>
      <c r="O218" s="140">
        <f>VLOOKUP($A218,'Data shares'!$C:$FB,65)*100</f>
        <v>-53.38</v>
      </c>
    </row>
    <row r="219" spans="1:15" x14ac:dyDescent="0.25">
      <c r="A219" s="101" t="str">
        <f>'Data Vlaue (Cr)'!C214</f>
        <v>VEDL</v>
      </c>
      <c r="B219" s="50">
        <f>VLOOKUP($A219,'Data shares'!$C:$FB,7)</f>
        <v>771</v>
      </c>
      <c r="C219" s="50">
        <f>VLOOKUP($A219,'Data shares'!$C:$FB,10)*100</f>
        <v>-2.1</v>
      </c>
      <c r="D219" s="49">
        <f>VLOOKUP($A219,'Data shares'!$C:$FB,66)</f>
        <v>60932750</v>
      </c>
      <c r="E219" s="49">
        <f>VLOOKUP($A219,'Data shares'!$C:$FB,67)</f>
        <v>90294550</v>
      </c>
      <c r="F219" s="50">
        <f>VLOOKUP($A219,'Data shares'!$C:$FB,69)*100</f>
        <v>-32.519999999999996</v>
      </c>
      <c r="G219" s="49">
        <f>VLOOKUP($A219,'Data shares'!$C:$FB,42)</f>
        <v>9669200</v>
      </c>
      <c r="H219" s="49">
        <f>VLOOKUP($A219,'Data shares'!$C:$FB,43)</f>
        <v>11163050</v>
      </c>
      <c r="I219" s="50">
        <f>VLOOKUP($A219,'Data shares'!$C:$FB,45)*100</f>
        <v>-13.38</v>
      </c>
      <c r="J219" s="49">
        <f>VLOOKUP($A219,'Data shares'!$C:$FB,58)</f>
        <v>29736700</v>
      </c>
      <c r="K219" s="49">
        <f>VLOOKUP($A219,'Data shares'!$C:$FB,59)</f>
        <v>46672750</v>
      </c>
      <c r="L219" s="50">
        <f>VLOOKUP($A219,'Data shares'!$C:$FB,61)*100</f>
        <v>-36.29</v>
      </c>
      <c r="M219" s="49">
        <f>VLOOKUP($A219,'Data shares'!$C:$FB,62)</f>
        <v>21526850</v>
      </c>
      <c r="N219" s="49">
        <f>VLOOKUP($A219,'Data shares'!$C:$FB,63)</f>
        <v>32458750</v>
      </c>
      <c r="O219" s="140">
        <f>VLOOKUP($A219,'Data shares'!$C:$FB,65)*100</f>
        <v>-33.68</v>
      </c>
    </row>
    <row r="220" spans="1:15" x14ac:dyDescent="0.25">
      <c r="A220" s="101" t="str">
        <f>'Data Vlaue (Cr)'!C215</f>
        <v>VMM</v>
      </c>
      <c r="B220" s="50">
        <f>VLOOKUP($A220,'Data shares'!$C:$FB,7)</f>
        <v>118.61</v>
      </c>
      <c r="C220" s="50">
        <f>VLOOKUP($A220,'Data shares'!$C:$FB,10)*100</f>
        <v>-0.28999999999999998</v>
      </c>
      <c r="D220" s="49">
        <f>VLOOKUP($A220,'Data shares'!$C:$FB,66)</f>
        <v>13633350</v>
      </c>
      <c r="E220" s="49">
        <f>VLOOKUP($A220,'Data shares'!$C:$FB,67)</f>
        <v>27853550</v>
      </c>
      <c r="F220" s="50">
        <f>VLOOKUP($A220,'Data shares'!$C:$FB,69)*100</f>
        <v>-51.05</v>
      </c>
      <c r="G220" s="49">
        <f>VLOOKUP($A220,'Data shares'!$C:$FB,42)</f>
        <v>6479600</v>
      </c>
      <c r="H220" s="49">
        <f>VLOOKUP($A220,'Data shares'!$C:$FB,43)</f>
        <v>12837950</v>
      </c>
      <c r="I220" s="50">
        <f>VLOOKUP($A220,'Data shares'!$C:$FB,45)*100</f>
        <v>-49.53</v>
      </c>
      <c r="J220" s="49">
        <f>VLOOKUP($A220,'Data shares'!$C:$FB,58)</f>
        <v>5756950</v>
      </c>
      <c r="K220" s="49">
        <f>VLOOKUP($A220,'Data shares'!$C:$FB,59)</f>
        <v>12799150</v>
      </c>
      <c r="L220" s="50">
        <f>VLOOKUP($A220,'Data shares'!$C:$FB,61)*100</f>
        <v>-55.02</v>
      </c>
      <c r="M220" s="49">
        <f>VLOOKUP($A220,'Data shares'!$C:$FB,62)</f>
        <v>1396800</v>
      </c>
      <c r="N220" s="49">
        <f>VLOOKUP($A220,'Data shares'!$C:$FB,63)</f>
        <v>2216450</v>
      </c>
      <c r="O220" s="140">
        <f>VLOOKUP($A220,'Data shares'!$C:$FB,65)*100</f>
        <v>-36.980000000000004</v>
      </c>
    </row>
    <row r="221" spans="1:15" x14ac:dyDescent="0.25">
      <c r="A221" s="101" t="str">
        <f>'Data Vlaue (Cr)'!C216</f>
        <v>VOLTAS</v>
      </c>
      <c r="B221" s="50">
        <f>VLOOKUP($A221,'Data shares'!$C:$FB,7)</f>
        <v>1438</v>
      </c>
      <c r="C221" s="50">
        <f>VLOOKUP($A221,'Data shares'!$C:$FB,10)*100</f>
        <v>-0.15</v>
      </c>
      <c r="D221" s="49">
        <f>VLOOKUP($A221,'Data shares'!$C:$FB,66)</f>
        <v>18184500</v>
      </c>
      <c r="E221" s="49">
        <f>VLOOKUP($A221,'Data shares'!$C:$FB,67)</f>
        <v>15021375</v>
      </c>
      <c r="F221" s="50">
        <f>VLOOKUP($A221,'Data shares'!$C:$FB,69)*100</f>
        <v>21.060000000000002</v>
      </c>
      <c r="G221" s="49">
        <f>VLOOKUP($A221,'Data shares'!$C:$FB,42)</f>
        <v>2646750</v>
      </c>
      <c r="H221" s="49">
        <f>VLOOKUP($A221,'Data shares'!$C:$FB,43)</f>
        <v>1898625</v>
      </c>
      <c r="I221" s="50">
        <f>VLOOKUP($A221,'Data shares'!$C:$FB,45)*100</f>
        <v>39.4</v>
      </c>
      <c r="J221" s="49">
        <f>VLOOKUP($A221,'Data shares'!$C:$FB,58)</f>
        <v>10639875</v>
      </c>
      <c r="K221" s="49">
        <f>VLOOKUP($A221,'Data shares'!$C:$FB,59)</f>
        <v>8657250</v>
      </c>
      <c r="L221" s="50">
        <f>VLOOKUP($A221,'Data shares'!$C:$FB,61)*100</f>
        <v>22.900000000000002</v>
      </c>
      <c r="M221" s="49">
        <f>VLOOKUP($A221,'Data shares'!$C:$FB,62)</f>
        <v>4897875</v>
      </c>
      <c r="N221" s="49">
        <f>VLOOKUP($A221,'Data shares'!$C:$FB,63)</f>
        <v>4465500</v>
      </c>
      <c r="O221" s="140">
        <f>VLOOKUP($A221,'Data shares'!$C:$FB,65)*100</f>
        <v>9.68</v>
      </c>
    </row>
    <row r="222" spans="1:15" x14ac:dyDescent="0.25">
      <c r="A222" s="101" t="str">
        <f>'Data Vlaue (Cr)'!C217</f>
        <v>WAAREEENER</v>
      </c>
      <c r="B222" s="50">
        <f>VLOOKUP($A222,'Data shares'!$C:$FB,7)</f>
        <v>3489.1</v>
      </c>
      <c r="C222" s="50">
        <f>VLOOKUP($A222,'Data shares'!$C:$FB,10)*100</f>
        <v>0.66</v>
      </c>
      <c r="D222" s="49">
        <f>VLOOKUP($A222,'Data shares'!$C:$FB,66)</f>
        <v>8819475</v>
      </c>
      <c r="E222" s="49">
        <f>VLOOKUP($A222,'Data shares'!$C:$FB,67)</f>
        <v>12404350</v>
      </c>
      <c r="F222" s="50">
        <f>VLOOKUP($A222,'Data shares'!$C:$FB,69)*100</f>
        <v>-28.9</v>
      </c>
      <c r="G222" s="49">
        <f>VLOOKUP($A222,'Data shares'!$C:$FB,42)</f>
        <v>1297275</v>
      </c>
      <c r="H222" s="49">
        <f>VLOOKUP($A222,'Data shares'!$C:$FB,43)</f>
        <v>1911000</v>
      </c>
      <c r="I222" s="50">
        <f>VLOOKUP($A222,'Data shares'!$C:$FB,45)*100</f>
        <v>-32.119999999999997</v>
      </c>
      <c r="J222" s="49">
        <f>VLOOKUP($A222,'Data shares'!$C:$FB,58)</f>
        <v>5188400</v>
      </c>
      <c r="K222" s="49">
        <f>VLOOKUP($A222,'Data shares'!$C:$FB,59)</f>
        <v>7021875</v>
      </c>
      <c r="L222" s="50">
        <f>VLOOKUP($A222,'Data shares'!$C:$FB,61)*100</f>
        <v>-26.11</v>
      </c>
      <c r="M222" s="49">
        <f>VLOOKUP($A222,'Data shares'!$C:$FB,62)</f>
        <v>2333800</v>
      </c>
      <c r="N222" s="49">
        <f>VLOOKUP($A222,'Data shares'!$C:$FB,63)</f>
        <v>3471475</v>
      </c>
      <c r="O222" s="140">
        <f>VLOOKUP($A222,'Data shares'!$C:$FB,65)*100</f>
        <v>-32.769999999999996</v>
      </c>
    </row>
    <row r="223" spans="1:15" x14ac:dyDescent="0.25">
      <c r="A223" s="101" t="str">
        <f>'Data Vlaue (Cr)'!C218</f>
        <v>WIPRO</v>
      </c>
      <c r="B223" s="50">
        <f>VLOOKUP($A223,'Data shares'!$C:$FB,7)</f>
        <v>202.48</v>
      </c>
      <c r="C223" s="50">
        <f>VLOOKUP($A223,'Data shares'!$C:$FB,10)*100</f>
        <v>-0.89999999999999991</v>
      </c>
      <c r="D223" s="49">
        <f>VLOOKUP($A223,'Data shares'!$C:$FB,66)</f>
        <v>259206000</v>
      </c>
      <c r="E223" s="49">
        <f>VLOOKUP($A223,'Data shares'!$C:$FB,67)</f>
        <v>799029000</v>
      </c>
      <c r="F223" s="50">
        <f>VLOOKUP($A223,'Data shares'!$C:$FB,69)*100</f>
        <v>-67.56</v>
      </c>
      <c r="G223" s="49">
        <f>VLOOKUP($A223,'Data shares'!$C:$FB,42)</f>
        <v>28731000</v>
      </c>
      <c r="H223" s="49">
        <f>VLOOKUP($A223,'Data shares'!$C:$FB,43)</f>
        <v>114093000</v>
      </c>
      <c r="I223" s="50">
        <f>VLOOKUP($A223,'Data shares'!$C:$FB,45)*100</f>
        <v>-74.819999999999993</v>
      </c>
      <c r="J223" s="49">
        <f>VLOOKUP($A223,'Data shares'!$C:$FB,58)</f>
        <v>160299000</v>
      </c>
      <c r="K223" s="49">
        <f>VLOOKUP($A223,'Data shares'!$C:$FB,59)</f>
        <v>451926000</v>
      </c>
      <c r="L223" s="50">
        <f>VLOOKUP($A223,'Data shares'!$C:$FB,61)*100</f>
        <v>-64.53</v>
      </c>
      <c r="M223" s="49">
        <f>VLOOKUP($A223,'Data shares'!$C:$FB,62)</f>
        <v>70176000</v>
      </c>
      <c r="N223" s="49">
        <f>VLOOKUP($A223,'Data shares'!$C:$FB,63)</f>
        <v>233010000</v>
      </c>
      <c r="O223" s="140">
        <f>VLOOKUP($A223,'Data shares'!$C:$FB,65)*100</f>
        <v>-69.88</v>
      </c>
    </row>
    <row r="224" spans="1:15" x14ac:dyDescent="0.25">
      <c r="A224" s="101" t="str">
        <f>'Data Vlaue (Cr)'!C219</f>
        <v>YESBANK</v>
      </c>
      <c r="B224" s="50">
        <f>VLOOKUP($A224,'Data shares'!$C:$FB,7)</f>
        <v>19.84</v>
      </c>
      <c r="C224" s="50">
        <f>VLOOKUP($A224,'Data shares'!$C:$FB,10)*100</f>
        <v>-1.73</v>
      </c>
      <c r="D224" s="49">
        <f>VLOOKUP($A224,'Data shares'!$C:$FB,66)</f>
        <v>2967188800</v>
      </c>
      <c r="E224" s="49">
        <f>VLOOKUP($A224,'Data shares'!$C:$FB,67)</f>
        <v>1804422000</v>
      </c>
      <c r="F224" s="50">
        <f>VLOOKUP($A224,'Data shares'!$C:$FB,69)*100</f>
        <v>64.44</v>
      </c>
      <c r="G224" s="49">
        <f>VLOOKUP($A224,'Data shares'!$C:$FB,42)</f>
        <v>559364600</v>
      </c>
      <c r="H224" s="49">
        <f>VLOOKUP($A224,'Data shares'!$C:$FB,43)</f>
        <v>280490900</v>
      </c>
      <c r="I224" s="50">
        <f>VLOOKUP($A224,'Data shares'!$C:$FB,45)*100</f>
        <v>99.42</v>
      </c>
      <c r="J224" s="49">
        <f>VLOOKUP($A224,'Data shares'!$C:$FB,58)</f>
        <v>1994785100</v>
      </c>
      <c r="K224" s="49">
        <f>VLOOKUP($A224,'Data shares'!$C:$FB,59)</f>
        <v>1263313100</v>
      </c>
      <c r="L224" s="50">
        <f>VLOOKUP($A224,'Data shares'!$C:$FB,61)*100</f>
        <v>57.9</v>
      </c>
      <c r="M224" s="49">
        <f>VLOOKUP($A224,'Data shares'!$C:$FB,62)</f>
        <v>413039100</v>
      </c>
      <c r="N224" s="49">
        <f>VLOOKUP($A224,'Data shares'!$C:$FB,63)</f>
        <v>260618000</v>
      </c>
      <c r="O224" s="140">
        <f>VLOOKUP($A224,'Data shares'!$C:$FB,65)*100</f>
        <v>58.48</v>
      </c>
    </row>
    <row r="225" spans="1:15" x14ac:dyDescent="0.25">
      <c r="A225" s="101" t="str">
        <f>'Data Vlaue (Cr)'!C220</f>
        <v>ZYDUSLIFE</v>
      </c>
      <c r="B225" s="50">
        <f>VLOOKUP($A225,'Data shares'!$C:$FB,7)</f>
        <v>936.5</v>
      </c>
      <c r="C225" s="50">
        <f>VLOOKUP($A225,'Data shares'!$C:$FB,10)*100</f>
        <v>-0.79</v>
      </c>
      <c r="D225" s="49">
        <f>VLOOKUP($A225,'Data shares'!$C:$FB,66)</f>
        <v>4797900</v>
      </c>
      <c r="E225" s="49">
        <f>VLOOKUP($A225,'Data shares'!$C:$FB,67)</f>
        <v>5775300</v>
      </c>
      <c r="F225" s="50">
        <f>VLOOKUP($A225,'Data shares'!$C:$FB,69)*100</f>
        <v>-16.919999999999998</v>
      </c>
      <c r="G225" s="49">
        <f>VLOOKUP($A225,'Data shares'!$C:$FB,42)</f>
        <v>1508400</v>
      </c>
      <c r="H225" s="49">
        <f>VLOOKUP($A225,'Data shares'!$C:$FB,43)</f>
        <v>818100</v>
      </c>
      <c r="I225" s="50">
        <f>VLOOKUP($A225,'Data shares'!$C:$FB,45)*100</f>
        <v>84.38</v>
      </c>
      <c r="J225" s="49">
        <f>VLOOKUP($A225,'Data shares'!$C:$FB,58)</f>
        <v>2409300</v>
      </c>
      <c r="K225" s="49">
        <f>VLOOKUP($A225,'Data shares'!$C:$FB,59)</f>
        <v>3638700</v>
      </c>
      <c r="L225" s="50">
        <f>VLOOKUP($A225,'Data shares'!$C:$FB,61)*100</f>
        <v>-33.79</v>
      </c>
      <c r="M225" s="49">
        <f>VLOOKUP($A225,'Data shares'!$C:$FB,62)</f>
        <v>880200</v>
      </c>
      <c r="N225" s="49">
        <f>VLOOKUP($A225,'Data shares'!$C:$FB,63)</f>
        <v>1318500</v>
      </c>
      <c r="O225" s="140">
        <f>VLOOKUP($A225,'Data shares'!$C:$FB,65)*100</f>
        <v>-33.239999999999995</v>
      </c>
    </row>
    <row r="226" spans="1:15" x14ac:dyDescent="0.25">
      <c r="A226" s="101"/>
      <c r="B226" s="50"/>
      <c r="C226" s="50"/>
      <c r="D226" s="49"/>
      <c r="E226" s="49"/>
      <c r="F226" s="50"/>
      <c r="G226" s="49"/>
      <c r="H226" s="49"/>
      <c r="I226" s="50"/>
      <c r="J226" s="49"/>
      <c r="K226" s="49"/>
      <c r="L226" s="50"/>
      <c r="M226" s="49"/>
      <c r="N226" s="49"/>
      <c r="O226" s="140"/>
    </row>
    <row r="227" spans="1:15" x14ac:dyDescent="0.25">
      <c r="A227" s="101"/>
      <c r="B227" s="50"/>
      <c r="C227" s="50"/>
      <c r="D227" s="49"/>
      <c r="E227" s="49"/>
      <c r="F227" s="50"/>
      <c r="G227" s="49"/>
      <c r="H227" s="49"/>
      <c r="I227" s="50"/>
      <c r="J227" s="49"/>
      <c r="K227" s="49"/>
      <c r="L227" s="50"/>
      <c r="M227" s="49"/>
      <c r="N227" s="49"/>
      <c r="O227" s="140"/>
    </row>
    <row r="228" spans="1:15" x14ac:dyDescent="0.25">
      <c r="A228" s="101"/>
      <c r="B228" s="50"/>
      <c r="C228" s="50"/>
      <c r="D228" s="49"/>
      <c r="E228" s="49"/>
      <c r="F228" s="50"/>
      <c r="G228" s="49"/>
      <c r="H228" s="49"/>
      <c r="I228" s="50"/>
      <c r="J228" s="49"/>
      <c r="K228" s="49"/>
      <c r="L228" s="50"/>
      <c r="M228" s="49"/>
      <c r="N228" s="49"/>
      <c r="O228" s="140"/>
    </row>
    <row r="229" spans="1:15" x14ac:dyDescent="0.25">
      <c r="A229" s="101"/>
      <c r="B229" s="17"/>
      <c r="C229" s="17"/>
      <c r="D229" s="17"/>
      <c r="E229" s="17"/>
      <c r="F229" s="17"/>
      <c r="G229" s="17"/>
      <c r="H229" s="17"/>
      <c r="I229" s="17"/>
      <c r="J229" s="17"/>
      <c r="K229" s="17"/>
      <c r="L229" s="17"/>
      <c r="M229" s="17"/>
      <c r="N229" s="17"/>
      <c r="O229" s="17"/>
    </row>
    <row r="230" spans="1:15" x14ac:dyDescent="0.25">
      <c r="A230" s="102"/>
      <c r="B230" s="17"/>
      <c r="C230" s="17"/>
      <c r="D230" s="17"/>
      <c r="E230" s="17"/>
      <c r="F230" s="17"/>
      <c r="G230" s="17"/>
      <c r="H230" s="17"/>
      <c r="I230" s="17"/>
      <c r="J230" s="17"/>
      <c r="K230" s="17"/>
      <c r="L230" s="17"/>
      <c r="M230" s="17"/>
      <c r="N230" s="17"/>
      <c r="O230" s="17"/>
    </row>
    <row r="231" spans="1:15" x14ac:dyDescent="0.25">
      <c r="A231" s="133" t="s">
        <v>391</v>
      </c>
      <c r="B231" s="133"/>
      <c r="C231" s="133"/>
      <c r="D231" s="133">
        <f>SUM(D7:D225)</f>
        <v>22395532983</v>
      </c>
      <c r="E231" s="133">
        <f>SUM(E7:E225)</f>
        <v>19667767018</v>
      </c>
      <c r="F231" s="134">
        <f>(D231-E231)/E231</f>
        <v>0.13869220448379016</v>
      </c>
      <c r="G231" s="133">
        <f>SUM(G7:G225)</f>
        <v>3344514635</v>
      </c>
      <c r="H231" s="133">
        <f>SUM(H7:H225)</f>
        <v>3063192888</v>
      </c>
      <c r="I231" s="134">
        <f>(G231-H231)/H231</f>
        <v>9.183938370387075E-2</v>
      </c>
      <c r="J231" s="133">
        <f>SUM(J7:J225)</f>
        <v>11939419399</v>
      </c>
      <c r="K231" s="133">
        <f>SUM(K7:K225)</f>
        <v>10811582232</v>
      </c>
      <c r="L231" s="134">
        <f>(J231-K231)/K231</f>
        <v>0.10431749422039636</v>
      </c>
      <c r="M231" s="133">
        <f>SUM(M7:M225)</f>
        <v>7111598949</v>
      </c>
      <c r="N231" s="133">
        <f>SUM(N7:N225)</f>
        <v>5792991898</v>
      </c>
      <c r="O231" s="134">
        <f>(M231-N231)/N231</f>
        <v>0.22762107633108242</v>
      </c>
    </row>
    <row r="232" spans="1:15" x14ac:dyDescent="0.25">
      <c r="A232" s="133" t="s">
        <v>398</v>
      </c>
      <c r="B232" s="133"/>
      <c r="C232" s="133"/>
      <c r="D232" s="133">
        <f>D231/10000000</f>
        <v>2239.5532982999998</v>
      </c>
      <c r="E232" s="133">
        <f>E231/10000000</f>
        <v>1966.7767018</v>
      </c>
      <c r="F232" s="134">
        <f>(D232-E232)/E232</f>
        <v>0.1386922044837901</v>
      </c>
      <c r="G232" s="133">
        <f>G231/10000000</f>
        <v>334.45146349999999</v>
      </c>
      <c r="H232" s="133">
        <f>H231/10000000</f>
        <v>306.31928879999998</v>
      </c>
      <c r="I232" s="134">
        <f>(G232-H232)/H232</f>
        <v>9.1839383703870792E-2</v>
      </c>
      <c r="J232" s="133">
        <f>J231/10000000</f>
        <v>1193.9419399000001</v>
      </c>
      <c r="K232" s="133">
        <f>K231/10000000</f>
        <v>1081.1582232000001</v>
      </c>
      <c r="L232" s="134">
        <f>(J232-K232)/K232</f>
        <v>0.10431749422039636</v>
      </c>
      <c r="M232" s="133">
        <f>M231/10000000</f>
        <v>711.15989490000004</v>
      </c>
      <c r="N232" s="133">
        <f>N231/10000000</f>
        <v>579.29918980000002</v>
      </c>
      <c r="O232" s="134">
        <f>(M232-N232)/N232</f>
        <v>0.22762107633108244</v>
      </c>
    </row>
    <row r="233" spans="1:15" x14ac:dyDescent="0.25">
      <c r="A233" s="17"/>
      <c r="B233" s="17"/>
      <c r="C233" s="17"/>
      <c r="D233" s="17"/>
      <c r="E233" s="17"/>
      <c r="F233" s="17"/>
      <c r="G233" s="17"/>
      <c r="H233" s="17"/>
      <c r="I233" s="17"/>
      <c r="J233" s="17"/>
      <c r="K233" s="17"/>
      <c r="L233" s="17"/>
      <c r="M233" s="17"/>
      <c r="N233" s="17"/>
      <c r="O233"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pane ySplit="6" topLeftCell="A7" activePane="bottomLeft" state="frozen"/>
      <selection pane="bottomLeft" activeCell="A7" sqref="A7:A225"/>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7" t="s">
        <v>311</v>
      </c>
      <c r="B3" s="308"/>
      <c r="C3" s="308"/>
      <c r="D3" s="308"/>
      <c r="E3" s="308"/>
      <c r="F3" s="308"/>
      <c r="G3" s="308"/>
      <c r="H3" s="308"/>
      <c r="I3" s="308"/>
      <c r="J3" s="308"/>
      <c r="K3" s="308"/>
      <c r="L3" s="267"/>
      <c r="M3" s="267"/>
      <c r="N3" s="267"/>
      <c r="O3" s="309"/>
    </row>
    <row r="4" spans="1:19" s="104" customFormat="1" x14ac:dyDescent="0.25">
      <c r="A4" s="286" t="s">
        <v>330</v>
      </c>
      <c r="B4" s="286" t="s">
        <v>311</v>
      </c>
      <c r="C4" s="286"/>
      <c r="D4" s="286"/>
      <c r="E4" s="286"/>
      <c r="F4" s="286"/>
      <c r="G4" s="286"/>
      <c r="H4" s="286" t="s">
        <v>365</v>
      </c>
      <c r="I4" s="286"/>
      <c r="J4" s="286"/>
      <c r="K4" s="286"/>
      <c r="L4" s="286" t="s">
        <v>309</v>
      </c>
      <c r="M4" s="286"/>
      <c r="N4" s="286"/>
      <c r="O4" s="286"/>
    </row>
    <row r="5" spans="1:19" s="104" customFormat="1" x14ac:dyDescent="0.25">
      <c r="A5" s="305"/>
      <c r="B5" s="305" t="s">
        <v>316</v>
      </c>
      <c r="C5" s="305"/>
      <c r="D5" s="305"/>
      <c r="E5" s="305" t="s">
        <v>317</v>
      </c>
      <c r="F5" s="305"/>
      <c r="G5" s="305"/>
      <c r="H5" s="305" t="s">
        <v>336</v>
      </c>
      <c r="I5" s="305"/>
      <c r="J5" s="305" t="s">
        <v>342</v>
      </c>
      <c r="K5" s="305"/>
      <c r="L5" s="305" t="s">
        <v>336</v>
      </c>
      <c r="M5" s="305"/>
      <c r="N5" s="305" t="s">
        <v>342</v>
      </c>
      <c r="O5" s="306"/>
    </row>
    <row r="6" spans="1:19" s="104" customFormat="1" x14ac:dyDescent="0.25">
      <c r="A6" s="76" t="s">
        <v>318</v>
      </c>
      <c r="B6" s="3">
        <f>'Total Valume'!B6</f>
        <v>46132</v>
      </c>
      <c r="C6" s="76" t="s">
        <v>322</v>
      </c>
      <c r="D6" s="76" t="s">
        <v>328</v>
      </c>
      <c r="E6" s="3">
        <f>B6</f>
        <v>46132</v>
      </c>
      <c r="F6" s="76" t="s">
        <v>322</v>
      </c>
      <c r="G6" s="76" t="s">
        <v>328</v>
      </c>
      <c r="H6" s="3">
        <f>E6</f>
        <v>46132</v>
      </c>
      <c r="I6" s="76" t="s">
        <v>333</v>
      </c>
      <c r="J6" s="3">
        <f>E6</f>
        <v>46132</v>
      </c>
      <c r="K6" s="76" t="s">
        <v>333</v>
      </c>
      <c r="L6" s="3">
        <f>E6</f>
        <v>46132</v>
      </c>
      <c r="M6" s="76" t="s">
        <v>333</v>
      </c>
      <c r="N6" s="3">
        <f>E6</f>
        <v>46132</v>
      </c>
      <c r="O6" s="76" t="s">
        <v>333</v>
      </c>
    </row>
    <row r="7" spans="1:19" x14ac:dyDescent="0.25">
      <c r="A7" s="105" t="str">
        <f>'Data Vlaue (Cr)'!C2</f>
        <v>360ONE</v>
      </c>
      <c r="B7" s="143">
        <f>VLOOKUP($A7,'Data shares'!$C:$FA,118)</f>
        <v>1.1299999999999999</v>
      </c>
      <c r="C7" s="143">
        <f>VLOOKUP($A7,'Data shares'!$C:$FA,119)</f>
        <v>1.23</v>
      </c>
      <c r="D7" s="143">
        <f>VLOOKUP($A7,'Data shares'!$C:$FA,121)*100</f>
        <v>-8.129999999999999</v>
      </c>
      <c r="E7" s="143">
        <f>VLOOKUP($A7,'Data shares'!$C:$FA,124)</f>
        <v>0.4</v>
      </c>
      <c r="F7" s="143">
        <f>VLOOKUP($A7,'Data shares'!$C:$FA,125)</f>
        <v>0.54</v>
      </c>
      <c r="G7" s="143">
        <f>VLOOKUP($A7,'Data shares'!$C:$FA,127)*100</f>
        <v>-25.929999999999996</v>
      </c>
      <c r="H7" s="103">
        <f>VLOOKUP($A7,'OI(Volume)'!$A$7:$O$445,8)</f>
        <v>1979000</v>
      </c>
      <c r="I7" s="103">
        <f>VLOOKUP($A7,'OI(Volume)'!$A$7:$O$445,9)</f>
        <v>198500</v>
      </c>
      <c r="J7" s="103">
        <f>VLOOKUP($A7,'OI(Volume)'!$A$7:$O$445,11)</f>
        <v>2233500</v>
      </c>
      <c r="K7" s="103">
        <f>VLOOKUP($A7,'OI(Volume)'!$A$7:$O$445,12)</f>
        <v>51500</v>
      </c>
      <c r="L7" s="103">
        <f>VLOOKUP($A7,'OI(Value)'!$A$7:$O$329,8,0)</f>
        <v>218</v>
      </c>
      <c r="M7" s="103">
        <f>VLOOKUP($A7,'OI(Value)'!$A$7:$O$329,9,0)</f>
        <v>22</v>
      </c>
      <c r="N7" s="103">
        <f>VLOOKUP($A7,'OI(Value)'!$A$7:$O$329,11,0)</f>
        <v>246</v>
      </c>
      <c r="O7" s="103">
        <f>VLOOKUP($A7,'OI(Value)'!$A$7:$O$329,12,0)</f>
        <v>6</v>
      </c>
      <c r="P7" s="179">
        <f>VLOOKUP(A7,'OI(Value)'!A7:O182,8,0)</f>
        <v>218</v>
      </c>
      <c r="Q7" s="179">
        <f>VLOOKUP(A7,'OI(Value)'!A7:O182,9,0)</f>
        <v>22</v>
      </c>
      <c r="R7" s="179">
        <f>VLOOKUP(A7,'OI(Value)'!A7:O182,11,0)</f>
        <v>246</v>
      </c>
      <c r="S7" s="179">
        <f>VLOOKUP(A7,'OI(Value)'!A7:O182,12,0)</f>
        <v>6</v>
      </c>
    </row>
    <row r="8" spans="1:19" x14ac:dyDescent="0.25">
      <c r="A8" s="105" t="str">
        <f>'Data Vlaue (Cr)'!C3</f>
        <v>ABB</v>
      </c>
      <c r="B8" s="143">
        <f>VLOOKUP($A8,'Data shares'!$C:$FA,118)</f>
        <v>0.91</v>
      </c>
      <c r="C8" s="143">
        <f>VLOOKUP($A8,'Data shares'!$C:$FA,119)</f>
        <v>1.1299999999999999</v>
      </c>
      <c r="D8" s="143">
        <f>VLOOKUP($A8,'Data shares'!$C:$FA,121)*100</f>
        <v>-19.470000000000002</v>
      </c>
      <c r="E8" s="143">
        <f>VLOOKUP($A8,'Data shares'!$C:$FA,124)</f>
        <v>0.36</v>
      </c>
      <c r="F8" s="143">
        <f>VLOOKUP($A8,'Data shares'!$C:$FA,125)</f>
        <v>0.48</v>
      </c>
      <c r="G8" s="143">
        <f>VLOOKUP($A8,'Data shares'!$C:$FA,127)*100</f>
        <v>-25</v>
      </c>
      <c r="H8" s="103">
        <f>VLOOKUP($A8,'OI(Volume)'!$A$7:$O$445,8)</f>
        <v>1425750</v>
      </c>
      <c r="I8" s="103">
        <f>VLOOKUP($A8,'OI(Volume)'!$A$7:$O$445,9)</f>
        <v>426250</v>
      </c>
      <c r="J8" s="103">
        <f>VLOOKUP($A8,'OI(Volume)'!$A$7:$O$445,11)</f>
        <v>1297875</v>
      </c>
      <c r="K8" s="103">
        <f>VLOOKUP($A8,'OI(Volume)'!$A$7:$O$445,12)</f>
        <v>166375</v>
      </c>
      <c r="L8" s="103">
        <f>VLOOKUP($A8,'OI(Value)'!$A$7:$O$329,8,0)</f>
        <v>1019</v>
      </c>
      <c r="M8" s="103">
        <f>VLOOKUP($A8,'OI(Value)'!$A$7:$O$329,9,0)</f>
        <v>305</v>
      </c>
      <c r="N8" s="103">
        <f>VLOOKUP($A8,'OI(Value)'!$A$7:$O$329,11,0)</f>
        <v>928</v>
      </c>
      <c r="O8" s="103">
        <f>VLOOKUP($A8,'OI(Value)'!$A$7:$O$329,12,0)</f>
        <v>119</v>
      </c>
      <c r="P8" s="179">
        <f>VLOOKUP(A8,'OI(Value)'!A8:O232,8,0)</f>
        <v>1019</v>
      </c>
      <c r="Q8" s="179">
        <f>VLOOKUP(A8,'OI(Value)'!A8:O232,9,0)</f>
        <v>305</v>
      </c>
      <c r="R8" s="179">
        <f>VLOOKUP(A8,'OI(Value)'!A8:O232,11,0)</f>
        <v>928</v>
      </c>
      <c r="S8" s="179">
        <f>VLOOKUP(A8,'OI(Value)'!A8:O232,11,0)</f>
        <v>928</v>
      </c>
    </row>
    <row r="9" spans="1:19" x14ac:dyDescent="0.25">
      <c r="A9" s="105" t="str">
        <f>'Data Vlaue (Cr)'!C4</f>
        <v>ABCAPITAL</v>
      </c>
      <c r="B9" s="143">
        <f>VLOOKUP($A9,'Data shares'!$C:$FA,118)</f>
        <v>0.67</v>
      </c>
      <c r="C9" s="143">
        <f>VLOOKUP($A9,'Data shares'!$C:$FA,119)</f>
        <v>0.61</v>
      </c>
      <c r="D9" s="143">
        <f>VLOOKUP($A9,'Data shares'!$C:$FA,121)*100</f>
        <v>9.84</v>
      </c>
      <c r="E9" s="143">
        <f>VLOOKUP($A9,'Data shares'!$C:$FA,124)</f>
        <v>0.45</v>
      </c>
      <c r="F9" s="143">
        <f>VLOOKUP($A9,'Data shares'!$C:$FA,125)</f>
        <v>0.24</v>
      </c>
      <c r="G9" s="143">
        <f>VLOOKUP($A9,'Data shares'!$C:$FA,127)*100</f>
        <v>87.5</v>
      </c>
      <c r="H9" s="103">
        <f>VLOOKUP($A9,'OI(Volume)'!$A$7:$O$445,8)</f>
        <v>14232100</v>
      </c>
      <c r="I9" s="103">
        <f>VLOOKUP($A9,'OI(Volume)'!$A$7:$O$445,9)</f>
        <v>-2201000</v>
      </c>
      <c r="J9" s="103">
        <f>VLOOKUP($A9,'OI(Volume)'!$A$7:$O$445,11)</f>
        <v>9582100</v>
      </c>
      <c r="K9" s="103">
        <f>VLOOKUP($A9,'OI(Volume)'!$A$7:$O$445,12)</f>
        <v>-517700</v>
      </c>
      <c r="L9" s="103">
        <f>VLOOKUP($A9,'OI(Value)'!$A$7:$O$329,8,0)</f>
        <v>485</v>
      </c>
      <c r="M9" s="103">
        <f>VLOOKUP($A9,'OI(Value)'!$A$7:$O$329,9,0)</f>
        <v>-75</v>
      </c>
      <c r="N9" s="103">
        <f>VLOOKUP($A9,'OI(Value)'!$A$7:$O$329,11,0)</f>
        <v>327</v>
      </c>
      <c r="O9" s="103">
        <f>VLOOKUP($A9,'OI(Value)'!$A$7:$O$329,12,0)</f>
        <v>-18</v>
      </c>
      <c r="P9" s="179">
        <f>VLOOKUP(A9,'OI(Value)'!A9:O233,8,0)</f>
        <v>485</v>
      </c>
      <c r="Q9" s="179">
        <f>VLOOKUP(A9,'OI(Value)'!A9:O233,9,0)</f>
        <v>-75</v>
      </c>
      <c r="R9" s="179">
        <f>VLOOKUP(A9,'OI(Value)'!A9:O233,11,0)</f>
        <v>327</v>
      </c>
      <c r="S9" s="179">
        <f>VLOOKUP(A9,'OI(Value)'!A9:O233,11,0)</f>
        <v>327</v>
      </c>
    </row>
    <row r="10" spans="1:19" x14ac:dyDescent="0.25">
      <c r="A10" s="105" t="str">
        <f>'Data Vlaue (Cr)'!C5</f>
        <v>ADANIENSOL</v>
      </c>
      <c r="B10" s="143">
        <f>VLOOKUP($A10,'Data shares'!$C:$FA,118)</f>
        <v>0.64</v>
      </c>
      <c r="C10" s="143">
        <f>VLOOKUP($A10,'Data shares'!$C:$FA,119)</f>
        <v>0.69</v>
      </c>
      <c r="D10" s="143">
        <f>VLOOKUP($A10,'Data shares'!$C:$FA,121)*100</f>
        <v>-7.2499999999999991</v>
      </c>
      <c r="E10" s="143">
        <f>VLOOKUP($A10,'Data shares'!$C:$FA,124)</f>
        <v>0.38</v>
      </c>
      <c r="F10" s="143">
        <f>VLOOKUP($A10,'Data shares'!$C:$FA,125)</f>
        <v>0.55000000000000004</v>
      </c>
      <c r="G10" s="143">
        <f>VLOOKUP($A10,'Data shares'!$C:$FA,127)*100</f>
        <v>-30.91</v>
      </c>
      <c r="H10" s="103">
        <f>VLOOKUP($A10,'OI(Volume)'!$A$7:$O$445,8)</f>
        <v>4276800</v>
      </c>
      <c r="I10" s="103">
        <f>VLOOKUP($A10,'OI(Volume)'!$A$7:$O$445,9)</f>
        <v>280125</v>
      </c>
      <c r="J10" s="103">
        <f>VLOOKUP($A10,'OI(Volume)'!$A$7:$O$445,11)</f>
        <v>2729700</v>
      </c>
      <c r="K10" s="103">
        <f>VLOOKUP($A10,'OI(Volume)'!$A$7:$O$445,12)</f>
        <v>-14175</v>
      </c>
      <c r="L10" s="103">
        <f>VLOOKUP($A10,'OI(Value)'!$A$7:$O$329,8,0)</f>
        <v>538</v>
      </c>
      <c r="M10" s="103">
        <f>VLOOKUP($A10,'OI(Value)'!$A$7:$O$329,9,0)</f>
        <v>35</v>
      </c>
      <c r="N10" s="103">
        <f>VLOOKUP($A10,'OI(Value)'!$A$7:$O$329,11,0)</f>
        <v>343</v>
      </c>
      <c r="O10" s="103">
        <f>VLOOKUP($A10,'OI(Value)'!$A$7:$O$329,12,0)</f>
        <v>-2</v>
      </c>
      <c r="P10" s="179">
        <f>VLOOKUP(A10,'OI(Value)'!A10:O234,8,0)</f>
        <v>538</v>
      </c>
      <c r="Q10" s="179">
        <f>VLOOKUP(A10,'OI(Value)'!A10:O234,9,0)</f>
        <v>35</v>
      </c>
      <c r="R10" s="179">
        <f>VLOOKUP(A10,'OI(Value)'!A10:O234,11,0)</f>
        <v>343</v>
      </c>
      <c r="S10" s="179">
        <f>VLOOKUP(A10,'OI(Value)'!A10:O234,11,0)</f>
        <v>343</v>
      </c>
    </row>
    <row r="11" spans="1:19" x14ac:dyDescent="0.25">
      <c r="A11" s="105" t="str">
        <f>'Data Vlaue (Cr)'!C6</f>
        <v>ADANIENT</v>
      </c>
      <c r="B11" s="143">
        <f>VLOOKUP($A11,'Data shares'!$C:$FA,118)</f>
        <v>1</v>
      </c>
      <c r="C11" s="143">
        <f>VLOOKUP($A11,'Data shares'!$C:$FA,119)</f>
        <v>0.94</v>
      </c>
      <c r="D11" s="143">
        <f>VLOOKUP($A11,'Data shares'!$C:$FA,121)*100</f>
        <v>6.38</v>
      </c>
      <c r="E11" s="143">
        <f>VLOOKUP($A11,'Data shares'!$C:$FA,124)</f>
        <v>0.52</v>
      </c>
      <c r="F11" s="143">
        <f>VLOOKUP($A11,'Data shares'!$C:$FA,125)</f>
        <v>0.48</v>
      </c>
      <c r="G11" s="143">
        <f>VLOOKUP($A11,'Data shares'!$C:$FA,127)*100</f>
        <v>8.33</v>
      </c>
      <c r="H11" s="103">
        <f>VLOOKUP($A11,'OI(Volume)'!$A$7:$O$445,8)</f>
        <v>7246977</v>
      </c>
      <c r="I11" s="103">
        <f>VLOOKUP($A11,'OI(Volume)'!$A$7:$O$445,9)</f>
        <v>-25338</v>
      </c>
      <c r="J11" s="103">
        <f>VLOOKUP($A11,'OI(Volume)'!$A$7:$O$445,11)</f>
        <v>7254084</v>
      </c>
      <c r="K11" s="103">
        <f>VLOOKUP($A11,'OI(Volume)'!$A$7:$O$445,12)</f>
        <v>446814</v>
      </c>
      <c r="L11" s="103">
        <f>VLOOKUP($A11,'OI(Value)'!$A$7:$O$329,8,0)</f>
        <v>1616</v>
      </c>
      <c r="M11" s="103">
        <f>VLOOKUP($A11,'OI(Value)'!$A$7:$O$329,9,0)</f>
        <v>-6</v>
      </c>
      <c r="N11" s="103">
        <f>VLOOKUP($A11,'OI(Value)'!$A$7:$O$329,11,0)</f>
        <v>1618</v>
      </c>
      <c r="O11" s="103">
        <f>VLOOKUP($A11,'OI(Value)'!$A$7:$O$329,12,0)</f>
        <v>100</v>
      </c>
      <c r="P11" s="179">
        <f>VLOOKUP(A11,'OI(Value)'!A11:O235,8,0)</f>
        <v>1616</v>
      </c>
      <c r="Q11" s="179">
        <f>VLOOKUP(A11,'OI(Value)'!A11:O235,9,0)</f>
        <v>-6</v>
      </c>
      <c r="R11" s="179">
        <f>VLOOKUP(A11,'OI(Value)'!A11:O235,11,0)</f>
        <v>1618</v>
      </c>
      <c r="S11" s="179">
        <f>VLOOKUP(A11,'OI(Value)'!A11:O235,11,0)</f>
        <v>1618</v>
      </c>
    </row>
    <row r="12" spans="1:19" x14ac:dyDescent="0.25">
      <c r="A12" s="105" t="str">
        <f>'Data Vlaue (Cr)'!C7</f>
        <v>ADANIGREEN</v>
      </c>
      <c r="B12" s="143">
        <f>VLOOKUP($A12,'Data shares'!$C:$FA,118)</f>
        <v>0.76</v>
      </c>
      <c r="C12" s="143">
        <f>VLOOKUP($A12,'Data shares'!$C:$FA,119)</f>
        <v>0.84</v>
      </c>
      <c r="D12" s="143">
        <f>VLOOKUP($A12,'Data shares'!$C:$FA,121)*100</f>
        <v>-9.5200000000000014</v>
      </c>
      <c r="E12" s="143">
        <f>VLOOKUP($A12,'Data shares'!$C:$FA,124)</f>
        <v>0.43</v>
      </c>
      <c r="F12" s="143">
        <f>VLOOKUP($A12,'Data shares'!$C:$FA,125)</f>
        <v>0.5</v>
      </c>
      <c r="G12" s="143">
        <f>VLOOKUP($A12,'Data shares'!$C:$FA,127)*100</f>
        <v>-14.000000000000002</v>
      </c>
      <c r="H12" s="103">
        <f>VLOOKUP($A12,'OI(Volume)'!$A$7:$O$445,8)</f>
        <v>9236400</v>
      </c>
      <c r="I12" s="103">
        <f>VLOOKUP($A12,'OI(Volume)'!$A$7:$O$445,9)</f>
        <v>1120800</v>
      </c>
      <c r="J12" s="103">
        <f>VLOOKUP($A12,'OI(Volume)'!$A$7:$O$445,11)</f>
        <v>7016400</v>
      </c>
      <c r="K12" s="103">
        <f>VLOOKUP($A12,'OI(Volume)'!$A$7:$O$445,12)</f>
        <v>180600</v>
      </c>
      <c r="L12" s="103">
        <f>VLOOKUP($A12,'OI(Value)'!$A$7:$O$329,8,0)</f>
        <v>1066</v>
      </c>
      <c r="M12" s="103">
        <f>VLOOKUP($A12,'OI(Value)'!$A$7:$O$329,9,0)</f>
        <v>129</v>
      </c>
      <c r="N12" s="103">
        <f>VLOOKUP($A12,'OI(Value)'!$A$7:$O$329,11,0)</f>
        <v>810</v>
      </c>
      <c r="O12" s="103">
        <f>VLOOKUP($A12,'OI(Value)'!$A$7:$O$329,12,0)</f>
        <v>21</v>
      </c>
      <c r="P12" s="179">
        <f>VLOOKUP(A12,'OI(Value)'!A12:O236,8,0)</f>
        <v>1066</v>
      </c>
      <c r="Q12" s="179">
        <f>VLOOKUP(A12,'OI(Value)'!A12:O236,9,0)</f>
        <v>129</v>
      </c>
      <c r="R12" s="179">
        <f>VLOOKUP(A12,'OI(Value)'!A12:O236,11,0)</f>
        <v>810</v>
      </c>
      <c r="S12" s="179">
        <f>VLOOKUP(A12,'OI(Value)'!A12:O236,11,0)</f>
        <v>810</v>
      </c>
    </row>
    <row r="13" spans="1:19" x14ac:dyDescent="0.25">
      <c r="A13" s="105" t="str">
        <f>'Data Vlaue (Cr)'!C8</f>
        <v>ADANIPORTS</v>
      </c>
      <c r="B13" s="143">
        <f>VLOOKUP($A13,'Data shares'!$C:$FA,118)</f>
        <v>0.92</v>
      </c>
      <c r="C13" s="143">
        <f>VLOOKUP($A13,'Data shares'!$C:$FA,119)</f>
        <v>0.84</v>
      </c>
      <c r="D13" s="143">
        <f>VLOOKUP($A13,'Data shares'!$C:$FA,121)*100</f>
        <v>9.5200000000000014</v>
      </c>
      <c r="E13" s="143">
        <f>VLOOKUP($A13,'Data shares'!$C:$FA,124)</f>
        <v>0.57999999999999996</v>
      </c>
      <c r="F13" s="143">
        <f>VLOOKUP($A13,'Data shares'!$C:$FA,125)</f>
        <v>0.48</v>
      </c>
      <c r="G13" s="143">
        <f>VLOOKUP($A13,'Data shares'!$C:$FA,127)*100</f>
        <v>20.830000000000002</v>
      </c>
      <c r="H13" s="103">
        <f>VLOOKUP($A13,'OI(Volume)'!$A$7:$O$445,8)</f>
        <v>9273425</v>
      </c>
      <c r="I13" s="103">
        <f>VLOOKUP($A13,'OI(Volume)'!$A$7:$O$445,9)</f>
        <v>-136800</v>
      </c>
      <c r="J13" s="103">
        <f>VLOOKUP($A13,'OI(Volume)'!$A$7:$O$445,11)</f>
        <v>8520550</v>
      </c>
      <c r="K13" s="103">
        <f>VLOOKUP($A13,'OI(Volume)'!$A$7:$O$445,12)</f>
        <v>611325</v>
      </c>
      <c r="L13" s="103">
        <f>VLOOKUP($A13,'OI(Value)'!$A$7:$O$329,8,0)</f>
        <v>1466</v>
      </c>
      <c r="M13" s="103">
        <f>VLOOKUP($A13,'OI(Value)'!$A$7:$O$329,9,0)</f>
        <v>-22</v>
      </c>
      <c r="N13" s="103">
        <f>VLOOKUP($A13,'OI(Value)'!$A$7:$O$329,11,0)</f>
        <v>1347</v>
      </c>
      <c r="O13" s="103">
        <f>VLOOKUP($A13,'OI(Value)'!$A$7:$O$329,12,0)</f>
        <v>97</v>
      </c>
      <c r="P13" s="179">
        <f>VLOOKUP(A13,'OI(Value)'!A13:O237,8,0)</f>
        <v>1466</v>
      </c>
      <c r="Q13" s="179">
        <f>VLOOKUP(A13,'OI(Value)'!A13:O237,9,0)</f>
        <v>-22</v>
      </c>
      <c r="R13" s="179">
        <f>VLOOKUP(A13,'OI(Value)'!A13:O237,11,0)</f>
        <v>1347</v>
      </c>
      <c r="S13" s="179">
        <f>VLOOKUP(A13,'OI(Value)'!A13:O237,11,0)</f>
        <v>1347</v>
      </c>
    </row>
    <row r="14" spans="1:19" x14ac:dyDescent="0.25">
      <c r="A14" s="105" t="str">
        <f>'Data Vlaue (Cr)'!C9</f>
        <v>ADANIPOWER</v>
      </c>
      <c r="B14" s="143">
        <f>VLOOKUP($A14,'Data shares'!$C:$FA,118)</f>
        <v>0.69</v>
      </c>
      <c r="C14" s="143">
        <f>VLOOKUP($A14,'Data shares'!$C:$FA,119)</f>
        <v>0.74</v>
      </c>
      <c r="D14" s="143">
        <f>VLOOKUP($A14,'Data shares'!$C:$FA,121)*100</f>
        <v>-6.76</v>
      </c>
      <c r="E14" s="143">
        <f>VLOOKUP($A14,'Data shares'!$C:$FA,124)</f>
        <v>0.34</v>
      </c>
      <c r="F14" s="143">
        <f>VLOOKUP($A14,'Data shares'!$C:$FA,125)</f>
        <v>0.37</v>
      </c>
      <c r="G14" s="143">
        <f>VLOOKUP($A14,'Data shares'!$C:$FA,127)*100</f>
        <v>-8.1100000000000012</v>
      </c>
      <c r="H14" s="103">
        <f>VLOOKUP($A14,'OI(Volume)'!$A$7:$O$445,8)</f>
        <v>35642000</v>
      </c>
      <c r="I14" s="103">
        <f>VLOOKUP($A14,'OI(Volume)'!$A$7:$O$445,9)</f>
        <v>6077600</v>
      </c>
      <c r="J14" s="103">
        <f>VLOOKUP($A14,'OI(Volume)'!$A$7:$O$445,11)</f>
        <v>24619250</v>
      </c>
      <c r="K14" s="103">
        <f>VLOOKUP($A14,'OI(Volume)'!$A$7:$O$445,12)</f>
        <v>2698000</v>
      </c>
      <c r="L14" s="103">
        <f>VLOOKUP($A14,'OI(Value)'!$A$7:$O$329,8,0)</f>
        <v>715</v>
      </c>
      <c r="M14" s="103">
        <f>VLOOKUP($A14,'OI(Value)'!$A$7:$O$329,9,0)</f>
        <v>122</v>
      </c>
      <c r="N14" s="103">
        <f>VLOOKUP($A14,'OI(Value)'!$A$7:$O$329,11,0)</f>
        <v>494</v>
      </c>
      <c r="O14" s="103">
        <f>VLOOKUP($A14,'OI(Value)'!$A$7:$O$329,12,0)</f>
        <v>54</v>
      </c>
      <c r="P14" s="179">
        <f>VLOOKUP(A14,'OI(Value)'!A14:O238,8,0)</f>
        <v>715</v>
      </c>
      <c r="Q14" s="179">
        <f>VLOOKUP(A14,'OI(Value)'!A14:O238,9,0)</f>
        <v>122</v>
      </c>
      <c r="R14" s="179">
        <f>VLOOKUP(A14,'OI(Value)'!A14:O238,11,0)</f>
        <v>494</v>
      </c>
      <c r="S14" s="179">
        <f>VLOOKUP(A14,'OI(Value)'!A14:O238,11,0)</f>
        <v>494</v>
      </c>
    </row>
    <row r="15" spans="1:19" x14ac:dyDescent="0.25">
      <c r="A15" s="105" t="str">
        <f>'Data Vlaue (Cr)'!C10</f>
        <v>ALKEM</v>
      </c>
      <c r="B15" s="143">
        <f>VLOOKUP($A15,'Data shares'!$C:$FA,118)</f>
        <v>0.53</v>
      </c>
      <c r="C15" s="143">
        <f>VLOOKUP($A15,'Data shares'!$C:$FA,119)</f>
        <v>0.54</v>
      </c>
      <c r="D15" s="143">
        <f>VLOOKUP($A15,'Data shares'!$C:$FA,121)*100</f>
        <v>-1.8499999999999999</v>
      </c>
      <c r="E15" s="143">
        <f>VLOOKUP($A15,'Data shares'!$C:$FA,124)</f>
        <v>0.24</v>
      </c>
      <c r="F15" s="143">
        <f>VLOOKUP($A15,'Data shares'!$C:$FA,125)</f>
        <v>0.33</v>
      </c>
      <c r="G15" s="143">
        <f>VLOOKUP($A15,'Data shares'!$C:$FA,127)*100</f>
        <v>-27.27</v>
      </c>
      <c r="H15" s="103">
        <f>VLOOKUP($A15,'OI(Volume)'!$A$7:$O$445,8)</f>
        <v>387250</v>
      </c>
      <c r="I15" s="103">
        <f>VLOOKUP($A15,'OI(Volume)'!$A$7:$O$445,9)</f>
        <v>107250</v>
      </c>
      <c r="J15" s="103">
        <f>VLOOKUP($A15,'OI(Volume)'!$A$7:$O$445,11)</f>
        <v>203375</v>
      </c>
      <c r="K15" s="103">
        <f>VLOOKUP($A15,'OI(Volume)'!$A$7:$O$445,12)</f>
        <v>51375</v>
      </c>
      <c r="L15" s="103">
        <f>VLOOKUP($A15,'OI(Value)'!$A$7:$O$329,8,0)</f>
        <v>218</v>
      </c>
      <c r="M15" s="103">
        <f>VLOOKUP($A15,'OI(Value)'!$A$7:$O$329,9,0)</f>
        <v>60</v>
      </c>
      <c r="N15" s="103">
        <f>VLOOKUP($A15,'OI(Value)'!$A$7:$O$329,11,0)</f>
        <v>115</v>
      </c>
      <c r="O15" s="103">
        <f>VLOOKUP($A15,'OI(Value)'!$A$7:$O$329,12,0)</f>
        <v>29</v>
      </c>
      <c r="P15" s="179">
        <f>VLOOKUP(A15,'OI(Value)'!A15:O239,8,0)</f>
        <v>218</v>
      </c>
      <c r="Q15" s="179">
        <f>VLOOKUP(A15,'OI(Value)'!A15:O239,9,0)</f>
        <v>60</v>
      </c>
      <c r="R15" s="179">
        <f>VLOOKUP(A15,'OI(Value)'!A15:O239,11,0)</f>
        <v>115</v>
      </c>
      <c r="S15" s="179">
        <f>VLOOKUP(A15,'OI(Value)'!A15:O239,11,0)</f>
        <v>115</v>
      </c>
    </row>
    <row r="16" spans="1:19" x14ac:dyDescent="0.25">
      <c r="A16" s="105" t="str">
        <f>'Data Vlaue (Cr)'!C11</f>
        <v>AMBER</v>
      </c>
      <c r="B16" s="143">
        <f>VLOOKUP($A16,'Data shares'!$C:$FA,118)</f>
        <v>0.68</v>
      </c>
      <c r="C16" s="143">
        <f>VLOOKUP($A16,'Data shares'!$C:$FA,119)</f>
        <v>0.78</v>
      </c>
      <c r="D16" s="143">
        <f>VLOOKUP($A16,'Data shares'!$C:$FA,121)*100</f>
        <v>-12.82</v>
      </c>
      <c r="E16" s="143">
        <f>VLOOKUP($A16,'Data shares'!$C:$FA,124)</f>
        <v>0.75</v>
      </c>
      <c r="F16" s="143">
        <f>VLOOKUP($A16,'Data shares'!$C:$FA,125)</f>
        <v>0.55000000000000004</v>
      </c>
      <c r="G16" s="143">
        <f>VLOOKUP($A16,'Data shares'!$C:$FA,127)*100</f>
        <v>36.36</v>
      </c>
      <c r="H16" s="103">
        <f>VLOOKUP($A16,'OI(Volume)'!$A$7:$O$445,8)</f>
        <v>1080500</v>
      </c>
      <c r="I16" s="103">
        <f>VLOOKUP($A16,'OI(Volume)'!$A$7:$O$445,9)</f>
        <v>75200</v>
      </c>
      <c r="J16" s="103">
        <f>VLOOKUP($A16,'OI(Volume)'!$A$7:$O$445,11)</f>
        <v>730400</v>
      </c>
      <c r="K16" s="103">
        <f>VLOOKUP($A16,'OI(Volume)'!$A$7:$O$445,12)</f>
        <v>-52200</v>
      </c>
      <c r="L16" s="103">
        <f>VLOOKUP($A16,'OI(Value)'!$A$7:$O$329,8,0)</f>
        <v>858</v>
      </c>
      <c r="M16" s="103">
        <f>VLOOKUP($A16,'OI(Value)'!$A$7:$O$329,9,0)</f>
        <v>60</v>
      </c>
      <c r="N16" s="103">
        <f>VLOOKUP($A16,'OI(Value)'!$A$7:$O$329,11,0)</f>
        <v>580</v>
      </c>
      <c r="O16" s="103">
        <f>VLOOKUP($A16,'OI(Value)'!$A$7:$O$329,12,0)</f>
        <v>-41</v>
      </c>
      <c r="P16" s="179">
        <f>VLOOKUP(A16,'OI(Value)'!A16:O240,8,0)</f>
        <v>858</v>
      </c>
      <c r="Q16" s="179">
        <f>VLOOKUP(A16,'OI(Value)'!A16:O240,9,0)</f>
        <v>60</v>
      </c>
      <c r="R16" s="179">
        <f>VLOOKUP(A16,'OI(Value)'!A16:O240,11,0)</f>
        <v>580</v>
      </c>
      <c r="S16" s="179">
        <f>VLOOKUP(A16,'OI(Value)'!A16:O240,11,0)</f>
        <v>580</v>
      </c>
    </row>
    <row r="17" spans="1:19" x14ac:dyDescent="0.25">
      <c r="A17" s="105" t="str">
        <f>'Data Vlaue (Cr)'!C12</f>
        <v>AMBUJACEM</v>
      </c>
      <c r="B17" s="143">
        <f>VLOOKUP($A17,'Data shares'!$C:$FA,118)</f>
        <v>0.94</v>
      </c>
      <c r="C17" s="143">
        <f>VLOOKUP($A17,'Data shares'!$C:$FA,119)</f>
        <v>0.94</v>
      </c>
      <c r="D17" s="143">
        <f>VLOOKUP($A17,'Data shares'!$C:$FA,121)*100</f>
        <v>0</v>
      </c>
      <c r="E17" s="143">
        <f>VLOOKUP($A17,'Data shares'!$C:$FA,124)</f>
        <v>0.35</v>
      </c>
      <c r="F17" s="143">
        <f>VLOOKUP($A17,'Data shares'!$C:$FA,125)</f>
        <v>0.56000000000000005</v>
      </c>
      <c r="G17" s="143">
        <f>VLOOKUP($A17,'Data shares'!$C:$FA,127)*100</f>
        <v>-37.5</v>
      </c>
      <c r="H17" s="103">
        <f>VLOOKUP($A17,'OI(Volume)'!$A$7:$O$445,8)</f>
        <v>10557750</v>
      </c>
      <c r="I17" s="103">
        <f>VLOOKUP($A17,'OI(Volume)'!$A$7:$O$445,9)</f>
        <v>-58800</v>
      </c>
      <c r="J17" s="103">
        <f>VLOOKUP($A17,'OI(Volume)'!$A$7:$O$445,11)</f>
        <v>9919350</v>
      </c>
      <c r="K17" s="103">
        <f>VLOOKUP($A17,'OI(Volume)'!$A$7:$O$445,12)</f>
        <v>-87150</v>
      </c>
      <c r="L17" s="103">
        <f>VLOOKUP($A17,'OI(Value)'!$A$7:$O$329,8,0)</f>
        <v>480</v>
      </c>
      <c r="M17" s="103">
        <f>VLOOKUP($A17,'OI(Value)'!$A$7:$O$329,9,0)</f>
        <v>-3</v>
      </c>
      <c r="N17" s="103">
        <f>VLOOKUP($A17,'OI(Value)'!$A$7:$O$329,11,0)</f>
        <v>451</v>
      </c>
      <c r="O17" s="103">
        <f>VLOOKUP($A17,'OI(Value)'!$A$7:$O$329,12,0)</f>
        <v>-4</v>
      </c>
      <c r="P17" s="179">
        <f>VLOOKUP(A17,'OI(Value)'!A17:O241,8,0)</f>
        <v>480</v>
      </c>
      <c r="Q17" s="179">
        <f>VLOOKUP(A17,'OI(Value)'!A17:O241,9,0)</f>
        <v>-3</v>
      </c>
      <c r="R17" s="179">
        <f>VLOOKUP(A17,'OI(Value)'!A17:O241,11,0)</f>
        <v>451</v>
      </c>
      <c r="S17" s="179">
        <f>VLOOKUP(A17,'OI(Value)'!A17:O241,11,0)</f>
        <v>451</v>
      </c>
    </row>
    <row r="18" spans="1:19" x14ac:dyDescent="0.25">
      <c r="A18" s="105" t="str">
        <f>'Data Vlaue (Cr)'!C13</f>
        <v>ANGELONE</v>
      </c>
      <c r="B18" s="143">
        <f>VLOOKUP($A18,'Data shares'!$C:$FA,118)</f>
        <v>0.98</v>
      </c>
      <c r="C18" s="143">
        <f>VLOOKUP($A18,'Data shares'!$C:$FA,119)</f>
        <v>1.23</v>
      </c>
      <c r="D18" s="143">
        <f>VLOOKUP($A18,'Data shares'!$C:$FA,121)*100</f>
        <v>-20.330000000000002</v>
      </c>
      <c r="E18" s="143">
        <f>VLOOKUP($A18,'Data shares'!$C:$FA,124)</f>
        <v>0.73</v>
      </c>
      <c r="F18" s="143">
        <f>VLOOKUP($A18,'Data shares'!$C:$FA,125)</f>
        <v>0.48</v>
      </c>
      <c r="G18" s="143">
        <f>VLOOKUP($A18,'Data shares'!$C:$FA,127)*100</f>
        <v>52.080000000000005</v>
      </c>
      <c r="H18" s="103">
        <f>VLOOKUP($A18,'OI(Volume)'!$A$7:$O$445,8)</f>
        <v>36165000</v>
      </c>
      <c r="I18" s="103">
        <f>VLOOKUP($A18,'OI(Volume)'!$A$7:$O$445,9)</f>
        <v>3740000</v>
      </c>
      <c r="J18" s="103">
        <f>VLOOKUP($A18,'OI(Volume)'!$A$7:$O$445,11)</f>
        <v>35435000</v>
      </c>
      <c r="K18" s="103">
        <f>VLOOKUP($A18,'OI(Volume)'!$A$7:$O$445,12)</f>
        <v>-4325000</v>
      </c>
      <c r="L18" s="103">
        <f>VLOOKUP($A18,'OI(Value)'!$A$7:$O$329,8,0)</f>
        <v>1156</v>
      </c>
      <c r="M18" s="103">
        <f>VLOOKUP($A18,'OI(Value)'!$A$7:$O$329,9,0)</f>
        <v>120</v>
      </c>
      <c r="N18" s="103">
        <f>VLOOKUP($A18,'OI(Value)'!$A$7:$O$329,11,0)</f>
        <v>1133</v>
      </c>
      <c r="O18" s="103">
        <f>VLOOKUP($A18,'OI(Value)'!$A$7:$O$329,12,0)</f>
        <v>-138</v>
      </c>
      <c r="P18" s="179">
        <f>VLOOKUP(A18,'OI(Value)'!A18:O242,8,0)</f>
        <v>1156</v>
      </c>
      <c r="Q18" s="179">
        <f>VLOOKUP(A18,'OI(Value)'!A18:O242,9,0)</f>
        <v>120</v>
      </c>
      <c r="R18" s="179">
        <f>VLOOKUP(A18,'OI(Value)'!A18:O242,11,0)</f>
        <v>1133</v>
      </c>
      <c r="S18" s="179">
        <f>VLOOKUP(A18,'OI(Value)'!A18:O242,11,0)</f>
        <v>1133</v>
      </c>
    </row>
    <row r="19" spans="1:19" x14ac:dyDescent="0.25">
      <c r="A19" s="105" t="str">
        <f>'Data Vlaue (Cr)'!C14</f>
        <v>APLAPOLLO</v>
      </c>
      <c r="B19" s="143">
        <f>VLOOKUP($A19,'Data shares'!$C:$FA,118)</f>
        <v>0.71</v>
      </c>
      <c r="C19" s="143">
        <f>VLOOKUP($A19,'Data shares'!$C:$FA,119)</f>
        <v>0.67</v>
      </c>
      <c r="D19" s="143">
        <f>VLOOKUP($A19,'Data shares'!$C:$FA,121)*100</f>
        <v>5.9700000000000006</v>
      </c>
      <c r="E19" s="143">
        <f>VLOOKUP($A19,'Data shares'!$C:$FA,124)</f>
        <v>0.4</v>
      </c>
      <c r="F19" s="143">
        <f>VLOOKUP($A19,'Data shares'!$C:$FA,125)</f>
        <v>0.28000000000000003</v>
      </c>
      <c r="G19" s="143">
        <f>VLOOKUP($A19,'Data shares'!$C:$FA,127)*100</f>
        <v>42.86</v>
      </c>
      <c r="H19" s="103">
        <f>VLOOKUP($A19,'OI(Volume)'!$A$7:$O$445,8)</f>
        <v>1280650</v>
      </c>
      <c r="I19" s="103">
        <f>VLOOKUP($A19,'OI(Volume)'!$A$7:$O$445,9)</f>
        <v>-7700</v>
      </c>
      <c r="J19" s="103">
        <f>VLOOKUP($A19,'OI(Volume)'!$A$7:$O$445,11)</f>
        <v>915600</v>
      </c>
      <c r="K19" s="103">
        <f>VLOOKUP($A19,'OI(Volume)'!$A$7:$O$445,12)</f>
        <v>46900</v>
      </c>
      <c r="L19" s="103">
        <f>VLOOKUP($A19,'OI(Value)'!$A$7:$O$329,8,0)</f>
        <v>274</v>
      </c>
      <c r="M19" s="103">
        <f>VLOOKUP($A19,'OI(Value)'!$A$7:$O$329,9,0)</f>
        <v>-2</v>
      </c>
      <c r="N19" s="103">
        <f>VLOOKUP($A19,'OI(Value)'!$A$7:$O$329,11,0)</f>
        <v>196</v>
      </c>
      <c r="O19" s="103">
        <f>VLOOKUP($A19,'OI(Value)'!$A$7:$O$329,12,0)</f>
        <v>10</v>
      </c>
      <c r="P19" s="179">
        <f>VLOOKUP(A19,'OI(Value)'!A19:O243,8,0)</f>
        <v>274</v>
      </c>
      <c r="Q19" s="179">
        <f>VLOOKUP(A19,'OI(Value)'!A19:O243,9,0)</f>
        <v>-2</v>
      </c>
      <c r="R19" s="179">
        <f>VLOOKUP(A19,'OI(Value)'!A19:O243,11,0)</f>
        <v>196</v>
      </c>
      <c r="S19" s="179">
        <f>VLOOKUP(A19,'OI(Value)'!A19:O243,11,0)</f>
        <v>196</v>
      </c>
    </row>
    <row r="20" spans="1:19" x14ac:dyDescent="0.25">
      <c r="A20" s="105" t="str">
        <f>'Data Vlaue (Cr)'!C15</f>
        <v>APOLLOHOSP</v>
      </c>
      <c r="B20" s="143">
        <f>VLOOKUP($A20,'Data shares'!$C:$FA,118)</f>
        <v>0.87</v>
      </c>
      <c r="C20" s="143">
        <f>VLOOKUP($A20,'Data shares'!$C:$FA,119)</f>
        <v>0.91</v>
      </c>
      <c r="D20" s="143">
        <f>VLOOKUP($A20,'Data shares'!$C:$FA,121)*100</f>
        <v>-4.3999999999999995</v>
      </c>
      <c r="E20" s="143">
        <f>VLOOKUP($A20,'Data shares'!$C:$FA,124)</f>
        <v>0.54</v>
      </c>
      <c r="F20" s="143">
        <f>VLOOKUP($A20,'Data shares'!$C:$FA,125)</f>
        <v>0.37</v>
      </c>
      <c r="G20" s="143">
        <f>VLOOKUP($A20,'Data shares'!$C:$FA,127)*100</f>
        <v>45.95</v>
      </c>
      <c r="H20" s="103">
        <f>VLOOKUP($A20,'OI(Volume)'!$A$7:$O$445,8)</f>
        <v>884750</v>
      </c>
      <c r="I20" s="103">
        <f>VLOOKUP($A20,'OI(Volume)'!$A$7:$O$445,9)</f>
        <v>12125</v>
      </c>
      <c r="J20" s="103">
        <f>VLOOKUP($A20,'OI(Volume)'!$A$7:$O$445,11)</f>
        <v>773750</v>
      </c>
      <c r="K20" s="103">
        <f>VLOOKUP($A20,'OI(Volume)'!$A$7:$O$445,12)</f>
        <v>-23000</v>
      </c>
      <c r="L20" s="103">
        <f>VLOOKUP($A20,'OI(Value)'!$A$7:$O$329,8,0)</f>
        <v>677</v>
      </c>
      <c r="M20" s="103">
        <f>VLOOKUP($A20,'OI(Value)'!$A$7:$O$329,9,0)</f>
        <v>9</v>
      </c>
      <c r="N20" s="103">
        <f>VLOOKUP($A20,'OI(Value)'!$A$7:$O$329,11,0)</f>
        <v>592</v>
      </c>
      <c r="O20" s="103">
        <f>VLOOKUP($A20,'OI(Value)'!$A$7:$O$329,12,0)</f>
        <v>-18</v>
      </c>
      <c r="P20" s="179">
        <f>VLOOKUP(A20,'OI(Value)'!A20:O244,8,0)</f>
        <v>677</v>
      </c>
      <c r="Q20" s="179">
        <f>VLOOKUP(A20,'OI(Value)'!A20:O244,9,0)</f>
        <v>9</v>
      </c>
      <c r="R20" s="179">
        <f>VLOOKUP(A20,'OI(Value)'!A20:O244,11,0)</f>
        <v>592</v>
      </c>
      <c r="S20" s="179">
        <f>VLOOKUP(A20,'OI(Value)'!A20:O244,11,0)</f>
        <v>592</v>
      </c>
    </row>
    <row r="21" spans="1:19" x14ac:dyDescent="0.25">
      <c r="A21" s="105" t="str">
        <f>'Data Vlaue (Cr)'!C16</f>
        <v>ASHOKLEY</v>
      </c>
      <c r="B21" s="143">
        <f>VLOOKUP($A21,'Data shares'!$C:$FA,118)</f>
        <v>0.72</v>
      </c>
      <c r="C21" s="143">
        <f>VLOOKUP($A21,'Data shares'!$C:$FA,119)</f>
        <v>0.74</v>
      </c>
      <c r="D21" s="143">
        <f>VLOOKUP($A21,'Data shares'!$C:$FA,121)*100</f>
        <v>-2.7</v>
      </c>
      <c r="E21" s="143">
        <f>VLOOKUP($A21,'Data shares'!$C:$FA,124)</f>
        <v>0.46</v>
      </c>
      <c r="F21" s="143">
        <f>VLOOKUP($A21,'Data shares'!$C:$FA,125)</f>
        <v>0.56999999999999995</v>
      </c>
      <c r="G21" s="143">
        <f>VLOOKUP($A21,'Data shares'!$C:$FA,127)*100</f>
        <v>-19.3</v>
      </c>
      <c r="H21" s="103">
        <f>VLOOKUP($A21,'OI(Volume)'!$A$7:$O$445,8)</f>
        <v>96045000</v>
      </c>
      <c r="I21" s="103">
        <f>VLOOKUP($A21,'OI(Volume)'!$A$7:$O$445,9)</f>
        <v>3650000</v>
      </c>
      <c r="J21" s="103">
        <f>VLOOKUP($A21,'OI(Volume)'!$A$7:$O$445,11)</f>
        <v>68755000</v>
      </c>
      <c r="K21" s="103">
        <f>VLOOKUP($A21,'OI(Volume)'!$A$7:$O$445,12)</f>
        <v>655000</v>
      </c>
      <c r="L21" s="103">
        <f>VLOOKUP($A21,'OI(Value)'!$A$7:$O$329,8,0)</f>
        <v>1692</v>
      </c>
      <c r="M21" s="103">
        <f>VLOOKUP($A21,'OI(Value)'!$A$7:$O$329,9,0)</f>
        <v>64</v>
      </c>
      <c r="N21" s="103">
        <f>VLOOKUP($A21,'OI(Value)'!$A$7:$O$329,11,0)</f>
        <v>1211</v>
      </c>
      <c r="O21" s="103">
        <f>VLOOKUP($A21,'OI(Value)'!$A$7:$O$329,12,0)</f>
        <v>12</v>
      </c>
      <c r="P21" s="179">
        <f>VLOOKUP(A21,'OI(Value)'!A21:O245,8,0)</f>
        <v>1692</v>
      </c>
      <c r="Q21" s="179">
        <f>VLOOKUP(A21,'OI(Value)'!A21:O245,9,0)</f>
        <v>64</v>
      </c>
      <c r="R21" s="179">
        <f>VLOOKUP(A21,'OI(Value)'!A21:O245,11,0)</f>
        <v>1211</v>
      </c>
      <c r="S21" s="179">
        <f>VLOOKUP(A21,'OI(Value)'!A21:O245,11,0)</f>
        <v>1211</v>
      </c>
    </row>
    <row r="22" spans="1:19" x14ac:dyDescent="0.25">
      <c r="A22" s="105" t="str">
        <f>'Data Vlaue (Cr)'!C17</f>
        <v>ASIANPAINT</v>
      </c>
      <c r="B22" s="143">
        <f>VLOOKUP($A22,'Data shares'!$C:$FA,118)</f>
        <v>1.23</v>
      </c>
      <c r="C22" s="143">
        <f>VLOOKUP($A22,'Data shares'!$C:$FA,119)</f>
        <v>1.1499999999999999</v>
      </c>
      <c r="D22" s="143">
        <f>VLOOKUP($A22,'Data shares'!$C:$FA,121)*100</f>
        <v>6.9599999999999991</v>
      </c>
      <c r="E22" s="143">
        <f>VLOOKUP($A22,'Data shares'!$C:$FA,124)</f>
        <v>0.79</v>
      </c>
      <c r="F22" s="143">
        <f>VLOOKUP($A22,'Data shares'!$C:$FA,125)</f>
        <v>0.7</v>
      </c>
      <c r="G22" s="143">
        <f>VLOOKUP($A22,'Data shares'!$C:$FA,127)*100</f>
        <v>12.86</v>
      </c>
      <c r="H22" s="103">
        <f>VLOOKUP($A22,'OI(Volume)'!$A$7:$O$445,8)</f>
        <v>4817250</v>
      </c>
      <c r="I22" s="103">
        <f>VLOOKUP($A22,'OI(Volume)'!$A$7:$O$445,9)</f>
        <v>355500</v>
      </c>
      <c r="J22" s="103">
        <f>VLOOKUP($A22,'OI(Volume)'!$A$7:$O$445,11)</f>
        <v>5908000</v>
      </c>
      <c r="K22" s="103">
        <f>VLOOKUP($A22,'OI(Volume)'!$A$7:$O$445,12)</f>
        <v>760000</v>
      </c>
      <c r="L22" s="103">
        <f>VLOOKUP($A22,'OI(Value)'!$A$7:$O$329,8,0)</f>
        <v>1211</v>
      </c>
      <c r="M22" s="103">
        <f>VLOOKUP($A22,'OI(Value)'!$A$7:$O$329,9,0)</f>
        <v>89</v>
      </c>
      <c r="N22" s="103">
        <f>VLOOKUP($A22,'OI(Value)'!$A$7:$O$329,11,0)</f>
        <v>1486</v>
      </c>
      <c r="O22" s="103">
        <f>VLOOKUP($A22,'OI(Value)'!$A$7:$O$329,12,0)</f>
        <v>191</v>
      </c>
      <c r="P22" s="179">
        <f>VLOOKUP(A22,'OI(Value)'!A22:O246,8,0)</f>
        <v>1211</v>
      </c>
      <c r="Q22" s="179">
        <f>VLOOKUP(A22,'OI(Value)'!A22:O246,9,0)</f>
        <v>89</v>
      </c>
      <c r="R22" s="179">
        <f>VLOOKUP(A22,'OI(Value)'!A22:O246,11,0)</f>
        <v>1486</v>
      </c>
      <c r="S22" s="179">
        <f>VLOOKUP(A22,'OI(Value)'!A22:O246,11,0)</f>
        <v>1486</v>
      </c>
    </row>
    <row r="23" spans="1:19" x14ac:dyDescent="0.25">
      <c r="A23" s="105" t="str">
        <f>'Data Vlaue (Cr)'!C18</f>
        <v>ASTRAL</v>
      </c>
      <c r="B23" s="143">
        <f>VLOOKUP($A23,'Data shares'!$C:$FA,118)</f>
        <v>0.61</v>
      </c>
      <c r="C23" s="143">
        <f>VLOOKUP($A23,'Data shares'!$C:$FA,119)</f>
        <v>0.59</v>
      </c>
      <c r="D23" s="143">
        <f>VLOOKUP($A23,'Data shares'!$C:$FA,121)*100</f>
        <v>3.39</v>
      </c>
      <c r="E23" s="143">
        <f>VLOOKUP($A23,'Data shares'!$C:$FA,124)</f>
        <v>0.38</v>
      </c>
      <c r="F23" s="143">
        <f>VLOOKUP($A23,'Data shares'!$C:$FA,125)</f>
        <v>0.49</v>
      </c>
      <c r="G23" s="143">
        <f>VLOOKUP($A23,'Data shares'!$C:$FA,127)*100</f>
        <v>-22.45</v>
      </c>
      <c r="H23" s="103">
        <f>VLOOKUP($A23,'OI(Volume)'!$A$7:$O$445,8)</f>
        <v>4069375</v>
      </c>
      <c r="I23" s="103">
        <f>VLOOKUP($A23,'OI(Volume)'!$A$7:$O$445,9)</f>
        <v>-162350</v>
      </c>
      <c r="J23" s="103">
        <f>VLOOKUP($A23,'OI(Volume)'!$A$7:$O$445,11)</f>
        <v>2493475</v>
      </c>
      <c r="K23" s="103">
        <f>VLOOKUP($A23,'OI(Volume)'!$A$7:$O$445,12)</f>
        <v>6800</v>
      </c>
      <c r="L23" s="103">
        <f>VLOOKUP($A23,'OI(Value)'!$A$7:$O$329,8,0)</f>
        <v>628</v>
      </c>
      <c r="M23" s="103">
        <f>VLOOKUP($A23,'OI(Value)'!$A$7:$O$329,9,0)</f>
        <v>-25</v>
      </c>
      <c r="N23" s="103">
        <f>VLOOKUP($A23,'OI(Value)'!$A$7:$O$329,11,0)</f>
        <v>385</v>
      </c>
      <c r="O23" s="103">
        <f>VLOOKUP($A23,'OI(Value)'!$A$7:$O$329,12,0)</f>
        <v>1</v>
      </c>
      <c r="P23" s="179">
        <f>VLOOKUP(A23,'OI(Value)'!A23:O247,8,0)</f>
        <v>628</v>
      </c>
      <c r="Q23" s="179">
        <f>VLOOKUP(A23,'OI(Value)'!A23:O247,9,0)</f>
        <v>-25</v>
      </c>
      <c r="R23" s="179">
        <f>VLOOKUP(A23,'OI(Value)'!A23:O247,11,0)</f>
        <v>385</v>
      </c>
      <c r="S23" s="179">
        <f>VLOOKUP(A23,'OI(Value)'!A23:O247,11,0)</f>
        <v>385</v>
      </c>
    </row>
    <row r="24" spans="1:19" x14ac:dyDescent="0.25">
      <c r="A24" s="105" t="str">
        <f>'Data Vlaue (Cr)'!C19</f>
        <v>AUBANK</v>
      </c>
      <c r="B24" s="143">
        <f>VLOOKUP($A24,'Data shares'!$C:$FA,118)</f>
        <v>0.8</v>
      </c>
      <c r="C24" s="143">
        <f>VLOOKUP($A24,'Data shares'!$C:$FA,119)</f>
        <v>0.8</v>
      </c>
      <c r="D24" s="143">
        <f>VLOOKUP($A24,'Data shares'!$C:$FA,121)*100</f>
        <v>0</v>
      </c>
      <c r="E24" s="143">
        <f>VLOOKUP($A24,'Data shares'!$C:$FA,124)</f>
        <v>0.56999999999999995</v>
      </c>
      <c r="F24" s="143">
        <f>VLOOKUP($A24,'Data shares'!$C:$FA,125)</f>
        <v>0.75</v>
      </c>
      <c r="G24" s="143">
        <f>VLOOKUP($A24,'Data shares'!$C:$FA,127)*100</f>
        <v>-24</v>
      </c>
      <c r="H24" s="103">
        <f>VLOOKUP($A24,'OI(Volume)'!$A$7:$O$445,8)</f>
        <v>7193000</v>
      </c>
      <c r="I24" s="103">
        <f>VLOOKUP($A24,'OI(Volume)'!$A$7:$O$445,9)</f>
        <v>394000</v>
      </c>
      <c r="J24" s="103">
        <f>VLOOKUP($A24,'OI(Volume)'!$A$7:$O$445,11)</f>
        <v>5755000</v>
      </c>
      <c r="K24" s="103">
        <f>VLOOKUP($A24,'OI(Volume)'!$A$7:$O$445,12)</f>
        <v>325000</v>
      </c>
      <c r="L24" s="103">
        <f>VLOOKUP($A24,'OI(Value)'!$A$7:$O$329,8,0)</f>
        <v>718</v>
      </c>
      <c r="M24" s="103">
        <f>VLOOKUP($A24,'OI(Value)'!$A$7:$O$329,9,0)</f>
        <v>39</v>
      </c>
      <c r="N24" s="103">
        <f>VLOOKUP($A24,'OI(Value)'!$A$7:$O$329,11,0)</f>
        <v>575</v>
      </c>
      <c r="O24" s="103">
        <f>VLOOKUP($A24,'OI(Value)'!$A$7:$O$329,12,0)</f>
        <v>32</v>
      </c>
      <c r="P24" s="179">
        <f>VLOOKUP(A24,'OI(Value)'!A24:O248,8,0)</f>
        <v>718</v>
      </c>
      <c r="Q24" s="179">
        <f>VLOOKUP(A24,'OI(Value)'!A24:O248,9,0)</f>
        <v>39</v>
      </c>
      <c r="R24" s="179">
        <f>VLOOKUP(A24,'OI(Value)'!A24:O248,11,0)</f>
        <v>575</v>
      </c>
      <c r="S24" s="179">
        <f>VLOOKUP(A24,'OI(Value)'!A24:O248,11,0)</f>
        <v>575</v>
      </c>
    </row>
    <row r="25" spans="1:19" x14ac:dyDescent="0.25">
      <c r="A25" s="105" t="str">
        <f>'Data Vlaue (Cr)'!C20</f>
        <v>AUROPHARMA</v>
      </c>
      <c r="B25" s="143">
        <f>VLOOKUP($A25,'Data shares'!$C:$FA,118)</f>
        <v>0.64</v>
      </c>
      <c r="C25" s="143">
        <f>VLOOKUP($A25,'Data shares'!$C:$FA,119)</f>
        <v>0.7</v>
      </c>
      <c r="D25" s="143">
        <f>VLOOKUP($A25,'Data shares'!$C:$FA,121)*100</f>
        <v>-8.57</v>
      </c>
      <c r="E25" s="143">
        <f>VLOOKUP($A25,'Data shares'!$C:$FA,124)</f>
        <v>0.63</v>
      </c>
      <c r="F25" s="143">
        <f>VLOOKUP($A25,'Data shares'!$C:$FA,125)</f>
        <v>0.67</v>
      </c>
      <c r="G25" s="143">
        <f>VLOOKUP($A25,'Data shares'!$C:$FA,127)*100</f>
        <v>-5.9700000000000006</v>
      </c>
      <c r="H25" s="103">
        <f>VLOOKUP($A25,'OI(Volume)'!$A$7:$O$445,8)</f>
        <v>4244350</v>
      </c>
      <c r="I25" s="103">
        <f>VLOOKUP($A25,'OI(Volume)'!$A$7:$O$445,9)</f>
        <v>391050</v>
      </c>
      <c r="J25" s="103">
        <f>VLOOKUP($A25,'OI(Volume)'!$A$7:$O$445,11)</f>
        <v>2696100</v>
      </c>
      <c r="K25" s="103">
        <f>VLOOKUP($A25,'OI(Volume)'!$A$7:$O$445,12)</f>
        <v>-4950</v>
      </c>
      <c r="L25" s="103">
        <f>VLOOKUP($A25,'OI(Value)'!$A$7:$O$329,8,0)</f>
        <v>581</v>
      </c>
      <c r="M25" s="103">
        <f>VLOOKUP($A25,'OI(Value)'!$A$7:$O$329,9,0)</f>
        <v>54</v>
      </c>
      <c r="N25" s="103">
        <f>VLOOKUP($A25,'OI(Value)'!$A$7:$O$329,11,0)</f>
        <v>369</v>
      </c>
      <c r="O25" s="103">
        <f>VLOOKUP($A25,'OI(Value)'!$A$7:$O$329,12,0)</f>
        <v>-1</v>
      </c>
      <c r="P25" s="179">
        <f>VLOOKUP(A25,'OI(Value)'!A25:O249,8,0)</f>
        <v>581</v>
      </c>
      <c r="Q25" s="179">
        <f>VLOOKUP(A25,'OI(Value)'!A25:O249,9,0)</f>
        <v>54</v>
      </c>
      <c r="R25" s="179">
        <f>VLOOKUP(A25,'OI(Value)'!A25:O249,11,0)</f>
        <v>369</v>
      </c>
      <c r="S25" s="179">
        <f>VLOOKUP(A25,'OI(Value)'!A25:O249,11,0)</f>
        <v>369</v>
      </c>
    </row>
    <row r="26" spans="1:19" x14ac:dyDescent="0.25">
      <c r="A26" s="105" t="str">
        <f>'Data Vlaue (Cr)'!C21</f>
        <v>AXISBANK</v>
      </c>
      <c r="B26" s="143">
        <f>VLOOKUP($A26,'Data shares'!$C:$FA,118)</f>
        <v>0.81</v>
      </c>
      <c r="C26" s="143">
        <f>VLOOKUP($A26,'Data shares'!$C:$FA,119)</f>
        <v>0.84</v>
      </c>
      <c r="D26" s="143">
        <f>VLOOKUP($A26,'Data shares'!$C:$FA,121)*100</f>
        <v>-3.5700000000000003</v>
      </c>
      <c r="E26" s="143">
        <f>VLOOKUP($A26,'Data shares'!$C:$FA,124)</f>
        <v>0.69</v>
      </c>
      <c r="F26" s="143">
        <f>VLOOKUP($A26,'Data shares'!$C:$FA,125)</f>
        <v>0.69</v>
      </c>
      <c r="G26" s="143">
        <f>VLOOKUP($A26,'Data shares'!$C:$FA,127)*100</f>
        <v>0</v>
      </c>
      <c r="H26" s="103">
        <f>VLOOKUP($A26,'OI(Volume)'!$A$7:$O$445,8)</f>
        <v>16973750</v>
      </c>
      <c r="I26" s="103">
        <f>VLOOKUP($A26,'OI(Volume)'!$A$7:$O$445,9)</f>
        <v>280625</v>
      </c>
      <c r="J26" s="103">
        <f>VLOOKUP($A26,'OI(Volume)'!$A$7:$O$445,11)</f>
        <v>13691875</v>
      </c>
      <c r="K26" s="103">
        <f>VLOOKUP($A26,'OI(Volume)'!$A$7:$O$445,12)</f>
        <v>-286875</v>
      </c>
      <c r="L26" s="103">
        <f>VLOOKUP($A26,'OI(Value)'!$A$7:$O$329,8,0)</f>
        <v>2302</v>
      </c>
      <c r="M26" s="103">
        <f>VLOOKUP($A26,'OI(Value)'!$A$7:$O$329,9,0)</f>
        <v>38</v>
      </c>
      <c r="N26" s="103">
        <f>VLOOKUP($A26,'OI(Value)'!$A$7:$O$329,11,0)</f>
        <v>1857</v>
      </c>
      <c r="O26" s="103">
        <f>VLOOKUP($A26,'OI(Value)'!$A$7:$O$329,12,0)</f>
        <v>-39</v>
      </c>
      <c r="P26" s="179">
        <f>VLOOKUP(A26,'OI(Value)'!A26:O250,8,0)</f>
        <v>2302</v>
      </c>
      <c r="Q26" s="179">
        <f>VLOOKUP(A26,'OI(Value)'!A26:O250,9,0)</f>
        <v>38</v>
      </c>
      <c r="R26" s="179">
        <f>VLOOKUP(A26,'OI(Value)'!A26:O250,11,0)</f>
        <v>1857</v>
      </c>
      <c r="S26" s="179">
        <f>VLOOKUP(A26,'OI(Value)'!A26:O250,11,0)</f>
        <v>1857</v>
      </c>
    </row>
    <row r="27" spans="1:19" x14ac:dyDescent="0.25">
      <c r="A27" s="105" t="str">
        <f>'Data Vlaue (Cr)'!C22</f>
        <v>BAJAJ-AUTO</v>
      </c>
      <c r="B27" s="143">
        <f>VLOOKUP($A27,'Data shares'!$C:$FA,118)</f>
        <v>0.91</v>
      </c>
      <c r="C27" s="143">
        <f>VLOOKUP($A27,'Data shares'!$C:$FA,119)</f>
        <v>0.89</v>
      </c>
      <c r="D27" s="143">
        <f>VLOOKUP($A27,'Data shares'!$C:$FA,121)*100</f>
        <v>2.25</v>
      </c>
      <c r="E27" s="143">
        <f>VLOOKUP($A27,'Data shares'!$C:$FA,124)</f>
        <v>0.51</v>
      </c>
      <c r="F27" s="143">
        <f>VLOOKUP($A27,'Data shares'!$C:$FA,125)</f>
        <v>0.67</v>
      </c>
      <c r="G27" s="143">
        <f>VLOOKUP($A27,'Data shares'!$C:$FA,127)*100</f>
        <v>-23.880000000000003</v>
      </c>
      <c r="H27" s="103">
        <f>VLOOKUP($A27,'OI(Volume)'!$A$7:$O$445,8)</f>
        <v>1235550</v>
      </c>
      <c r="I27" s="103">
        <f>VLOOKUP($A27,'OI(Volume)'!$A$7:$O$445,9)</f>
        <v>-46950</v>
      </c>
      <c r="J27" s="103">
        <f>VLOOKUP($A27,'OI(Volume)'!$A$7:$O$445,11)</f>
        <v>1121625</v>
      </c>
      <c r="K27" s="103">
        <f>VLOOKUP($A27,'OI(Volume)'!$A$7:$O$445,12)</f>
        <v>-17400</v>
      </c>
      <c r="L27" s="103">
        <f>VLOOKUP($A27,'OI(Value)'!$A$7:$O$329,8,0)</f>
        <v>1212</v>
      </c>
      <c r="M27" s="103">
        <f>VLOOKUP($A27,'OI(Value)'!$A$7:$O$329,9,0)</f>
        <v>-46</v>
      </c>
      <c r="N27" s="103">
        <f>VLOOKUP($A27,'OI(Value)'!$A$7:$O$329,11,0)</f>
        <v>1100</v>
      </c>
      <c r="O27" s="103">
        <f>VLOOKUP($A27,'OI(Value)'!$A$7:$O$329,12,0)</f>
        <v>-17</v>
      </c>
      <c r="P27" s="179">
        <f>VLOOKUP(A27,'OI(Value)'!A27:O251,8,0)</f>
        <v>1212</v>
      </c>
      <c r="Q27" s="179">
        <f>VLOOKUP(A27,'OI(Value)'!A27:O251,9,0)</f>
        <v>-46</v>
      </c>
      <c r="R27" s="179">
        <f>VLOOKUP(A27,'OI(Value)'!A27:O251,11,0)</f>
        <v>1100</v>
      </c>
      <c r="S27" s="179">
        <f>VLOOKUP(A27,'OI(Value)'!A27:O251,11,0)</f>
        <v>1100</v>
      </c>
    </row>
    <row r="28" spans="1:19" x14ac:dyDescent="0.25">
      <c r="A28" s="105" t="str">
        <f>'Data Vlaue (Cr)'!C23</f>
        <v>BAJAJFINSV</v>
      </c>
      <c r="B28" s="143">
        <f>VLOOKUP($A28,'Data shares'!$C:$FA,118)</f>
        <v>1.01</v>
      </c>
      <c r="C28" s="143">
        <f>VLOOKUP($A28,'Data shares'!$C:$FA,119)</f>
        <v>1.02</v>
      </c>
      <c r="D28" s="143">
        <f>VLOOKUP($A28,'Data shares'!$C:$FA,121)*100</f>
        <v>-0.98</v>
      </c>
      <c r="E28" s="143">
        <f>VLOOKUP($A28,'Data shares'!$C:$FA,124)</f>
        <v>0.66</v>
      </c>
      <c r="F28" s="143">
        <f>VLOOKUP($A28,'Data shares'!$C:$FA,125)</f>
        <v>0.66</v>
      </c>
      <c r="G28" s="143">
        <f>VLOOKUP($A28,'Data shares'!$C:$FA,127)*100</f>
        <v>0</v>
      </c>
      <c r="H28" s="103">
        <f>VLOOKUP($A28,'OI(Volume)'!$A$7:$O$445,8)</f>
        <v>3527250</v>
      </c>
      <c r="I28" s="103">
        <f>VLOOKUP($A28,'OI(Volume)'!$A$7:$O$445,9)</f>
        <v>28500</v>
      </c>
      <c r="J28" s="103">
        <f>VLOOKUP($A28,'OI(Volume)'!$A$7:$O$445,11)</f>
        <v>3571000</v>
      </c>
      <c r="K28" s="103">
        <f>VLOOKUP($A28,'OI(Volume)'!$A$7:$O$445,12)</f>
        <v>-7500</v>
      </c>
      <c r="L28" s="103">
        <f>VLOOKUP($A28,'OI(Value)'!$A$7:$O$329,8,0)</f>
        <v>645</v>
      </c>
      <c r="M28" s="103">
        <f>VLOOKUP($A28,'OI(Value)'!$A$7:$O$329,9,0)</f>
        <v>5</v>
      </c>
      <c r="N28" s="103">
        <f>VLOOKUP($A28,'OI(Value)'!$A$7:$O$329,11,0)</f>
        <v>653</v>
      </c>
      <c r="O28" s="103">
        <f>VLOOKUP($A28,'OI(Value)'!$A$7:$O$329,12,0)</f>
        <v>-1</v>
      </c>
      <c r="P28" s="179">
        <f>VLOOKUP(A28,'OI(Value)'!A28:O252,8,0)</f>
        <v>645</v>
      </c>
      <c r="Q28" s="179">
        <f>VLOOKUP(A28,'OI(Value)'!A28:O252,9,0)</f>
        <v>5</v>
      </c>
      <c r="R28" s="179">
        <f>VLOOKUP(A28,'OI(Value)'!A28:O252,11,0)</f>
        <v>653</v>
      </c>
      <c r="S28" s="179">
        <f>VLOOKUP(A28,'OI(Value)'!A28:O252,11,0)</f>
        <v>653</v>
      </c>
    </row>
    <row r="29" spans="1:19" x14ac:dyDescent="0.25">
      <c r="A29" s="105" t="str">
        <f>'Data Vlaue (Cr)'!C24</f>
        <v>BAJAJHLDNG</v>
      </c>
      <c r="B29" s="143">
        <f>VLOOKUP($A29,'Data shares'!$C:$FA,118)</f>
        <v>0.75</v>
      </c>
      <c r="C29" s="143">
        <f>VLOOKUP($A29,'Data shares'!$C:$FA,119)</f>
        <v>0.55000000000000004</v>
      </c>
      <c r="D29" s="143">
        <f>VLOOKUP($A29,'Data shares'!$C:$FA,121)*100</f>
        <v>36.36</v>
      </c>
      <c r="E29" s="143">
        <f>VLOOKUP($A29,'Data shares'!$C:$FA,124)</f>
        <v>1.65</v>
      </c>
      <c r="F29" s="143">
        <f>VLOOKUP($A29,'Data shares'!$C:$FA,125)</f>
        <v>1.5</v>
      </c>
      <c r="G29" s="143">
        <f>VLOOKUP($A29,'Data shares'!$C:$FA,127)*100</f>
        <v>10</v>
      </c>
      <c r="H29" s="103">
        <f>VLOOKUP($A29,'OI(Volume)'!$A$7:$O$445,8)</f>
        <v>75400</v>
      </c>
      <c r="I29" s="103">
        <f>VLOOKUP($A29,'OI(Volume)'!$A$7:$O$445,9)</f>
        <v>-9900</v>
      </c>
      <c r="J29" s="103">
        <f>VLOOKUP($A29,'OI(Volume)'!$A$7:$O$445,11)</f>
        <v>56600</v>
      </c>
      <c r="K29" s="103">
        <f>VLOOKUP($A29,'OI(Volume)'!$A$7:$O$445,12)</f>
        <v>9700</v>
      </c>
      <c r="L29" s="103">
        <f>VLOOKUP($A29,'OI(Value)'!$A$7:$O$329,8,0)</f>
        <v>78</v>
      </c>
      <c r="M29" s="103">
        <f>VLOOKUP($A29,'OI(Value)'!$A$7:$O$329,9,0)</f>
        <v>-10</v>
      </c>
      <c r="N29" s="103">
        <f>VLOOKUP($A29,'OI(Value)'!$A$7:$O$329,11,0)</f>
        <v>59</v>
      </c>
      <c r="O29" s="103">
        <f>VLOOKUP($A29,'OI(Value)'!$A$7:$O$329,12,0)</f>
        <v>10</v>
      </c>
      <c r="P29" s="179">
        <f>VLOOKUP(A29,'OI(Value)'!A29:O253,8,0)</f>
        <v>78</v>
      </c>
      <c r="Q29" s="179">
        <f>VLOOKUP(A29,'OI(Value)'!A29:O253,9,0)</f>
        <v>-10</v>
      </c>
      <c r="R29" s="179">
        <f>VLOOKUP(A29,'OI(Value)'!A29:O253,11,0)</f>
        <v>59</v>
      </c>
      <c r="S29" s="179">
        <f>VLOOKUP(A29,'OI(Value)'!A29:O253,11,0)</f>
        <v>59</v>
      </c>
    </row>
    <row r="30" spans="1:19" x14ac:dyDescent="0.25">
      <c r="A30" s="105" t="str">
        <f>'Data Vlaue (Cr)'!C25</f>
        <v>BAJFINANCE</v>
      </c>
      <c r="B30" s="143">
        <f>VLOOKUP($A30,'Data shares'!$C:$FA,118)</f>
        <v>0.8</v>
      </c>
      <c r="C30" s="143">
        <f>VLOOKUP($A30,'Data shares'!$C:$FA,119)</f>
        <v>0.78</v>
      </c>
      <c r="D30" s="143">
        <f>VLOOKUP($A30,'Data shares'!$C:$FA,121)*100</f>
        <v>2.56</v>
      </c>
      <c r="E30" s="143">
        <f>VLOOKUP($A30,'Data shares'!$C:$FA,124)</f>
        <v>0.56000000000000005</v>
      </c>
      <c r="F30" s="143">
        <f>VLOOKUP($A30,'Data shares'!$C:$FA,125)</f>
        <v>0.63</v>
      </c>
      <c r="G30" s="143">
        <f>VLOOKUP($A30,'Data shares'!$C:$FA,127)*100</f>
        <v>-11.110000000000001</v>
      </c>
      <c r="H30" s="103">
        <f>VLOOKUP($A30,'OI(Volume)'!$A$7:$O$445,8)</f>
        <v>21276000</v>
      </c>
      <c r="I30" s="103">
        <f>VLOOKUP($A30,'OI(Volume)'!$A$7:$O$445,9)</f>
        <v>-662250</v>
      </c>
      <c r="J30" s="103">
        <f>VLOOKUP($A30,'OI(Volume)'!$A$7:$O$445,11)</f>
        <v>17077500</v>
      </c>
      <c r="K30" s="103">
        <f>VLOOKUP($A30,'OI(Volume)'!$A$7:$O$445,12)</f>
        <v>-8250</v>
      </c>
      <c r="L30" s="103">
        <f>VLOOKUP($A30,'OI(Value)'!$A$7:$O$329,8,0)</f>
        <v>1951</v>
      </c>
      <c r="M30" s="103">
        <f>VLOOKUP($A30,'OI(Value)'!$A$7:$O$329,9,0)</f>
        <v>-61</v>
      </c>
      <c r="N30" s="103">
        <f>VLOOKUP($A30,'OI(Value)'!$A$7:$O$329,11,0)</f>
        <v>1566</v>
      </c>
      <c r="O30" s="103">
        <f>VLOOKUP($A30,'OI(Value)'!$A$7:$O$329,12,0)</f>
        <v>-1</v>
      </c>
      <c r="P30" s="179">
        <f>VLOOKUP(A30,'OI(Value)'!A30:O254,8,0)</f>
        <v>1951</v>
      </c>
      <c r="Q30" s="179">
        <f>VLOOKUP(A30,'OI(Value)'!A30:O254,9,0)</f>
        <v>-61</v>
      </c>
      <c r="R30" s="179">
        <f>VLOOKUP(A30,'OI(Value)'!A30:O254,11,0)</f>
        <v>1566</v>
      </c>
      <c r="S30" s="179">
        <f>VLOOKUP(A30,'OI(Value)'!A30:O254,11,0)</f>
        <v>1566</v>
      </c>
    </row>
    <row r="31" spans="1:19" x14ac:dyDescent="0.25">
      <c r="A31" s="105" t="str">
        <f>'Data Vlaue (Cr)'!C26</f>
        <v>BANDHANBNK</v>
      </c>
      <c r="B31" s="143">
        <f>VLOOKUP($A31,'Data shares'!$C:$FA,118)</f>
        <v>0.71</v>
      </c>
      <c r="C31" s="143">
        <f>VLOOKUP($A31,'Data shares'!$C:$FA,119)</f>
        <v>0.77</v>
      </c>
      <c r="D31" s="143">
        <f>VLOOKUP($A31,'Data shares'!$C:$FA,121)*100</f>
        <v>-7.79</v>
      </c>
      <c r="E31" s="143">
        <f>VLOOKUP($A31,'Data shares'!$C:$FA,124)</f>
        <v>0.6</v>
      </c>
      <c r="F31" s="143">
        <f>VLOOKUP($A31,'Data shares'!$C:$FA,125)</f>
        <v>0.74</v>
      </c>
      <c r="G31" s="143">
        <f>VLOOKUP($A31,'Data shares'!$C:$FA,127)*100</f>
        <v>-18.920000000000002</v>
      </c>
      <c r="H31" s="103">
        <f>VLOOKUP($A31,'OI(Volume)'!$A$7:$O$445,8)</f>
        <v>27104400</v>
      </c>
      <c r="I31" s="103">
        <f>VLOOKUP($A31,'OI(Volume)'!$A$7:$O$445,9)</f>
        <v>842400</v>
      </c>
      <c r="J31" s="103">
        <f>VLOOKUP($A31,'OI(Volume)'!$A$7:$O$445,11)</f>
        <v>19188000</v>
      </c>
      <c r="K31" s="103">
        <f>VLOOKUP($A31,'OI(Volume)'!$A$7:$O$445,12)</f>
        <v>-1008000</v>
      </c>
      <c r="L31" s="103">
        <f>VLOOKUP($A31,'OI(Value)'!$A$7:$O$329,8,0)</f>
        <v>475</v>
      </c>
      <c r="M31" s="103">
        <f>VLOOKUP($A31,'OI(Value)'!$A$7:$O$329,9,0)</f>
        <v>15</v>
      </c>
      <c r="N31" s="103">
        <f>VLOOKUP($A31,'OI(Value)'!$A$7:$O$329,11,0)</f>
        <v>336</v>
      </c>
      <c r="O31" s="103">
        <f>VLOOKUP($A31,'OI(Value)'!$A$7:$O$329,12,0)</f>
        <v>-18</v>
      </c>
      <c r="P31" s="179">
        <f>VLOOKUP(A31,'OI(Value)'!A31:O255,8,0)</f>
        <v>475</v>
      </c>
      <c r="Q31" s="179">
        <f>VLOOKUP(A31,'OI(Value)'!A31:O255,9,0)</f>
        <v>15</v>
      </c>
      <c r="R31" s="179">
        <f>VLOOKUP(A31,'OI(Value)'!A31:O255,11,0)</f>
        <v>336</v>
      </c>
      <c r="S31" s="179">
        <f>VLOOKUP(A31,'OI(Value)'!A31:O255,11,0)</f>
        <v>336</v>
      </c>
    </row>
    <row r="32" spans="1:19" x14ac:dyDescent="0.25">
      <c r="A32" s="105" t="str">
        <f>'Data Vlaue (Cr)'!C27</f>
        <v>BANKBARODA</v>
      </c>
      <c r="B32" s="143">
        <f>VLOOKUP($A32,'Data shares'!$C:$FA,118)</f>
        <v>0.95</v>
      </c>
      <c r="C32" s="143">
        <f>VLOOKUP($A32,'Data shares'!$C:$FA,119)</f>
        <v>0.95</v>
      </c>
      <c r="D32" s="143">
        <f>VLOOKUP($A32,'Data shares'!$C:$FA,121)*100</f>
        <v>0</v>
      </c>
      <c r="E32" s="143">
        <f>VLOOKUP($A32,'Data shares'!$C:$FA,124)</f>
        <v>0.62</v>
      </c>
      <c r="F32" s="143">
        <f>VLOOKUP($A32,'Data shares'!$C:$FA,125)</f>
        <v>0.71</v>
      </c>
      <c r="G32" s="143">
        <f>VLOOKUP($A32,'Data shares'!$C:$FA,127)*100</f>
        <v>-12.68</v>
      </c>
      <c r="H32" s="103">
        <f>VLOOKUP($A32,'OI(Volume)'!$A$7:$O$445,8)</f>
        <v>44106075</v>
      </c>
      <c r="I32" s="103">
        <f>VLOOKUP($A32,'OI(Volume)'!$A$7:$O$445,9)</f>
        <v>2822625</v>
      </c>
      <c r="J32" s="103">
        <f>VLOOKUP($A32,'OI(Volume)'!$A$7:$O$445,11)</f>
        <v>41725125</v>
      </c>
      <c r="K32" s="103">
        <f>VLOOKUP($A32,'OI(Volume)'!$A$7:$O$445,12)</f>
        <v>2351700</v>
      </c>
      <c r="L32" s="103">
        <f>VLOOKUP($A32,'OI(Value)'!$A$7:$O$329,8,0)</f>
        <v>1239</v>
      </c>
      <c r="M32" s="103">
        <f>VLOOKUP($A32,'OI(Value)'!$A$7:$O$329,9,0)</f>
        <v>79</v>
      </c>
      <c r="N32" s="103">
        <f>VLOOKUP($A32,'OI(Value)'!$A$7:$O$329,11,0)</f>
        <v>1172</v>
      </c>
      <c r="O32" s="103">
        <f>VLOOKUP($A32,'OI(Value)'!$A$7:$O$329,12,0)</f>
        <v>66</v>
      </c>
      <c r="P32" s="179">
        <f>VLOOKUP(A32,'OI(Value)'!A32:O256,8,0)</f>
        <v>1239</v>
      </c>
      <c r="Q32" s="179">
        <f>VLOOKUP(A32,'OI(Value)'!A32:O256,9,0)</f>
        <v>79</v>
      </c>
      <c r="R32" s="179">
        <f>VLOOKUP(A32,'OI(Value)'!A32:O256,11,0)</f>
        <v>1172</v>
      </c>
      <c r="S32" s="179">
        <f>VLOOKUP(A32,'OI(Value)'!A32:O256,11,0)</f>
        <v>1172</v>
      </c>
    </row>
    <row r="33" spans="1:19" x14ac:dyDescent="0.25">
      <c r="A33" s="105" t="str">
        <f>'Data Vlaue (Cr)'!C28</f>
        <v>BANKINDIA</v>
      </c>
      <c r="B33" s="143">
        <f>VLOOKUP($A33,'Data shares'!$C:$FA,118)</f>
        <v>0.75</v>
      </c>
      <c r="C33" s="143">
        <f>VLOOKUP($A33,'Data shares'!$C:$FA,119)</f>
        <v>0.87</v>
      </c>
      <c r="D33" s="143">
        <f>VLOOKUP($A33,'Data shares'!$C:$FA,121)*100</f>
        <v>-13.79</v>
      </c>
      <c r="E33" s="143">
        <f>VLOOKUP($A33,'Data shares'!$C:$FA,124)</f>
        <v>0.26</v>
      </c>
      <c r="F33" s="143">
        <f>VLOOKUP($A33,'Data shares'!$C:$FA,125)</f>
        <v>0.48</v>
      </c>
      <c r="G33" s="143">
        <f>VLOOKUP($A33,'Data shares'!$C:$FA,127)*100</f>
        <v>-45.83</v>
      </c>
      <c r="H33" s="103">
        <f>VLOOKUP($A33,'OI(Volume)'!$A$7:$O$445,8)</f>
        <v>30004000</v>
      </c>
      <c r="I33" s="103">
        <f>VLOOKUP($A33,'OI(Volume)'!$A$7:$O$445,9)</f>
        <v>4378400</v>
      </c>
      <c r="J33" s="103">
        <f>VLOOKUP($A33,'OI(Volume)'!$A$7:$O$445,11)</f>
        <v>22609600</v>
      </c>
      <c r="K33" s="103">
        <f>VLOOKUP($A33,'OI(Volume)'!$A$7:$O$445,12)</f>
        <v>218400</v>
      </c>
      <c r="L33" s="103">
        <f>VLOOKUP($A33,'OI(Value)'!$A$7:$O$329,8,0)</f>
        <v>446</v>
      </c>
      <c r="M33" s="103">
        <f>VLOOKUP($A33,'OI(Value)'!$A$7:$O$329,9,0)</f>
        <v>65</v>
      </c>
      <c r="N33" s="103">
        <f>VLOOKUP($A33,'OI(Value)'!$A$7:$O$329,11,0)</f>
        <v>336</v>
      </c>
      <c r="O33" s="103">
        <f>VLOOKUP($A33,'OI(Value)'!$A$7:$O$329,12,0)</f>
        <v>3</v>
      </c>
      <c r="P33" s="179">
        <f>VLOOKUP(A33,'OI(Value)'!A33:O257,8,0)</f>
        <v>446</v>
      </c>
      <c r="Q33" s="179">
        <f>VLOOKUP(A33,'OI(Value)'!A33:O257,9,0)</f>
        <v>65</v>
      </c>
      <c r="R33" s="179">
        <f>VLOOKUP(A33,'OI(Value)'!A33:O257,11,0)</f>
        <v>336</v>
      </c>
      <c r="S33" s="179">
        <f>VLOOKUP(A33,'OI(Value)'!A33:O257,11,0)</f>
        <v>336</v>
      </c>
    </row>
    <row r="34" spans="1:19" x14ac:dyDescent="0.25">
      <c r="A34" s="105" t="str">
        <f>'Data Vlaue (Cr)'!C29</f>
        <v>BANKNIFTY</v>
      </c>
      <c r="B34" s="143">
        <f>VLOOKUP($A34,'Data shares'!$C:$FA,118)</f>
        <v>0.99</v>
      </c>
      <c r="C34" s="143">
        <f>VLOOKUP($A34,'Data shares'!$C:$FA,119)</f>
        <v>0.93</v>
      </c>
      <c r="D34" s="143">
        <f>VLOOKUP($A34,'Data shares'!$C:$FA,121)*100</f>
        <v>6.45</v>
      </c>
      <c r="E34" s="143">
        <f>VLOOKUP($A34,'Data shares'!$C:$FA,124)</f>
        <v>0.94</v>
      </c>
      <c r="F34" s="143">
        <f>VLOOKUP($A34,'Data shares'!$C:$FA,125)</f>
        <v>0.88</v>
      </c>
      <c r="G34" s="143">
        <f>VLOOKUP($A34,'Data shares'!$C:$FA,127)*100</f>
        <v>6.8199999999999994</v>
      </c>
      <c r="H34" s="103">
        <f>VLOOKUP($A34,'OI(Volume)'!$A$7:$O$445,8)</f>
        <v>19775550</v>
      </c>
      <c r="I34" s="103">
        <f>VLOOKUP($A34,'OI(Volume)'!$A$7:$O$445,9)</f>
        <v>-150690</v>
      </c>
      <c r="J34" s="103">
        <f>VLOOKUP($A34,'OI(Volume)'!$A$7:$O$445,11)</f>
        <v>19667880</v>
      </c>
      <c r="K34" s="103">
        <f>VLOOKUP($A34,'OI(Volume)'!$A$7:$O$445,12)</f>
        <v>1082490</v>
      </c>
      <c r="L34" s="103">
        <f>VLOOKUP($A34,'OI(Value)'!$A$7:$O$329,8,0)</f>
        <v>111868</v>
      </c>
      <c r="M34" s="103">
        <f>VLOOKUP($A34,'OI(Value)'!$A$7:$O$329,9,0)</f>
        <v>-852</v>
      </c>
      <c r="N34" s="103">
        <f>VLOOKUP($A34,'OI(Value)'!$A$7:$O$329,11,0)</f>
        <v>111259</v>
      </c>
      <c r="O34" s="103">
        <f>VLOOKUP($A34,'OI(Value)'!$A$7:$O$329,12,0)</f>
        <v>6124</v>
      </c>
      <c r="P34" s="179">
        <f>VLOOKUP(A34,'OI(Value)'!A34:O258,8,0)</f>
        <v>111868</v>
      </c>
      <c r="Q34" s="179">
        <f>VLOOKUP(A34,'OI(Value)'!A34:O258,9,0)</f>
        <v>-852</v>
      </c>
      <c r="R34" s="179">
        <f>VLOOKUP(A34,'OI(Value)'!A34:O258,11,0)</f>
        <v>111259</v>
      </c>
      <c r="S34" s="179">
        <f>VLOOKUP(A34,'OI(Value)'!A34:O258,11,0)</f>
        <v>111259</v>
      </c>
    </row>
    <row r="35" spans="1:19" x14ac:dyDescent="0.25">
      <c r="A35" s="105" t="str">
        <f>'Data Vlaue (Cr)'!C30</f>
        <v>BDL</v>
      </c>
      <c r="B35" s="143">
        <f>VLOOKUP($A35,'Data shares'!$C:$FA,118)</f>
        <v>0.84</v>
      </c>
      <c r="C35" s="143">
        <f>VLOOKUP($A35,'Data shares'!$C:$FA,119)</f>
        <v>0.8</v>
      </c>
      <c r="D35" s="143">
        <f>VLOOKUP($A35,'Data shares'!$C:$FA,121)*100</f>
        <v>5</v>
      </c>
      <c r="E35" s="143">
        <f>VLOOKUP($A35,'Data shares'!$C:$FA,124)</f>
        <v>0.73</v>
      </c>
      <c r="F35" s="143">
        <f>VLOOKUP($A35,'Data shares'!$C:$FA,125)</f>
        <v>0.52</v>
      </c>
      <c r="G35" s="143">
        <f>VLOOKUP($A35,'Data shares'!$C:$FA,127)*100</f>
        <v>40.380000000000003</v>
      </c>
      <c r="H35" s="103">
        <f>VLOOKUP($A35,'OI(Volume)'!$A$7:$O$445,8)</f>
        <v>3253600</v>
      </c>
      <c r="I35" s="103">
        <f>VLOOKUP($A35,'OI(Volume)'!$A$7:$O$445,9)</f>
        <v>-61950</v>
      </c>
      <c r="J35" s="103">
        <f>VLOOKUP($A35,'OI(Volume)'!$A$7:$O$445,11)</f>
        <v>2738750</v>
      </c>
      <c r="K35" s="103">
        <f>VLOOKUP($A35,'OI(Volume)'!$A$7:$O$445,12)</f>
        <v>74550</v>
      </c>
      <c r="L35" s="103">
        <f>VLOOKUP($A35,'OI(Value)'!$A$7:$O$329,8,0)</f>
        <v>446</v>
      </c>
      <c r="M35" s="103">
        <f>VLOOKUP($A35,'OI(Value)'!$A$7:$O$329,9,0)</f>
        <v>-8</v>
      </c>
      <c r="N35" s="103">
        <f>VLOOKUP($A35,'OI(Value)'!$A$7:$O$329,11,0)</f>
        <v>375</v>
      </c>
      <c r="O35" s="103">
        <f>VLOOKUP($A35,'OI(Value)'!$A$7:$O$329,12,0)</f>
        <v>10</v>
      </c>
      <c r="P35" s="179">
        <f>VLOOKUP(A35,'OI(Value)'!A35:O259,8,0)</f>
        <v>446</v>
      </c>
      <c r="Q35" s="179">
        <f>VLOOKUP(A35,'OI(Value)'!A35:O259,9,0)</f>
        <v>-8</v>
      </c>
      <c r="R35" s="179">
        <f>VLOOKUP(A35,'OI(Value)'!A35:O259,11,0)</f>
        <v>375</v>
      </c>
      <c r="S35" s="179">
        <f>VLOOKUP(A35,'OI(Value)'!A35:O259,11,0)</f>
        <v>375</v>
      </c>
    </row>
    <row r="36" spans="1:19" x14ac:dyDescent="0.25">
      <c r="A36" s="105" t="str">
        <f>'Data Vlaue (Cr)'!C31</f>
        <v>BEL</v>
      </c>
      <c r="B36" s="143">
        <f>VLOOKUP($A36,'Data shares'!$C:$FA,118)</f>
        <v>0.73</v>
      </c>
      <c r="C36" s="143">
        <f>VLOOKUP($A36,'Data shares'!$C:$FA,119)</f>
        <v>0.75</v>
      </c>
      <c r="D36" s="143">
        <f>VLOOKUP($A36,'Data shares'!$C:$FA,121)*100</f>
        <v>-2.67</v>
      </c>
      <c r="E36" s="143">
        <f>VLOOKUP($A36,'Data shares'!$C:$FA,124)</f>
        <v>0.59</v>
      </c>
      <c r="F36" s="143">
        <f>VLOOKUP($A36,'Data shares'!$C:$FA,125)</f>
        <v>0.5</v>
      </c>
      <c r="G36" s="143">
        <f>VLOOKUP($A36,'Data shares'!$C:$FA,127)*100</f>
        <v>18</v>
      </c>
      <c r="H36" s="103">
        <f>VLOOKUP($A36,'OI(Volume)'!$A$7:$O$445,8)</f>
        <v>42465000</v>
      </c>
      <c r="I36" s="103">
        <f>VLOOKUP($A36,'OI(Volume)'!$A$7:$O$445,9)</f>
        <v>537225</v>
      </c>
      <c r="J36" s="103">
        <f>VLOOKUP($A36,'OI(Volume)'!$A$7:$O$445,11)</f>
        <v>31206075</v>
      </c>
      <c r="K36" s="103">
        <f>VLOOKUP($A36,'OI(Volume)'!$A$7:$O$445,12)</f>
        <v>-320625</v>
      </c>
      <c r="L36" s="103">
        <f>VLOOKUP($A36,'OI(Value)'!$A$7:$O$329,8,0)</f>
        <v>1944</v>
      </c>
      <c r="M36" s="103">
        <f>VLOOKUP($A36,'OI(Value)'!$A$7:$O$329,9,0)</f>
        <v>25</v>
      </c>
      <c r="N36" s="103">
        <f>VLOOKUP($A36,'OI(Value)'!$A$7:$O$329,11,0)</f>
        <v>1429</v>
      </c>
      <c r="O36" s="103">
        <f>VLOOKUP($A36,'OI(Value)'!$A$7:$O$329,12,0)</f>
        <v>-15</v>
      </c>
      <c r="P36" s="179">
        <f>VLOOKUP(A36,'OI(Value)'!A36:O260,8,0)</f>
        <v>1944</v>
      </c>
      <c r="Q36" s="179">
        <f>VLOOKUP(A36,'OI(Value)'!A36:O260,9,0)</f>
        <v>25</v>
      </c>
      <c r="R36" s="179">
        <f>VLOOKUP(A36,'OI(Value)'!A36:O260,11,0)</f>
        <v>1429</v>
      </c>
      <c r="S36" s="179">
        <f>VLOOKUP(A36,'OI(Value)'!A36:O260,11,0)</f>
        <v>1429</v>
      </c>
    </row>
    <row r="37" spans="1:19" x14ac:dyDescent="0.25">
      <c r="A37" s="105" t="str">
        <f>'Data Vlaue (Cr)'!C32</f>
        <v>BHARATFORG</v>
      </c>
      <c r="B37" s="143">
        <f>VLOOKUP($A37,'Data shares'!$C:$FA,118)</f>
        <v>0.66</v>
      </c>
      <c r="C37" s="143">
        <f>VLOOKUP($A37,'Data shares'!$C:$FA,119)</f>
        <v>0.61</v>
      </c>
      <c r="D37" s="143">
        <f>VLOOKUP($A37,'Data shares'!$C:$FA,121)*100</f>
        <v>8.2000000000000011</v>
      </c>
      <c r="E37" s="143">
        <f>VLOOKUP($A37,'Data shares'!$C:$FA,124)</f>
        <v>0.61</v>
      </c>
      <c r="F37" s="143">
        <f>VLOOKUP($A37,'Data shares'!$C:$FA,125)</f>
        <v>0.64</v>
      </c>
      <c r="G37" s="143">
        <f>VLOOKUP($A37,'Data shares'!$C:$FA,127)*100</f>
        <v>-4.6899999999999995</v>
      </c>
      <c r="H37" s="103">
        <f>VLOOKUP($A37,'OI(Volume)'!$A$7:$O$445,8)</f>
        <v>3185000</v>
      </c>
      <c r="I37" s="103">
        <f>VLOOKUP($A37,'OI(Volume)'!$A$7:$O$445,9)</f>
        <v>-54000</v>
      </c>
      <c r="J37" s="103">
        <f>VLOOKUP($A37,'OI(Volume)'!$A$7:$O$445,11)</f>
        <v>2097000</v>
      </c>
      <c r="K37" s="103">
        <f>VLOOKUP($A37,'OI(Volume)'!$A$7:$O$445,12)</f>
        <v>111500</v>
      </c>
      <c r="L37" s="103">
        <f>VLOOKUP($A37,'OI(Value)'!$A$7:$O$329,8,0)</f>
        <v>595</v>
      </c>
      <c r="M37" s="103">
        <f>VLOOKUP($A37,'OI(Value)'!$A$7:$O$329,9,0)</f>
        <v>-10</v>
      </c>
      <c r="N37" s="103">
        <f>VLOOKUP($A37,'OI(Value)'!$A$7:$O$329,11,0)</f>
        <v>392</v>
      </c>
      <c r="O37" s="103">
        <f>VLOOKUP($A37,'OI(Value)'!$A$7:$O$329,12,0)</f>
        <v>21</v>
      </c>
      <c r="P37" s="179">
        <f>VLOOKUP(A37,'OI(Value)'!A37:O261,8,0)</f>
        <v>595</v>
      </c>
      <c r="Q37" s="179">
        <f>VLOOKUP(A37,'OI(Value)'!A37:O261,9,0)</f>
        <v>-10</v>
      </c>
      <c r="R37" s="179">
        <f>VLOOKUP(A37,'OI(Value)'!A37:O261,11,0)</f>
        <v>392</v>
      </c>
      <c r="S37" s="179">
        <f>VLOOKUP(A37,'OI(Value)'!A37:O261,11,0)</f>
        <v>392</v>
      </c>
    </row>
    <row r="38" spans="1:19" x14ac:dyDescent="0.25">
      <c r="A38" s="105" t="str">
        <f>'Data Vlaue (Cr)'!C33</f>
        <v>BHARTIARTL</v>
      </c>
      <c r="B38" s="143">
        <f>VLOOKUP($A38,'Data shares'!$C:$FA,118)</f>
        <v>0.6</v>
      </c>
      <c r="C38" s="143">
        <f>VLOOKUP($A38,'Data shares'!$C:$FA,119)</f>
        <v>0.61</v>
      </c>
      <c r="D38" s="143">
        <f>VLOOKUP($A38,'Data shares'!$C:$FA,121)*100</f>
        <v>-1.6400000000000001</v>
      </c>
      <c r="E38" s="143">
        <f>VLOOKUP($A38,'Data shares'!$C:$FA,124)</f>
        <v>0.43</v>
      </c>
      <c r="F38" s="143">
        <f>VLOOKUP($A38,'Data shares'!$C:$FA,125)</f>
        <v>0.47</v>
      </c>
      <c r="G38" s="143">
        <f>VLOOKUP($A38,'Data shares'!$C:$FA,127)*100</f>
        <v>-8.51</v>
      </c>
      <c r="H38" s="103">
        <f>VLOOKUP($A38,'OI(Volume)'!$A$7:$O$445,8)</f>
        <v>14108925</v>
      </c>
      <c r="I38" s="103">
        <f>VLOOKUP($A38,'OI(Volume)'!$A$7:$O$445,9)</f>
        <v>407075</v>
      </c>
      <c r="J38" s="103">
        <f>VLOOKUP($A38,'OI(Volume)'!$A$7:$O$445,11)</f>
        <v>8442175</v>
      </c>
      <c r="K38" s="103">
        <f>VLOOKUP($A38,'OI(Volume)'!$A$7:$O$445,12)</f>
        <v>92625</v>
      </c>
      <c r="L38" s="103">
        <f>VLOOKUP($A38,'OI(Value)'!$A$7:$O$329,8,0)</f>
        <v>2604</v>
      </c>
      <c r="M38" s="103">
        <f>VLOOKUP($A38,'OI(Value)'!$A$7:$O$329,9,0)</f>
        <v>75</v>
      </c>
      <c r="N38" s="103">
        <f>VLOOKUP($A38,'OI(Value)'!$A$7:$O$329,11,0)</f>
        <v>1558</v>
      </c>
      <c r="O38" s="103">
        <f>VLOOKUP($A38,'OI(Value)'!$A$7:$O$329,12,0)</f>
        <v>17</v>
      </c>
      <c r="P38" s="179">
        <f>VLOOKUP(A38,'OI(Value)'!A38:O262,8,0)</f>
        <v>2604</v>
      </c>
      <c r="Q38" s="179">
        <f>VLOOKUP(A38,'OI(Value)'!A38:O262,9,0)</f>
        <v>75</v>
      </c>
      <c r="R38" s="179">
        <f>VLOOKUP(A38,'OI(Value)'!A38:O262,11,0)</f>
        <v>1558</v>
      </c>
      <c r="S38" s="179">
        <f>VLOOKUP(A38,'OI(Value)'!A38:O262,11,0)</f>
        <v>1558</v>
      </c>
    </row>
    <row r="39" spans="1:19" x14ac:dyDescent="0.25">
      <c r="A39" s="105" t="str">
        <f>'Data Vlaue (Cr)'!C34</f>
        <v>BHEL</v>
      </c>
      <c r="B39" s="143">
        <f>VLOOKUP($A39,'Data shares'!$C:$FA,118)</f>
        <v>0.86</v>
      </c>
      <c r="C39" s="143">
        <f>VLOOKUP($A39,'Data shares'!$C:$FA,119)</f>
        <v>0.88</v>
      </c>
      <c r="D39" s="143">
        <f>VLOOKUP($A39,'Data shares'!$C:$FA,121)*100</f>
        <v>-2.27</v>
      </c>
      <c r="E39" s="143">
        <f>VLOOKUP($A39,'Data shares'!$C:$FA,124)</f>
        <v>0.52</v>
      </c>
      <c r="F39" s="143">
        <f>VLOOKUP($A39,'Data shares'!$C:$FA,125)</f>
        <v>0.6</v>
      </c>
      <c r="G39" s="143">
        <f>VLOOKUP($A39,'Data shares'!$C:$FA,127)*100</f>
        <v>-13.33</v>
      </c>
      <c r="H39" s="103">
        <f>VLOOKUP($A39,'OI(Volume)'!$A$7:$O$445,8)</f>
        <v>53124750</v>
      </c>
      <c r="I39" s="103">
        <f>VLOOKUP($A39,'OI(Volume)'!$A$7:$O$445,9)</f>
        <v>9329250</v>
      </c>
      <c r="J39" s="103">
        <f>VLOOKUP($A39,'OI(Volume)'!$A$7:$O$445,11)</f>
        <v>45861375</v>
      </c>
      <c r="K39" s="103">
        <f>VLOOKUP($A39,'OI(Volume)'!$A$7:$O$445,12)</f>
        <v>7121625</v>
      </c>
      <c r="L39" s="103">
        <f>VLOOKUP($A39,'OI(Value)'!$A$7:$O$329,8,0)</f>
        <v>1728</v>
      </c>
      <c r="M39" s="103">
        <f>VLOOKUP($A39,'OI(Value)'!$A$7:$O$329,9,0)</f>
        <v>303</v>
      </c>
      <c r="N39" s="103">
        <f>VLOOKUP($A39,'OI(Value)'!$A$7:$O$329,11,0)</f>
        <v>1492</v>
      </c>
      <c r="O39" s="103">
        <f>VLOOKUP($A39,'OI(Value)'!$A$7:$O$329,12,0)</f>
        <v>232</v>
      </c>
      <c r="P39" s="179">
        <f>VLOOKUP(A39,'OI(Value)'!A39:O263,8,0)</f>
        <v>1728</v>
      </c>
      <c r="Q39" s="179">
        <f>VLOOKUP(A39,'OI(Value)'!A39:O263,9,0)</f>
        <v>303</v>
      </c>
      <c r="R39" s="179">
        <f>VLOOKUP(A39,'OI(Value)'!A39:O263,11,0)</f>
        <v>1492</v>
      </c>
      <c r="S39" s="179">
        <f>VLOOKUP(A39,'OI(Value)'!A39:O263,11,0)</f>
        <v>1492</v>
      </c>
    </row>
    <row r="40" spans="1:19" x14ac:dyDescent="0.25">
      <c r="A40" s="105" t="str">
        <f>'Data Vlaue (Cr)'!C35</f>
        <v>BIOCON</v>
      </c>
      <c r="B40" s="143">
        <f>VLOOKUP($A40,'Data shares'!$C:$FA,118)</f>
        <v>0.68</v>
      </c>
      <c r="C40" s="143">
        <f>VLOOKUP($A40,'Data shares'!$C:$FA,119)</f>
        <v>0.64</v>
      </c>
      <c r="D40" s="143">
        <f>VLOOKUP($A40,'Data shares'!$C:$FA,121)*100</f>
        <v>6.25</v>
      </c>
      <c r="E40" s="143">
        <f>VLOOKUP($A40,'Data shares'!$C:$FA,124)</f>
        <v>0.42</v>
      </c>
      <c r="F40" s="143">
        <f>VLOOKUP($A40,'Data shares'!$C:$FA,125)</f>
        <v>0.24</v>
      </c>
      <c r="G40" s="143">
        <f>VLOOKUP($A40,'Data shares'!$C:$FA,127)*100</f>
        <v>75</v>
      </c>
      <c r="H40" s="103">
        <f>VLOOKUP($A40,'OI(Volume)'!$A$7:$O$445,8)</f>
        <v>23347500</v>
      </c>
      <c r="I40" s="103">
        <f>VLOOKUP($A40,'OI(Volume)'!$A$7:$O$445,9)</f>
        <v>-940000</v>
      </c>
      <c r="J40" s="103">
        <f>VLOOKUP($A40,'OI(Volume)'!$A$7:$O$445,11)</f>
        <v>15770000</v>
      </c>
      <c r="K40" s="103">
        <f>VLOOKUP($A40,'OI(Volume)'!$A$7:$O$445,12)</f>
        <v>237500</v>
      </c>
      <c r="L40" s="103">
        <f>VLOOKUP($A40,'OI(Value)'!$A$7:$O$329,8,0)</f>
        <v>837</v>
      </c>
      <c r="M40" s="103">
        <f>VLOOKUP($A40,'OI(Value)'!$A$7:$O$329,9,0)</f>
        <v>-34</v>
      </c>
      <c r="N40" s="103">
        <f>VLOOKUP($A40,'OI(Value)'!$A$7:$O$329,11,0)</f>
        <v>566</v>
      </c>
      <c r="O40" s="103">
        <f>VLOOKUP($A40,'OI(Value)'!$A$7:$O$329,12,0)</f>
        <v>9</v>
      </c>
      <c r="P40" s="179">
        <f>VLOOKUP(A40,'OI(Value)'!A40:O264,8,0)</f>
        <v>837</v>
      </c>
      <c r="Q40" s="179">
        <f>VLOOKUP(A40,'OI(Value)'!A40:O264,9,0)</f>
        <v>-34</v>
      </c>
      <c r="R40" s="179">
        <f>VLOOKUP(A40,'OI(Value)'!A40:O264,11,0)</f>
        <v>566</v>
      </c>
      <c r="S40" s="179">
        <f>VLOOKUP(A40,'OI(Value)'!A40:O264,11,0)</f>
        <v>566</v>
      </c>
    </row>
    <row r="41" spans="1:19" x14ac:dyDescent="0.25">
      <c r="A41" s="105" t="str">
        <f>'Data Vlaue (Cr)'!C36</f>
        <v>BLUESTARCO</v>
      </c>
      <c r="B41" s="143">
        <f>VLOOKUP($A41,'Data shares'!$C:$FA,118)</f>
        <v>0.69</v>
      </c>
      <c r="C41" s="143">
        <f>VLOOKUP($A41,'Data shares'!$C:$FA,119)</f>
        <v>0.63</v>
      </c>
      <c r="D41" s="143">
        <f>VLOOKUP($A41,'Data shares'!$C:$FA,121)*100</f>
        <v>9.5200000000000014</v>
      </c>
      <c r="E41" s="143">
        <f>VLOOKUP($A41,'Data shares'!$C:$FA,124)</f>
        <v>0.37</v>
      </c>
      <c r="F41" s="143">
        <f>VLOOKUP($A41,'Data shares'!$C:$FA,125)</f>
        <v>0.52</v>
      </c>
      <c r="G41" s="143">
        <f>VLOOKUP($A41,'Data shares'!$C:$FA,127)*100</f>
        <v>-28.849999999999998</v>
      </c>
      <c r="H41" s="103">
        <f>VLOOKUP($A41,'OI(Volume)'!$A$7:$O$445,8)</f>
        <v>1734850</v>
      </c>
      <c r="I41" s="103">
        <f>VLOOKUP($A41,'OI(Volume)'!$A$7:$O$445,9)</f>
        <v>180375</v>
      </c>
      <c r="J41" s="103">
        <f>VLOOKUP($A41,'OI(Volume)'!$A$7:$O$445,11)</f>
        <v>1193725</v>
      </c>
      <c r="K41" s="103">
        <f>VLOOKUP($A41,'OI(Volume)'!$A$7:$O$445,12)</f>
        <v>217425</v>
      </c>
      <c r="L41" s="103">
        <f>VLOOKUP($A41,'OI(Value)'!$A$7:$O$329,8,0)</f>
        <v>323</v>
      </c>
      <c r="M41" s="103">
        <f>VLOOKUP($A41,'OI(Value)'!$A$7:$O$329,9,0)</f>
        <v>34</v>
      </c>
      <c r="N41" s="103">
        <f>VLOOKUP($A41,'OI(Value)'!$A$7:$O$329,11,0)</f>
        <v>223</v>
      </c>
      <c r="O41" s="103">
        <f>VLOOKUP($A41,'OI(Value)'!$A$7:$O$329,12,0)</f>
        <v>41</v>
      </c>
      <c r="P41" s="179">
        <f>VLOOKUP(A41,'OI(Value)'!A41:O265,8,0)</f>
        <v>323</v>
      </c>
      <c r="Q41" s="179">
        <f>VLOOKUP(A41,'OI(Value)'!A41:O265,9,0)</f>
        <v>34</v>
      </c>
      <c r="R41" s="179">
        <f>VLOOKUP(A41,'OI(Value)'!A41:O265,11,0)</f>
        <v>223</v>
      </c>
      <c r="S41" s="179">
        <f>VLOOKUP(A41,'OI(Value)'!A41:O265,11,0)</f>
        <v>223</v>
      </c>
    </row>
    <row r="42" spans="1:19" x14ac:dyDescent="0.25">
      <c r="A42" s="105" t="str">
        <f>'Data Vlaue (Cr)'!C37</f>
        <v>BOSCHLTD</v>
      </c>
      <c r="B42" s="143">
        <f>VLOOKUP($A42,'Data shares'!$C:$FA,118)</f>
        <v>0.86</v>
      </c>
      <c r="C42" s="143">
        <f>VLOOKUP($A42,'Data shares'!$C:$FA,119)</f>
        <v>0.89</v>
      </c>
      <c r="D42" s="143">
        <f>VLOOKUP($A42,'Data shares'!$C:$FA,121)*100</f>
        <v>-3.37</v>
      </c>
      <c r="E42" s="143">
        <f>VLOOKUP($A42,'Data shares'!$C:$FA,124)</f>
        <v>1.1100000000000001</v>
      </c>
      <c r="F42" s="143">
        <f>VLOOKUP($A42,'Data shares'!$C:$FA,125)</f>
        <v>3.76</v>
      </c>
      <c r="G42" s="143">
        <f>VLOOKUP($A42,'Data shares'!$C:$FA,127)*100</f>
        <v>-70.48</v>
      </c>
      <c r="H42" s="103">
        <f>VLOOKUP($A42,'OI(Volume)'!$A$7:$O$445,8)</f>
        <v>258550</v>
      </c>
      <c r="I42" s="103">
        <f>VLOOKUP($A42,'OI(Volume)'!$A$7:$O$445,9)</f>
        <v>4625</v>
      </c>
      <c r="J42" s="103">
        <f>VLOOKUP($A42,'OI(Volume)'!$A$7:$O$445,11)</f>
        <v>222425</v>
      </c>
      <c r="K42" s="103">
        <f>VLOOKUP($A42,'OI(Volume)'!$A$7:$O$445,12)</f>
        <v>-3225</v>
      </c>
      <c r="L42" s="103">
        <f>VLOOKUP($A42,'OI(Value)'!$A$7:$O$329,8,0)</f>
        <v>977</v>
      </c>
      <c r="M42" s="103">
        <f>VLOOKUP($A42,'OI(Value)'!$A$7:$O$329,9,0)</f>
        <v>17</v>
      </c>
      <c r="N42" s="103">
        <f>VLOOKUP($A42,'OI(Value)'!$A$7:$O$329,11,0)</f>
        <v>840</v>
      </c>
      <c r="O42" s="103">
        <f>VLOOKUP($A42,'OI(Value)'!$A$7:$O$329,12,0)</f>
        <v>-12</v>
      </c>
      <c r="P42" s="179">
        <f>VLOOKUP(A42,'OI(Value)'!A42:O266,8,0)</f>
        <v>977</v>
      </c>
      <c r="Q42" s="179">
        <f>VLOOKUP(A42,'OI(Value)'!A42:O266,9,0)</f>
        <v>17</v>
      </c>
      <c r="R42" s="179">
        <f>VLOOKUP(A42,'OI(Value)'!A42:O266,11,0)</f>
        <v>840</v>
      </c>
      <c r="S42" s="179">
        <f>VLOOKUP(A42,'OI(Value)'!A42:O266,11,0)</f>
        <v>840</v>
      </c>
    </row>
    <row r="43" spans="1:19" x14ac:dyDescent="0.25">
      <c r="A43" s="105" t="str">
        <f>'Data Vlaue (Cr)'!C38</f>
        <v>BPCL</v>
      </c>
      <c r="B43" s="143">
        <f>VLOOKUP($A43,'Data shares'!$C:$FA,118)</f>
        <v>0.83</v>
      </c>
      <c r="C43" s="143">
        <f>VLOOKUP($A43,'Data shares'!$C:$FA,119)</f>
        <v>0.88</v>
      </c>
      <c r="D43" s="143">
        <f>VLOOKUP($A43,'Data shares'!$C:$FA,121)*100</f>
        <v>-5.6800000000000006</v>
      </c>
      <c r="E43" s="143">
        <f>VLOOKUP($A43,'Data shares'!$C:$FA,124)</f>
        <v>0.41</v>
      </c>
      <c r="F43" s="143">
        <f>VLOOKUP($A43,'Data shares'!$C:$FA,125)</f>
        <v>0.48</v>
      </c>
      <c r="G43" s="143">
        <f>VLOOKUP($A43,'Data shares'!$C:$FA,127)*100</f>
        <v>-14.580000000000002</v>
      </c>
      <c r="H43" s="103">
        <f>VLOOKUP($A43,'OI(Volume)'!$A$7:$O$445,8)</f>
        <v>27051575</v>
      </c>
      <c r="I43" s="103">
        <f>VLOOKUP($A43,'OI(Volume)'!$A$7:$O$445,9)</f>
        <v>4230450</v>
      </c>
      <c r="J43" s="103">
        <f>VLOOKUP($A43,'OI(Volume)'!$A$7:$O$445,11)</f>
        <v>22325400</v>
      </c>
      <c r="K43" s="103">
        <f>VLOOKUP($A43,'OI(Volume)'!$A$7:$O$445,12)</f>
        <v>2310750</v>
      </c>
      <c r="L43" s="103">
        <f>VLOOKUP($A43,'OI(Value)'!$A$7:$O$329,8,0)</f>
        <v>854</v>
      </c>
      <c r="M43" s="103">
        <f>VLOOKUP($A43,'OI(Value)'!$A$7:$O$329,9,0)</f>
        <v>134</v>
      </c>
      <c r="N43" s="103">
        <f>VLOOKUP($A43,'OI(Value)'!$A$7:$O$329,11,0)</f>
        <v>705</v>
      </c>
      <c r="O43" s="103">
        <f>VLOOKUP($A43,'OI(Value)'!$A$7:$O$329,12,0)</f>
        <v>73</v>
      </c>
      <c r="P43" s="179">
        <f>VLOOKUP(A43,'OI(Value)'!A43:O267,8,0)</f>
        <v>854</v>
      </c>
      <c r="Q43" s="179">
        <f>VLOOKUP(A43,'OI(Value)'!A43:O267,9,0)</f>
        <v>134</v>
      </c>
      <c r="R43" s="179">
        <f>VLOOKUP(A43,'OI(Value)'!A43:O267,11,0)</f>
        <v>705</v>
      </c>
      <c r="S43" s="179">
        <f>VLOOKUP(A43,'OI(Value)'!A43:O267,11,0)</f>
        <v>705</v>
      </c>
    </row>
    <row r="44" spans="1:19" x14ac:dyDescent="0.25">
      <c r="A44" s="105" t="str">
        <f>'Data Vlaue (Cr)'!C39</f>
        <v>BRITANNIA</v>
      </c>
      <c r="B44" s="143">
        <f>VLOOKUP($A44,'Data shares'!$C:$FA,118)</f>
        <v>1.06</v>
      </c>
      <c r="C44" s="143">
        <f>VLOOKUP($A44,'Data shares'!$C:$FA,119)</f>
        <v>1.06</v>
      </c>
      <c r="D44" s="143">
        <f>VLOOKUP($A44,'Data shares'!$C:$FA,121)*100</f>
        <v>0</v>
      </c>
      <c r="E44" s="143">
        <f>VLOOKUP($A44,'Data shares'!$C:$FA,124)</f>
        <v>0.46</v>
      </c>
      <c r="F44" s="143">
        <f>VLOOKUP($A44,'Data shares'!$C:$FA,125)</f>
        <v>0.28000000000000003</v>
      </c>
      <c r="G44" s="143">
        <f>VLOOKUP($A44,'Data shares'!$C:$FA,127)*100</f>
        <v>64.290000000000006</v>
      </c>
      <c r="H44" s="103">
        <f>VLOOKUP($A44,'OI(Volume)'!$A$7:$O$445,8)</f>
        <v>530875</v>
      </c>
      <c r="I44" s="103">
        <f>VLOOKUP($A44,'OI(Volume)'!$A$7:$O$445,9)</f>
        <v>-39000</v>
      </c>
      <c r="J44" s="103">
        <f>VLOOKUP($A44,'OI(Volume)'!$A$7:$O$445,11)</f>
        <v>562375</v>
      </c>
      <c r="K44" s="103">
        <f>VLOOKUP($A44,'OI(Volume)'!$A$7:$O$445,12)</f>
        <v>-41250</v>
      </c>
      <c r="L44" s="103">
        <f>VLOOKUP($A44,'OI(Value)'!$A$7:$O$329,8,0)</f>
        <v>302</v>
      </c>
      <c r="M44" s="103">
        <f>VLOOKUP($A44,'OI(Value)'!$A$7:$O$329,9,0)</f>
        <v>-22</v>
      </c>
      <c r="N44" s="103">
        <f>VLOOKUP($A44,'OI(Value)'!$A$7:$O$329,11,0)</f>
        <v>320</v>
      </c>
      <c r="O44" s="103">
        <f>VLOOKUP($A44,'OI(Value)'!$A$7:$O$329,12,0)</f>
        <v>-24</v>
      </c>
      <c r="P44" s="179">
        <f>VLOOKUP(A44,'OI(Value)'!A44:O268,8,0)</f>
        <v>302</v>
      </c>
      <c r="Q44" s="179">
        <f>VLOOKUP(A44,'OI(Value)'!A44:O268,9,0)</f>
        <v>-22</v>
      </c>
      <c r="R44" s="179">
        <f>VLOOKUP(A44,'OI(Value)'!A44:O268,11,0)</f>
        <v>320</v>
      </c>
      <c r="S44" s="179">
        <f>VLOOKUP(A44,'OI(Value)'!A44:O268,11,0)</f>
        <v>320</v>
      </c>
    </row>
    <row r="45" spans="1:19" x14ac:dyDescent="0.25">
      <c r="A45" s="105" t="str">
        <f>'Data Vlaue (Cr)'!C40</f>
        <v>BSE</v>
      </c>
      <c r="B45" s="143">
        <f>VLOOKUP($A45,'Data shares'!$C:$FA,118)</f>
        <v>1.21</v>
      </c>
      <c r="C45" s="143">
        <f>VLOOKUP($A45,'Data shares'!$C:$FA,119)</f>
        <v>1.32</v>
      </c>
      <c r="D45" s="143">
        <f>VLOOKUP($A45,'Data shares'!$C:$FA,121)*100</f>
        <v>-8.33</v>
      </c>
      <c r="E45" s="143">
        <f>VLOOKUP($A45,'Data shares'!$C:$FA,124)</f>
        <v>1.3</v>
      </c>
      <c r="F45" s="143">
        <f>VLOOKUP($A45,'Data shares'!$C:$FA,125)</f>
        <v>0.77</v>
      </c>
      <c r="G45" s="143">
        <f>VLOOKUP($A45,'Data shares'!$C:$FA,127)*100</f>
        <v>68.83</v>
      </c>
      <c r="H45" s="103">
        <f>VLOOKUP($A45,'OI(Volume)'!$A$7:$O$445,8)</f>
        <v>8366250</v>
      </c>
      <c r="I45" s="103">
        <f>VLOOKUP($A45,'OI(Volume)'!$A$7:$O$445,9)</f>
        <v>366000</v>
      </c>
      <c r="J45" s="103">
        <f>VLOOKUP($A45,'OI(Volume)'!$A$7:$O$445,11)</f>
        <v>10164000</v>
      </c>
      <c r="K45" s="103">
        <f>VLOOKUP($A45,'OI(Volume)'!$A$7:$O$445,12)</f>
        <v>-434625</v>
      </c>
      <c r="L45" s="103">
        <f>VLOOKUP($A45,'OI(Value)'!$A$7:$O$329,8,0)</f>
        <v>2910</v>
      </c>
      <c r="M45" s="103">
        <f>VLOOKUP($A45,'OI(Value)'!$A$7:$O$329,9,0)</f>
        <v>127</v>
      </c>
      <c r="N45" s="103">
        <f>VLOOKUP($A45,'OI(Value)'!$A$7:$O$329,11,0)</f>
        <v>3535</v>
      </c>
      <c r="O45" s="103">
        <f>VLOOKUP($A45,'OI(Value)'!$A$7:$O$329,12,0)</f>
        <v>-151</v>
      </c>
      <c r="P45" s="179">
        <f>VLOOKUP(A45,'OI(Value)'!A45:O269,8,0)</f>
        <v>2910</v>
      </c>
      <c r="Q45" s="179">
        <f>VLOOKUP(A45,'OI(Value)'!A45:O269,9,0)</f>
        <v>127</v>
      </c>
      <c r="R45" s="179">
        <f>VLOOKUP(A45,'OI(Value)'!A45:O269,11,0)</f>
        <v>3535</v>
      </c>
      <c r="S45" s="179">
        <f>VLOOKUP(A45,'OI(Value)'!A45:O269,11,0)</f>
        <v>3535</v>
      </c>
    </row>
    <row r="46" spans="1:19" x14ac:dyDescent="0.25">
      <c r="A46" s="105" t="str">
        <f>'Data Vlaue (Cr)'!C41</f>
        <v>CAMS</v>
      </c>
      <c r="B46" s="143">
        <f>VLOOKUP($A46,'Data shares'!$C:$FA,118)</f>
        <v>0.84</v>
      </c>
      <c r="C46" s="143">
        <f>VLOOKUP($A46,'Data shares'!$C:$FA,119)</f>
        <v>0.85</v>
      </c>
      <c r="D46" s="143">
        <f>VLOOKUP($A46,'Data shares'!$C:$FA,121)*100</f>
        <v>-1.18</v>
      </c>
      <c r="E46" s="143">
        <f>VLOOKUP($A46,'Data shares'!$C:$FA,124)</f>
        <v>0.85</v>
      </c>
      <c r="F46" s="143">
        <f>VLOOKUP($A46,'Data shares'!$C:$FA,125)</f>
        <v>0.49</v>
      </c>
      <c r="G46" s="143">
        <f>VLOOKUP($A46,'Data shares'!$C:$FA,127)*100</f>
        <v>73.47</v>
      </c>
      <c r="H46" s="103">
        <f>VLOOKUP($A46,'OI(Volume)'!$A$7:$O$445,8)</f>
        <v>3016500</v>
      </c>
      <c r="I46" s="103">
        <f>VLOOKUP($A46,'OI(Volume)'!$A$7:$O$445,9)</f>
        <v>32250</v>
      </c>
      <c r="J46" s="103">
        <f>VLOOKUP($A46,'OI(Volume)'!$A$7:$O$445,11)</f>
        <v>2523750</v>
      </c>
      <c r="K46" s="103">
        <f>VLOOKUP($A46,'OI(Volume)'!$A$7:$O$445,12)</f>
        <v>-21750</v>
      </c>
      <c r="L46" s="103">
        <f>VLOOKUP($A46,'OI(Value)'!$A$7:$O$329,8,0)</f>
        <v>225</v>
      </c>
      <c r="M46" s="103">
        <f>VLOOKUP($A46,'OI(Value)'!$A$7:$O$329,9,0)</f>
        <v>2</v>
      </c>
      <c r="N46" s="103">
        <f>VLOOKUP($A46,'OI(Value)'!$A$7:$O$329,11,0)</f>
        <v>189</v>
      </c>
      <c r="O46" s="103">
        <f>VLOOKUP($A46,'OI(Value)'!$A$7:$O$329,12,0)</f>
        <v>-2</v>
      </c>
      <c r="P46" s="179">
        <f>VLOOKUP(A46,'OI(Value)'!A46:O270,8,0)</f>
        <v>225</v>
      </c>
      <c r="Q46" s="179">
        <f>VLOOKUP(A46,'OI(Value)'!A46:O270,9,0)</f>
        <v>2</v>
      </c>
      <c r="R46" s="179">
        <f>VLOOKUP(A46,'OI(Value)'!A46:O270,11,0)</f>
        <v>189</v>
      </c>
      <c r="S46" s="179">
        <f>VLOOKUP(A46,'OI(Value)'!A46:O270,11,0)</f>
        <v>189</v>
      </c>
    </row>
    <row r="47" spans="1:19" x14ac:dyDescent="0.25">
      <c r="A47" s="105" t="str">
        <f>'Data Vlaue (Cr)'!C42</f>
        <v>CANBK</v>
      </c>
      <c r="B47" s="143">
        <f>VLOOKUP($A47,'Data shares'!$C:$FA,118)</f>
        <v>0.93</v>
      </c>
      <c r="C47" s="143">
        <f>VLOOKUP($A47,'Data shares'!$C:$FA,119)</f>
        <v>0.93</v>
      </c>
      <c r="D47" s="143">
        <f>VLOOKUP($A47,'Data shares'!$C:$FA,121)*100</f>
        <v>0</v>
      </c>
      <c r="E47" s="143">
        <f>VLOOKUP($A47,'Data shares'!$C:$FA,124)</f>
        <v>0.7</v>
      </c>
      <c r="F47" s="143">
        <f>VLOOKUP($A47,'Data shares'!$C:$FA,125)</f>
        <v>0.56999999999999995</v>
      </c>
      <c r="G47" s="143">
        <f>VLOOKUP($A47,'Data shares'!$C:$FA,127)*100</f>
        <v>22.81</v>
      </c>
      <c r="H47" s="103">
        <f>VLOOKUP($A47,'OI(Volume)'!$A$7:$O$445,8)</f>
        <v>79562250</v>
      </c>
      <c r="I47" s="103">
        <f>VLOOKUP($A47,'OI(Volume)'!$A$7:$O$445,9)</f>
        <v>4259250</v>
      </c>
      <c r="J47" s="103">
        <f>VLOOKUP($A47,'OI(Volume)'!$A$7:$O$445,11)</f>
        <v>73946250</v>
      </c>
      <c r="K47" s="103">
        <f>VLOOKUP($A47,'OI(Volume)'!$A$7:$O$445,12)</f>
        <v>4110750</v>
      </c>
      <c r="L47" s="103">
        <f>VLOOKUP($A47,'OI(Value)'!$A$7:$O$329,8,0)</f>
        <v>1138</v>
      </c>
      <c r="M47" s="103">
        <f>VLOOKUP($A47,'OI(Value)'!$A$7:$O$329,9,0)</f>
        <v>61</v>
      </c>
      <c r="N47" s="103">
        <f>VLOOKUP($A47,'OI(Value)'!$A$7:$O$329,11,0)</f>
        <v>1058</v>
      </c>
      <c r="O47" s="103">
        <f>VLOOKUP($A47,'OI(Value)'!$A$7:$O$329,12,0)</f>
        <v>59</v>
      </c>
      <c r="P47" s="179">
        <f>VLOOKUP(A47,'OI(Value)'!A47:O271,8,0)</f>
        <v>1138</v>
      </c>
      <c r="Q47" s="179">
        <f>VLOOKUP(A47,'OI(Value)'!A47:O271,9,0)</f>
        <v>61</v>
      </c>
      <c r="R47" s="179">
        <f>VLOOKUP(A47,'OI(Value)'!A47:O271,11,0)</f>
        <v>1058</v>
      </c>
      <c r="S47" s="179">
        <f>VLOOKUP(A47,'OI(Value)'!A47:O271,11,0)</f>
        <v>1058</v>
      </c>
    </row>
    <row r="48" spans="1:19" x14ac:dyDescent="0.25">
      <c r="A48" s="105" t="str">
        <f>'Data Vlaue (Cr)'!C43</f>
        <v>CDSL</v>
      </c>
      <c r="B48" s="143">
        <f>VLOOKUP($A48,'Data shares'!$C:$FA,118)</f>
        <v>0.88</v>
      </c>
      <c r="C48" s="143">
        <f>VLOOKUP($A48,'Data shares'!$C:$FA,119)</f>
        <v>0.91</v>
      </c>
      <c r="D48" s="143">
        <f>VLOOKUP($A48,'Data shares'!$C:$FA,121)*100</f>
        <v>-3.3000000000000003</v>
      </c>
      <c r="E48" s="143">
        <f>VLOOKUP($A48,'Data shares'!$C:$FA,124)</f>
        <v>0.68</v>
      </c>
      <c r="F48" s="143">
        <f>VLOOKUP($A48,'Data shares'!$C:$FA,125)</f>
        <v>0.56999999999999995</v>
      </c>
      <c r="G48" s="143">
        <f>VLOOKUP($A48,'Data shares'!$C:$FA,127)*100</f>
        <v>19.3</v>
      </c>
      <c r="H48" s="103">
        <f>VLOOKUP($A48,'OI(Volume)'!$A$7:$O$445,8)</f>
        <v>5206000</v>
      </c>
      <c r="I48" s="103">
        <f>VLOOKUP($A48,'OI(Volume)'!$A$7:$O$445,9)</f>
        <v>346275</v>
      </c>
      <c r="J48" s="103">
        <f>VLOOKUP($A48,'OI(Volume)'!$A$7:$O$445,11)</f>
        <v>4586125</v>
      </c>
      <c r="K48" s="103">
        <f>VLOOKUP($A48,'OI(Volume)'!$A$7:$O$445,12)</f>
        <v>150575</v>
      </c>
      <c r="L48" s="103">
        <f>VLOOKUP($A48,'OI(Value)'!$A$7:$O$329,8,0)</f>
        <v>711</v>
      </c>
      <c r="M48" s="103">
        <f>VLOOKUP($A48,'OI(Value)'!$A$7:$O$329,9,0)</f>
        <v>47</v>
      </c>
      <c r="N48" s="103">
        <f>VLOOKUP($A48,'OI(Value)'!$A$7:$O$329,11,0)</f>
        <v>626</v>
      </c>
      <c r="O48" s="103">
        <f>VLOOKUP($A48,'OI(Value)'!$A$7:$O$329,12,0)</f>
        <v>21</v>
      </c>
      <c r="P48" s="179">
        <f>VLOOKUP(A48,'OI(Value)'!A48:O272,8,0)</f>
        <v>711</v>
      </c>
      <c r="Q48" s="179">
        <f>VLOOKUP(A48,'OI(Value)'!A48:O272,9,0)</f>
        <v>47</v>
      </c>
      <c r="R48" s="179">
        <f>VLOOKUP(A48,'OI(Value)'!A48:O272,11,0)</f>
        <v>626</v>
      </c>
      <c r="S48" s="179">
        <f>VLOOKUP(A48,'OI(Value)'!A48:O272,11,0)</f>
        <v>626</v>
      </c>
    </row>
    <row r="49" spans="1:19" x14ac:dyDescent="0.25">
      <c r="A49" s="105" t="str">
        <f>'Data Vlaue (Cr)'!C44</f>
        <v>CGPOWER</v>
      </c>
      <c r="B49" s="143">
        <f>VLOOKUP($A49,'Data shares'!$C:$FA,118)</f>
        <v>0.7</v>
      </c>
      <c r="C49" s="143">
        <f>VLOOKUP($A49,'Data shares'!$C:$FA,119)</f>
        <v>0.64</v>
      </c>
      <c r="D49" s="143">
        <f>VLOOKUP($A49,'Data shares'!$C:$FA,121)*100</f>
        <v>9.370000000000001</v>
      </c>
      <c r="E49" s="143">
        <f>VLOOKUP($A49,'Data shares'!$C:$FA,124)</f>
        <v>0.36</v>
      </c>
      <c r="F49" s="143">
        <f>VLOOKUP($A49,'Data shares'!$C:$FA,125)</f>
        <v>0.32</v>
      </c>
      <c r="G49" s="143">
        <f>VLOOKUP($A49,'Data shares'!$C:$FA,127)*100</f>
        <v>12.5</v>
      </c>
      <c r="H49" s="103">
        <f>VLOOKUP($A49,'OI(Volume)'!$A$7:$O$445,8)</f>
        <v>5315900</v>
      </c>
      <c r="I49" s="103">
        <f>VLOOKUP($A49,'OI(Volume)'!$A$7:$O$445,9)</f>
        <v>1181500</v>
      </c>
      <c r="J49" s="103">
        <f>VLOOKUP($A49,'OI(Volume)'!$A$7:$O$445,11)</f>
        <v>3694950</v>
      </c>
      <c r="K49" s="103">
        <f>VLOOKUP($A49,'OI(Volume)'!$A$7:$O$445,12)</f>
        <v>1038700</v>
      </c>
      <c r="L49" s="103">
        <f>VLOOKUP($A49,'OI(Value)'!$A$7:$O$329,8,0)</f>
        <v>423</v>
      </c>
      <c r="M49" s="103">
        <f>VLOOKUP($A49,'OI(Value)'!$A$7:$O$329,9,0)</f>
        <v>94</v>
      </c>
      <c r="N49" s="103">
        <f>VLOOKUP($A49,'OI(Value)'!$A$7:$O$329,11,0)</f>
        <v>294</v>
      </c>
      <c r="O49" s="103">
        <f>VLOOKUP($A49,'OI(Value)'!$A$7:$O$329,12,0)</f>
        <v>83</v>
      </c>
      <c r="P49" s="179">
        <f>VLOOKUP(A49,'OI(Value)'!A49:O273,8,0)</f>
        <v>423</v>
      </c>
      <c r="Q49" s="179">
        <f>VLOOKUP(A49,'OI(Value)'!A49:O273,9,0)</f>
        <v>94</v>
      </c>
      <c r="R49" s="179">
        <f>VLOOKUP(A49,'OI(Value)'!A49:O273,11,0)</f>
        <v>294</v>
      </c>
      <c r="S49" s="179">
        <f>VLOOKUP(A49,'OI(Value)'!A49:O273,11,0)</f>
        <v>294</v>
      </c>
    </row>
    <row r="50" spans="1:19" x14ac:dyDescent="0.25">
      <c r="A50" s="105" t="str">
        <f>'Data Vlaue (Cr)'!C45</f>
        <v>CHOLAFIN</v>
      </c>
      <c r="B50" s="143">
        <f>VLOOKUP($A50,'Data shares'!$C:$FA,118)</f>
        <v>0.86</v>
      </c>
      <c r="C50" s="143">
        <f>VLOOKUP($A50,'Data shares'!$C:$FA,119)</f>
        <v>0.86</v>
      </c>
      <c r="D50" s="143">
        <f>VLOOKUP($A50,'Data shares'!$C:$FA,121)*100</f>
        <v>0</v>
      </c>
      <c r="E50" s="143">
        <f>VLOOKUP($A50,'Data shares'!$C:$FA,124)</f>
        <v>0.68</v>
      </c>
      <c r="F50" s="143">
        <f>VLOOKUP($A50,'Data shares'!$C:$FA,125)</f>
        <v>0.66</v>
      </c>
      <c r="G50" s="143">
        <f>VLOOKUP($A50,'Data shares'!$C:$FA,127)*100</f>
        <v>3.0300000000000002</v>
      </c>
      <c r="H50" s="103">
        <f>VLOOKUP($A50,'OI(Volume)'!$A$7:$O$445,8)</f>
        <v>4863125</v>
      </c>
      <c r="I50" s="103">
        <f>VLOOKUP($A50,'OI(Volume)'!$A$7:$O$445,9)</f>
        <v>122500</v>
      </c>
      <c r="J50" s="103">
        <f>VLOOKUP($A50,'OI(Volume)'!$A$7:$O$445,11)</f>
        <v>4168125</v>
      </c>
      <c r="K50" s="103">
        <f>VLOOKUP($A50,'OI(Volume)'!$A$7:$O$445,12)</f>
        <v>112500</v>
      </c>
      <c r="L50" s="103">
        <f>VLOOKUP($A50,'OI(Value)'!$A$7:$O$329,8,0)</f>
        <v>763</v>
      </c>
      <c r="M50" s="103">
        <f>VLOOKUP($A50,'OI(Value)'!$A$7:$O$329,9,0)</f>
        <v>19</v>
      </c>
      <c r="N50" s="103">
        <f>VLOOKUP($A50,'OI(Value)'!$A$7:$O$329,11,0)</f>
        <v>654</v>
      </c>
      <c r="O50" s="103">
        <f>VLOOKUP($A50,'OI(Value)'!$A$7:$O$329,12,0)</f>
        <v>18</v>
      </c>
      <c r="P50" s="179">
        <f>VLOOKUP(A50,'OI(Value)'!A50:O274,8,0)</f>
        <v>763</v>
      </c>
      <c r="Q50" s="179">
        <f>VLOOKUP(A50,'OI(Value)'!A50:O274,9,0)</f>
        <v>19</v>
      </c>
      <c r="R50" s="179">
        <f>VLOOKUP(A50,'OI(Value)'!A50:O274,11,0)</f>
        <v>654</v>
      </c>
      <c r="S50" s="179">
        <f>VLOOKUP(A50,'OI(Value)'!A50:O274,11,0)</f>
        <v>654</v>
      </c>
    </row>
    <row r="51" spans="1:19" x14ac:dyDescent="0.25">
      <c r="A51" s="105" t="str">
        <f>'Data Vlaue (Cr)'!C46</f>
        <v>CIPLA</v>
      </c>
      <c r="B51" s="143">
        <f>VLOOKUP($A51,'Data shares'!$C:$FA,118)</f>
        <v>0.83</v>
      </c>
      <c r="C51" s="143">
        <f>VLOOKUP($A51,'Data shares'!$C:$FA,119)</f>
        <v>0.89</v>
      </c>
      <c r="D51" s="143">
        <f>VLOOKUP($A51,'Data shares'!$C:$FA,121)*100</f>
        <v>-6.74</v>
      </c>
      <c r="E51" s="143">
        <f>VLOOKUP($A51,'Data shares'!$C:$FA,124)</f>
        <v>0.32</v>
      </c>
      <c r="F51" s="143">
        <f>VLOOKUP($A51,'Data shares'!$C:$FA,125)</f>
        <v>0.37</v>
      </c>
      <c r="G51" s="143">
        <f>VLOOKUP($A51,'Data shares'!$C:$FA,127)*100</f>
        <v>-13.51</v>
      </c>
      <c r="H51" s="103">
        <f>VLOOKUP($A51,'OI(Volume)'!$A$7:$O$445,8)</f>
        <v>4806750</v>
      </c>
      <c r="I51" s="103">
        <f>VLOOKUP($A51,'OI(Volume)'!$A$7:$O$445,9)</f>
        <v>522375</v>
      </c>
      <c r="J51" s="103">
        <f>VLOOKUP($A51,'OI(Volume)'!$A$7:$O$445,11)</f>
        <v>3975000</v>
      </c>
      <c r="K51" s="103">
        <f>VLOOKUP($A51,'OI(Volume)'!$A$7:$O$445,12)</f>
        <v>148125</v>
      </c>
      <c r="L51" s="103">
        <f>VLOOKUP($A51,'OI(Value)'!$A$7:$O$329,8,0)</f>
        <v>591</v>
      </c>
      <c r="M51" s="103">
        <f>VLOOKUP($A51,'OI(Value)'!$A$7:$O$329,9,0)</f>
        <v>64</v>
      </c>
      <c r="N51" s="103">
        <f>VLOOKUP($A51,'OI(Value)'!$A$7:$O$329,11,0)</f>
        <v>489</v>
      </c>
      <c r="O51" s="103">
        <f>VLOOKUP($A51,'OI(Value)'!$A$7:$O$329,12,0)</f>
        <v>18</v>
      </c>
      <c r="P51" s="179">
        <f>VLOOKUP(A51,'OI(Value)'!A51:O275,8,0)</f>
        <v>591</v>
      </c>
      <c r="Q51" s="179">
        <f>VLOOKUP(A51,'OI(Value)'!A51:O275,9,0)</f>
        <v>64</v>
      </c>
      <c r="R51" s="179">
        <f>VLOOKUP(A51,'OI(Value)'!A51:O275,11,0)</f>
        <v>489</v>
      </c>
      <c r="S51" s="179">
        <f>VLOOKUP(A51,'OI(Value)'!A51:O275,11,0)</f>
        <v>489</v>
      </c>
    </row>
    <row r="52" spans="1:19" x14ac:dyDescent="0.25">
      <c r="A52" s="105" t="str">
        <f>'Data Vlaue (Cr)'!C47</f>
        <v>COALINDIA</v>
      </c>
      <c r="B52" s="143">
        <f>VLOOKUP($A52,'Data shares'!$C:$FA,118)</f>
        <v>0.62</v>
      </c>
      <c r="C52" s="143">
        <f>VLOOKUP($A52,'Data shares'!$C:$FA,119)</f>
        <v>0.64</v>
      </c>
      <c r="D52" s="143">
        <f>VLOOKUP($A52,'Data shares'!$C:$FA,121)*100</f>
        <v>-3.1300000000000003</v>
      </c>
      <c r="E52" s="143">
        <f>VLOOKUP($A52,'Data shares'!$C:$FA,124)</f>
        <v>0.54</v>
      </c>
      <c r="F52" s="143">
        <f>VLOOKUP($A52,'Data shares'!$C:$FA,125)</f>
        <v>0.6</v>
      </c>
      <c r="G52" s="143">
        <f>VLOOKUP($A52,'Data shares'!$C:$FA,127)*100</f>
        <v>-10</v>
      </c>
      <c r="H52" s="103">
        <f>VLOOKUP($A52,'OI(Volume)'!$A$7:$O$445,8)</f>
        <v>42565500</v>
      </c>
      <c r="I52" s="103">
        <f>VLOOKUP($A52,'OI(Volume)'!$A$7:$O$445,9)</f>
        <v>-1680750</v>
      </c>
      <c r="J52" s="103">
        <f>VLOOKUP($A52,'OI(Volume)'!$A$7:$O$445,11)</f>
        <v>26519400</v>
      </c>
      <c r="K52" s="103">
        <f>VLOOKUP($A52,'OI(Volume)'!$A$7:$O$445,12)</f>
        <v>-1850850</v>
      </c>
      <c r="L52" s="103">
        <f>VLOOKUP($A52,'OI(Value)'!$A$7:$O$329,8,0)</f>
        <v>1883</v>
      </c>
      <c r="M52" s="103">
        <f>VLOOKUP($A52,'OI(Value)'!$A$7:$O$329,9,0)</f>
        <v>-74</v>
      </c>
      <c r="N52" s="103">
        <f>VLOOKUP($A52,'OI(Value)'!$A$7:$O$329,11,0)</f>
        <v>1173</v>
      </c>
      <c r="O52" s="103">
        <f>VLOOKUP($A52,'OI(Value)'!$A$7:$O$329,12,0)</f>
        <v>-82</v>
      </c>
      <c r="P52" s="179">
        <f>VLOOKUP(A52,'OI(Value)'!A52:O276,8,0)</f>
        <v>1883</v>
      </c>
      <c r="Q52" s="179">
        <f>VLOOKUP(A52,'OI(Value)'!A52:O276,9,0)</f>
        <v>-74</v>
      </c>
      <c r="R52" s="179">
        <f>VLOOKUP(A52,'OI(Value)'!A52:O276,11,0)</f>
        <v>1173</v>
      </c>
      <c r="S52" s="179">
        <f>VLOOKUP(A52,'OI(Value)'!A52:O276,11,0)</f>
        <v>1173</v>
      </c>
    </row>
    <row r="53" spans="1:19" x14ac:dyDescent="0.25">
      <c r="A53" s="105" t="str">
        <f>'Data Vlaue (Cr)'!C48</f>
        <v>COCHINSHIP</v>
      </c>
      <c r="B53" s="143">
        <f>VLOOKUP($A53,'Data shares'!$C:$FA,118)</f>
        <v>0.59</v>
      </c>
      <c r="C53" s="143">
        <f>VLOOKUP($A53,'Data shares'!$C:$FA,119)</f>
        <v>0.68</v>
      </c>
      <c r="D53" s="143">
        <f>VLOOKUP($A53,'Data shares'!$C:$FA,121)*100</f>
        <v>-13.239999999999998</v>
      </c>
      <c r="E53" s="143">
        <f>VLOOKUP($A53,'Data shares'!$C:$FA,124)</f>
        <v>0.31</v>
      </c>
      <c r="F53" s="143">
        <f>VLOOKUP($A53,'Data shares'!$C:$FA,125)</f>
        <v>0.19</v>
      </c>
      <c r="G53" s="143">
        <f>VLOOKUP($A53,'Data shares'!$C:$FA,127)*100</f>
        <v>63.160000000000004</v>
      </c>
      <c r="H53" s="103">
        <f>VLOOKUP($A53,'OI(Volume)'!$A$7:$O$445,8)</f>
        <v>1333600</v>
      </c>
      <c r="I53" s="103">
        <f>VLOOKUP($A53,'OI(Volume)'!$A$7:$O$445,9)</f>
        <v>250400</v>
      </c>
      <c r="J53" s="103">
        <f>VLOOKUP($A53,'OI(Volume)'!$A$7:$O$445,11)</f>
        <v>782800</v>
      </c>
      <c r="K53" s="103">
        <f>VLOOKUP($A53,'OI(Volume)'!$A$7:$O$445,12)</f>
        <v>43600</v>
      </c>
      <c r="L53" s="103">
        <f>VLOOKUP($A53,'OI(Value)'!$A$7:$O$329,8,0)</f>
        <v>206</v>
      </c>
      <c r="M53" s="103">
        <f>VLOOKUP($A53,'OI(Value)'!$A$7:$O$329,9,0)</f>
        <v>39</v>
      </c>
      <c r="N53" s="103">
        <f>VLOOKUP($A53,'OI(Value)'!$A$7:$O$329,11,0)</f>
        <v>121</v>
      </c>
      <c r="O53" s="103">
        <f>VLOOKUP($A53,'OI(Value)'!$A$7:$O$329,12,0)</f>
        <v>7</v>
      </c>
      <c r="P53" s="179">
        <f>VLOOKUP(A53,'OI(Value)'!A53:O277,8,0)</f>
        <v>206</v>
      </c>
      <c r="Q53" s="179">
        <f>VLOOKUP(A53,'OI(Value)'!A53:O277,9,0)</f>
        <v>39</v>
      </c>
      <c r="R53" s="179">
        <f>VLOOKUP(A53,'OI(Value)'!A53:O277,11,0)</f>
        <v>121</v>
      </c>
      <c r="S53" s="179">
        <f>VLOOKUP(A53,'OI(Value)'!A53:O277,11,0)</f>
        <v>121</v>
      </c>
    </row>
    <row r="54" spans="1:19" x14ac:dyDescent="0.25">
      <c r="A54" s="105" t="str">
        <f>'Data Vlaue (Cr)'!C49</f>
        <v>COFORGE</v>
      </c>
      <c r="B54" s="143">
        <f>VLOOKUP($A54,'Data shares'!$C:$FA,118)</f>
        <v>0.62</v>
      </c>
      <c r="C54" s="143">
        <f>VLOOKUP($A54,'Data shares'!$C:$FA,119)</f>
        <v>0.65</v>
      </c>
      <c r="D54" s="143">
        <f>VLOOKUP($A54,'Data shares'!$C:$FA,121)*100</f>
        <v>-4.62</v>
      </c>
      <c r="E54" s="143">
        <f>VLOOKUP($A54,'Data shares'!$C:$FA,124)</f>
        <v>0.57999999999999996</v>
      </c>
      <c r="F54" s="143">
        <f>VLOOKUP($A54,'Data shares'!$C:$FA,125)</f>
        <v>0.55000000000000004</v>
      </c>
      <c r="G54" s="143">
        <f>VLOOKUP($A54,'Data shares'!$C:$FA,127)*100</f>
        <v>5.45</v>
      </c>
      <c r="H54" s="103">
        <f>VLOOKUP($A54,'OI(Volume)'!$A$7:$O$445,8)</f>
        <v>7961625</v>
      </c>
      <c r="I54" s="103">
        <f>VLOOKUP($A54,'OI(Volume)'!$A$7:$O$445,9)</f>
        <v>322125</v>
      </c>
      <c r="J54" s="103">
        <f>VLOOKUP($A54,'OI(Volume)'!$A$7:$O$445,11)</f>
        <v>4906125</v>
      </c>
      <c r="K54" s="103">
        <f>VLOOKUP($A54,'OI(Volume)'!$A$7:$O$445,12)</f>
        <v>-39375</v>
      </c>
      <c r="L54" s="103">
        <f>VLOOKUP($A54,'OI(Value)'!$A$7:$O$329,8,0)</f>
        <v>1023</v>
      </c>
      <c r="M54" s="103">
        <f>VLOOKUP($A54,'OI(Value)'!$A$7:$O$329,9,0)</f>
        <v>41</v>
      </c>
      <c r="N54" s="103">
        <f>VLOOKUP($A54,'OI(Value)'!$A$7:$O$329,11,0)</f>
        <v>630</v>
      </c>
      <c r="O54" s="103">
        <f>VLOOKUP($A54,'OI(Value)'!$A$7:$O$329,12,0)</f>
        <v>-5</v>
      </c>
      <c r="P54" s="179">
        <f>VLOOKUP(A54,'OI(Value)'!A54:O278,8,0)</f>
        <v>1023</v>
      </c>
      <c r="Q54" s="179">
        <f>VLOOKUP(A54,'OI(Value)'!A54:O278,9,0)</f>
        <v>41</v>
      </c>
      <c r="R54" s="179">
        <f>VLOOKUP(A54,'OI(Value)'!A54:O278,11,0)</f>
        <v>630</v>
      </c>
      <c r="S54" s="179">
        <f>VLOOKUP(A54,'OI(Value)'!A54:O278,11,0)</f>
        <v>630</v>
      </c>
    </row>
    <row r="55" spans="1:19" x14ac:dyDescent="0.25">
      <c r="A55" s="105" t="str">
        <f>'Data Vlaue (Cr)'!C50</f>
        <v>COLPAL</v>
      </c>
      <c r="B55" s="143">
        <f>VLOOKUP($A55,'Data shares'!$C:$FA,118)</f>
        <v>0.77</v>
      </c>
      <c r="C55" s="143">
        <f>VLOOKUP($A55,'Data shares'!$C:$FA,119)</f>
        <v>0.73</v>
      </c>
      <c r="D55" s="143">
        <f>VLOOKUP($A55,'Data shares'!$C:$FA,121)*100</f>
        <v>5.48</v>
      </c>
      <c r="E55" s="143">
        <f>VLOOKUP($A55,'Data shares'!$C:$FA,124)</f>
        <v>0.42</v>
      </c>
      <c r="F55" s="143">
        <f>VLOOKUP($A55,'Data shares'!$C:$FA,125)</f>
        <v>0.38</v>
      </c>
      <c r="G55" s="143">
        <f>VLOOKUP($A55,'Data shares'!$C:$FA,127)*100</f>
        <v>10.530000000000001</v>
      </c>
      <c r="H55" s="103">
        <f>VLOOKUP($A55,'OI(Volume)'!$A$7:$O$445,8)</f>
        <v>2301525</v>
      </c>
      <c r="I55" s="103">
        <f>VLOOKUP($A55,'OI(Volume)'!$A$7:$O$445,9)</f>
        <v>-384300</v>
      </c>
      <c r="J55" s="103">
        <f>VLOOKUP($A55,'OI(Volume)'!$A$7:$O$445,11)</f>
        <v>1766925</v>
      </c>
      <c r="K55" s="103">
        <f>VLOOKUP($A55,'OI(Volume)'!$A$7:$O$445,12)</f>
        <v>-204750</v>
      </c>
      <c r="L55" s="103">
        <f>VLOOKUP($A55,'OI(Value)'!$A$7:$O$329,8,0)</f>
        <v>489</v>
      </c>
      <c r="M55" s="103">
        <f>VLOOKUP($A55,'OI(Value)'!$A$7:$O$329,9,0)</f>
        <v>-82</v>
      </c>
      <c r="N55" s="103">
        <f>VLOOKUP($A55,'OI(Value)'!$A$7:$O$329,11,0)</f>
        <v>375</v>
      </c>
      <c r="O55" s="103">
        <f>VLOOKUP($A55,'OI(Value)'!$A$7:$O$329,12,0)</f>
        <v>-43</v>
      </c>
      <c r="P55" s="179">
        <f>VLOOKUP(A55,'OI(Value)'!A55:O279,8,0)</f>
        <v>489</v>
      </c>
      <c r="Q55" s="179">
        <f>VLOOKUP(A55,'OI(Value)'!A55:O279,9,0)</f>
        <v>-82</v>
      </c>
      <c r="R55" s="179">
        <f>VLOOKUP(A55,'OI(Value)'!A55:O279,11,0)</f>
        <v>375</v>
      </c>
      <c r="S55" s="179">
        <f>VLOOKUP(A55,'OI(Value)'!A55:O279,11,0)</f>
        <v>375</v>
      </c>
    </row>
    <row r="56" spans="1:19" x14ac:dyDescent="0.25">
      <c r="A56" s="105" t="str">
        <f>'Data Vlaue (Cr)'!C51</f>
        <v>CONCOR</v>
      </c>
      <c r="B56" s="143">
        <f>VLOOKUP($A56,'Data shares'!$C:$FA,118)</f>
        <v>0.8</v>
      </c>
      <c r="C56" s="143">
        <f>VLOOKUP($A56,'Data shares'!$C:$FA,119)</f>
        <v>0.81</v>
      </c>
      <c r="D56" s="143">
        <f>VLOOKUP($A56,'Data shares'!$C:$FA,121)*100</f>
        <v>-1.23</v>
      </c>
      <c r="E56" s="143">
        <f>VLOOKUP($A56,'Data shares'!$C:$FA,124)</f>
        <v>0.39</v>
      </c>
      <c r="F56" s="143">
        <f>VLOOKUP($A56,'Data shares'!$C:$FA,125)</f>
        <v>0.41</v>
      </c>
      <c r="G56" s="143">
        <f>VLOOKUP($A56,'Data shares'!$C:$FA,127)*100</f>
        <v>-4.88</v>
      </c>
      <c r="H56" s="103">
        <f>VLOOKUP($A56,'OI(Volume)'!$A$7:$O$445,8)</f>
        <v>6158750</v>
      </c>
      <c r="I56" s="103">
        <f>VLOOKUP($A56,'OI(Volume)'!$A$7:$O$445,9)</f>
        <v>7500</v>
      </c>
      <c r="J56" s="103">
        <f>VLOOKUP($A56,'OI(Volume)'!$A$7:$O$445,11)</f>
        <v>4911250</v>
      </c>
      <c r="K56" s="103">
        <f>VLOOKUP($A56,'OI(Volume)'!$A$7:$O$445,12)</f>
        <v>-95000</v>
      </c>
      <c r="L56" s="103">
        <f>VLOOKUP($A56,'OI(Value)'!$A$7:$O$329,8,0)</f>
        <v>309</v>
      </c>
      <c r="M56" s="103">
        <f>VLOOKUP($A56,'OI(Value)'!$A$7:$O$329,9,0)</f>
        <v>0</v>
      </c>
      <c r="N56" s="103">
        <f>VLOOKUP($A56,'OI(Value)'!$A$7:$O$329,11,0)</f>
        <v>247</v>
      </c>
      <c r="O56" s="103">
        <f>VLOOKUP($A56,'OI(Value)'!$A$7:$O$329,12,0)</f>
        <v>-5</v>
      </c>
      <c r="P56" s="179">
        <f>VLOOKUP(A56,'OI(Value)'!A56:O280,8,0)</f>
        <v>309</v>
      </c>
      <c r="Q56" s="179">
        <f>VLOOKUP(A56,'OI(Value)'!A56:O280,9,0)</f>
        <v>0</v>
      </c>
      <c r="R56" s="179">
        <f>VLOOKUP(A56,'OI(Value)'!A56:O280,11,0)</f>
        <v>247</v>
      </c>
      <c r="S56" s="179">
        <f>VLOOKUP(A56,'OI(Value)'!A56:O280,11,0)</f>
        <v>247</v>
      </c>
    </row>
    <row r="57" spans="1:19" x14ac:dyDescent="0.25">
      <c r="A57" s="105" t="str">
        <f>'Data Vlaue (Cr)'!C52</f>
        <v>CROMPTON</v>
      </c>
      <c r="B57" s="143">
        <f>VLOOKUP($A57,'Data shares'!$C:$FA,118)</f>
        <v>0.67</v>
      </c>
      <c r="C57" s="143">
        <f>VLOOKUP($A57,'Data shares'!$C:$FA,119)</f>
        <v>0.7</v>
      </c>
      <c r="D57" s="143">
        <f>VLOOKUP($A57,'Data shares'!$C:$FA,121)*100</f>
        <v>-4.29</v>
      </c>
      <c r="E57" s="143">
        <f>VLOOKUP($A57,'Data shares'!$C:$FA,124)</f>
        <v>0.28999999999999998</v>
      </c>
      <c r="F57" s="143">
        <f>VLOOKUP($A57,'Data shares'!$C:$FA,125)</f>
        <v>0.44</v>
      </c>
      <c r="G57" s="143">
        <f>VLOOKUP($A57,'Data shares'!$C:$FA,127)*100</f>
        <v>-34.089999999999996</v>
      </c>
      <c r="H57" s="103">
        <f>VLOOKUP($A57,'OI(Volume)'!$A$7:$O$445,8)</f>
        <v>12213000</v>
      </c>
      <c r="I57" s="103">
        <f>VLOOKUP($A57,'OI(Volume)'!$A$7:$O$445,9)</f>
        <v>72000</v>
      </c>
      <c r="J57" s="103">
        <f>VLOOKUP($A57,'OI(Volume)'!$A$7:$O$445,11)</f>
        <v>8238600</v>
      </c>
      <c r="K57" s="103">
        <f>VLOOKUP($A57,'OI(Volume)'!$A$7:$O$445,12)</f>
        <v>-282600</v>
      </c>
      <c r="L57" s="103">
        <f>VLOOKUP($A57,'OI(Value)'!$A$7:$O$329,8,0)</f>
        <v>319</v>
      </c>
      <c r="M57" s="103">
        <f>VLOOKUP($A57,'OI(Value)'!$A$7:$O$329,9,0)</f>
        <v>2</v>
      </c>
      <c r="N57" s="103">
        <f>VLOOKUP($A57,'OI(Value)'!$A$7:$O$329,11,0)</f>
        <v>215</v>
      </c>
      <c r="O57" s="103">
        <f>VLOOKUP($A57,'OI(Value)'!$A$7:$O$329,12,0)</f>
        <v>-7</v>
      </c>
      <c r="P57" s="179">
        <f>VLOOKUP(A57,'OI(Value)'!A57:O281,8,0)</f>
        <v>319</v>
      </c>
      <c r="Q57" s="179">
        <f>VLOOKUP(A57,'OI(Value)'!A57:O281,9,0)</f>
        <v>2</v>
      </c>
      <c r="R57" s="179">
        <f>VLOOKUP(A57,'OI(Value)'!A57:O281,11,0)</f>
        <v>215</v>
      </c>
      <c r="S57" s="179">
        <f>VLOOKUP(A57,'OI(Value)'!A57:O281,11,0)</f>
        <v>215</v>
      </c>
    </row>
    <row r="58" spans="1:19" x14ac:dyDescent="0.25">
      <c r="A58" s="105" t="str">
        <f>'Data Vlaue (Cr)'!C53</f>
        <v>CUMMINSIND</v>
      </c>
      <c r="B58" s="143">
        <f>VLOOKUP($A58,'Data shares'!$C:$FA,118)</f>
        <v>0.67</v>
      </c>
      <c r="C58" s="143">
        <f>VLOOKUP($A58,'Data shares'!$C:$FA,119)</f>
        <v>0.69</v>
      </c>
      <c r="D58" s="143">
        <f>VLOOKUP($A58,'Data shares'!$C:$FA,121)*100</f>
        <v>-2.9000000000000004</v>
      </c>
      <c r="E58" s="143">
        <f>VLOOKUP($A58,'Data shares'!$C:$FA,124)</f>
        <v>0.52</v>
      </c>
      <c r="F58" s="143">
        <f>VLOOKUP($A58,'Data shares'!$C:$FA,125)</f>
        <v>0.27</v>
      </c>
      <c r="G58" s="143">
        <f>VLOOKUP($A58,'Data shares'!$C:$FA,127)*100</f>
        <v>92.589999999999989</v>
      </c>
      <c r="H58" s="103">
        <f>VLOOKUP($A58,'OI(Volume)'!$A$7:$O$445,8)</f>
        <v>1392200</v>
      </c>
      <c r="I58" s="103">
        <f>VLOOKUP($A58,'OI(Volume)'!$A$7:$O$445,9)</f>
        <v>110200</v>
      </c>
      <c r="J58" s="103">
        <f>VLOOKUP($A58,'OI(Volume)'!$A$7:$O$445,11)</f>
        <v>937800</v>
      </c>
      <c r="K58" s="103">
        <f>VLOOKUP($A58,'OI(Volume)'!$A$7:$O$445,12)</f>
        <v>47600</v>
      </c>
      <c r="L58" s="103">
        <f>VLOOKUP($A58,'OI(Value)'!$A$7:$O$329,8,0)</f>
        <v>723</v>
      </c>
      <c r="M58" s="103">
        <f>VLOOKUP($A58,'OI(Value)'!$A$7:$O$329,9,0)</f>
        <v>57</v>
      </c>
      <c r="N58" s="103">
        <f>VLOOKUP($A58,'OI(Value)'!$A$7:$O$329,11,0)</f>
        <v>487</v>
      </c>
      <c r="O58" s="103">
        <f>VLOOKUP($A58,'OI(Value)'!$A$7:$O$329,12,0)</f>
        <v>25</v>
      </c>
      <c r="P58" s="179">
        <f>VLOOKUP(A58,'OI(Value)'!A58:O282,8,0)</f>
        <v>723</v>
      </c>
      <c r="Q58" s="179">
        <f>VLOOKUP(A58,'OI(Value)'!A58:O282,9,0)</f>
        <v>57</v>
      </c>
      <c r="R58" s="179">
        <f>VLOOKUP(A58,'OI(Value)'!A58:O282,11,0)</f>
        <v>487</v>
      </c>
      <c r="S58" s="179">
        <f>VLOOKUP(A58,'OI(Value)'!A58:O282,11,0)</f>
        <v>487</v>
      </c>
    </row>
    <row r="59" spans="1:19" x14ac:dyDescent="0.25">
      <c r="A59" s="105" t="str">
        <f>'Data Vlaue (Cr)'!C54</f>
        <v>DABUR</v>
      </c>
      <c r="B59" s="143">
        <f>VLOOKUP($A59,'Data shares'!$C:$FA,118)</f>
        <v>0.59</v>
      </c>
      <c r="C59" s="143">
        <f>VLOOKUP($A59,'Data shares'!$C:$FA,119)</f>
        <v>0.64</v>
      </c>
      <c r="D59" s="143">
        <f>VLOOKUP($A59,'Data shares'!$C:$FA,121)*100</f>
        <v>-7.8100000000000005</v>
      </c>
      <c r="E59" s="143">
        <f>VLOOKUP($A59,'Data shares'!$C:$FA,124)</f>
        <v>0.31</v>
      </c>
      <c r="F59" s="143">
        <f>VLOOKUP($A59,'Data shares'!$C:$FA,125)</f>
        <v>0.3</v>
      </c>
      <c r="G59" s="143">
        <f>VLOOKUP($A59,'Data shares'!$C:$FA,127)*100</f>
        <v>3.3300000000000005</v>
      </c>
      <c r="H59" s="103">
        <f>VLOOKUP($A59,'OI(Volume)'!$A$7:$O$445,8)</f>
        <v>12823750</v>
      </c>
      <c r="I59" s="103">
        <f>VLOOKUP($A59,'OI(Volume)'!$A$7:$O$445,9)</f>
        <v>-265000</v>
      </c>
      <c r="J59" s="103">
        <f>VLOOKUP($A59,'OI(Volume)'!$A$7:$O$445,11)</f>
        <v>7512500</v>
      </c>
      <c r="K59" s="103">
        <f>VLOOKUP($A59,'OI(Volume)'!$A$7:$O$445,12)</f>
        <v>-858750</v>
      </c>
      <c r="L59" s="103">
        <f>VLOOKUP($A59,'OI(Value)'!$A$7:$O$329,8,0)</f>
        <v>567</v>
      </c>
      <c r="M59" s="103">
        <f>VLOOKUP($A59,'OI(Value)'!$A$7:$O$329,9,0)</f>
        <v>-12</v>
      </c>
      <c r="N59" s="103">
        <f>VLOOKUP($A59,'OI(Value)'!$A$7:$O$329,11,0)</f>
        <v>332</v>
      </c>
      <c r="O59" s="103">
        <f>VLOOKUP($A59,'OI(Value)'!$A$7:$O$329,12,0)</f>
        <v>-38</v>
      </c>
      <c r="P59" s="179">
        <f>VLOOKUP(A59,'OI(Value)'!A59:O283,8,0)</f>
        <v>567</v>
      </c>
      <c r="Q59" s="179">
        <f>VLOOKUP(A59,'OI(Value)'!A59:O283,9,0)</f>
        <v>-12</v>
      </c>
      <c r="R59" s="179">
        <f>VLOOKUP(A59,'OI(Value)'!A59:O283,11,0)</f>
        <v>332</v>
      </c>
      <c r="S59" s="179">
        <f>VLOOKUP(A59,'OI(Value)'!A59:O283,11,0)</f>
        <v>332</v>
      </c>
    </row>
    <row r="60" spans="1:19" x14ac:dyDescent="0.25">
      <c r="A60" s="105" t="str">
        <f>'Data Vlaue (Cr)'!C55</f>
        <v>DALBHARAT</v>
      </c>
      <c r="B60" s="143">
        <f>VLOOKUP($A60,'Data shares'!$C:$FA,118)</f>
        <v>0.91</v>
      </c>
      <c r="C60" s="143">
        <f>VLOOKUP($A60,'Data shares'!$C:$FA,119)</f>
        <v>0.99</v>
      </c>
      <c r="D60" s="143">
        <f>VLOOKUP($A60,'Data shares'!$C:$FA,121)*100</f>
        <v>-8.08</v>
      </c>
      <c r="E60" s="143">
        <f>VLOOKUP($A60,'Data shares'!$C:$FA,124)</f>
        <v>0.32</v>
      </c>
      <c r="F60" s="143">
        <f>VLOOKUP($A60,'Data shares'!$C:$FA,125)</f>
        <v>0.44</v>
      </c>
      <c r="G60" s="143">
        <f>VLOOKUP($A60,'Data shares'!$C:$FA,127)*100</f>
        <v>-27.27</v>
      </c>
      <c r="H60" s="103">
        <f>VLOOKUP($A60,'OI(Volume)'!$A$7:$O$445,8)</f>
        <v>1090375</v>
      </c>
      <c r="I60" s="103">
        <f>VLOOKUP($A60,'OI(Volume)'!$A$7:$O$445,9)</f>
        <v>70850</v>
      </c>
      <c r="J60" s="103">
        <f>VLOOKUP($A60,'OI(Volume)'!$A$7:$O$445,11)</f>
        <v>988325</v>
      </c>
      <c r="K60" s="103">
        <f>VLOOKUP($A60,'OI(Volume)'!$A$7:$O$445,12)</f>
        <v>-18200</v>
      </c>
      <c r="L60" s="103">
        <f>VLOOKUP($A60,'OI(Value)'!$A$7:$O$329,8,0)</f>
        <v>216</v>
      </c>
      <c r="M60" s="103">
        <f>VLOOKUP($A60,'OI(Value)'!$A$7:$O$329,9,0)</f>
        <v>14</v>
      </c>
      <c r="N60" s="103">
        <f>VLOOKUP($A60,'OI(Value)'!$A$7:$O$329,11,0)</f>
        <v>196</v>
      </c>
      <c r="O60" s="103">
        <f>VLOOKUP($A60,'OI(Value)'!$A$7:$O$329,12,0)</f>
        <v>-4</v>
      </c>
      <c r="P60" s="179">
        <f>VLOOKUP(A60,'OI(Value)'!A60:O284,8,0)</f>
        <v>216</v>
      </c>
      <c r="Q60" s="179">
        <f>VLOOKUP(A60,'OI(Value)'!A60:O284,9,0)</f>
        <v>14</v>
      </c>
      <c r="R60" s="179">
        <f>VLOOKUP(A60,'OI(Value)'!A60:O284,11,0)</f>
        <v>196</v>
      </c>
      <c r="S60" s="179">
        <f>VLOOKUP(A60,'OI(Value)'!A60:O284,11,0)</f>
        <v>196</v>
      </c>
    </row>
    <row r="61" spans="1:19" x14ac:dyDescent="0.25">
      <c r="A61" s="105" t="str">
        <f>'Data Vlaue (Cr)'!C56</f>
        <v>DELHIVERY</v>
      </c>
      <c r="B61" s="143">
        <f>VLOOKUP($A61,'Data shares'!$C:$FA,118)</f>
        <v>0.4</v>
      </c>
      <c r="C61" s="143">
        <f>VLOOKUP($A61,'Data shares'!$C:$FA,119)</f>
        <v>0.39</v>
      </c>
      <c r="D61" s="143">
        <f>VLOOKUP($A61,'Data shares'!$C:$FA,121)*100</f>
        <v>2.56</v>
      </c>
      <c r="E61" s="143">
        <f>VLOOKUP($A61,'Data shares'!$C:$FA,124)</f>
        <v>0.21</v>
      </c>
      <c r="F61" s="143">
        <f>VLOOKUP($A61,'Data shares'!$C:$FA,125)</f>
        <v>0.22</v>
      </c>
      <c r="G61" s="143">
        <f>VLOOKUP($A61,'Data shares'!$C:$FA,127)*100</f>
        <v>-4.55</v>
      </c>
      <c r="H61" s="103">
        <f>VLOOKUP($A61,'OI(Volume)'!$A$7:$O$445,8)</f>
        <v>13267550</v>
      </c>
      <c r="I61" s="103">
        <f>VLOOKUP($A61,'OI(Volume)'!$A$7:$O$445,9)</f>
        <v>-1168225</v>
      </c>
      <c r="J61" s="103">
        <f>VLOOKUP($A61,'OI(Volume)'!$A$7:$O$445,11)</f>
        <v>5324450</v>
      </c>
      <c r="K61" s="103">
        <f>VLOOKUP($A61,'OI(Volume)'!$A$7:$O$445,12)</f>
        <v>-244850</v>
      </c>
      <c r="L61" s="103">
        <f>VLOOKUP($A61,'OI(Value)'!$A$7:$O$329,8,0)</f>
        <v>617</v>
      </c>
      <c r="M61" s="103">
        <f>VLOOKUP($A61,'OI(Value)'!$A$7:$O$329,9,0)</f>
        <v>-54</v>
      </c>
      <c r="N61" s="103">
        <f>VLOOKUP($A61,'OI(Value)'!$A$7:$O$329,11,0)</f>
        <v>247</v>
      </c>
      <c r="O61" s="103">
        <f>VLOOKUP($A61,'OI(Value)'!$A$7:$O$329,12,0)</f>
        <v>-11</v>
      </c>
      <c r="P61" s="179">
        <f>VLOOKUP(A61,'OI(Value)'!A61:O285,8,0)</f>
        <v>617</v>
      </c>
      <c r="Q61" s="179">
        <f>VLOOKUP(A61,'OI(Value)'!A61:O285,9,0)</f>
        <v>-54</v>
      </c>
      <c r="R61" s="179">
        <f>VLOOKUP(A61,'OI(Value)'!A61:O285,11,0)</f>
        <v>247</v>
      </c>
      <c r="S61" s="179">
        <f>VLOOKUP(A61,'OI(Value)'!A61:O285,11,0)</f>
        <v>247</v>
      </c>
    </row>
    <row r="62" spans="1:19" x14ac:dyDescent="0.25">
      <c r="A62" s="105" t="str">
        <f>'Data Vlaue (Cr)'!C57</f>
        <v>DIVISLAB</v>
      </c>
      <c r="B62" s="143">
        <f>VLOOKUP($A62,'Data shares'!$C:$FA,118)</f>
        <v>1.01</v>
      </c>
      <c r="C62" s="143">
        <f>VLOOKUP($A62,'Data shares'!$C:$FA,119)</f>
        <v>1.05</v>
      </c>
      <c r="D62" s="143">
        <f>VLOOKUP($A62,'Data shares'!$C:$FA,121)*100</f>
        <v>-3.81</v>
      </c>
      <c r="E62" s="143">
        <f>VLOOKUP($A62,'Data shares'!$C:$FA,124)</f>
        <v>0.36</v>
      </c>
      <c r="F62" s="143">
        <f>VLOOKUP($A62,'Data shares'!$C:$FA,125)</f>
        <v>0.56999999999999995</v>
      </c>
      <c r="G62" s="143">
        <f>VLOOKUP($A62,'Data shares'!$C:$FA,127)*100</f>
        <v>-36.840000000000003</v>
      </c>
      <c r="H62" s="103">
        <f>VLOOKUP($A62,'OI(Volume)'!$A$7:$O$445,8)</f>
        <v>752000</v>
      </c>
      <c r="I62" s="103">
        <f>VLOOKUP($A62,'OI(Volume)'!$A$7:$O$445,9)</f>
        <v>47100</v>
      </c>
      <c r="J62" s="103">
        <f>VLOOKUP($A62,'OI(Volume)'!$A$7:$O$445,11)</f>
        <v>757600</v>
      </c>
      <c r="K62" s="103">
        <f>VLOOKUP($A62,'OI(Volume)'!$A$7:$O$445,12)</f>
        <v>18200</v>
      </c>
      <c r="L62" s="103">
        <f>VLOOKUP($A62,'OI(Value)'!$A$7:$O$329,8,0)</f>
        <v>472</v>
      </c>
      <c r="M62" s="103">
        <f>VLOOKUP($A62,'OI(Value)'!$A$7:$O$329,9,0)</f>
        <v>30</v>
      </c>
      <c r="N62" s="103">
        <f>VLOOKUP($A62,'OI(Value)'!$A$7:$O$329,11,0)</f>
        <v>475</v>
      </c>
      <c r="O62" s="103">
        <f>VLOOKUP($A62,'OI(Value)'!$A$7:$O$329,12,0)</f>
        <v>11</v>
      </c>
      <c r="P62" s="179">
        <f>VLOOKUP(A62,'OI(Value)'!A62:O286,8,0)</f>
        <v>472</v>
      </c>
      <c r="Q62" s="179">
        <f>VLOOKUP(A62,'OI(Value)'!A62:O286,9,0)</f>
        <v>30</v>
      </c>
      <c r="R62" s="179">
        <f>VLOOKUP(A62,'OI(Value)'!A62:O286,11,0)</f>
        <v>475</v>
      </c>
      <c r="S62" s="179">
        <f>VLOOKUP(A62,'OI(Value)'!A62:O286,11,0)</f>
        <v>475</v>
      </c>
    </row>
    <row r="63" spans="1:19" x14ac:dyDescent="0.25">
      <c r="A63" s="105" t="str">
        <f>'Data Vlaue (Cr)'!C58</f>
        <v>DIXON</v>
      </c>
      <c r="B63" s="143">
        <f>VLOOKUP($A63,'Data shares'!$C:$FA,118)</f>
        <v>0.71</v>
      </c>
      <c r="C63" s="143">
        <f>VLOOKUP($A63,'Data shares'!$C:$FA,119)</f>
        <v>0.74</v>
      </c>
      <c r="D63" s="143">
        <f>VLOOKUP($A63,'Data shares'!$C:$FA,121)*100</f>
        <v>-4.05</v>
      </c>
      <c r="E63" s="143">
        <f>VLOOKUP($A63,'Data shares'!$C:$FA,124)</f>
        <v>0.67</v>
      </c>
      <c r="F63" s="143">
        <f>VLOOKUP($A63,'Data shares'!$C:$FA,125)</f>
        <v>0.56000000000000005</v>
      </c>
      <c r="G63" s="143">
        <f>VLOOKUP($A63,'Data shares'!$C:$FA,127)*100</f>
        <v>19.64</v>
      </c>
      <c r="H63" s="103">
        <f>VLOOKUP($A63,'OI(Volume)'!$A$7:$O$445,8)</f>
        <v>2126650</v>
      </c>
      <c r="I63" s="103">
        <f>VLOOKUP($A63,'OI(Volume)'!$A$7:$O$445,9)</f>
        <v>37050</v>
      </c>
      <c r="J63" s="103">
        <f>VLOOKUP($A63,'OI(Volume)'!$A$7:$O$445,11)</f>
        <v>1500400</v>
      </c>
      <c r="K63" s="103">
        <f>VLOOKUP($A63,'OI(Volume)'!$A$7:$O$445,12)</f>
        <v>-53200</v>
      </c>
      <c r="L63" s="103">
        <f>VLOOKUP($A63,'OI(Value)'!$A$7:$O$329,8,0)</f>
        <v>2381</v>
      </c>
      <c r="M63" s="103">
        <f>VLOOKUP($A63,'OI(Value)'!$A$7:$O$329,9,0)</f>
        <v>41</v>
      </c>
      <c r="N63" s="103">
        <f>VLOOKUP($A63,'OI(Value)'!$A$7:$O$329,11,0)</f>
        <v>1680</v>
      </c>
      <c r="O63" s="103">
        <f>VLOOKUP($A63,'OI(Value)'!$A$7:$O$329,12,0)</f>
        <v>-60</v>
      </c>
      <c r="P63" s="179">
        <f>VLOOKUP(A63,'OI(Value)'!A63:O287,8,0)</f>
        <v>2381</v>
      </c>
      <c r="Q63" s="179">
        <f>VLOOKUP(A63,'OI(Value)'!A63:O287,9,0)</f>
        <v>41</v>
      </c>
      <c r="R63" s="179">
        <f>VLOOKUP(A63,'OI(Value)'!A63:O287,11,0)</f>
        <v>1680</v>
      </c>
      <c r="S63" s="179">
        <f>VLOOKUP(A63,'OI(Value)'!A63:O287,11,0)</f>
        <v>1680</v>
      </c>
    </row>
    <row r="64" spans="1:19" x14ac:dyDescent="0.25">
      <c r="A64" s="105" t="str">
        <f>'Data Vlaue (Cr)'!C59</f>
        <v>DLF</v>
      </c>
      <c r="B64" s="143">
        <f>VLOOKUP($A64,'Data shares'!$C:$FA,118)</f>
        <v>1.06</v>
      </c>
      <c r="C64" s="143">
        <f>VLOOKUP($A64,'Data shares'!$C:$FA,119)</f>
        <v>1.08</v>
      </c>
      <c r="D64" s="143">
        <f>VLOOKUP($A64,'Data shares'!$C:$FA,121)*100</f>
        <v>-1.8499999999999999</v>
      </c>
      <c r="E64" s="143">
        <f>VLOOKUP($A64,'Data shares'!$C:$FA,124)</f>
        <v>0.67</v>
      </c>
      <c r="F64" s="143">
        <f>VLOOKUP($A64,'Data shares'!$C:$FA,125)</f>
        <v>0.84</v>
      </c>
      <c r="G64" s="143">
        <f>VLOOKUP($A64,'Data shares'!$C:$FA,127)*100</f>
        <v>-20.239999999999998</v>
      </c>
      <c r="H64" s="103">
        <f>VLOOKUP($A64,'OI(Volume)'!$A$7:$O$445,8)</f>
        <v>10729950</v>
      </c>
      <c r="I64" s="103">
        <f>VLOOKUP($A64,'OI(Volume)'!$A$7:$O$445,9)</f>
        <v>249150</v>
      </c>
      <c r="J64" s="103">
        <f>VLOOKUP($A64,'OI(Volume)'!$A$7:$O$445,11)</f>
        <v>11402325</v>
      </c>
      <c r="K64" s="103">
        <f>VLOOKUP($A64,'OI(Volume)'!$A$7:$O$445,12)</f>
        <v>117975</v>
      </c>
      <c r="L64" s="103">
        <f>VLOOKUP($A64,'OI(Value)'!$A$7:$O$329,8,0)</f>
        <v>639</v>
      </c>
      <c r="M64" s="103">
        <f>VLOOKUP($A64,'OI(Value)'!$A$7:$O$329,9,0)</f>
        <v>15</v>
      </c>
      <c r="N64" s="103">
        <f>VLOOKUP($A64,'OI(Value)'!$A$7:$O$329,11,0)</f>
        <v>679</v>
      </c>
      <c r="O64" s="103">
        <f>VLOOKUP($A64,'OI(Value)'!$A$7:$O$329,12,0)</f>
        <v>7</v>
      </c>
      <c r="P64" s="179">
        <f>VLOOKUP(A64,'OI(Value)'!A64:O288,8,0)</f>
        <v>639</v>
      </c>
      <c r="Q64" s="179">
        <f>VLOOKUP(A64,'OI(Value)'!A64:O288,9,0)</f>
        <v>15</v>
      </c>
      <c r="R64" s="179">
        <f>VLOOKUP(A64,'OI(Value)'!A64:O288,11,0)</f>
        <v>679</v>
      </c>
      <c r="S64" s="179">
        <f>VLOOKUP(A64,'OI(Value)'!A64:O288,11,0)</f>
        <v>679</v>
      </c>
    </row>
    <row r="65" spans="1:19" x14ac:dyDescent="0.25">
      <c r="A65" s="105" t="str">
        <f>'Data Vlaue (Cr)'!C60</f>
        <v>DMART</v>
      </c>
      <c r="B65" s="143">
        <f>VLOOKUP($A65,'Data shares'!$C:$FA,118)</f>
        <v>0.94</v>
      </c>
      <c r="C65" s="143">
        <f>VLOOKUP($A65,'Data shares'!$C:$FA,119)</f>
        <v>0.96</v>
      </c>
      <c r="D65" s="143">
        <f>VLOOKUP($A65,'Data shares'!$C:$FA,121)*100</f>
        <v>-2.08</v>
      </c>
      <c r="E65" s="143">
        <f>VLOOKUP($A65,'Data shares'!$C:$FA,124)</f>
        <v>0.81</v>
      </c>
      <c r="F65" s="143">
        <f>VLOOKUP($A65,'Data shares'!$C:$FA,125)</f>
        <v>0.45</v>
      </c>
      <c r="G65" s="143">
        <f>VLOOKUP($A65,'Data shares'!$C:$FA,127)*100</f>
        <v>80</v>
      </c>
      <c r="H65" s="103">
        <f>VLOOKUP($A65,'OI(Volume)'!$A$7:$O$445,8)</f>
        <v>1919100</v>
      </c>
      <c r="I65" s="103">
        <f>VLOOKUP($A65,'OI(Volume)'!$A$7:$O$445,9)</f>
        <v>-30000</v>
      </c>
      <c r="J65" s="103">
        <f>VLOOKUP($A65,'OI(Volume)'!$A$7:$O$445,11)</f>
        <v>1810950</v>
      </c>
      <c r="K65" s="103">
        <f>VLOOKUP($A65,'OI(Volume)'!$A$7:$O$445,12)</f>
        <v>-68400</v>
      </c>
      <c r="L65" s="103">
        <f>VLOOKUP($A65,'OI(Value)'!$A$7:$O$329,8,0)</f>
        <v>884</v>
      </c>
      <c r="M65" s="103">
        <f>VLOOKUP($A65,'OI(Value)'!$A$7:$O$329,9,0)</f>
        <v>-14</v>
      </c>
      <c r="N65" s="103">
        <f>VLOOKUP($A65,'OI(Value)'!$A$7:$O$329,11,0)</f>
        <v>834</v>
      </c>
      <c r="O65" s="103">
        <f>VLOOKUP($A65,'OI(Value)'!$A$7:$O$329,12,0)</f>
        <v>-32</v>
      </c>
      <c r="P65" s="179">
        <f>VLOOKUP(A65,'OI(Value)'!A65:O289,8,0)</f>
        <v>884</v>
      </c>
      <c r="Q65" s="179">
        <f>VLOOKUP(A65,'OI(Value)'!A65:O289,9,0)</f>
        <v>-14</v>
      </c>
      <c r="R65" s="179">
        <f>VLOOKUP(A65,'OI(Value)'!A65:O289,11,0)</f>
        <v>834</v>
      </c>
      <c r="S65" s="179">
        <f>VLOOKUP(A65,'OI(Value)'!A65:O289,11,0)</f>
        <v>834</v>
      </c>
    </row>
    <row r="66" spans="1:19" x14ac:dyDescent="0.25">
      <c r="A66" s="105" t="str">
        <f>'Data Vlaue (Cr)'!C61</f>
        <v>DRREDDY</v>
      </c>
      <c r="B66" s="143">
        <f>VLOOKUP($A66,'Data shares'!$C:$FA,118)</f>
        <v>0.7</v>
      </c>
      <c r="C66" s="143">
        <f>VLOOKUP($A66,'Data shares'!$C:$FA,119)</f>
        <v>0.71</v>
      </c>
      <c r="D66" s="143">
        <f>VLOOKUP($A66,'Data shares'!$C:$FA,121)*100</f>
        <v>-1.41</v>
      </c>
      <c r="E66" s="143">
        <f>VLOOKUP($A66,'Data shares'!$C:$FA,124)</f>
        <v>0.46</v>
      </c>
      <c r="F66" s="143">
        <f>VLOOKUP($A66,'Data shares'!$C:$FA,125)</f>
        <v>0.42</v>
      </c>
      <c r="G66" s="143">
        <f>VLOOKUP($A66,'Data shares'!$C:$FA,127)*100</f>
        <v>9.5200000000000014</v>
      </c>
      <c r="H66" s="103">
        <f>VLOOKUP($A66,'OI(Volume)'!$A$7:$O$445,8)</f>
        <v>7160000</v>
      </c>
      <c r="I66" s="103">
        <f>VLOOKUP($A66,'OI(Volume)'!$A$7:$O$445,9)</f>
        <v>-91250</v>
      </c>
      <c r="J66" s="103">
        <f>VLOOKUP($A66,'OI(Volume)'!$A$7:$O$445,11)</f>
        <v>5045625</v>
      </c>
      <c r="K66" s="103">
        <f>VLOOKUP($A66,'OI(Volume)'!$A$7:$O$445,12)</f>
        <v>-122500</v>
      </c>
      <c r="L66" s="103">
        <f>VLOOKUP($A66,'OI(Value)'!$A$7:$O$329,8,0)</f>
        <v>876</v>
      </c>
      <c r="M66" s="103">
        <f>VLOOKUP($A66,'OI(Value)'!$A$7:$O$329,9,0)</f>
        <v>-11</v>
      </c>
      <c r="N66" s="103">
        <f>VLOOKUP($A66,'OI(Value)'!$A$7:$O$329,11,0)</f>
        <v>618</v>
      </c>
      <c r="O66" s="103">
        <f>VLOOKUP($A66,'OI(Value)'!$A$7:$O$329,12,0)</f>
        <v>-15</v>
      </c>
      <c r="P66" s="179">
        <f>VLOOKUP(A66,'OI(Value)'!A66:O290,8,0)</f>
        <v>876</v>
      </c>
      <c r="Q66" s="179">
        <f>VLOOKUP(A66,'OI(Value)'!A66:O290,9,0)</f>
        <v>-11</v>
      </c>
      <c r="R66" s="179">
        <f>VLOOKUP(A66,'OI(Value)'!A66:O290,11,0)</f>
        <v>618</v>
      </c>
      <c r="S66" s="179">
        <f>VLOOKUP(A66,'OI(Value)'!A66:O290,11,0)</f>
        <v>618</v>
      </c>
    </row>
    <row r="67" spans="1:19" x14ac:dyDescent="0.25">
      <c r="A67" s="105" t="str">
        <f>'Data Vlaue (Cr)'!C62</f>
        <v>EICHERMOT</v>
      </c>
      <c r="B67" s="143">
        <f>VLOOKUP($A67,'Data shares'!$C:$FA,118)</f>
        <v>0.77</v>
      </c>
      <c r="C67" s="143">
        <f>VLOOKUP($A67,'Data shares'!$C:$FA,119)</f>
        <v>0.68</v>
      </c>
      <c r="D67" s="143">
        <f>VLOOKUP($A67,'Data shares'!$C:$FA,121)*100</f>
        <v>13.239999999999998</v>
      </c>
      <c r="E67" s="143">
        <f>VLOOKUP($A67,'Data shares'!$C:$FA,124)</f>
        <v>0.34</v>
      </c>
      <c r="F67" s="143">
        <f>VLOOKUP($A67,'Data shares'!$C:$FA,125)</f>
        <v>0.34</v>
      </c>
      <c r="G67" s="143">
        <f>VLOOKUP($A67,'Data shares'!$C:$FA,127)*100</f>
        <v>0</v>
      </c>
      <c r="H67" s="103">
        <f>VLOOKUP($A67,'OI(Volume)'!$A$7:$O$445,8)</f>
        <v>2150700</v>
      </c>
      <c r="I67" s="103">
        <f>VLOOKUP($A67,'OI(Volume)'!$A$7:$O$445,9)</f>
        <v>-170900</v>
      </c>
      <c r="J67" s="103">
        <f>VLOOKUP($A67,'OI(Volume)'!$A$7:$O$445,11)</f>
        <v>1659000</v>
      </c>
      <c r="K67" s="103">
        <f>VLOOKUP($A67,'OI(Volume)'!$A$7:$O$445,12)</f>
        <v>79600</v>
      </c>
      <c r="L67" s="103">
        <f>VLOOKUP($A67,'OI(Value)'!$A$7:$O$329,8,0)</f>
        <v>1556</v>
      </c>
      <c r="M67" s="103">
        <f>VLOOKUP($A67,'OI(Value)'!$A$7:$O$329,9,0)</f>
        <v>-124</v>
      </c>
      <c r="N67" s="103">
        <f>VLOOKUP($A67,'OI(Value)'!$A$7:$O$329,11,0)</f>
        <v>1200</v>
      </c>
      <c r="O67" s="103">
        <f>VLOOKUP($A67,'OI(Value)'!$A$7:$O$329,12,0)</f>
        <v>58</v>
      </c>
      <c r="P67" s="179">
        <f>VLOOKUP(A67,'OI(Value)'!A67:O291,8,0)</f>
        <v>1556</v>
      </c>
      <c r="Q67" s="179">
        <f>VLOOKUP(A67,'OI(Value)'!A67:O291,9,0)</f>
        <v>-124</v>
      </c>
      <c r="R67" s="179">
        <f>VLOOKUP(A67,'OI(Value)'!A67:O291,11,0)</f>
        <v>1200</v>
      </c>
      <c r="S67" s="179">
        <f>VLOOKUP(A67,'OI(Value)'!A67:O291,11,0)</f>
        <v>1200</v>
      </c>
    </row>
    <row r="68" spans="1:19" x14ac:dyDescent="0.25">
      <c r="A68" s="105" t="str">
        <f>'Data Vlaue (Cr)'!C63</f>
        <v>ETERNAL</v>
      </c>
      <c r="B68" s="143">
        <f>VLOOKUP($A68,'Data shares'!$C:$FA,118)</f>
        <v>0.8</v>
      </c>
      <c r="C68" s="143">
        <f>VLOOKUP($A68,'Data shares'!$C:$FA,119)</f>
        <v>0.78</v>
      </c>
      <c r="D68" s="143">
        <f>VLOOKUP($A68,'Data shares'!$C:$FA,121)*100</f>
        <v>2.56</v>
      </c>
      <c r="E68" s="143">
        <f>VLOOKUP($A68,'Data shares'!$C:$FA,124)</f>
        <v>0.61</v>
      </c>
      <c r="F68" s="143">
        <f>VLOOKUP($A68,'Data shares'!$C:$FA,125)</f>
        <v>0.49</v>
      </c>
      <c r="G68" s="143">
        <f>VLOOKUP($A68,'Data shares'!$C:$FA,127)*100</f>
        <v>24.490000000000002</v>
      </c>
      <c r="H68" s="103">
        <f>VLOOKUP($A68,'OI(Volume)'!$A$7:$O$445,8)</f>
        <v>62945725</v>
      </c>
      <c r="I68" s="103">
        <f>VLOOKUP($A68,'OI(Volume)'!$A$7:$O$445,9)</f>
        <v>-1874525</v>
      </c>
      <c r="J68" s="103">
        <f>VLOOKUP($A68,'OI(Volume)'!$A$7:$O$445,11)</f>
        <v>50275100</v>
      </c>
      <c r="K68" s="103">
        <f>VLOOKUP($A68,'OI(Volume)'!$A$7:$O$445,12)</f>
        <v>-378300</v>
      </c>
      <c r="L68" s="103">
        <f>VLOOKUP($A68,'OI(Value)'!$A$7:$O$329,8,0)</f>
        <v>1603</v>
      </c>
      <c r="M68" s="103">
        <f>VLOOKUP($A68,'OI(Value)'!$A$7:$O$329,9,0)</f>
        <v>-48</v>
      </c>
      <c r="N68" s="103">
        <f>VLOOKUP($A68,'OI(Value)'!$A$7:$O$329,11,0)</f>
        <v>1281</v>
      </c>
      <c r="O68" s="103">
        <f>VLOOKUP($A68,'OI(Value)'!$A$7:$O$329,12,0)</f>
        <v>-10</v>
      </c>
      <c r="P68" s="179">
        <f>VLOOKUP(A68,'OI(Value)'!A68:O292,8,0)</f>
        <v>1603</v>
      </c>
      <c r="Q68" s="179">
        <f>VLOOKUP(A68,'OI(Value)'!A68:O292,9,0)</f>
        <v>-48</v>
      </c>
      <c r="R68" s="179">
        <f>VLOOKUP(A68,'OI(Value)'!A68:O292,11,0)</f>
        <v>1281</v>
      </c>
      <c r="S68" s="179">
        <f>VLOOKUP(A68,'OI(Value)'!A68:O292,11,0)</f>
        <v>1281</v>
      </c>
    </row>
    <row r="69" spans="1:19" x14ac:dyDescent="0.25">
      <c r="A69" s="105" t="str">
        <f>'Data Vlaue (Cr)'!C64</f>
        <v>EXIDEIND</v>
      </c>
      <c r="B69" s="143">
        <f>VLOOKUP($A69,'Data shares'!$C:$FA,118)</f>
        <v>0.96</v>
      </c>
      <c r="C69" s="143">
        <f>VLOOKUP($A69,'Data shares'!$C:$FA,119)</f>
        <v>0.97</v>
      </c>
      <c r="D69" s="143">
        <f>VLOOKUP($A69,'Data shares'!$C:$FA,121)*100</f>
        <v>-1.03</v>
      </c>
      <c r="E69" s="143">
        <f>VLOOKUP($A69,'Data shares'!$C:$FA,124)</f>
        <v>0.48</v>
      </c>
      <c r="F69" s="143">
        <f>VLOOKUP($A69,'Data shares'!$C:$FA,125)</f>
        <v>0.52</v>
      </c>
      <c r="G69" s="143">
        <f>VLOOKUP($A69,'Data shares'!$C:$FA,127)*100</f>
        <v>-7.6899999999999995</v>
      </c>
      <c r="H69" s="103">
        <f>VLOOKUP($A69,'OI(Volume)'!$A$7:$O$445,8)</f>
        <v>12893400</v>
      </c>
      <c r="I69" s="103">
        <f>VLOOKUP($A69,'OI(Volume)'!$A$7:$O$445,9)</f>
        <v>-70200</v>
      </c>
      <c r="J69" s="103">
        <f>VLOOKUP($A69,'OI(Volume)'!$A$7:$O$445,11)</f>
        <v>12441600</v>
      </c>
      <c r="K69" s="103">
        <f>VLOOKUP($A69,'OI(Volume)'!$A$7:$O$445,12)</f>
        <v>-180000</v>
      </c>
      <c r="L69" s="103">
        <f>VLOOKUP($A69,'OI(Value)'!$A$7:$O$329,8,0)</f>
        <v>425</v>
      </c>
      <c r="M69" s="103">
        <f>VLOOKUP($A69,'OI(Value)'!$A$7:$O$329,9,0)</f>
        <v>-2</v>
      </c>
      <c r="N69" s="103">
        <f>VLOOKUP($A69,'OI(Value)'!$A$7:$O$329,11,0)</f>
        <v>410</v>
      </c>
      <c r="O69" s="103">
        <f>VLOOKUP($A69,'OI(Value)'!$A$7:$O$329,12,0)</f>
        <v>-6</v>
      </c>
      <c r="P69" s="179">
        <f>VLOOKUP(A69,'OI(Value)'!A69:O293,8,0)</f>
        <v>425</v>
      </c>
      <c r="Q69" s="179">
        <f>VLOOKUP(A69,'OI(Value)'!A69:O293,9,0)</f>
        <v>-2</v>
      </c>
      <c r="R69" s="179">
        <f>VLOOKUP(A69,'OI(Value)'!A69:O293,11,0)</f>
        <v>410</v>
      </c>
      <c r="S69" s="179">
        <f>VLOOKUP(A69,'OI(Value)'!A69:O293,11,0)</f>
        <v>410</v>
      </c>
    </row>
    <row r="70" spans="1:19" x14ac:dyDescent="0.25">
      <c r="A70" s="105" t="str">
        <f>'Data Vlaue (Cr)'!C65</f>
        <v>FEDERALBNK</v>
      </c>
      <c r="B70" s="143">
        <f>VLOOKUP($A70,'Data shares'!$C:$FA,118)</f>
        <v>0.87</v>
      </c>
      <c r="C70" s="143">
        <f>VLOOKUP($A70,'Data shares'!$C:$FA,119)</f>
        <v>0.84</v>
      </c>
      <c r="D70" s="143">
        <f>VLOOKUP($A70,'Data shares'!$C:$FA,121)*100</f>
        <v>3.5700000000000003</v>
      </c>
      <c r="E70" s="143">
        <f>VLOOKUP($A70,'Data shares'!$C:$FA,124)</f>
        <v>0.43</v>
      </c>
      <c r="F70" s="143">
        <f>VLOOKUP($A70,'Data shares'!$C:$FA,125)</f>
        <v>0.55000000000000004</v>
      </c>
      <c r="G70" s="143">
        <f>VLOOKUP($A70,'Data shares'!$C:$FA,127)*100</f>
        <v>-21.82</v>
      </c>
      <c r="H70" s="103">
        <f>VLOOKUP($A70,'OI(Volume)'!$A$7:$O$445,8)</f>
        <v>36765000</v>
      </c>
      <c r="I70" s="103">
        <f>VLOOKUP($A70,'OI(Volume)'!$A$7:$O$445,9)</f>
        <v>185000</v>
      </c>
      <c r="J70" s="103">
        <f>VLOOKUP($A70,'OI(Volume)'!$A$7:$O$445,11)</f>
        <v>32070000</v>
      </c>
      <c r="K70" s="103">
        <f>VLOOKUP($A70,'OI(Volume)'!$A$7:$O$445,12)</f>
        <v>1360000</v>
      </c>
      <c r="L70" s="103">
        <f>VLOOKUP($A70,'OI(Value)'!$A$7:$O$329,8,0)</f>
        <v>1084</v>
      </c>
      <c r="M70" s="103">
        <f>VLOOKUP($A70,'OI(Value)'!$A$7:$O$329,9,0)</f>
        <v>5</v>
      </c>
      <c r="N70" s="103">
        <f>VLOOKUP($A70,'OI(Value)'!$A$7:$O$329,11,0)</f>
        <v>945</v>
      </c>
      <c r="O70" s="103">
        <f>VLOOKUP($A70,'OI(Value)'!$A$7:$O$329,12,0)</f>
        <v>40</v>
      </c>
      <c r="P70" s="179">
        <f>VLOOKUP(A70,'OI(Value)'!A70:O294,8,0)</f>
        <v>1084</v>
      </c>
      <c r="Q70" s="179">
        <f>VLOOKUP(A70,'OI(Value)'!A70:O294,9,0)</f>
        <v>5</v>
      </c>
      <c r="R70" s="179">
        <f>VLOOKUP(A70,'OI(Value)'!A70:O294,11,0)</f>
        <v>945</v>
      </c>
      <c r="S70" s="179">
        <f>VLOOKUP(A70,'OI(Value)'!A70:O294,11,0)</f>
        <v>945</v>
      </c>
    </row>
    <row r="71" spans="1:19" x14ac:dyDescent="0.25">
      <c r="A71" s="105" t="str">
        <f>'Data Vlaue (Cr)'!C66</f>
        <v>FINNIFTY</v>
      </c>
      <c r="B71" s="143">
        <f>VLOOKUP($A71,'Data shares'!$C:$FA,118)</f>
        <v>0.75</v>
      </c>
      <c r="C71" s="143">
        <f>VLOOKUP($A71,'Data shares'!$C:$FA,119)</f>
        <v>0.68</v>
      </c>
      <c r="D71" s="143">
        <f>VLOOKUP($A71,'Data shares'!$C:$FA,121)*100</f>
        <v>10.290000000000001</v>
      </c>
      <c r="E71" s="143">
        <f>VLOOKUP($A71,'Data shares'!$C:$FA,124)</f>
        <v>0.86</v>
      </c>
      <c r="F71" s="143">
        <f>VLOOKUP($A71,'Data shares'!$C:$FA,125)</f>
        <v>0.5</v>
      </c>
      <c r="G71" s="143">
        <f>VLOOKUP($A71,'Data shares'!$C:$FA,127)*100</f>
        <v>72</v>
      </c>
      <c r="H71" s="103">
        <f>VLOOKUP($A71,'OI(Volume)'!$A$7:$O$445,8)</f>
        <v>359040</v>
      </c>
      <c r="I71" s="103">
        <f>VLOOKUP($A71,'OI(Volume)'!$A$7:$O$445,9)</f>
        <v>-36060</v>
      </c>
      <c r="J71" s="103">
        <f>VLOOKUP($A71,'OI(Volume)'!$A$7:$O$445,11)</f>
        <v>270000</v>
      </c>
      <c r="K71" s="103">
        <f>VLOOKUP($A71,'OI(Volume)'!$A$7:$O$445,12)</f>
        <v>1980</v>
      </c>
      <c r="L71" s="103">
        <f>VLOOKUP($A71,'OI(Value)'!$A$7:$O$329,8,0)</f>
        <v>952</v>
      </c>
      <c r="M71" s="103">
        <f>VLOOKUP($A71,'OI(Value)'!$A$7:$O$329,9,0)</f>
        <v>-96</v>
      </c>
      <c r="N71" s="103">
        <f>VLOOKUP($A71,'OI(Value)'!$A$7:$O$329,11,0)</f>
        <v>716</v>
      </c>
      <c r="O71" s="103">
        <f>VLOOKUP($A71,'OI(Value)'!$A$7:$O$329,12,0)</f>
        <v>5</v>
      </c>
      <c r="P71" s="179">
        <f>VLOOKUP(A71,'OI(Value)'!A71:O295,8,0)</f>
        <v>952</v>
      </c>
      <c r="Q71" s="179">
        <f>VLOOKUP(A71,'OI(Value)'!A71:O295,9,0)</f>
        <v>-96</v>
      </c>
      <c r="R71" s="179">
        <f>VLOOKUP(A71,'OI(Value)'!A71:O295,11,0)</f>
        <v>716</v>
      </c>
      <c r="S71" s="179">
        <f>VLOOKUP(A71,'OI(Value)'!A71:O295,11,0)</f>
        <v>716</v>
      </c>
    </row>
    <row r="72" spans="1:19" x14ac:dyDescent="0.25">
      <c r="A72" s="105" t="str">
        <f>'Data Vlaue (Cr)'!C67</f>
        <v>FORCEMOT</v>
      </c>
      <c r="B72" s="143">
        <f>VLOOKUP($A72,'Data shares'!$C:$FA,118)</f>
        <v>0.34</v>
      </c>
      <c r="C72" s="143">
        <f>VLOOKUP($A72,'Data shares'!$C:$FA,119)</f>
        <v>0.34</v>
      </c>
      <c r="D72" s="143">
        <f>VLOOKUP($A72,'Data shares'!$C:$FA,121)*100</f>
        <v>0</v>
      </c>
      <c r="E72" s="143">
        <f>VLOOKUP($A72,'Data shares'!$C:$FA,124)</f>
        <v>0.26</v>
      </c>
      <c r="F72" s="143">
        <f>VLOOKUP($A72,'Data shares'!$C:$FA,125)</f>
        <v>0.24</v>
      </c>
      <c r="G72" s="143">
        <f>VLOOKUP($A72,'Data shares'!$C:$FA,127)*100</f>
        <v>8.33</v>
      </c>
      <c r="H72" s="103">
        <f>VLOOKUP($A72,'OI(Volume)'!$A$7:$O$445,8)</f>
        <v>86475</v>
      </c>
      <c r="I72" s="103">
        <f>VLOOKUP($A72,'OI(Volume)'!$A$7:$O$445,9)</f>
        <v>7925</v>
      </c>
      <c r="J72" s="103">
        <f>VLOOKUP($A72,'OI(Volume)'!$A$7:$O$445,11)</f>
        <v>29250</v>
      </c>
      <c r="K72" s="103">
        <f>VLOOKUP($A72,'OI(Volume)'!$A$7:$O$445,12)</f>
        <v>2850</v>
      </c>
      <c r="L72" s="103">
        <f>VLOOKUP($A72,'OI(Value)'!$A$7:$O$329,8,0)</f>
        <v>189</v>
      </c>
      <c r="M72" s="103">
        <f>VLOOKUP($A72,'OI(Value)'!$A$7:$O$329,9,0)</f>
        <v>17</v>
      </c>
      <c r="N72" s="103">
        <f>VLOOKUP($A72,'OI(Value)'!$A$7:$O$329,11,0)</f>
        <v>64</v>
      </c>
      <c r="O72" s="103">
        <f>VLOOKUP($A72,'OI(Value)'!$A$7:$O$329,12,0)</f>
        <v>6</v>
      </c>
      <c r="P72" s="179">
        <f>VLOOKUP(A72,'OI(Value)'!A72:O296,8,0)</f>
        <v>189</v>
      </c>
      <c r="Q72" s="179">
        <f>VLOOKUP(A72,'OI(Value)'!A72:O296,9,0)</f>
        <v>17</v>
      </c>
      <c r="R72" s="179">
        <f>VLOOKUP(A72,'OI(Value)'!A72:O296,11,0)</f>
        <v>64</v>
      </c>
      <c r="S72" s="179">
        <f>VLOOKUP(A72,'OI(Value)'!A72:O296,11,0)</f>
        <v>64</v>
      </c>
    </row>
    <row r="73" spans="1:19" x14ac:dyDescent="0.25">
      <c r="A73" s="105" t="str">
        <f>'Data Vlaue (Cr)'!C68</f>
        <v>FORTIS</v>
      </c>
      <c r="B73" s="143">
        <f>VLOOKUP($A73,'Data shares'!$C:$FA,118)</f>
        <v>0.56000000000000005</v>
      </c>
      <c r="C73" s="143">
        <f>VLOOKUP($A73,'Data shares'!$C:$FA,119)</f>
        <v>0.63</v>
      </c>
      <c r="D73" s="143">
        <f>VLOOKUP($A73,'Data shares'!$C:$FA,121)*100</f>
        <v>-11.110000000000001</v>
      </c>
      <c r="E73" s="143">
        <f>VLOOKUP($A73,'Data shares'!$C:$FA,124)</f>
        <v>0.56999999999999995</v>
      </c>
      <c r="F73" s="143">
        <f>VLOOKUP($A73,'Data shares'!$C:$FA,125)</f>
        <v>0.46</v>
      </c>
      <c r="G73" s="143">
        <f>VLOOKUP($A73,'Data shares'!$C:$FA,127)*100</f>
        <v>23.91</v>
      </c>
      <c r="H73" s="103">
        <f>VLOOKUP($A73,'OI(Volume)'!$A$7:$O$445,8)</f>
        <v>2729550</v>
      </c>
      <c r="I73" s="103">
        <f>VLOOKUP($A73,'OI(Volume)'!$A$7:$O$445,9)</f>
        <v>237150</v>
      </c>
      <c r="J73" s="103">
        <f>VLOOKUP($A73,'OI(Volume)'!$A$7:$O$445,11)</f>
        <v>1539150</v>
      </c>
      <c r="K73" s="103">
        <f>VLOOKUP($A73,'OI(Volume)'!$A$7:$O$445,12)</f>
        <v>-43400</v>
      </c>
      <c r="L73" s="103">
        <f>VLOOKUP($A73,'OI(Value)'!$A$7:$O$329,8,0)</f>
        <v>243</v>
      </c>
      <c r="M73" s="103">
        <f>VLOOKUP($A73,'OI(Value)'!$A$7:$O$329,9,0)</f>
        <v>21</v>
      </c>
      <c r="N73" s="103">
        <f>VLOOKUP($A73,'OI(Value)'!$A$7:$O$329,11,0)</f>
        <v>137</v>
      </c>
      <c r="O73" s="103">
        <f>VLOOKUP($A73,'OI(Value)'!$A$7:$O$329,12,0)</f>
        <v>-4</v>
      </c>
      <c r="P73" s="179">
        <f>VLOOKUP(A73,'OI(Value)'!A73:O297,8,0)</f>
        <v>243</v>
      </c>
      <c r="Q73" s="179">
        <f>VLOOKUP(A73,'OI(Value)'!A73:O297,9,0)</f>
        <v>21</v>
      </c>
      <c r="R73" s="179">
        <f>VLOOKUP(A73,'OI(Value)'!A73:O297,11,0)</f>
        <v>137</v>
      </c>
      <c r="S73" s="179">
        <f>VLOOKUP(A73,'OI(Value)'!A73:O297,11,0)</f>
        <v>137</v>
      </c>
    </row>
    <row r="74" spans="1:19" x14ac:dyDescent="0.25">
      <c r="A74" s="105" t="str">
        <f>'Data Vlaue (Cr)'!C69</f>
        <v>GAIL</v>
      </c>
      <c r="B74" s="143">
        <f>VLOOKUP($A74,'Data shares'!$C:$FA,118)</f>
        <v>1.18</v>
      </c>
      <c r="C74" s="143">
        <f>VLOOKUP($A74,'Data shares'!$C:$FA,119)</f>
        <v>1.18</v>
      </c>
      <c r="D74" s="143">
        <f>VLOOKUP($A74,'Data shares'!$C:$FA,121)*100</f>
        <v>0</v>
      </c>
      <c r="E74" s="143">
        <f>VLOOKUP($A74,'Data shares'!$C:$FA,124)</f>
        <v>1.1000000000000001</v>
      </c>
      <c r="F74" s="143">
        <f>VLOOKUP($A74,'Data shares'!$C:$FA,125)</f>
        <v>0.83</v>
      </c>
      <c r="G74" s="143">
        <f>VLOOKUP($A74,'Data shares'!$C:$FA,127)*100</f>
        <v>32.53</v>
      </c>
      <c r="H74" s="103">
        <f>VLOOKUP($A74,'OI(Volume)'!$A$7:$O$445,8)</f>
        <v>27931050</v>
      </c>
      <c r="I74" s="103">
        <f>VLOOKUP($A74,'OI(Volume)'!$A$7:$O$445,9)</f>
        <v>277200</v>
      </c>
      <c r="J74" s="103">
        <f>VLOOKUP($A74,'OI(Volume)'!$A$7:$O$445,11)</f>
        <v>33034050</v>
      </c>
      <c r="K74" s="103">
        <f>VLOOKUP($A74,'OI(Volume)'!$A$7:$O$445,12)</f>
        <v>519750</v>
      </c>
      <c r="L74" s="103">
        <f>VLOOKUP($A74,'OI(Value)'!$A$7:$O$329,8,0)</f>
        <v>440</v>
      </c>
      <c r="M74" s="103">
        <f>VLOOKUP($A74,'OI(Value)'!$A$7:$O$329,9,0)</f>
        <v>4</v>
      </c>
      <c r="N74" s="103">
        <f>VLOOKUP($A74,'OI(Value)'!$A$7:$O$329,11,0)</f>
        <v>521</v>
      </c>
      <c r="O74" s="103">
        <f>VLOOKUP($A74,'OI(Value)'!$A$7:$O$329,12,0)</f>
        <v>8</v>
      </c>
      <c r="P74" s="179">
        <f>VLOOKUP(A74,'OI(Value)'!A74:O298,8,0)</f>
        <v>440</v>
      </c>
      <c r="Q74" s="179">
        <f>VLOOKUP(A74,'OI(Value)'!A74:O298,9,0)</f>
        <v>4</v>
      </c>
      <c r="R74" s="179">
        <f>VLOOKUP(A74,'OI(Value)'!A74:O298,11,0)</f>
        <v>521</v>
      </c>
      <c r="S74" s="179">
        <f>VLOOKUP(A74,'OI(Value)'!A74:O298,11,0)</f>
        <v>521</v>
      </c>
    </row>
    <row r="75" spans="1:19" x14ac:dyDescent="0.25">
      <c r="A75" s="105" t="str">
        <f>'Data Vlaue (Cr)'!C70</f>
        <v>GLENMARK</v>
      </c>
      <c r="B75" s="143">
        <f>VLOOKUP($A75,'Data shares'!$C:$FA,118)</f>
        <v>0.52</v>
      </c>
      <c r="C75" s="143">
        <f>VLOOKUP($A75,'Data shares'!$C:$FA,119)</f>
        <v>0.51</v>
      </c>
      <c r="D75" s="143">
        <f>VLOOKUP($A75,'Data shares'!$C:$FA,121)*100</f>
        <v>1.96</v>
      </c>
      <c r="E75" s="143">
        <f>VLOOKUP($A75,'Data shares'!$C:$FA,124)</f>
        <v>0.77</v>
      </c>
      <c r="F75" s="143">
        <f>VLOOKUP($A75,'Data shares'!$C:$FA,125)</f>
        <v>0.32</v>
      </c>
      <c r="G75" s="143">
        <f>VLOOKUP($A75,'Data shares'!$C:$FA,127)*100</f>
        <v>140.63000000000002</v>
      </c>
      <c r="H75" s="103">
        <f>VLOOKUP($A75,'OI(Volume)'!$A$7:$O$445,8)</f>
        <v>2337375</v>
      </c>
      <c r="I75" s="103">
        <f>VLOOKUP($A75,'OI(Volume)'!$A$7:$O$445,9)</f>
        <v>-53250</v>
      </c>
      <c r="J75" s="103">
        <f>VLOOKUP($A75,'OI(Volume)'!$A$7:$O$445,11)</f>
        <v>1208625</v>
      </c>
      <c r="K75" s="103">
        <f>VLOOKUP($A75,'OI(Volume)'!$A$7:$O$445,12)</f>
        <v>-3000</v>
      </c>
      <c r="L75" s="103">
        <f>VLOOKUP($A75,'OI(Value)'!$A$7:$O$329,8,0)</f>
        <v>521</v>
      </c>
      <c r="M75" s="103">
        <f>VLOOKUP($A75,'OI(Value)'!$A$7:$O$329,9,0)</f>
        <v>-12</v>
      </c>
      <c r="N75" s="103">
        <f>VLOOKUP($A75,'OI(Value)'!$A$7:$O$329,11,0)</f>
        <v>269</v>
      </c>
      <c r="O75" s="103">
        <f>VLOOKUP($A75,'OI(Value)'!$A$7:$O$329,12,0)</f>
        <v>-1</v>
      </c>
      <c r="P75" s="179">
        <f>VLOOKUP(A75,'OI(Value)'!A75:O299,8,0)</f>
        <v>521</v>
      </c>
      <c r="Q75" s="179">
        <f>VLOOKUP(A75,'OI(Value)'!A75:O299,9,0)</f>
        <v>-12</v>
      </c>
      <c r="R75" s="179">
        <f>VLOOKUP(A75,'OI(Value)'!A75:O299,11,0)</f>
        <v>269</v>
      </c>
      <c r="S75" s="179">
        <f>VLOOKUP(A75,'OI(Value)'!A75:O299,11,0)</f>
        <v>269</v>
      </c>
    </row>
    <row r="76" spans="1:19" x14ac:dyDescent="0.25">
      <c r="A76" s="105" t="str">
        <f>'Data Vlaue (Cr)'!C71</f>
        <v>GMRAIRPORT</v>
      </c>
      <c r="B76" s="143">
        <f>VLOOKUP($A76,'Data shares'!$C:$FA,118)</f>
        <v>0.67</v>
      </c>
      <c r="C76" s="143">
        <f>VLOOKUP($A76,'Data shares'!$C:$FA,119)</f>
        <v>0.75</v>
      </c>
      <c r="D76" s="143">
        <f>VLOOKUP($A76,'Data shares'!$C:$FA,121)*100</f>
        <v>-10.67</v>
      </c>
      <c r="E76" s="143">
        <f>VLOOKUP($A76,'Data shares'!$C:$FA,124)</f>
        <v>0.36</v>
      </c>
      <c r="F76" s="143">
        <f>VLOOKUP($A76,'Data shares'!$C:$FA,125)</f>
        <v>0.5</v>
      </c>
      <c r="G76" s="143">
        <f>VLOOKUP($A76,'Data shares'!$C:$FA,127)*100</f>
        <v>-28.000000000000004</v>
      </c>
      <c r="H76" s="103">
        <f>VLOOKUP($A76,'OI(Volume)'!$A$7:$O$445,8)</f>
        <v>46181475</v>
      </c>
      <c r="I76" s="103">
        <f>VLOOKUP($A76,'OI(Volume)'!$A$7:$O$445,9)</f>
        <v>7170300</v>
      </c>
      <c r="J76" s="103">
        <f>VLOOKUP($A76,'OI(Volume)'!$A$7:$O$445,11)</f>
        <v>30780675</v>
      </c>
      <c r="K76" s="103">
        <f>VLOOKUP($A76,'OI(Volume)'!$A$7:$O$445,12)</f>
        <v>1618200</v>
      </c>
      <c r="L76" s="103">
        <f>VLOOKUP($A76,'OI(Value)'!$A$7:$O$329,8,0)</f>
        <v>450</v>
      </c>
      <c r="M76" s="103">
        <f>VLOOKUP($A76,'OI(Value)'!$A$7:$O$329,9,0)</f>
        <v>70</v>
      </c>
      <c r="N76" s="103">
        <f>VLOOKUP($A76,'OI(Value)'!$A$7:$O$329,11,0)</f>
        <v>300</v>
      </c>
      <c r="O76" s="103">
        <f>VLOOKUP($A76,'OI(Value)'!$A$7:$O$329,12,0)</f>
        <v>16</v>
      </c>
      <c r="P76" s="179">
        <f>VLOOKUP(A76,'OI(Value)'!A76:O300,8,0)</f>
        <v>450</v>
      </c>
      <c r="Q76" s="179">
        <f>VLOOKUP(A76,'OI(Value)'!A76:O300,9,0)</f>
        <v>70</v>
      </c>
      <c r="R76" s="179">
        <f>VLOOKUP(A76,'OI(Value)'!A76:O300,11,0)</f>
        <v>300</v>
      </c>
      <c r="S76" s="179">
        <f>VLOOKUP(A76,'OI(Value)'!A76:O300,11,0)</f>
        <v>300</v>
      </c>
    </row>
    <row r="77" spans="1:19" x14ac:dyDescent="0.25">
      <c r="A77" s="105" t="str">
        <f>'Data Vlaue (Cr)'!C72</f>
        <v>GODFRYPHLP</v>
      </c>
      <c r="B77" s="143">
        <f>VLOOKUP($A77,'Data shares'!$C:$FA,118)</f>
        <v>0.4</v>
      </c>
      <c r="C77" s="143">
        <f>VLOOKUP($A77,'Data shares'!$C:$FA,119)</f>
        <v>0.43</v>
      </c>
      <c r="D77" s="143">
        <f>VLOOKUP($A77,'Data shares'!$C:$FA,121)*100</f>
        <v>-6.98</v>
      </c>
      <c r="E77" s="143">
        <f>VLOOKUP($A77,'Data shares'!$C:$FA,124)</f>
        <v>0.28999999999999998</v>
      </c>
      <c r="F77" s="143">
        <f>VLOOKUP($A77,'Data shares'!$C:$FA,125)</f>
        <v>0.24</v>
      </c>
      <c r="G77" s="143">
        <f>VLOOKUP($A77,'Data shares'!$C:$FA,127)*100</f>
        <v>20.830000000000002</v>
      </c>
      <c r="H77" s="103">
        <f>VLOOKUP($A77,'OI(Volume)'!$A$7:$O$445,8)</f>
        <v>934450</v>
      </c>
      <c r="I77" s="103">
        <f>VLOOKUP($A77,'OI(Volume)'!$A$7:$O$445,9)</f>
        <v>13475</v>
      </c>
      <c r="J77" s="103">
        <f>VLOOKUP($A77,'OI(Volume)'!$A$7:$O$445,11)</f>
        <v>374000</v>
      </c>
      <c r="K77" s="103">
        <f>VLOOKUP($A77,'OI(Volume)'!$A$7:$O$445,12)</f>
        <v>-20900</v>
      </c>
      <c r="L77" s="103">
        <f>VLOOKUP($A77,'OI(Value)'!$A$7:$O$329,8,0)</f>
        <v>199</v>
      </c>
      <c r="M77" s="103">
        <f>VLOOKUP($A77,'OI(Value)'!$A$7:$O$329,9,0)</f>
        <v>3</v>
      </c>
      <c r="N77" s="103">
        <f>VLOOKUP($A77,'OI(Value)'!$A$7:$O$329,11,0)</f>
        <v>80</v>
      </c>
      <c r="O77" s="103">
        <f>VLOOKUP($A77,'OI(Value)'!$A$7:$O$329,12,0)</f>
        <v>-4</v>
      </c>
      <c r="P77" s="179">
        <f>VLOOKUP(A77,'OI(Value)'!A77:O301,8,0)</f>
        <v>199</v>
      </c>
      <c r="Q77" s="179">
        <f>VLOOKUP(A77,'OI(Value)'!A77:O301,9,0)</f>
        <v>3</v>
      </c>
      <c r="R77" s="179">
        <f>VLOOKUP(A77,'OI(Value)'!A77:O301,11,0)</f>
        <v>80</v>
      </c>
      <c r="S77" s="179">
        <f>VLOOKUP(A77,'OI(Value)'!A77:O301,11,0)</f>
        <v>80</v>
      </c>
    </row>
    <row r="78" spans="1:19" x14ac:dyDescent="0.25">
      <c r="A78" s="105" t="str">
        <f>'Data Vlaue (Cr)'!C73</f>
        <v>GODREJCP</v>
      </c>
      <c r="B78" s="143">
        <f>VLOOKUP($A78,'Data shares'!$C:$FA,118)</f>
        <v>0.76</v>
      </c>
      <c r="C78" s="143">
        <f>VLOOKUP($A78,'Data shares'!$C:$FA,119)</f>
        <v>0.76</v>
      </c>
      <c r="D78" s="143">
        <f>VLOOKUP($A78,'Data shares'!$C:$FA,121)*100</f>
        <v>0</v>
      </c>
      <c r="E78" s="143">
        <f>VLOOKUP($A78,'Data shares'!$C:$FA,124)</f>
        <v>0.35</v>
      </c>
      <c r="F78" s="143">
        <f>VLOOKUP($A78,'Data shares'!$C:$FA,125)</f>
        <v>0.36</v>
      </c>
      <c r="G78" s="143">
        <f>VLOOKUP($A78,'Data shares'!$C:$FA,127)*100</f>
        <v>-2.78</v>
      </c>
      <c r="H78" s="103">
        <f>VLOOKUP($A78,'OI(Volume)'!$A$7:$O$445,8)</f>
        <v>1680500</v>
      </c>
      <c r="I78" s="103">
        <f>VLOOKUP($A78,'OI(Volume)'!$A$7:$O$445,9)</f>
        <v>-4000</v>
      </c>
      <c r="J78" s="103">
        <f>VLOOKUP($A78,'OI(Volume)'!$A$7:$O$445,11)</f>
        <v>1270000</v>
      </c>
      <c r="K78" s="103">
        <f>VLOOKUP($A78,'OI(Volume)'!$A$7:$O$445,12)</f>
        <v>-16500</v>
      </c>
      <c r="L78" s="103">
        <f>VLOOKUP($A78,'OI(Value)'!$A$7:$O$329,8,0)</f>
        <v>186</v>
      </c>
      <c r="M78" s="103">
        <f>VLOOKUP($A78,'OI(Value)'!$A$7:$O$329,9,0)</f>
        <v>0</v>
      </c>
      <c r="N78" s="103">
        <f>VLOOKUP($A78,'OI(Value)'!$A$7:$O$329,11,0)</f>
        <v>140</v>
      </c>
      <c r="O78" s="103">
        <f>VLOOKUP($A78,'OI(Value)'!$A$7:$O$329,12,0)</f>
        <v>-2</v>
      </c>
      <c r="P78" s="179">
        <f>VLOOKUP(A78,'OI(Value)'!A78:O302,8,0)</f>
        <v>186</v>
      </c>
      <c r="Q78" s="179">
        <f>VLOOKUP(A78,'OI(Value)'!A78:O302,9,0)</f>
        <v>0</v>
      </c>
      <c r="R78" s="179">
        <f>VLOOKUP(A78,'OI(Value)'!A78:O302,11,0)</f>
        <v>140</v>
      </c>
      <c r="S78" s="179">
        <f>VLOOKUP(A78,'OI(Value)'!A78:O302,11,0)</f>
        <v>140</v>
      </c>
    </row>
    <row r="79" spans="1:19" x14ac:dyDescent="0.25">
      <c r="A79" s="105" t="str">
        <f>'Data Vlaue (Cr)'!C74</f>
        <v>GODREJPROP</v>
      </c>
      <c r="B79" s="143">
        <f>VLOOKUP($A79,'Data shares'!$C:$FA,118)</f>
        <v>1.03</v>
      </c>
      <c r="C79" s="143">
        <f>VLOOKUP($A79,'Data shares'!$C:$FA,119)</f>
        <v>0.94</v>
      </c>
      <c r="D79" s="143">
        <f>VLOOKUP($A79,'Data shares'!$C:$FA,121)*100</f>
        <v>9.5699999999999985</v>
      </c>
      <c r="E79" s="143">
        <f>VLOOKUP($A79,'Data shares'!$C:$FA,124)</f>
        <v>0.75</v>
      </c>
      <c r="F79" s="143">
        <f>VLOOKUP($A79,'Data shares'!$C:$FA,125)</f>
        <v>0.82</v>
      </c>
      <c r="G79" s="143">
        <f>VLOOKUP($A79,'Data shares'!$C:$FA,127)*100</f>
        <v>-8.5400000000000009</v>
      </c>
      <c r="H79" s="103">
        <f>VLOOKUP($A79,'OI(Volume)'!$A$7:$O$445,8)</f>
        <v>2922425</v>
      </c>
      <c r="I79" s="103">
        <f>VLOOKUP($A79,'OI(Volume)'!$A$7:$O$445,9)</f>
        <v>29425</v>
      </c>
      <c r="J79" s="103">
        <f>VLOOKUP($A79,'OI(Volume)'!$A$7:$O$445,11)</f>
        <v>3019225</v>
      </c>
      <c r="K79" s="103">
        <f>VLOOKUP($A79,'OI(Volume)'!$A$7:$O$445,12)</f>
        <v>307725</v>
      </c>
      <c r="L79" s="103">
        <f>VLOOKUP($A79,'OI(Value)'!$A$7:$O$329,8,0)</f>
        <v>513</v>
      </c>
      <c r="M79" s="103">
        <f>VLOOKUP($A79,'OI(Value)'!$A$7:$O$329,9,0)</f>
        <v>5</v>
      </c>
      <c r="N79" s="103">
        <f>VLOOKUP($A79,'OI(Value)'!$A$7:$O$329,11,0)</f>
        <v>530</v>
      </c>
      <c r="O79" s="103">
        <f>VLOOKUP($A79,'OI(Value)'!$A$7:$O$329,12,0)</f>
        <v>54</v>
      </c>
      <c r="P79" s="179">
        <f>VLOOKUP(A79,'OI(Value)'!A79:O303,8,0)</f>
        <v>513</v>
      </c>
      <c r="Q79" s="179">
        <f>VLOOKUP(A79,'OI(Value)'!A79:O303,9,0)</f>
        <v>5</v>
      </c>
      <c r="R79" s="179">
        <f>VLOOKUP(A79,'OI(Value)'!A79:O303,11,0)</f>
        <v>530</v>
      </c>
      <c r="S79" s="179">
        <f>VLOOKUP(A79,'OI(Value)'!A79:O303,11,0)</f>
        <v>530</v>
      </c>
    </row>
    <row r="80" spans="1:19" x14ac:dyDescent="0.25">
      <c r="A80" s="105" t="str">
        <f>'Data Vlaue (Cr)'!C75</f>
        <v>GRASIM</v>
      </c>
      <c r="B80" s="143">
        <f>VLOOKUP($A80,'Data shares'!$C:$FA,118)</f>
        <v>0.77</v>
      </c>
      <c r="C80" s="143">
        <f>VLOOKUP($A80,'Data shares'!$C:$FA,119)</f>
        <v>0.73</v>
      </c>
      <c r="D80" s="143">
        <f>VLOOKUP($A80,'Data shares'!$C:$FA,121)*100</f>
        <v>5.48</v>
      </c>
      <c r="E80" s="143">
        <f>VLOOKUP($A80,'Data shares'!$C:$FA,124)</f>
        <v>0.39</v>
      </c>
      <c r="F80" s="143">
        <f>VLOOKUP($A80,'Data shares'!$C:$FA,125)</f>
        <v>0.42</v>
      </c>
      <c r="G80" s="143">
        <f>VLOOKUP($A80,'Data shares'!$C:$FA,127)*100</f>
        <v>-7.1400000000000006</v>
      </c>
      <c r="H80" s="103">
        <f>VLOOKUP($A80,'OI(Volume)'!$A$7:$O$445,8)</f>
        <v>1570500</v>
      </c>
      <c r="I80" s="103">
        <f>VLOOKUP($A80,'OI(Volume)'!$A$7:$O$445,9)</f>
        <v>-130500</v>
      </c>
      <c r="J80" s="103">
        <f>VLOOKUP($A80,'OI(Volume)'!$A$7:$O$445,11)</f>
        <v>1210500</v>
      </c>
      <c r="K80" s="103">
        <f>VLOOKUP($A80,'OI(Volume)'!$A$7:$O$445,12)</f>
        <v>-23750</v>
      </c>
      <c r="L80" s="103">
        <f>VLOOKUP($A80,'OI(Value)'!$A$7:$O$329,8,0)</f>
        <v>433</v>
      </c>
      <c r="M80" s="103">
        <f>VLOOKUP($A80,'OI(Value)'!$A$7:$O$329,9,0)</f>
        <v>-36</v>
      </c>
      <c r="N80" s="103">
        <f>VLOOKUP($A80,'OI(Value)'!$A$7:$O$329,11,0)</f>
        <v>334</v>
      </c>
      <c r="O80" s="103">
        <f>VLOOKUP($A80,'OI(Value)'!$A$7:$O$329,12,0)</f>
        <v>-7</v>
      </c>
      <c r="P80" s="179">
        <f>VLOOKUP(A80,'OI(Value)'!A80:O304,8,0)</f>
        <v>433</v>
      </c>
      <c r="Q80" s="179">
        <f>VLOOKUP(A80,'OI(Value)'!A80:O304,9,0)</f>
        <v>-36</v>
      </c>
      <c r="R80" s="179">
        <f>VLOOKUP(A80,'OI(Value)'!A80:O304,11,0)</f>
        <v>334</v>
      </c>
      <c r="S80" s="179">
        <f>VLOOKUP(A80,'OI(Value)'!A80:O304,11,0)</f>
        <v>334</v>
      </c>
    </row>
    <row r="81" spans="1:19" x14ac:dyDescent="0.25">
      <c r="A81" s="105" t="str">
        <f>'Data Vlaue (Cr)'!C76</f>
        <v>HAL</v>
      </c>
      <c r="B81" s="143">
        <f>VLOOKUP($A81,'Data shares'!$C:$FA,118)</f>
        <v>0.93</v>
      </c>
      <c r="C81" s="143">
        <f>VLOOKUP($A81,'Data shares'!$C:$FA,119)</f>
        <v>0.95</v>
      </c>
      <c r="D81" s="143">
        <f>VLOOKUP($A81,'Data shares'!$C:$FA,121)*100</f>
        <v>-2.11</v>
      </c>
      <c r="E81" s="143">
        <f>VLOOKUP($A81,'Data shares'!$C:$FA,124)</f>
        <v>0.7</v>
      </c>
      <c r="F81" s="143">
        <f>VLOOKUP($A81,'Data shares'!$C:$FA,125)</f>
        <v>0.65</v>
      </c>
      <c r="G81" s="143">
        <f>VLOOKUP($A81,'Data shares'!$C:$FA,127)*100</f>
        <v>7.6899999999999995</v>
      </c>
      <c r="H81" s="103">
        <f>VLOOKUP($A81,'OI(Volume)'!$A$7:$O$445,8)</f>
        <v>3496500</v>
      </c>
      <c r="I81" s="103">
        <f>VLOOKUP($A81,'OI(Volume)'!$A$7:$O$445,9)</f>
        <v>-8850</v>
      </c>
      <c r="J81" s="103">
        <f>VLOOKUP($A81,'OI(Volume)'!$A$7:$O$445,11)</f>
        <v>3262200</v>
      </c>
      <c r="K81" s="103">
        <f>VLOOKUP($A81,'OI(Volume)'!$A$7:$O$445,12)</f>
        <v>-64950</v>
      </c>
      <c r="L81" s="103">
        <f>VLOOKUP($A81,'OI(Value)'!$A$7:$O$329,8,0)</f>
        <v>1519</v>
      </c>
      <c r="M81" s="103">
        <f>VLOOKUP($A81,'OI(Value)'!$A$7:$O$329,9,0)</f>
        <v>-4</v>
      </c>
      <c r="N81" s="103">
        <f>VLOOKUP($A81,'OI(Value)'!$A$7:$O$329,11,0)</f>
        <v>1417</v>
      </c>
      <c r="O81" s="103">
        <f>VLOOKUP($A81,'OI(Value)'!$A$7:$O$329,12,0)</f>
        <v>-28</v>
      </c>
      <c r="P81" s="179">
        <f>VLOOKUP(A81,'OI(Value)'!A81:O305,8,0)</f>
        <v>1519</v>
      </c>
      <c r="Q81" s="179">
        <f>VLOOKUP(A81,'OI(Value)'!A81:O305,9,0)</f>
        <v>-4</v>
      </c>
      <c r="R81" s="179">
        <f>VLOOKUP(A81,'OI(Value)'!A81:O305,11,0)</f>
        <v>1417</v>
      </c>
      <c r="S81" s="179">
        <f>VLOOKUP(A81,'OI(Value)'!A81:O305,11,0)</f>
        <v>1417</v>
      </c>
    </row>
    <row r="82" spans="1:19" x14ac:dyDescent="0.25">
      <c r="A82" s="105" t="str">
        <f>'Data Vlaue (Cr)'!C77</f>
        <v>HAVELLS</v>
      </c>
      <c r="B82" s="143">
        <f>VLOOKUP($A82,'Data shares'!$C:$FA,118)</f>
        <v>0.73</v>
      </c>
      <c r="C82" s="143">
        <f>VLOOKUP($A82,'Data shares'!$C:$FA,119)</f>
        <v>0.74</v>
      </c>
      <c r="D82" s="143">
        <f>VLOOKUP($A82,'Data shares'!$C:$FA,121)*100</f>
        <v>-1.35</v>
      </c>
      <c r="E82" s="143">
        <f>VLOOKUP($A82,'Data shares'!$C:$FA,124)</f>
        <v>0.46</v>
      </c>
      <c r="F82" s="143">
        <f>VLOOKUP($A82,'Data shares'!$C:$FA,125)</f>
        <v>0.33</v>
      </c>
      <c r="G82" s="143">
        <f>VLOOKUP($A82,'Data shares'!$C:$FA,127)*100</f>
        <v>39.39</v>
      </c>
      <c r="H82" s="103">
        <f>VLOOKUP($A82,'OI(Volume)'!$A$7:$O$445,8)</f>
        <v>3288000</v>
      </c>
      <c r="I82" s="103">
        <f>VLOOKUP($A82,'OI(Volume)'!$A$7:$O$445,9)</f>
        <v>112000</v>
      </c>
      <c r="J82" s="103">
        <f>VLOOKUP($A82,'OI(Volume)'!$A$7:$O$445,11)</f>
        <v>2416000</v>
      </c>
      <c r="K82" s="103">
        <f>VLOOKUP($A82,'OI(Volume)'!$A$7:$O$445,12)</f>
        <v>67000</v>
      </c>
      <c r="L82" s="103">
        <f>VLOOKUP($A82,'OI(Value)'!$A$7:$O$329,8,0)</f>
        <v>429</v>
      </c>
      <c r="M82" s="103">
        <f>VLOOKUP($A82,'OI(Value)'!$A$7:$O$329,9,0)</f>
        <v>15</v>
      </c>
      <c r="N82" s="103">
        <f>VLOOKUP($A82,'OI(Value)'!$A$7:$O$329,11,0)</f>
        <v>315</v>
      </c>
      <c r="O82" s="103">
        <f>VLOOKUP($A82,'OI(Value)'!$A$7:$O$329,12,0)</f>
        <v>9</v>
      </c>
      <c r="P82" s="179">
        <f>VLOOKUP(A82,'OI(Value)'!A82:O306,8,0)</f>
        <v>429</v>
      </c>
      <c r="Q82" s="179">
        <f>VLOOKUP(A82,'OI(Value)'!A82:O306,9,0)</f>
        <v>15</v>
      </c>
      <c r="R82" s="179">
        <f>VLOOKUP(A82,'OI(Value)'!A82:O306,11,0)</f>
        <v>315</v>
      </c>
      <c r="S82" s="179">
        <f>VLOOKUP(A82,'OI(Value)'!A82:O306,11,0)</f>
        <v>315</v>
      </c>
    </row>
    <row r="83" spans="1:19" x14ac:dyDescent="0.25">
      <c r="A83" s="105" t="str">
        <f>'Data Vlaue (Cr)'!C78</f>
        <v>HCLTECH</v>
      </c>
      <c r="B83" s="143">
        <f>VLOOKUP($A83,'Data shares'!$C:$FA,118)</f>
        <v>0.84</v>
      </c>
      <c r="C83" s="143">
        <f>VLOOKUP($A83,'Data shares'!$C:$FA,119)</f>
        <v>0.83</v>
      </c>
      <c r="D83" s="143">
        <f>VLOOKUP($A83,'Data shares'!$C:$FA,121)*100</f>
        <v>1.2</v>
      </c>
      <c r="E83" s="143">
        <f>VLOOKUP($A83,'Data shares'!$C:$FA,124)</f>
        <v>0.55000000000000004</v>
      </c>
      <c r="F83" s="143">
        <f>VLOOKUP($A83,'Data shares'!$C:$FA,125)</f>
        <v>0.56000000000000005</v>
      </c>
      <c r="G83" s="143">
        <f>VLOOKUP($A83,'Data shares'!$C:$FA,127)*100</f>
        <v>-1.79</v>
      </c>
      <c r="H83" s="103">
        <f>VLOOKUP($A83,'OI(Volume)'!$A$7:$O$445,8)</f>
        <v>7597800</v>
      </c>
      <c r="I83" s="103">
        <f>VLOOKUP($A83,'OI(Volume)'!$A$7:$O$445,9)</f>
        <v>474250</v>
      </c>
      <c r="J83" s="103">
        <f>VLOOKUP($A83,'OI(Volume)'!$A$7:$O$445,11)</f>
        <v>6377350</v>
      </c>
      <c r="K83" s="103">
        <f>VLOOKUP($A83,'OI(Volume)'!$A$7:$O$445,12)</f>
        <v>453250</v>
      </c>
      <c r="L83" s="103">
        <f>VLOOKUP($A83,'OI(Value)'!$A$7:$O$329,8,0)</f>
        <v>1069</v>
      </c>
      <c r="M83" s="103">
        <f>VLOOKUP($A83,'OI(Value)'!$A$7:$O$329,9,0)</f>
        <v>67</v>
      </c>
      <c r="N83" s="103">
        <f>VLOOKUP($A83,'OI(Value)'!$A$7:$O$329,11,0)</f>
        <v>897</v>
      </c>
      <c r="O83" s="103">
        <f>VLOOKUP($A83,'OI(Value)'!$A$7:$O$329,12,0)</f>
        <v>64</v>
      </c>
      <c r="P83" s="179">
        <f>VLOOKUP(A83,'OI(Value)'!A83:O307,8,0)</f>
        <v>1069</v>
      </c>
      <c r="Q83" s="179">
        <f>VLOOKUP(A83,'OI(Value)'!A83:O307,9,0)</f>
        <v>67</v>
      </c>
      <c r="R83" s="179">
        <f>VLOOKUP(A83,'OI(Value)'!A83:O307,11,0)</f>
        <v>897</v>
      </c>
      <c r="S83" s="179">
        <f>VLOOKUP(A83,'OI(Value)'!A83:O307,11,0)</f>
        <v>897</v>
      </c>
    </row>
    <row r="84" spans="1:19" x14ac:dyDescent="0.25">
      <c r="A84" s="105" t="str">
        <f>'Data Vlaue (Cr)'!C79</f>
        <v>HDFCAMC</v>
      </c>
      <c r="B84" s="143">
        <f>VLOOKUP($A84,'Data shares'!$C:$FA,118)</f>
        <v>0.96</v>
      </c>
      <c r="C84" s="143">
        <f>VLOOKUP($A84,'Data shares'!$C:$FA,119)</f>
        <v>0.97</v>
      </c>
      <c r="D84" s="143">
        <f>VLOOKUP($A84,'Data shares'!$C:$FA,121)*100</f>
        <v>-1.03</v>
      </c>
      <c r="E84" s="143">
        <f>VLOOKUP($A84,'Data shares'!$C:$FA,124)</f>
        <v>0.8</v>
      </c>
      <c r="F84" s="143">
        <f>VLOOKUP($A84,'Data shares'!$C:$FA,125)</f>
        <v>0.44</v>
      </c>
      <c r="G84" s="143">
        <f>VLOOKUP($A84,'Data shares'!$C:$FA,127)*100</f>
        <v>81.820000000000007</v>
      </c>
      <c r="H84" s="103">
        <f>VLOOKUP($A84,'OI(Volume)'!$A$7:$O$445,8)</f>
        <v>2326200</v>
      </c>
      <c r="I84" s="103">
        <f>VLOOKUP($A84,'OI(Volume)'!$A$7:$O$445,9)</f>
        <v>-208200</v>
      </c>
      <c r="J84" s="103">
        <f>VLOOKUP($A84,'OI(Volume)'!$A$7:$O$445,11)</f>
        <v>2238000</v>
      </c>
      <c r="K84" s="103">
        <f>VLOOKUP($A84,'OI(Volume)'!$A$7:$O$445,12)</f>
        <v>-217500</v>
      </c>
      <c r="L84" s="103">
        <f>VLOOKUP($A84,'OI(Value)'!$A$7:$O$329,8,0)</f>
        <v>643</v>
      </c>
      <c r="M84" s="103">
        <f>VLOOKUP($A84,'OI(Value)'!$A$7:$O$329,9,0)</f>
        <v>-58</v>
      </c>
      <c r="N84" s="103">
        <f>VLOOKUP($A84,'OI(Value)'!$A$7:$O$329,11,0)</f>
        <v>619</v>
      </c>
      <c r="O84" s="103">
        <f>VLOOKUP($A84,'OI(Value)'!$A$7:$O$329,12,0)</f>
        <v>-60</v>
      </c>
      <c r="P84" s="179">
        <f>VLOOKUP(A84,'OI(Value)'!A84:O308,8,0)</f>
        <v>643</v>
      </c>
      <c r="Q84" s="179">
        <f>VLOOKUP(A84,'OI(Value)'!A84:O308,9,0)</f>
        <v>-58</v>
      </c>
      <c r="R84" s="179">
        <f>VLOOKUP(A84,'OI(Value)'!A84:O308,11,0)</f>
        <v>619</v>
      </c>
      <c r="S84" s="179">
        <f>VLOOKUP(A84,'OI(Value)'!A84:O308,11,0)</f>
        <v>619</v>
      </c>
    </row>
    <row r="85" spans="1:19" x14ac:dyDescent="0.25">
      <c r="A85" s="105" t="str">
        <f>'Data Vlaue (Cr)'!C80</f>
        <v>HDFCBANK</v>
      </c>
      <c r="B85" s="143">
        <f>VLOOKUP($A85,'Data shares'!$C:$FA,118)</f>
        <v>0.53</v>
      </c>
      <c r="C85" s="143">
        <f>VLOOKUP($A85,'Data shares'!$C:$FA,119)</f>
        <v>0.56999999999999995</v>
      </c>
      <c r="D85" s="143">
        <f>VLOOKUP($A85,'Data shares'!$C:$FA,121)*100</f>
        <v>-7.02</v>
      </c>
      <c r="E85" s="143">
        <f>VLOOKUP($A85,'Data shares'!$C:$FA,124)</f>
        <v>0.46</v>
      </c>
      <c r="F85" s="143">
        <f>VLOOKUP($A85,'Data shares'!$C:$FA,125)</f>
        <v>0.55000000000000004</v>
      </c>
      <c r="G85" s="143">
        <f>VLOOKUP($A85,'Data shares'!$C:$FA,127)*100</f>
        <v>-16.36</v>
      </c>
      <c r="H85" s="103">
        <f>VLOOKUP($A85,'OI(Volume)'!$A$7:$O$445,8)</f>
        <v>104784350</v>
      </c>
      <c r="I85" s="103">
        <f>VLOOKUP($A85,'OI(Volume)'!$A$7:$O$445,9)</f>
        <v>6796900</v>
      </c>
      <c r="J85" s="103">
        <f>VLOOKUP($A85,'OI(Volume)'!$A$7:$O$445,11)</f>
        <v>55524150</v>
      </c>
      <c r="K85" s="103">
        <f>VLOOKUP($A85,'OI(Volume)'!$A$7:$O$445,12)</f>
        <v>-111100</v>
      </c>
      <c r="L85" s="103">
        <f>VLOOKUP($A85,'OI(Value)'!$A$7:$O$329,8,0)</f>
        <v>8329</v>
      </c>
      <c r="M85" s="103">
        <f>VLOOKUP($A85,'OI(Value)'!$A$7:$O$329,9,0)</f>
        <v>540</v>
      </c>
      <c r="N85" s="103">
        <f>VLOOKUP($A85,'OI(Value)'!$A$7:$O$329,11,0)</f>
        <v>4414</v>
      </c>
      <c r="O85" s="103">
        <f>VLOOKUP($A85,'OI(Value)'!$A$7:$O$329,12,0)</f>
        <v>-9</v>
      </c>
      <c r="P85" s="179">
        <f>VLOOKUP(A85,'OI(Value)'!A85:O309,8,0)</f>
        <v>8329</v>
      </c>
      <c r="Q85" s="179">
        <f>VLOOKUP(A85,'OI(Value)'!A85:O309,9,0)</f>
        <v>540</v>
      </c>
      <c r="R85" s="179">
        <f>VLOOKUP(A85,'OI(Value)'!A85:O309,11,0)</f>
        <v>4414</v>
      </c>
      <c r="S85" s="179">
        <f>VLOOKUP(A85,'OI(Value)'!A85:O309,11,0)</f>
        <v>4414</v>
      </c>
    </row>
    <row r="86" spans="1:19" x14ac:dyDescent="0.25">
      <c r="A86" s="105" t="str">
        <f>'Data Vlaue (Cr)'!C81</f>
        <v>HDFCLIFE</v>
      </c>
      <c r="B86" s="143">
        <f>VLOOKUP($A86,'Data shares'!$C:$FA,118)</f>
        <v>0.65</v>
      </c>
      <c r="C86" s="143">
        <f>VLOOKUP($A86,'Data shares'!$C:$FA,119)</f>
        <v>0.66</v>
      </c>
      <c r="D86" s="143">
        <f>VLOOKUP($A86,'Data shares'!$C:$FA,121)*100</f>
        <v>-1.52</v>
      </c>
      <c r="E86" s="143">
        <f>VLOOKUP($A86,'Data shares'!$C:$FA,124)</f>
        <v>0.56999999999999995</v>
      </c>
      <c r="F86" s="143">
        <f>VLOOKUP($A86,'Data shares'!$C:$FA,125)</f>
        <v>0.69</v>
      </c>
      <c r="G86" s="143">
        <f>VLOOKUP($A86,'Data shares'!$C:$FA,127)*100</f>
        <v>-17.39</v>
      </c>
      <c r="H86" s="103">
        <f>VLOOKUP($A86,'OI(Volume)'!$A$7:$O$445,8)</f>
        <v>19003600</v>
      </c>
      <c r="I86" s="103">
        <f>VLOOKUP($A86,'OI(Volume)'!$A$7:$O$445,9)</f>
        <v>-883300</v>
      </c>
      <c r="J86" s="103">
        <f>VLOOKUP($A86,'OI(Volume)'!$A$7:$O$445,11)</f>
        <v>12281500</v>
      </c>
      <c r="K86" s="103">
        <f>VLOOKUP($A86,'OI(Volume)'!$A$7:$O$445,12)</f>
        <v>-929500</v>
      </c>
      <c r="L86" s="103">
        <f>VLOOKUP($A86,'OI(Value)'!$A$7:$O$329,8,0)</f>
        <v>1161</v>
      </c>
      <c r="M86" s="103">
        <f>VLOOKUP($A86,'OI(Value)'!$A$7:$O$329,9,0)</f>
        <v>-54</v>
      </c>
      <c r="N86" s="103">
        <f>VLOOKUP($A86,'OI(Value)'!$A$7:$O$329,11,0)</f>
        <v>750</v>
      </c>
      <c r="O86" s="103">
        <f>VLOOKUP($A86,'OI(Value)'!$A$7:$O$329,12,0)</f>
        <v>-57</v>
      </c>
      <c r="P86" s="179">
        <f>VLOOKUP(A86,'OI(Value)'!A86:O310,8,0)</f>
        <v>1161</v>
      </c>
      <c r="Q86" s="179">
        <f>VLOOKUP(A86,'OI(Value)'!A86:O310,9,0)</f>
        <v>-54</v>
      </c>
      <c r="R86" s="179">
        <f>VLOOKUP(A86,'OI(Value)'!A86:O310,11,0)</f>
        <v>750</v>
      </c>
      <c r="S86" s="179">
        <f>VLOOKUP(A86,'OI(Value)'!A86:O310,11,0)</f>
        <v>750</v>
      </c>
    </row>
    <row r="87" spans="1:19" x14ac:dyDescent="0.25">
      <c r="A87" s="105" t="str">
        <f>'Data Vlaue (Cr)'!C82</f>
        <v>HEROMOTOCO</v>
      </c>
      <c r="B87" s="143">
        <f>VLOOKUP($A87,'Data shares'!$C:$FA,118)</f>
        <v>0.67</v>
      </c>
      <c r="C87" s="143">
        <f>VLOOKUP($A87,'Data shares'!$C:$FA,119)</f>
        <v>0.6</v>
      </c>
      <c r="D87" s="143">
        <f>VLOOKUP($A87,'Data shares'!$C:$FA,121)*100</f>
        <v>11.67</v>
      </c>
      <c r="E87" s="143">
        <f>VLOOKUP($A87,'Data shares'!$C:$FA,124)</f>
        <v>0.37</v>
      </c>
      <c r="F87" s="143">
        <f>VLOOKUP($A87,'Data shares'!$C:$FA,125)</f>
        <v>0.39</v>
      </c>
      <c r="G87" s="143">
        <f>VLOOKUP($A87,'Data shares'!$C:$FA,127)*100</f>
        <v>-5.13</v>
      </c>
      <c r="H87" s="103">
        <f>VLOOKUP($A87,'OI(Volume)'!$A$7:$O$445,8)</f>
        <v>2180550</v>
      </c>
      <c r="I87" s="103">
        <f>VLOOKUP($A87,'OI(Volume)'!$A$7:$O$445,9)</f>
        <v>-269700</v>
      </c>
      <c r="J87" s="103">
        <f>VLOOKUP($A87,'OI(Volume)'!$A$7:$O$445,11)</f>
        <v>1460850</v>
      </c>
      <c r="K87" s="103">
        <f>VLOOKUP($A87,'OI(Volume)'!$A$7:$O$445,12)</f>
        <v>-3450</v>
      </c>
      <c r="L87" s="103">
        <f>VLOOKUP($A87,'OI(Value)'!$A$7:$O$329,8,0)</f>
        <v>1153</v>
      </c>
      <c r="M87" s="103">
        <f>VLOOKUP($A87,'OI(Value)'!$A$7:$O$329,9,0)</f>
        <v>-143</v>
      </c>
      <c r="N87" s="103">
        <f>VLOOKUP($A87,'OI(Value)'!$A$7:$O$329,11,0)</f>
        <v>772</v>
      </c>
      <c r="O87" s="103">
        <f>VLOOKUP($A87,'OI(Value)'!$A$7:$O$329,12,0)</f>
        <v>-2</v>
      </c>
      <c r="P87" s="179">
        <f>VLOOKUP(A87,'OI(Value)'!A87:O311,8,0)</f>
        <v>1153</v>
      </c>
      <c r="Q87" s="179">
        <f>VLOOKUP(A87,'OI(Value)'!A87:O311,9,0)</f>
        <v>-143</v>
      </c>
      <c r="R87" s="179">
        <f>VLOOKUP(A87,'OI(Value)'!A87:O311,11,0)</f>
        <v>772</v>
      </c>
      <c r="S87" s="179">
        <f>VLOOKUP(A87,'OI(Value)'!A87:O311,11,0)</f>
        <v>772</v>
      </c>
    </row>
    <row r="88" spans="1:19" x14ac:dyDescent="0.25">
      <c r="A88" s="105" t="str">
        <f>'Data Vlaue (Cr)'!C83</f>
        <v>HINDALCO</v>
      </c>
      <c r="B88" s="143">
        <f>VLOOKUP($A88,'Data shares'!$C:$FA,118)</f>
        <v>0.69</v>
      </c>
      <c r="C88" s="143">
        <f>VLOOKUP($A88,'Data shares'!$C:$FA,119)</f>
        <v>0.79</v>
      </c>
      <c r="D88" s="143">
        <f>VLOOKUP($A88,'Data shares'!$C:$FA,121)*100</f>
        <v>-12.659999999999998</v>
      </c>
      <c r="E88" s="143">
        <f>VLOOKUP($A88,'Data shares'!$C:$FA,124)</f>
        <v>0.74</v>
      </c>
      <c r="F88" s="143">
        <f>VLOOKUP($A88,'Data shares'!$C:$FA,125)</f>
        <v>0.78</v>
      </c>
      <c r="G88" s="143">
        <f>VLOOKUP($A88,'Data shares'!$C:$FA,127)*100</f>
        <v>-5.13</v>
      </c>
      <c r="H88" s="103">
        <f>VLOOKUP($A88,'OI(Volume)'!$A$7:$O$445,8)</f>
        <v>15787800</v>
      </c>
      <c r="I88" s="103">
        <f>VLOOKUP($A88,'OI(Volume)'!$A$7:$O$445,9)</f>
        <v>667800</v>
      </c>
      <c r="J88" s="103">
        <f>VLOOKUP($A88,'OI(Volume)'!$A$7:$O$445,11)</f>
        <v>10868900</v>
      </c>
      <c r="K88" s="103">
        <f>VLOOKUP($A88,'OI(Volume)'!$A$7:$O$445,12)</f>
        <v>-1085000</v>
      </c>
      <c r="L88" s="103">
        <f>VLOOKUP($A88,'OI(Value)'!$A$7:$O$329,8,0)</f>
        <v>1604</v>
      </c>
      <c r="M88" s="103">
        <f>VLOOKUP($A88,'OI(Value)'!$A$7:$O$329,9,0)</f>
        <v>68</v>
      </c>
      <c r="N88" s="103">
        <f>VLOOKUP($A88,'OI(Value)'!$A$7:$O$329,11,0)</f>
        <v>1104</v>
      </c>
      <c r="O88" s="103">
        <f>VLOOKUP($A88,'OI(Value)'!$A$7:$O$329,12,0)</f>
        <v>-110</v>
      </c>
      <c r="P88" s="179">
        <f>VLOOKUP(A88,'OI(Value)'!A88:O312,8,0)</f>
        <v>1604</v>
      </c>
      <c r="Q88" s="179">
        <f>VLOOKUP(A88,'OI(Value)'!A88:O312,9,0)</f>
        <v>68</v>
      </c>
      <c r="R88" s="179">
        <f>VLOOKUP(A88,'OI(Value)'!A88:O312,11,0)</f>
        <v>1104</v>
      </c>
      <c r="S88" s="179">
        <f>VLOOKUP(A88,'OI(Value)'!A88:O312,11,0)</f>
        <v>1104</v>
      </c>
    </row>
    <row r="89" spans="1:19" x14ac:dyDescent="0.25">
      <c r="A89" s="105" t="str">
        <f>'Data Vlaue (Cr)'!C84</f>
        <v>HINDPETRO</v>
      </c>
      <c r="B89" s="143">
        <f>VLOOKUP($A89,'Data shares'!$C:$FA,118)</f>
        <v>0.91</v>
      </c>
      <c r="C89" s="143">
        <f>VLOOKUP($A89,'Data shares'!$C:$FA,119)</f>
        <v>0.84</v>
      </c>
      <c r="D89" s="143">
        <f>VLOOKUP($A89,'Data shares'!$C:$FA,121)*100</f>
        <v>8.33</v>
      </c>
      <c r="E89" s="143">
        <f>VLOOKUP($A89,'Data shares'!$C:$FA,124)</f>
        <v>0.59</v>
      </c>
      <c r="F89" s="143">
        <f>VLOOKUP($A89,'Data shares'!$C:$FA,125)</f>
        <v>0.79</v>
      </c>
      <c r="G89" s="143">
        <f>VLOOKUP($A89,'Data shares'!$C:$FA,127)*100</f>
        <v>-25.319999999999997</v>
      </c>
      <c r="H89" s="103">
        <f>VLOOKUP($A89,'OI(Volume)'!$A$7:$O$445,8)</f>
        <v>19156500</v>
      </c>
      <c r="I89" s="103">
        <f>VLOOKUP($A89,'OI(Volume)'!$A$7:$O$445,9)</f>
        <v>-656100</v>
      </c>
      <c r="J89" s="103">
        <f>VLOOKUP($A89,'OI(Volume)'!$A$7:$O$445,11)</f>
        <v>17388675</v>
      </c>
      <c r="K89" s="103">
        <f>VLOOKUP($A89,'OI(Volume)'!$A$7:$O$445,12)</f>
        <v>664200</v>
      </c>
      <c r="L89" s="103">
        <f>VLOOKUP($A89,'OI(Value)'!$A$7:$O$329,8,0)</f>
        <v>726</v>
      </c>
      <c r="M89" s="103">
        <f>VLOOKUP($A89,'OI(Value)'!$A$7:$O$329,9,0)</f>
        <v>-25</v>
      </c>
      <c r="N89" s="103">
        <f>VLOOKUP($A89,'OI(Value)'!$A$7:$O$329,11,0)</f>
        <v>659</v>
      </c>
      <c r="O89" s="103">
        <f>VLOOKUP($A89,'OI(Value)'!$A$7:$O$329,12,0)</f>
        <v>25</v>
      </c>
      <c r="P89" s="179">
        <f>VLOOKUP(A89,'OI(Value)'!A89:O313,8,0)</f>
        <v>726</v>
      </c>
      <c r="Q89" s="179">
        <f>VLOOKUP(A89,'OI(Value)'!A89:O313,9,0)</f>
        <v>-25</v>
      </c>
      <c r="R89" s="179">
        <f>VLOOKUP(A89,'OI(Value)'!A89:O313,11,0)</f>
        <v>659</v>
      </c>
      <c r="S89" s="179">
        <f>VLOOKUP(A89,'OI(Value)'!A89:O313,11,0)</f>
        <v>659</v>
      </c>
    </row>
    <row r="90" spans="1:19" x14ac:dyDescent="0.25">
      <c r="A90" s="105" t="str">
        <f>'Data Vlaue (Cr)'!C85</f>
        <v>HINDUNILVR</v>
      </c>
      <c r="B90" s="143">
        <f>VLOOKUP($A90,'Data shares'!$C:$FA,118)</f>
        <v>0.74</v>
      </c>
      <c r="C90" s="143">
        <f>VLOOKUP($A90,'Data shares'!$C:$FA,119)</f>
        <v>0.7</v>
      </c>
      <c r="D90" s="143">
        <f>VLOOKUP($A90,'Data shares'!$C:$FA,121)*100</f>
        <v>5.71</v>
      </c>
      <c r="E90" s="143">
        <f>VLOOKUP($A90,'Data shares'!$C:$FA,124)</f>
        <v>0.65</v>
      </c>
      <c r="F90" s="143">
        <f>VLOOKUP($A90,'Data shares'!$C:$FA,125)</f>
        <v>0.42</v>
      </c>
      <c r="G90" s="143">
        <f>VLOOKUP($A90,'Data shares'!$C:$FA,127)*100</f>
        <v>54.76</v>
      </c>
      <c r="H90" s="103">
        <f>VLOOKUP($A90,'OI(Volume)'!$A$7:$O$445,8)</f>
        <v>6643800</v>
      </c>
      <c r="I90" s="103">
        <f>VLOOKUP($A90,'OI(Volume)'!$A$7:$O$445,9)</f>
        <v>-400200</v>
      </c>
      <c r="J90" s="103">
        <f>VLOOKUP($A90,'OI(Volume)'!$A$7:$O$445,11)</f>
        <v>4897800</v>
      </c>
      <c r="K90" s="103">
        <f>VLOOKUP($A90,'OI(Volume)'!$A$7:$O$445,12)</f>
        <v>-61200</v>
      </c>
      <c r="L90" s="103">
        <f>VLOOKUP($A90,'OI(Value)'!$A$7:$O$329,8,0)</f>
        <v>1485</v>
      </c>
      <c r="M90" s="103">
        <f>VLOOKUP($A90,'OI(Value)'!$A$7:$O$329,9,0)</f>
        <v>-89</v>
      </c>
      <c r="N90" s="103">
        <f>VLOOKUP($A90,'OI(Value)'!$A$7:$O$329,11,0)</f>
        <v>1095</v>
      </c>
      <c r="O90" s="103">
        <f>VLOOKUP($A90,'OI(Value)'!$A$7:$O$329,12,0)</f>
        <v>-14</v>
      </c>
      <c r="P90" s="179">
        <f>VLOOKUP(A90,'OI(Value)'!A90:O314,8,0)</f>
        <v>1485</v>
      </c>
      <c r="Q90" s="179">
        <f>VLOOKUP(A90,'OI(Value)'!A90:O314,9,0)</f>
        <v>-89</v>
      </c>
      <c r="R90" s="179">
        <f>VLOOKUP(A90,'OI(Value)'!A90:O314,11,0)</f>
        <v>1095</v>
      </c>
      <c r="S90" s="179">
        <f>VLOOKUP(A90,'OI(Value)'!A90:O314,11,0)</f>
        <v>1095</v>
      </c>
    </row>
    <row r="91" spans="1:19" x14ac:dyDescent="0.25">
      <c r="A91" s="105" t="str">
        <f>'Data Vlaue (Cr)'!C86</f>
        <v>HINDZINC</v>
      </c>
      <c r="B91" s="143">
        <f>VLOOKUP($A91,'Data shares'!$C:$FA,118)</f>
        <v>0.78</v>
      </c>
      <c r="C91" s="143">
        <f>VLOOKUP($A91,'Data shares'!$C:$FA,119)</f>
        <v>0.8</v>
      </c>
      <c r="D91" s="143">
        <f>VLOOKUP($A91,'Data shares'!$C:$FA,121)*100</f>
        <v>-2.5</v>
      </c>
      <c r="E91" s="143">
        <f>VLOOKUP($A91,'Data shares'!$C:$FA,124)</f>
        <v>0.57999999999999996</v>
      </c>
      <c r="F91" s="143">
        <f>VLOOKUP($A91,'Data shares'!$C:$FA,125)</f>
        <v>0.6</v>
      </c>
      <c r="G91" s="143">
        <f>VLOOKUP($A91,'Data shares'!$C:$FA,127)*100</f>
        <v>-3.3300000000000005</v>
      </c>
      <c r="H91" s="103">
        <f>VLOOKUP($A91,'OI(Volume)'!$A$7:$O$445,8)</f>
        <v>21202300</v>
      </c>
      <c r="I91" s="103">
        <f>VLOOKUP($A91,'OI(Volume)'!$A$7:$O$445,9)</f>
        <v>298900</v>
      </c>
      <c r="J91" s="103">
        <f>VLOOKUP($A91,'OI(Volume)'!$A$7:$O$445,11)</f>
        <v>16570575</v>
      </c>
      <c r="K91" s="103">
        <f>VLOOKUP($A91,'OI(Volume)'!$A$7:$O$445,12)</f>
        <v>-121275</v>
      </c>
      <c r="L91" s="103">
        <f>VLOOKUP($A91,'OI(Value)'!$A$7:$O$329,8,0)</f>
        <v>1252</v>
      </c>
      <c r="M91" s="103">
        <f>VLOOKUP($A91,'OI(Value)'!$A$7:$O$329,9,0)</f>
        <v>18</v>
      </c>
      <c r="N91" s="103">
        <f>VLOOKUP($A91,'OI(Value)'!$A$7:$O$329,11,0)</f>
        <v>978</v>
      </c>
      <c r="O91" s="103">
        <f>VLOOKUP($A91,'OI(Value)'!$A$7:$O$329,12,0)</f>
        <v>-7</v>
      </c>
      <c r="P91" s="179">
        <f>VLOOKUP(A91,'OI(Value)'!A91:O315,8,0)</f>
        <v>1252</v>
      </c>
      <c r="Q91" s="179">
        <f>VLOOKUP(A91,'OI(Value)'!A91:O315,9,0)</f>
        <v>18</v>
      </c>
      <c r="R91" s="179">
        <f>VLOOKUP(A91,'OI(Value)'!A91:O315,11,0)</f>
        <v>978</v>
      </c>
      <c r="S91" s="179">
        <f>VLOOKUP(A91,'OI(Value)'!A91:O315,11,0)</f>
        <v>978</v>
      </c>
    </row>
    <row r="92" spans="1:19" x14ac:dyDescent="0.25">
      <c r="A92" s="105" t="str">
        <f>'Data Vlaue (Cr)'!C87</f>
        <v>HUDCO</v>
      </c>
      <c r="B92" s="143">
        <f>VLOOKUP($A92,'Data shares'!$C:$FA,118)</f>
        <v>0.95</v>
      </c>
      <c r="C92" s="143">
        <f>VLOOKUP($A92,'Data shares'!$C:$FA,119)</f>
        <v>0.89</v>
      </c>
      <c r="D92" s="143">
        <f>VLOOKUP($A92,'Data shares'!$C:$FA,121)*100</f>
        <v>6.74</v>
      </c>
      <c r="E92" s="143">
        <f>VLOOKUP($A92,'Data shares'!$C:$FA,124)</f>
        <v>0.52</v>
      </c>
      <c r="F92" s="143">
        <f>VLOOKUP($A92,'Data shares'!$C:$FA,125)</f>
        <v>0.56999999999999995</v>
      </c>
      <c r="G92" s="143">
        <f>VLOOKUP($A92,'Data shares'!$C:$FA,127)*100</f>
        <v>-8.77</v>
      </c>
      <c r="H92" s="103">
        <f>VLOOKUP($A92,'OI(Volume)'!$A$7:$O$445,8)</f>
        <v>11596725</v>
      </c>
      <c r="I92" s="103">
        <f>VLOOKUP($A92,'OI(Volume)'!$A$7:$O$445,9)</f>
        <v>435675</v>
      </c>
      <c r="J92" s="103">
        <f>VLOOKUP($A92,'OI(Volume)'!$A$7:$O$445,11)</f>
        <v>11047275</v>
      </c>
      <c r="K92" s="103">
        <f>VLOOKUP($A92,'OI(Volume)'!$A$7:$O$445,12)</f>
        <v>1168275</v>
      </c>
      <c r="L92" s="103">
        <f>VLOOKUP($A92,'OI(Value)'!$A$7:$O$329,8,0)</f>
        <v>231</v>
      </c>
      <c r="M92" s="103">
        <f>VLOOKUP($A92,'OI(Value)'!$A$7:$O$329,9,0)</f>
        <v>9</v>
      </c>
      <c r="N92" s="103">
        <f>VLOOKUP($A92,'OI(Value)'!$A$7:$O$329,11,0)</f>
        <v>220</v>
      </c>
      <c r="O92" s="103">
        <f>VLOOKUP($A92,'OI(Value)'!$A$7:$O$329,12,0)</f>
        <v>23</v>
      </c>
      <c r="P92" s="179">
        <f>VLOOKUP(A92,'OI(Value)'!A92:O316,8,0)</f>
        <v>231</v>
      </c>
      <c r="Q92" s="179">
        <f>VLOOKUP(A92,'OI(Value)'!A92:O316,9,0)</f>
        <v>9</v>
      </c>
      <c r="R92" s="179">
        <f>VLOOKUP(A92,'OI(Value)'!A92:O316,11,0)</f>
        <v>220</v>
      </c>
      <c r="S92" s="179">
        <f>VLOOKUP(A92,'OI(Value)'!A92:O316,11,0)</f>
        <v>220</v>
      </c>
    </row>
    <row r="93" spans="1:19" x14ac:dyDescent="0.25">
      <c r="A93" s="105" t="str">
        <f>'Data Vlaue (Cr)'!C88</f>
        <v>HYUNDAI</v>
      </c>
      <c r="B93" s="143">
        <f>VLOOKUP($A93,'Data shares'!$C:$FA,118)</f>
        <v>0.7</v>
      </c>
      <c r="C93" s="143">
        <f>VLOOKUP($A93,'Data shares'!$C:$FA,119)</f>
        <v>0.66</v>
      </c>
      <c r="D93" s="143">
        <f>VLOOKUP($A93,'Data shares'!$C:$FA,121)*100</f>
        <v>6.0600000000000005</v>
      </c>
      <c r="E93" s="143">
        <f>VLOOKUP($A93,'Data shares'!$C:$FA,124)</f>
        <v>0.22</v>
      </c>
      <c r="F93" s="143">
        <f>VLOOKUP($A93,'Data shares'!$C:$FA,125)</f>
        <v>0.24</v>
      </c>
      <c r="G93" s="143">
        <f>VLOOKUP($A93,'Data shares'!$C:$FA,127)*100</f>
        <v>-8.33</v>
      </c>
      <c r="H93" s="103">
        <f>VLOOKUP($A93,'OI(Volume)'!$A$7:$O$445,8)</f>
        <v>971025</v>
      </c>
      <c r="I93" s="103">
        <f>VLOOKUP($A93,'OI(Volume)'!$A$7:$O$445,9)</f>
        <v>-75900</v>
      </c>
      <c r="J93" s="103">
        <f>VLOOKUP($A93,'OI(Volume)'!$A$7:$O$445,11)</f>
        <v>677600</v>
      </c>
      <c r="K93" s="103">
        <f>VLOOKUP($A93,'OI(Volume)'!$A$7:$O$445,12)</f>
        <v>-11825</v>
      </c>
      <c r="L93" s="103">
        <f>VLOOKUP($A93,'OI(Value)'!$A$7:$O$329,8,0)</f>
        <v>181</v>
      </c>
      <c r="M93" s="103">
        <f>VLOOKUP($A93,'OI(Value)'!$A$7:$O$329,9,0)</f>
        <v>-14</v>
      </c>
      <c r="N93" s="103">
        <f>VLOOKUP($A93,'OI(Value)'!$A$7:$O$329,11,0)</f>
        <v>127</v>
      </c>
      <c r="O93" s="103">
        <f>VLOOKUP($A93,'OI(Value)'!$A$7:$O$329,12,0)</f>
        <v>-2</v>
      </c>
      <c r="P93" s="179">
        <f>VLOOKUP(A93,'OI(Value)'!A93:O317,8,0)</f>
        <v>181</v>
      </c>
      <c r="Q93" s="179">
        <f>VLOOKUP(A93,'OI(Value)'!A93:O317,9,0)</f>
        <v>-14</v>
      </c>
      <c r="R93" s="179">
        <f>VLOOKUP(A93,'OI(Value)'!A93:O317,11,0)</f>
        <v>127</v>
      </c>
      <c r="S93" s="179">
        <f>VLOOKUP(A93,'OI(Value)'!A93:O317,11,0)</f>
        <v>127</v>
      </c>
    </row>
    <row r="94" spans="1:19" x14ac:dyDescent="0.25">
      <c r="A94" s="105" t="str">
        <f>'Data Vlaue (Cr)'!C89</f>
        <v>ICICIBANK</v>
      </c>
      <c r="B94" s="143">
        <f>VLOOKUP($A94,'Data shares'!$C:$FA,118)</f>
        <v>0.67</v>
      </c>
      <c r="C94" s="143">
        <f>VLOOKUP($A94,'Data shares'!$C:$FA,119)</f>
        <v>0.83</v>
      </c>
      <c r="D94" s="143">
        <f>VLOOKUP($A94,'Data shares'!$C:$FA,121)*100</f>
        <v>-19.28</v>
      </c>
      <c r="E94" s="143">
        <f>VLOOKUP($A94,'Data shares'!$C:$FA,124)</f>
        <v>0.52</v>
      </c>
      <c r="F94" s="143">
        <f>VLOOKUP($A94,'Data shares'!$C:$FA,125)</f>
        <v>0.68</v>
      </c>
      <c r="G94" s="143">
        <f>VLOOKUP($A94,'Data shares'!$C:$FA,127)*100</f>
        <v>-23.53</v>
      </c>
      <c r="H94" s="103">
        <f>VLOOKUP($A94,'OI(Volume)'!$A$7:$O$445,8)</f>
        <v>36117900</v>
      </c>
      <c r="I94" s="103">
        <f>VLOOKUP($A94,'OI(Volume)'!$A$7:$O$445,9)</f>
        <v>5488700</v>
      </c>
      <c r="J94" s="103">
        <f>VLOOKUP($A94,'OI(Volume)'!$A$7:$O$445,11)</f>
        <v>24261300</v>
      </c>
      <c r="K94" s="103">
        <f>VLOOKUP($A94,'OI(Volume)'!$A$7:$O$445,12)</f>
        <v>-1094100</v>
      </c>
      <c r="L94" s="103">
        <f>VLOOKUP($A94,'OI(Value)'!$A$7:$O$329,8,0)</f>
        <v>4902</v>
      </c>
      <c r="M94" s="103">
        <f>VLOOKUP($A94,'OI(Value)'!$A$7:$O$329,9,0)</f>
        <v>745</v>
      </c>
      <c r="N94" s="103">
        <f>VLOOKUP($A94,'OI(Value)'!$A$7:$O$329,11,0)</f>
        <v>3293</v>
      </c>
      <c r="O94" s="103">
        <f>VLOOKUP($A94,'OI(Value)'!$A$7:$O$329,12,0)</f>
        <v>-149</v>
      </c>
      <c r="P94" s="179">
        <f>VLOOKUP(A94,'OI(Value)'!A94:O318,8,0)</f>
        <v>4902</v>
      </c>
      <c r="Q94" s="179">
        <f>VLOOKUP(A94,'OI(Value)'!A94:O318,9,0)</f>
        <v>745</v>
      </c>
      <c r="R94" s="179">
        <f>VLOOKUP(A94,'OI(Value)'!A94:O318,11,0)</f>
        <v>3293</v>
      </c>
      <c r="S94" s="179">
        <f>VLOOKUP(A94,'OI(Value)'!A94:O318,11,0)</f>
        <v>3293</v>
      </c>
    </row>
    <row r="95" spans="1:19" x14ac:dyDescent="0.25">
      <c r="A95" s="105" t="str">
        <f>'Data Vlaue (Cr)'!C90</f>
        <v>ICICIGI</v>
      </c>
      <c r="B95" s="143">
        <f>VLOOKUP($A95,'Data shares'!$C:$FA,118)</f>
        <v>0.82</v>
      </c>
      <c r="C95" s="143">
        <f>VLOOKUP($A95,'Data shares'!$C:$FA,119)</f>
        <v>0.88</v>
      </c>
      <c r="D95" s="143">
        <f>VLOOKUP($A95,'Data shares'!$C:$FA,121)*100</f>
        <v>-6.8199999999999994</v>
      </c>
      <c r="E95" s="143">
        <f>VLOOKUP($A95,'Data shares'!$C:$FA,124)</f>
        <v>0.6</v>
      </c>
      <c r="F95" s="143">
        <f>VLOOKUP($A95,'Data shares'!$C:$FA,125)</f>
        <v>0.65</v>
      </c>
      <c r="G95" s="143">
        <f>VLOOKUP($A95,'Data shares'!$C:$FA,127)*100</f>
        <v>-7.6899999999999995</v>
      </c>
      <c r="H95" s="103">
        <f>VLOOKUP($A95,'OI(Volume)'!$A$7:$O$445,8)</f>
        <v>1461200</v>
      </c>
      <c r="I95" s="103">
        <f>VLOOKUP($A95,'OI(Volume)'!$A$7:$O$445,9)</f>
        <v>-39975</v>
      </c>
      <c r="J95" s="103">
        <f>VLOOKUP($A95,'OI(Volume)'!$A$7:$O$445,11)</f>
        <v>1202175</v>
      </c>
      <c r="K95" s="103">
        <f>VLOOKUP($A95,'OI(Volume)'!$A$7:$O$445,12)</f>
        <v>-125775</v>
      </c>
      <c r="L95" s="103">
        <f>VLOOKUP($A95,'OI(Value)'!$A$7:$O$329,8,0)</f>
        <v>274</v>
      </c>
      <c r="M95" s="103">
        <f>VLOOKUP($A95,'OI(Value)'!$A$7:$O$329,9,0)</f>
        <v>-7</v>
      </c>
      <c r="N95" s="103">
        <f>VLOOKUP($A95,'OI(Value)'!$A$7:$O$329,11,0)</f>
        <v>225</v>
      </c>
      <c r="O95" s="103">
        <f>VLOOKUP($A95,'OI(Value)'!$A$7:$O$329,12,0)</f>
        <v>-24</v>
      </c>
      <c r="P95" s="179">
        <f>VLOOKUP(A95,'OI(Value)'!A95:O319,8,0)</f>
        <v>274</v>
      </c>
      <c r="Q95" s="179">
        <f>VLOOKUP(A95,'OI(Value)'!A95:O319,9,0)</f>
        <v>-7</v>
      </c>
      <c r="R95" s="179">
        <f>VLOOKUP(A95,'OI(Value)'!A95:O319,11,0)</f>
        <v>225</v>
      </c>
      <c r="S95" s="179">
        <f>VLOOKUP(A95,'OI(Value)'!A95:O319,11,0)</f>
        <v>225</v>
      </c>
    </row>
    <row r="96" spans="1:19" x14ac:dyDescent="0.25">
      <c r="A96" s="105" t="str">
        <f>'Data Vlaue (Cr)'!C91</f>
        <v>ICICIPRULI</v>
      </c>
      <c r="B96" s="143">
        <f>VLOOKUP($A96,'Data shares'!$C:$FA,118)</f>
        <v>0.65</v>
      </c>
      <c r="C96" s="143">
        <f>VLOOKUP($A96,'Data shares'!$C:$FA,119)</f>
        <v>0.71</v>
      </c>
      <c r="D96" s="143">
        <f>VLOOKUP($A96,'Data shares'!$C:$FA,121)*100</f>
        <v>-8.4500000000000011</v>
      </c>
      <c r="E96" s="143">
        <f>VLOOKUP($A96,'Data shares'!$C:$FA,124)</f>
        <v>0.66</v>
      </c>
      <c r="F96" s="143">
        <f>VLOOKUP($A96,'Data shares'!$C:$FA,125)</f>
        <v>0.55000000000000004</v>
      </c>
      <c r="G96" s="143">
        <f>VLOOKUP($A96,'Data shares'!$C:$FA,127)*100</f>
        <v>20</v>
      </c>
      <c r="H96" s="103">
        <f>VLOOKUP($A96,'OI(Volume)'!$A$7:$O$445,8)</f>
        <v>7001325</v>
      </c>
      <c r="I96" s="103">
        <f>VLOOKUP($A96,'OI(Volume)'!$A$7:$O$445,9)</f>
        <v>-216450</v>
      </c>
      <c r="J96" s="103">
        <f>VLOOKUP($A96,'OI(Volume)'!$A$7:$O$445,11)</f>
        <v>4584300</v>
      </c>
      <c r="K96" s="103">
        <f>VLOOKUP($A96,'OI(Volume)'!$A$7:$O$445,12)</f>
        <v>-544825</v>
      </c>
      <c r="L96" s="103">
        <f>VLOOKUP($A96,'OI(Value)'!$A$7:$O$329,8,0)</f>
        <v>392</v>
      </c>
      <c r="M96" s="103">
        <f>VLOOKUP($A96,'OI(Value)'!$A$7:$O$329,9,0)</f>
        <v>-12</v>
      </c>
      <c r="N96" s="103">
        <f>VLOOKUP($A96,'OI(Value)'!$A$7:$O$329,11,0)</f>
        <v>256</v>
      </c>
      <c r="O96" s="103">
        <f>VLOOKUP($A96,'OI(Value)'!$A$7:$O$329,12,0)</f>
        <v>-30</v>
      </c>
      <c r="P96" s="179">
        <f>VLOOKUP(A96,'OI(Value)'!A96:O320,8,0)</f>
        <v>392</v>
      </c>
      <c r="Q96" s="179">
        <f>VLOOKUP(A96,'OI(Value)'!A96:O320,9,0)</f>
        <v>-12</v>
      </c>
      <c r="R96" s="179">
        <f>VLOOKUP(A96,'OI(Value)'!A96:O320,11,0)</f>
        <v>256</v>
      </c>
      <c r="S96" s="179">
        <f>VLOOKUP(A96,'OI(Value)'!A96:O320,11,0)</f>
        <v>256</v>
      </c>
    </row>
    <row r="97" spans="1:19" x14ac:dyDescent="0.25">
      <c r="A97" s="105" t="str">
        <f>'Data Vlaue (Cr)'!C92</f>
        <v>IDEA</v>
      </c>
      <c r="B97" s="143">
        <f>VLOOKUP($A97,'Data shares'!$C:$FA,118)</f>
        <v>0.52</v>
      </c>
      <c r="C97" s="143">
        <f>VLOOKUP($A97,'Data shares'!$C:$FA,119)</f>
        <v>0.52</v>
      </c>
      <c r="D97" s="143">
        <f>VLOOKUP($A97,'Data shares'!$C:$FA,121)*100</f>
        <v>0</v>
      </c>
      <c r="E97" s="143">
        <f>VLOOKUP($A97,'Data shares'!$C:$FA,124)</f>
        <v>0.37</v>
      </c>
      <c r="F97" s="143">
        <f>VLOOKUP($A97,'Data shares'!$C:$FA,125)</f>
        <v>0.38</v>
      </c>
      <c r="G97" s="143">
        <f>VLOOKUP($A97,'Data shares'!$C:$FA,127)*100</f>
        <v>-2.63</v>
      </c>
      <c r="H97" s="103">
        <f>VLOOKUP($A97,'OI(Volume)'!$A$7:$O$445,8)</f>
        <v>1483892475</v>
      </c>
      <c r="I97" s="103">
        <f>VLOOKUP($A97,'OI(Volume)'!$A$7:$O$445,9)</f>
        <v>53820675</v>
      </c>
      <c r="J97" s="103">
        <f>VLOOKUP($A97,'OI(Volume)'!$A$7:$O$445,11)</f>
        <v>770000175</v>
      </c>
      <c r="K97" s="103">
        <f>VLOOKUP($A97,'OI(Volume)'!$A$7:$O$445,12)</f>
        <v>19584150</v>
      </c>
      <c r="L97" s="103">
        <f>VLOOKUP($A97,'OI(Value)'!$A$7:$O$329,8,0)</f>
        <v>1402</v>
      </c>
      <c r="M97" s="103">
        <f>VLOOKUP($A97,'OI(Value)'!$A$7:$O$329,9,0)</f>
        <v>51</v>
      </c>
      <c r="N97" s="103">
        <f>VLOOKUP($A97,'OI(Value)'!$A$7:$O$329,11,0)</f>
        <v>728</v>
      </c>
      <c r="O97" s="103">
        <f>VLOOKUP($A97,'OI(Value)'!$A$7:$O$329,12,0)</f>
        <v>19</v>
      </c>
      <c r="P97" s="179">
        <f>VLOOKUP(A97,'OI(Value)'!A97:O321,8,0)</f>
        <v>1402</v>
      </c>
      <c r="Q97" s="179">
        <f>VLOOKUP(A97,'OI(Value)'!A97:O321,9,0)</f>
        <v>51</v>
      </c>
      <c r="R97" s="179">
        <f>VLOOKUP(A97,'OI(Value)'!A97:O321,11,0)</f>
        <v>728</v>
      </c>
      <c r="S97" s="179">
        <f>VLOOKUP(A97,'OI(Value)'!A97:O321,11,0)</f>
        <v>728</v>
      </c>
    </row>
    <row r="98" spans="1:19" x14ac:dyDescent="0.25">
      <c r="A98" s="105" t="str">
        <f>'Data Vlaue (Cr)'!C93</f>
        <v>IDFCFIRSTB</v>
      </c>
      <c r="B98" s="143">
        <f>VLOOKUP($A98,'Data shares'!$C:$FA,118)</f>
        <v>0.91</v>
      </c>
      <c r="C98" s="143">
        <f>VLOOKUP($A98,'Data shares'!$C:$FA,119)</f>
        <v>0.93</v>
      </c>
      <c r="D98" s="143">
        <f>VLOOKUP($A98,'Data shares'!$C:$FA,121)*100</f>
        <v>-2.15</v>
      </c>
      <c r="E98" s="143">
        <f>VLOOKUP($A98,'Data shares'!$C:$FA,124)</f>
        <v>0.86</v>
      </c>
      <c r="F98" s="143">
        <f>VLOOKUP($A98,'Data shares'!$C:$FA,125)</f>
        <v>0.88</v>
      </c>
      <c r="G98" s="143">
        <f>VLOOKUP($A98,'Data shares'!$C:$FA,127)*100</f>
        <v>-2.27</v>
      </c>
      <c r="H98" s="103">
        <f>VLOOKUP($A98,'OI(Volume)'!$A$7:$O$445,8)</f>
        <v>126344050</v>
      </c>
      <c r="I98" s="103">
        <f>VLOOKUP($A98,'OI(Volume)'!$A$7:$O$445,9)</f>
        <v>268975</v>
      </c>
      <c r="J98" s="103">
        <f>VLOOKUP($A98,'OI(Volume)'!$A$7:$O$445,11)</f>
        <v>114787400</v>
      </c>
      <c r="K98" s="103">
        <f>VLOOKUP($A98,'OI(Volume)'!$A$7:$O$445,12)</f>
        <v>-2661925</v>
      </c>
      <c r="L98" s="103">
        <f>VLOOKUP($A98,'OI(Value)'!$A$7:$O$329,8,0)</f>
        <v>854</v>
      </c>
      <c r="M98" s="103">
        <f>VLOOKUP($A98,'OI(Value)'!$A$7:$O$329,9,0)</f>
        <v>2</v>
      </c>
      <c r="N98" s="103">
        <f>VLOOKUP($A98,'OI(Value)'!$A$7:$O$329,11,0)</f>
        <v>776</v>
      </c>
      <c r="O98" s="103">
        <f>VLOOKUP($A98,'OI(Value)'!$A$7:$O$329,12,0)</f>
        <v>-18</v>
      </c>
      <c r="P98" s="179">
        <f>VLOOKUP(A98,'OI(Value)'!A98:O322,8,0)</f>
        <v>854</v>
      </c>
      <c r="Q98" s="179">
        <f>VLOOKUP(A98,'OI(Value)'!A98:O322,9,0)</f>
        <v>2</v>
      </c>
      <c r="R98" s="179">
        <f>VLOOKUP(A98,'OI(Value)'!A98:O322,11,0)</f>
        <v>776</v>
      </c>
      <c r="S98" s="179">
        <f>VLOOKUP(A98,'OI(Value)'!A98:O322,11,0)</f>
        <v>776</v>
      </c>
    </row>
    <row r="99" spans="1:19" x14ac:dyDescent="0.25">
      <c r="A99" s="105" t="str">
        <f>'Data Vlaue (Cr)'!C94</f>
        <v>IEX</v>
      </c>
      <c r="B99" s="143">
        <f>VLOOKUP($A99,'Data shares'!$C:$FA,118)</f>
        <v>0.79</v>
      </c>
      <c r="C99" s="143">
        <f>VLOOKUP($A99,'Data shares'!$C:$FA,119)</f>
        <v>0.93</v>
      </c>
      <c r="D99" s="143">
        <f>VLOOKUP($A99,'Data shares'!$C:$FA,121)*100</f>
        <v>-15.049999999999999</v>
      </c>
      <c r="E99" s="143">
        <f>VLOOKUP($A99,'Data shares'!$C:$FA,124)</f>
        <v>1.06</v>
      </c>
      <c r="F99" s="143">
        <f>VLOOKUP($A99,'Data shares'!$C:$FA,125)</f>
        <v>0.44</v>
      </c>
      <c r="G99" s="143">
        <f>VLOOKUP($A99,'Data shares'!$C:$FA,127)*100</f>
        <v>140.91</v>
      </c>
      <c r="H99" s="103">
        <f>VLOOKUP($A99,'OI(Volume)'!$A$7:$O$445,8)</f>
        <v>53426250</v>
      </c>
      <c r="I99" s="103">
        <f>VLOOKUP($A99,'OI(Volume)'!$A$7:$O$445,9)</f>
        <v>18322500</v>
      </c>
      <c r="J99" s="103">
        <f>VLOOKUP($A99,'OI(Volume)'!$A$7:$O$445,11)</f>
        <v>42176250</v>
      </c>
      <c r="K99" s="103">
        <f>VLOOKUP($A99,'OI(Volume)'!$A$7:$O$445,12)</f>
        <v>9498750</v>
      </c>
      <c r="L99" s="103">
        <f>VLOOKUP($A99,'OI(Value)'!$A$7:$O$329,8,0)</f>
        <v>668</v>
      </c>
      <c r="M99" s="103">
        <f>VLOOKUP($A99,'OI(Value)'!$A$7:$O$329,9,0)</f>
        <v>229</v>
      </c>
      <c r="N99" s="103">
        <f>VLOOKUP($A99,'OI(Value)'!$A$7:$O$329,11,0)</f>
        <v>527</v>
      </c>
      <c r="O99" s="103">
        <f>VLOOKUP($A99,'OI(Value)'!$A$7:$O$329,12,0)</f>
        <v>119</v>
      </c>
      <c r="P99" s="179">
        <f>VLOOKUP(A99,'OI(Value)'!A99:O323,8,0)</f>
        <v>668</v>
      </c>
      <c r="Q99" s="179">
        <f>VLOOKUP(A99,'OI(Value)'!A99:O323,9,0)</f>
        <v>229</v>
      </c>
      <c r="R99" s="179">
        <f>VLOOKUP(A99,'OI(Value)'!A99:O323,11,0)</f>
        <v>527</v>
      </c>
      <c r="S99" s="179">
        <f>VLOOKUP(A99,'OI(Value)'!A99:O323,11,0)</f>
        <v>527</v>
      </c>
    </row>
    <row r="100" spans="1:19" x14ac:dyDescent="0.25">
      <c r="A100" s="105" t="str">
        <f>'Data Vlaue (Cr)'!C95</f>
        <v>INDHOTEL</v>
      </c>
      <c r="B100" s="143">
        <f>VLOOKUP($A100,'Data shares'!$C:$FA,118)</f>
        <v>0.98</v>
      </c>
      <c r="C100" s="143">
        <f>VLOOKUP($A100,'Data shares'!$C:$FA,119)</f>
        <v>0.97</v>
      </c>
      <c r="D100" s="143">
        <f>VLOOKUP($A100,'Data shares'!$C:$FA,121)*100</f>
        <v>1.03</v>
      </c>
      <c r="E100" s="143">
        <f>VLOOKUP($A100,'Data shares'!$C:$FA,124)</f>
        <v>0.73</v>
      </c>
      <c r="F100" s="143">
        <f>VLOOKUP($A100,'Data shares'!$C:$FA,125)</f>
        <v>0.68</v>
      </c>
      <c r="G100" s="143">
        <f>VLOOKUP($A100,'Data shares'!$C:$FA,127)*100</f>
        <v>7.35</v>
      </c>
      <c r="H100" s="103">
        <f>VLOOKUP($A100,'OI(Volume)'!$A$7:$O$445,8)</f>
        <v>6077000</v>
      </c>
      <c r="I100" s="103">
        <f>VLOOKUP($A100,'OI(Volume)'!$A$7:$O$445,9)</f>
        <v>-3000</v>
      </c>
      <c r="J100" s="103">
        <f>VLOOKUP($A100,'OI(Volume)'!$A$7:$O$445,11)</f>
        <v>5957000</v>
      </c>
      <c r="K100" s="103">
        <f>VLOOKUP($A100,'OI(Volume)'!$A$7:$O$445,12)</f>
        <v>72000</v>
      </c>
      <c r="L100" s="103">
        <f>VLOOKUP($A100,'OI(Value)'!$A$7:$O$329,8,0)</f>
        <v>400</v>
      </c>
      <c r="M100" s="103">
        <f>VLOOKUP($A100,'OI(Value)'!$A$7:$O$329,9,0)</f>
        <v>0</v>
      </c>
      <c r="N100" s="103">
        <f>VLOOKUP($A100,'OI(Value)'!$A$7:$O$329,11,0)</f>
        <v>392</v>
      </c>
      <c r="O100" s="103">
        <f>VLOOKUP($A100,'OI(Value)'!$A$7:$O$329,12,0)</f>
        <v>5</v>
      </c>
      <c r="P100" s="179">
        <f>VLOOKUP(A100,'OI(Value)'!A100:O324,8,0)</f>
        <v>400</v>
      </c>
      <c r="Q100" s="179">
        <f>VLOOKUP(A100,'OI(Value)'!A100:O324,9,0)</f>
        <v>0</v>
      </c>
      <c r="R100" s="179">
        <f>VLOOKUP(A100,'OI(Value)'!A100:O324,11,0)</f>
        <v>392</v>
      </c>
      <c r="S100" s="179">
        <f>VLOOKUP(A100,'OI(Value)'!A100:O324,11,0)</f>
        <v>392</v>
      </c>
    </row>
    <row r="101" spans="1:19" x14ac:dyDescent="0.25">
      <c r="A101" s="105" t="str">
        <f>'Data Vlaue (Cr)'!C96</f>
        <v>INDIANB</v>
      </c>
      <c r="B101" s="143">
        <f>VLOOKUP($A101,'Data shares'!$C:$FA,118)</f>
        <v>0.5</v>
      </c>
      <c r="C101" s="143">
        <f>VLOOKUP($A101,'Data shares'!$C:$FA,119)</f>
        <v>0.53</v>
      </c>
      <c r="D101" s="143">
        <f>VLOOKUP($A101,'Data shares'!$C:$FA,121)*100</f>
        <v>-5.66</v>
      </c>
      <c r="E101" s="143">
        <f>VLOOKUP($A101,'Data shares'!$C:$FA,124)</f>
        <v>0.33</v>
      </c>
      <c r="F101" s="143">
        <f>VLOOKUP($A101,'Data shares'!$C:$FA,125)</f>
        <v>0.35</v>
      </c>
      <c r="G101" s="143">
        <f>VLOOKUP($A101,'Data shares'!$C:$FA,127)*100</f>
        <v>-5.71</v>
      </c>
      <c r="H101" s="103">
        <f>VLOOKUP($A101,'OI(Volume)'!$A$7:$O$445,8)</f>
        <v>7230000</v>
      </c>
      <c r="I101" s="103">
        <f>VLOOKUP($A101,'OI(Volume)'!$A$7:$O$445,9)</f>
        <v>872000</v>
      </c>
      <c r="J101" s="103">
        <f>VLOOKUP($A101,'OI(Volume)'!$A$7:$O$445,11)</f>
        <v>3617000</v>
      </c>
      <c r="K101" s="103">
        <f>VLOOKUP($A101,'OI(Volume)'!$A$7:$O$445,12)</f>
        <v>224000</v>
      </c>
      <c r="L101" s="103">
        <f>VLOOKUP($A101,'OI(Value)'!$A$7:$O$329,8,0)</f>
        <v>673</v>
      </c>
      <c r="M101" s="103">
        <f>VLOOKUP($A101,'OI(Value)'!$A$7:$O$329,9,0)</f>
        <v>81</v>
      </c>
      <c r="N101" s="103">
        <f>VLOOKUP($A101,'OI(Value)'!$A$7:$O$329,11,0)</f>
        <v>337</v>
      </c>
      <c r="O101" s="103">
        <f>VLOOKUP($A101,'OI(Value)'!$A$7:$O$329,12,0)</f>
        <v>21</v>
      </c>
      <c r="P101" s="179">
        <f>VLOOKUP(A101,'OI(Value)'!A101:O325,8,0)</f>
        <v>673</v>
      </c>
      <c r="Q101" s="179">
        <f>VLOOKUP(A101,'OI(Value)'!A101:O325,9,0)</f>
        <v>81</v>
      </c>
      <c r="R101" s="179">
        <f>VLOOKUP(A101,'OI(Value)'!A101:O325,11,0)</f>
        <v>337</v>
      </c>
      <c r="S101" s="179">
        <f>VLOOKUP(A101,'OI(Value)'!A101:O325,11,0)</f>
        <v>337</v>
      </c>
    </row>
    <row r="102" spans="1:19" x14ac:dyDescent="0.25">
      <c r="A102" s="105" t="str">
        <f>'Data Vlaue (Cr)'!C97</f>
        <v>INDIAVIX</v>
      </c>
      <c r="B102" s="143">
        <f>VLOOKUP($A102,'Data shares'!$C:$FA,118)</f>
        <v>0</v>
      </c>
      <c r="C102" s="143">
        <f>VLOOKUP($A102,'Data shares'!$C:$FA,119)</f>
        <v>0</v>
      </c>
      <c r="D102" s="143">
        <f>VLOOKUP($A102,'Data shares'!$C:$FA,121)*100</f>
        <v>0</v>
      </c>
      <c r="E102" s="143">
        <f>VLOOKUP($A102,'Data shares'!$C:$FA,124)</f>
        <v>0</v>
      </c>
      <c r="F102" s="143">
        <f>VLOOKUP($A102,'Data shares'!$C:$FA,125)</f>
        <v>0</v>
      </c>
      <c r="G102" s="143">
        <f>VLOOKUP($A102,'Data shares'!$C:$FA,127)*100</f>
        <v>0</v>
      </c>
      <c r="H102" s="103">
        <f>VLOOKUP($A102,'OI(Volume)'!$A$7:$O$445,8)</f>
        <v>0</v>
      </c>
      <c r="I102" s="103">
        <f>VLOOKUP($A102,'OI(Volume)'!$A$7:$O$445,9)</f>
        <v>0</v>
      </c>
      <c r="J102" s="103">
        <f>VLOOKUP($A102,'OI(Volume)'!$A$7:$O$445,11)</f>
        <v>0</v>
      </c>
      <c r="K102" s="103">
        <f>VLOOKUP($A102,'OI(Volume)'!$A$7:$O$445,12)</f>
        <v>0</v>
      </c>
      <c r="L102" s="103">
        <f>VLOOKUP($A102,'OI(Value)'!$A$7:$O$329,8,0)</f>
        <v>0</v>
      </c>
      <c r="M102" s="103">
        <f>VLOOKUP($A102,'OI(Value)'!$A$7:$O$329,9,0)</f>
        <v>0</v>
      </c>
      <c r="N102" s="103">
        <f>VLOOKUP($A102,'OI(Value)'!$A$7:$O$329,11,0)</f>
        <v>0</v>
      </c>
      <c r="O102" s="103">
        <f>VLOOKUP($A102,'OI(Value)'!$A$7:$O$329,12,0)</f>
        <v>0</v>
      </c>
      <c r="P102" s="179">
        <f>VLOOKUP(A102,'OI(Value)'!A102:O326,8,0)</f>
        <v>0</v>
      </c>
      <c r="Q102" s="179">
        <f>VLOOKUP(A102,'OI(Value)'!A102:O326,9,0)</f>
        <v>0</v>
      </c>
      <c r="R102" s="179">
        <f>VLOOKUP(A102,'OI(Value)'!A102:O326,11,0)</f>
        <v>0</v>
      </c>
      <c r="S102" s="179">
        <f>VLOOKUP(A102,'OI(Value)'!A102:O326,11,0)</f>
        <v>0</v>
      </c>
    </row>
    <row r="103" spans="1:19" x14ac:dyDescent="0.25">
      <c r="A103" s="105" t="str">
        <f>'Data Vlaue (Cr)'!C98</f>
        <v>INDIGO</v>
      </c>
      <c r="B103" s="143">
        <f>VLOOKUP($A103,'Data shares'!$C:$FA,118)</f>
        <v>0.74</v>
      </c>
      <c r="C103" s="143">
        <f>VLOOKUP($A103,'Data shares'!$C:$FA,119)</f>
        <v>0.69</v>
      </c>
      <c r="D103" s="143">
        <f>VLOOKUP($A103,'Data shares'!$C:$FA,121)*100</f>
        <v>7.2499999999999991</v>
      </c>
      <c r="E103" s="143">
        <f>VLOOKUP($A103,'Data shares'!$C:$FA,124)</f>
        <v>0.96</v>
      </c>
      <c r="F103" s="143">
        <f>VLOOKUP($A103,'Data shares'!$C:$FA,125)</f>
        <v>0.89</v>
      </c>
      <c r="G103" s="143">
        <f>VLOOKUP($A103,'Data shares'!$C:$FA,127)*100</f>
        <v>7.870000000000001</v>
      </c>
      <c r="H103" s="103">
        <f>VLOOKUP($A103,'OI(Volume)'!$A$7:$O$445,8)</f>
        <v>6291300</v>
      </c>
      <c r="I103" s="103">
        <f>VLOOKUP($A103,'OI(Volume)'!$A$7:$O$445,9)</f>
        <v>-10800</v>
      </c>
      <c r="J103" s="103">
        <f>VLOOKUP($A103,'OI(Volume)'!$A$7:$O$445,11)</f>
        <v>4628250</v>
      </c>
      <c r="K103" s="103">
        <f>VLOOKUP($A103,'OI(Volume)'!$A$7:$O$445,12)</f>
        <v>270450</v>
      </c>
      <c r="L103" s="103">
        <f>VLOOKUP($A103,'OI(Value)'!$A$7:$O$329,8,0)</f>
        <v>2939</v>
      </c>
      <c r="M103" s="103">
        <f>VLOOKUP($A103,'OI(Value)'!$A$7:$O$329,9,0)</f>
        <v>-5</v>
      </c>
      <c r="N103" s="103">
        <f>VLOOKUP($A103,'OI(Value)'!$A$7:$O$329,11,0)</f>
        <v>2162</v>
      </c>
      <c r="O103" s="103">
        <f>VLOOKUP($A103,'OI(Value)'!$A$7:$O$329,12,0)</f>
        <v>126</v>
      </c>
      <c r="P103" s="179">
        <f>VLOOKUP(A103,'OI(Value)'!A103:O327,8,0)</f>
        <v>2939</v>
      </c>
      <c r="Q103" s="179">
        <f>VLOOKUP(A103,'OI(Value)'!A103:O327,9,0)</f>
        <v>-5</v>
      </c>
      <c r="R103" s="179">
        <f>VLOOKUP(A103,'OI(Value)'!A103:O327,11,0)</f>
        <v>2162</v>
      </c>
      <c r="S103" s="179">
        <f>VLOOKUP(A103,'OI(Value)'!A103:O327,11,0)</f>
        <v>2162</v>
      </c>
    </row>
    <row r="104" spans="1:19" x14ac:dyDescent="0.25">
      <c r="A104" s="105" t="str">
        <f>'Data Vlaue (Cr)'!C99</f>
        <v>INDUSINDBK</v>
      </c>
      <c r="B104" s="143">
        <f>VLOOKUP($A104,'Data shares'!$C:$FA,118)</f>
        <v>0.77</v>
      </c>
      <c r="C104" s="143">
        <f>VLOOKUP($A104,'Data shares'!$C:$FA,119)</f>
        <v>0.77</v>
      </c>
      <c r="D104" s="143">
        <f>VLOOKUP($A104,'Data shares'!$C:$FA,121)*100</f>
        <v>0</v>
      </c>
      <c r="E104" s="143">
        <f>VLOOKUP($A104,'Data shares'!$C:$FA,124)</f>
        <v>0.75</v>
      </c>
      <c r="F104" s="143">
        <f>VLOOKUP($A104,'Data shares'!$C:$FA,125)</f>
        <v>0.57999999999999996</v>
      </c>
      <c r="G104" s="143">
        <f>VLOOKUP($A104,'Data shares'!$C:$FA,127)*100</f>
        <v>29.310000000000002</v>
      </c>
      <c r="H104" s="103">
        <f>VLOOKUP($A104,'OI(Volume)'!$A$7:$O$445,8)</f>
        <v>7840700</v>
      </c>
      <c r="I104" s="103">
        <f>VLOOKUP($A104,'OI(Volume)'!$A$7:$O$445,9)</f>
        <v>-155400</v>
      </c>
      <c r="J104" s="103">
        <f>VLOOKUP($A104,'OI(Volume)'!$A$7:$O$445,11)</f>
        <v>6057800</v>
      </c>
      <c r="K104" s="103">
        <f>VLOOKUP($A104,'OI(Volume)'!$A$7:$O$445,12)</f>
        <v>-66500</v>
      </c>
      <c r="L104" s="103">
        <f>VLOOKUP($A104,'OI(Value)'!$A$7:$O$329,8,0)</f>
        <v>667</v>
      </c>
      <c r="M104" s="103">
        <f>VLOOKUP($A104,'OI(Value)'!$A$7:$O$329,9,0)</f>
        <v>-13</v>
      </c>
      <c r="N104" s="103">
        <f>VLOOKUP($A104,'OI(Value)'!$A$7:$O$329,11,0)</f>
        <v>515</v>
      </c>
      <c r="O104" s="103">
        <f>VLOOKUP($A104,'OI(Value)'!$A$7:$O$329,12,0)</f>
        <v>-6</v>
      </c>
      <c r="P104" s="179">
        <f>VLOOKUP(A104,'OI(Value)'!A104:O328,8,0)</f>
        <v>667</v>
      </c>
      <c r="Q104" s="179">
        <f>VLOOKUP(A104,'OI(Value)'!A104:O328,9,0)</f>
        <v>-13</v>
      </c>
      <c r="R104" s="179">
        <f>VLOOKUP(A104,'OI(Value)'!A104:O328,11,0)</f>
        <v>515</v>
      </c>
      <c r="S104" s="179">
        <f>VLOOKUP(A104,'OI(Value)'!A104:O328,11,0)</f>
        <v>515</v>
      </c>
    </row>
    <row r="105" spans="1:19" x14ac:dyDescent="0.25">
      <c r="A105" s="105" t="str">
        <f>'Data Vlaue (Cr)'!C100</f>
        <v>INDUSTOWER</v>
      </c>
      <c r="B105" s="143">
        <f>VLOOKUP($A105,'Data shares'!$C:$FA,118)</f>
        <v>0.53</v>
      </c>
      <c r="C105" s="143">
        <f>VLOOKUP($A105,'Data shares'!$C:$FA,119)</f>
        <v>0.57999999999999996</v>
      </c>
      <c r="D105" s="143">
        <f>VLOOKUP($A105,'Data shares'!$C:$FA,121)*100</f>
        <v>-8.6199999999999992</v>
      </c>
      <c r="E105" s="143">
        <f>VLOOKUP($A105,'Data shares'!$C:$FA,124)</f>
        <v>0.39</v>
      </c>
      <c r="F105" s="143">
        <f>VLOOKUP($A105,'Data shares'!$C:$FA,125)</f>
        <v>0.52</v>
      </c>
      <c r="G105" s="143">
        <f>VLOOKUP($A105,'Data shares'!$C:$FA,127)*100</f>
        <v>-25</v>
      </c>
      <c r="H105" s="103">
        <f>VLOOKUP($A105,'OI(Volume)'!$A$7:$O$445,8)</f>
        <v>26644100</v>
      </c>
      <c r="I105" s="103">
        <f>VLOOKUP($A105,'OI(Volume)'!$A$7:$O$445,9)</f>
        <v>1275000</v>
      </c>
      <c r="J105" s="103">
        <f>VLOOKUP($A105,'OI(Volume)'!$A$7:$O$445,11)</f>
        <v>14196700</v>
      </c>
      <c r="K105" s="103">
        <f>VLOOKUP($A105,'OI(Volume)'!$A$7:$O$445,12)</f>
        <v>-506600</v>
      </c>
      <c r="L105" s="103">
        <f>VLOOKUP($A105,'OI(Value)'!$A$7:$O$329,8,0)</f>
        <v>1084</v>
      </c>
      <c r="M105" s="103">
        <f>VLOOKUP($A105,'OI(Value)'!$A$7:$O$329,9,0)</f>
        <v>52</v>
      </c>
      <c r="N105" s="103">
        <f>VLOOKUP($A105,'OI(Value)'!$A$7:$O$329,11,0)</f>
        <v>578</v>
      </c>
      <c r="O105" s="103">
        <f>VLOOKUP($A105,'OI(Value)'!$A$7:$O$329,12,0)</f>
        <v>-21</v>
      </c>
      <c r="P105" s="179">
        <f>VLOOKUP(A105,'OI(Value)'!A105:O329,8,0)</f>
        <v>1084</v>
      </c>
      <c r="Q105" s="179">
        <f>VLOOKUP(A105,'OI(Value)'!A105:O329,9,0)</f>
        <v>52</v>
      </c>
      <c r="R105" s="179">
        <f>VLOOKUP(A105,'OI(Value)'!A105:O329,11,0)</f>
        <v>578</v>
      </c>
      <c r="S105" s="179">
        <f>VLOOKUP(A105,'OI(Value)'!A105:O329,11,0)</f>
        <v>578</v>
      </c>
    </row>
    <row r="106" spans="1:19" x14ac:dyDescent="0.25">
      <c r="A106" s="105" t="str">
        <f>'Data Vlaue (Cr)'!C101</f>
        <v>INFY</v>
      </c>
      <c r="B106" s="143">
        <f>VLOOKUP($A106,'Data shares'!$C:$FA,118)</f>
        <v>0.71</v>
      </c>
      <c r="C106" s="143">
        <f>VLOOKUP($A106,'Data shares'!$C:$FA,119)</f>
        <v>0.71</v>
      </c>
      <c r="D106" s="143">
        <f>VLOOKUP($A106,'Data shares'!$C:$FA,121)*100</f>
        <v>0</v>
      </c>
      <c r="E106" s="143">
        <f>VLOOKUP($A106,'Data shares'!$C:$FA,124)</f>
        <v>0.57999999999999996</v>
      </c>
      <c r="F106" s="143">
        <f>VLOOKUP($A106,'Data shares'!$C:$FA,125)</f>
        <v>0.73</v>
      </c>
      <c r="G106" s="143">
        <f>VLOOKUP($A106,'Data shares'!$C:$FA,127)*100</f>
        <v>-20.549999999999997</v>
      </c>
      <c r="H106" s="103">
        <f>VLOOKUP($A106,'OI(Volume)'!$A$7:$O$445,8)</f>
        <v>28860400</v>
      </c>
      <c r="I106" s="103">
        <f>VLOOKUP($A106,'OI(Volume)'!$A$7:$O$445,9)</f>
        <v>394000</v>
      </c>
      <c r="J106" s="103">
        <f>VLOOKUP($A106,'OI(Volume)'!$A$7:$O$445,11)</f>
        <v>20484000</v>
      </c>
      <c r="K106" s="103">
        <f>VLOOKUP($A106,'OI(Volume)'!$A$7:$O$445,12)</f>
        <v>189200</v>
      </c>
      <c r="L106" s="103">
        <f>VLOOKUP($A106,'OI(Value)'!$A$7:$O$329,8,0)</f>
        <v>3779</v>
      </c>
      <c r="M106" s="103">
        <f>VLOOKUP($A106,'OI(Value)'!$A$7:$O$329,9,0)</f>
        <v>52</v>
      </c>
      <c r="N106" s="103">
        <f>VLOOKUP($A106,'OI(Value)'!$A$7:$O$329,11,0)</f>
        <v>2682</v>
      </c>
      <c r="O106" s="103">
        <f>VLOOKUP($A106,'OI(Value)'!$A$7:$O$329,12,0)</f>
        <v>25</v>
      </c>
      <c r="P106" s="179">
        <f>VLOOKUP(A106,'OI(Value)'!A106:O330,8,0)</f>
        <v>3779</v>
      </c>
      <c r="Q106" s="179">
        <f>VLOOKUP(A106,'OI(Value)'!A106:O330,9,0)</f>
        <v>52</v>
      </c>
      <c r="R106" s="179">
        <f>VLOOKUP(A106,'OI(Value)'!A106:O330,11,0)</f>
        <v>2682</v>
      </c>
      <c r="S106" s="179">
        <f>VLOOKUP(A106,'OI(Value)'!A106:O330,11,0)</f>
        <v>2682</v>
      </c>
    </row>
    <row r="107" spans="1:19" x14ac:dyDescent="0.25">
      <c r="A107" s="105" t="str">
        <f>'Data Vlaue (Cr)'!C102</f>
        <v>INOXWIND</v>
      </c>
      <c r="B107" s="143">
        <f>VLOOKUP($A107,'Data shares'!$C:$FA,118)</f>
        <v>0.82</v>
      </c>
      <c r="C107" s="143">
        <f>VLOOKUP($A107,'Data shares'!$C:$FA,119)</f>
        <v>0.82</v>
      </c>
      <c r="D107" s="143">
        <f>VLOOKUP($A107,'Data shares'!$C:$FA,121)*100</f>
        <v>0</v>
      </c>
      <c r="E107" s="143">
        <f>VLOOKUP($A107,'Data shares'!$C:$FA,124)</f>
        <v>0.32</v>
      </c>
      <c r="F107" s="143">
        <f>VLOOKUP($A107,'Data shares'!$C:$FA,125)</f>
        <v>0.35</v>
      </c>
      <c r="G107" s="143">
        <f>VLOOKUP($A107,'Data shares'!$C:$FA,127)*100</f>
        <v>-8.57</v>
      </c>
      <c r="H107" s="103">
        <f>VLOOKUP($A107,'OI(Volume)'!$A$7:$O$445,8)</f>
        <v>28381925</v>
      </c>
      <c r="I107" s="103">
        <f>VLOOKUP($A107,'OI(Volume)'!$A$7:$O$445,9)</f>
        <v>403975</v>
      </c>
      <c r="J107" s="103">
        <f>VLOOKUP($A107,'OI(Volume)'!$A$7:$O$445,11)</f>
        <v>23194600</v>
      </c>
      <c r="K107" s="103">
        <f>VLOOKUP($A107,'OI(Volume)'!$A$7:$O$445,12)</f>
        <v>121550</v>
      </c>
      <c r="L107" s="103">
        <f>VLOOKUP($A107,'OI(Value)'!$A$7:$O$329,8,0)</f>
        <v>276</v>
      </c>
      <c r="M107" s="103">
        <f>VLOOKUP($A107,'OI(Value)'!$A$7:$O$329,9,0)</f>
        <v>4</v>
      </c>
      <c r="N107" s="103">
        <f>VLOOKUP($A107,'OI(Value)'!$A$7:$O$329,11,0)</f>
        <v>225</v>
      </c>
      <c r="O107" s="103">
        <f>VLOOKUP($A107,'OI(Value)'!$A$7:$O$329,12,0)</f>
        <v>1</v>
      </c>
      <c r="P107" s="179">
        <f>VLOOKUP(A107,'OI(Value)'!A107:O331,8,0)</f>
        <v>276</v>
      </c>
      <c r="Q107" s="179">
        <f>VLOOKUP(A107,'OI(Value)'!A107:O331,9,0)</f>
        <v>4</v>
      </c>
      <c r="R107" s="179">
        <f>VLOOKUP(A107,'OI(Value)'!A107:O331,11,0)</f>
        <v>225</v>
      </c>
      <c r="S107" s="179">
        <f>VLOOKUP(A107,'OI(Value)'!A107:O331,11,0)</f>
        <v>225</v>
      </c>
    </row>
    <row r="108" spans="1:19" x14ac:dyDescent="0.25">
      <c r="A108" s="105" t="str">
        <f>'Data Vlaue (Cr)'!C103</f>
        <v>IOC</v>
      </c>
      <c r="B108" s="143">
        <f>VLOOKUP($A108,'Data shares'!$C:$FA,118)</f>
        <v>0.71</v>
      </c>
      <c r="C108" s="143">
        <f>VLOOKUP($A108,'Data shares'!$C:$FA,119)</f>
        <v>0.73</v>
      </c>
      <c r="D108" s="143">
        <f>VLOOKUP($A108,'Data shares'!$C:$FA,121)*100</f>
        <v>-2.74</v>
      </c>
      <c r="E108" s="143">
        <f>VLOOKUP($A108,'Data shares'!$C:$FA,124)</f>
        <v>0.66</v>
      </c>
      <c r="F108" s="143">
        <f>VLOOKUP($A108,'Data shares'!$C:$FA,125)</f>
        <v>0.6</v>
      </c>
      <c r="G108" s="143">
        <f>VLOOKUP($A108,'Data shares'!$C:$FA,127)*100</f>
        <v>10</v>
      </c>
      <c r="H108" s="103">
        <f>VLOOKUP($A108,'OI(Volume)'!$A$7:$O$445,8)</f>
        <v>69917250</v>
      </c>
      <c r="I108" s="103">
        <f>VLOOKUP($A108,'OI(Volume)'!$A$7:$O$445,9)</f>
        <v>5265000</v>
      </c>
      <c r="J108" s="103">
        <f>VLOOKUP($A108,'OI(Volume)'!$A$7:$O$445,11)</f>
        <v>49798125</v>
      </c>
      <c r="K108" s="103">
        <f>VLOOKUP($A108,'OI(Volume)'!$A$7:$O$445,12)</f>
        <v>2471625</v>
      </c>
      <c r="L108" s="103">
        <f>VLOOKUP($A108,'OI(Value)'!$A$7:$O$329,8,0)</f>
        <v>1026</v>
      </c>
      <c r="M108" s="103">
        <f>VLOOKUP($A108,'OI(Value)'!$A$7:$O$329,9,0)</f>
        <v>77</v>
      </c>
      <c r="N108" s="103">
        <f>VLOOKUP($A108,'OI(Value)'!$A$7:$O$329,11,0)</f>
        <v>730</v>
      </c>
      <c r="O108" s="103">
        <f>VLOOKUP($A108,'OI(Value)'!$A$7:$O$329,12,0)</f>
        <v>36</v>
      </c>
      <c r="P108" s="179">
        <f>VLOOKUP(A108,'OI(Value)'!A108:O332,8,0)</f>
        <v>1026</v>
      </c>
      <c r="Q108" s="179">
        <f>VLOOKUP(A108,'OI(Value)'!A108:O332,9,0)</f>
        <v>77</v>
      </c>
      <c r="R108" s="179">
        <f>VLOOKUP(A108,'OI(Value)'!A108:O332,11,0)</f>
        <v>730</v>
      </c>
      <c r="S108" s="179">
        <f>VLOOKUP(A108,'OI(Value)'!A108:O332,11,0)</f>
        <v>730</v>
      </c>
    </row>
    <row r="109" spans="1:19" x14ac:dyDescent="0.25">
      <c r="A109" s="105" t="str">
        <f>'Data Vlaue (Cr)'!C104</f>
        <v>IREDA</v>
      </c>
      <c r="B109" s="143">
        <f>VLOOKUP($A109,'Data shares'!$C:$FA,118)</f>
        <v>0.78</v>
      </c>
      <c r="C109" s="143">
        <f>VLOOKUP($A109,'Data shares'!$C:$FA,119)</f>
        <v>0.79</v>
      </c>
      <c r="D109" s="143">
        <f>VLOOKUP($A109,'Data shares'!$C:$FA,121)*100</f>
        <v>-1.27</v>
      </c>
      <c r="E109" s="143">
        <f>VLOOKUP($A109,'Data shares'!$C:$FA,124)</f>
        <v>0.37</v>
      </c>
      <c r="F109" s="143">
        <f>VLOOKUP($A109,'Data shares'!$C:$FA,125)</f>
        <v>0.32</v>
      </c>
      <c r="G109" s="143">
        <f>VLOOKUP($A109,'Data shares'!$C:$FA,127)*100</f>
        <v>15.620000000000001</v>
      </c>
      <c r="H109" s="103">
        <f>VLOOKUP($A109,'OI(Volume)'!$A$7:$O$445,8)</f>
        <v>25240200</v>
      </c>
      <c r="I109" s="103">
        <f>VLOOKUP($A109,'OI(Volume)'!$A$7:$O$445,9)</f>
        <v>279450</v>
      </c>
      <c r="J109" s="103">
        <f>VLOOKUP($A109,'OI(Volume)'!$A$7:$O$445,11)</f>
        <v>19616700</v>
      </c>
      <c r="K109" s="103">
        <f>VLOOKUP($A109,'OI(Volume)'!$A$7:$O$445,12)</f>
        <v>-89700</v>
      </c>
      <c r="L109" s="103">
        <f>VLOOKUP($A109,'OI(Value)'!$A$7:$O$329,8,0)</f>
        <v>329</v>
      </c>
      <c r="M109" s="103">
        <f>VLOOKUP($A109,'OI(Value)'!$A$7:$O$329,9,0)</f>
        <v>4</v>
      </c>
      <c r="N109" s="103">
        <f>VLOOKUP($A109,'OI(Value)'!$A$7:$O$329,11,0)</f>
        <v>256</v>
      </c>
      <c r="O109" s="103">
        <f>VLOOKUP($A109,'OI(Value)'!$A$7:$O$329,12,0)</f>
        <v>-1</v>
      </c>
      <c r="P109" s="179">
        <f>VLOOKUP(A109,'OI(Value)'!A109:O333,8,0)</f>
        <v>329</v>
      </c>
      <c r="Q109" s="179">
        <f>VLOOKUP(A109,'OI(Value)'!A109:O333,9,0)</f>
        <v>4</v>
      </c>
      <c r="R109" s="179">
        <f>VLOOKUP(A109,'OI(Value)'!A109:O333,11,0)</f>
        <v>256</v>
      </c>
      <c r="S109" s="179">
        <f>VLOOKUP(A109,'OI(Value)'!A109:O333,11,0)</f>
        <v>256</v>
      </c>
    </row>
    <row r="110" spans="1:19" x14ac:dyDescent="0.25">
      <c r="A110" s="105" t="str">
        <f>'Data Vlaue (Cr)'!C105</f>
        <v>IRFC</v>
      </c>
      <c r="B110" s="143">
        <f>VLOOKUP($A110,'Data shares'!$C:$FA,118)</f>
        <v>0.7</v>
      </c>
      <c r="C110" s="143">
        <f>VLOOKUP($A110,'Data shares'!$C:$FA,119)</f>
        <v>0.72</v>
      </c>
      <c r="D110" s="143">
        <f>VLOOKUP($A110,'Data shares'!$C:$FA,121)*100</f>
        <v>-2.78</v>
      </c>
      <c r="E110" s="143">
        <f>VLOOKUP($A110,'Data shares'!$C:$FA,124)</f>
        <v>0.44</v>
      </c>
      <c r="F110" s="143">
        <f>VLOOKUP($A110,'Data shares'!$C:$FA,125)</f>
        <v>0.39</v>
      </c>
      <c r="G110" s="143">
        <f>VLOOKUP($A110,'Data shares'!$C:$FA,127)*100</f>
        <v>12.82</v>
      </c>
      <c r="H110" s="103">
        <f>VLOOKUP($A110,'OI(Volume)'!$A$7:$O$445,8)</f>
        <v>42300250</v>
      </c>
      <c r="I110" s="103">
        <f>VLOOKUP($A110,'OI(Volume)'!$A$7:$O$445,9)</f>
        <v>-34000</v>
      </c>
      <c r="J110" s="103">
        <f>VLOOKUP($A110,'OI(Volume)'!$A$7:$O$445,11)</f>
        <v>29427000</v>
      </c>
      <c r="K110" s="103">
        <f>VLOOKUP($A110,'OI(Volume)'!$A$7:$O$445,12)</f>
        <v>-858500</v>
      </c>
      <c r="L110" s="103">
        <f>VLOOKUP($A110,'OI(Value)'!$A$7:$O$329,8,0)</f>
        <v>436</v>
      </c>
      <c r="M110" s="103">
        <f>VLOOKUP($A110,'OI(Value)'!$A$7:$O$329,9,0)</f>
        <v>0</v>
      </c>
      <c r="N110" s="103">
        <f>VLOOKUP($A110,'OI(Value)'!$A$7:$O$329,11,0)</f>
        <v>303</v>
      </c>
      <c r="O110" s="103">
        <f>VLOOKUP($A110,'OI(Value)'!$A$7:$O$329,12,0)</f>
        <v>-9</v>
      </c>
      <c r="P110" s="179">
        <f>VLOOKUP(A110,'OI(Value)'!A110:O334,8,0)</f>
        <v>436</v>
      </c>
      <c r="Q110" s="179">
        <f>VLOOKUP(A110,'OI(Value)'!A110:O334,9,0)</f>
        <v>0</v>
      </c>
      <c r="R110" s="179">
        <f>VLOOKUP(A110,'OI(Value)'!A110:O334,11,0)</f>
        <v>303</v>
      </c>
      <c r="S110" s="179">
        <f>VLOOKUP(A110,'OI(Value)'!A110:O334,11,0)</f>
        <v>303</v>
      </c>
    </row>
    <row r="111" spans="1:19" x14ac:dyDescent="0.25">
      <c r="A111" s="105" t="str">
        <f>'Data Vlaue (Cr)'!C106</f>
        <v>ITC</v>
      </c>
      <c r="B111" s="143">
        <f>VLOOKUP($A111,'Data shares'!$C:$FA,118)</f>
        <v>0.48</v>
      </c>
      <c r="C111" s="143">
        <f>VLOOKUP($A111,'Data shares'!$C:$FA,119)</f>
        <v>0.5</v>
      </c>
      <c r="D111" s="143">
        <f>VLOOKUP($A111,'Data shares'!$C:$FA,121)*100</f>
        <v>-4</v>
      </c>
      <c r="E111" s="143">
        <f>VLOOKUP($A111,'Data shares'!$C:$FA,124)</f>
        <v>0.34</v>
      </c>
      <c r="F111" s="143">
        <f>VLOOKUP($A111,'Data shares'!$C:$FA,125)</f>
        <v>0.43</v>
      </c>
      <c r="G111" s="143">
        <f>VLOOKUP($A111,'Data shares'!$C:$FA,127)*100</f>
        <v>-20.93</v>
      </c>
      <c r="H111" s="103">
        <f>VLOOKUP($A111,'OI(Volume)'!$A$7:$O$445,8)</f>
        <v>116665600</v>
      </c>
      <c r="I111" s="103">
        <f>VLOOKUP($A111,'OI(Volume)'!$A$7:$O$445,9)</f>
        <v>2110400</v>
      </c>
      <c r="J111" s="103">
        <f>VLOOKUP($A111,'OI(Volume)'!$A$7:$O$445,11)</f>
        <v>56326400</v>
      </c>
      <c r="K111" s="103">
        <f>VLOOKUP($A111,'OI(Volume)'!$A$7:$O$445,12)</f>
        <v>-694400</v>
      </c>
      <c r="L111" s="103">
        <f>VLOOKUP($A111,'OI(Value)'!$A$7:$O$329,8,0)</f>
        <v>3561</v>
      </c>
      <c r="M111" s="103">
        <f>VLOOKUP($A111,'OI(Value)'!$A$7:$O$329,9,0)</f>
        <v>64</v>
      </c>
      <c r="N111" s="103">
        <f>VLOOKUP($A111,'OI(Value)'!$A$7:$O$329,11,0)</f>
        <v>1719</v>
      </c>
      <c r="O111" s="103">
        <f>VLOOKUP($A111,'OI(Value)'!$A$7:$O$329,12,0)</f>
        <v>-21</v>
      </c>
      <c r="P111" s="179">
        <f>VLOOKUP(A111,'OI(Value)'!A111:O335,8,0)</f>
        <v>3561</v>
      </c>
      <c r="Q111" s="179">
        <f>VLOOKUP(A111,'OI(Value)'!A111:O335,9,0)</f>
        <v>64</v>
      </c>
      <c r="R111" s="179">
        <f>VLOOKUP(A111,'OI(Value)'!A111:O335,11,0)</f>
        <v>1719</v>
      </c>
      <c r="S111" s="179">
        <f>VLOOKUP(A111,'OI(Value)'!A111:O335,11,0)</f>
        <v>1719</v>
      </c>
    </row>
    <row r="112" spans="1:19" x14ac:dyDescent="0.25">
      <c r="A112" s="105" t="str">
        <f>'Data Vlaue (Cr)'!C107</f>
        <v>JINDALSTEL</v>
      </c>
      <c r="B112" s="143">
        <f>VLOOKUP($A112,'Data shares'!$C:$FA,118)</f>
        <v>1.17</v>
      </c>
      <c r="C112" s="143">
        <f>VLOOKUP($A112,'Data shares'!$C:$FA,119)</f>
        <v>1.0900000000000001</v>
      </c>
      <c r="D112" s="143">
        <f>VLOOKUP($A112,'Data shares'!$C:$FA,121)*100</f>
        <v>7.3400000000000007</v>
      </c>
      <c r="E112" s="143">
        <f>VLOOKUP($A112,'Data shares'!$C:$FA,124)</f>
        <v>0.52</v>
      </c>
      <c r="F112" s="143">
        <f>VLOOKUP($A112,'Data shares'!$C:$FA,125)</f>
        <v>0.61</v>
      </c>
      <c r="G112" s="143">
        <f>VLOOKUP($A112,'Data shares'!$C:$FA,127)*100</f>
        <v>-14.75</v>
      </c>
      <c r="H112" s="103">
        <f>VLOOKUP($A112,'OI(Volume)'!$A$7:$O$445,8)</f>
        <v>3879375</v>
      </c>
      <c r="I112" s="103">
        <f>VLOOKUP($A112,'OI(Volume)'!$A$7:$O$445,9)</f>
        <v>91250</v>
      </c>
      <c r="J112" s="103">
        <f>VLOOKUP($A112,'OI(Volume)'!$A$7:$O$445,11)</f>
        <v>4523750</v>
      </c>
      <c r="K112" s="103">
        <f>VLOOKUP($A112,'OI(Volume)'!$A$7:$O$445,12)</f>
        <v>403750</v>
      </c>
      <c r="L112" s="103">
        <f>VLOOKUP($A112,'OI(Value)'!$A$7:$O$329,8,0)</f>
        <v>499</v>
      </c>
      <c r="M112" s="103">
        <f>VLOOKUP($A112,'OI(Value)'!$A$7:$O$329,9,0)</f>
        <v>12</v>
      </c>
      <c r="N112" s="103">
        <f>VLOOKUP($A112,'OI(Value)'!$A$7:$O$329,11,0)</f>
        <v>582</v>
      </c>
      <c r="O112" s="103">
        <f>VLOOKUP($A112,'OI(Value)'!$A$7:$O$329,12,0)</f>
        <v>52</v>
      </c>
      <c r="P112" s="179">
        <f>VLOOKUP(A112,'OI(Value)'!A112:O336,8,0)</f>
        <v>499</v>
      </c>
      <c r="Q112" s="179">
        <f>VLOOKUP(A112,'OI(Value)'!A112:O336,9,0)</f>
        <v>12</v>
      </c>
      <c r="R112" s="179">
        <f>VLOOKUP(A112,'OI(Value)'!A112:O336,11,0)</f>
        <v>582</v>
      </c>
      <c r="S112" s="179">
        <f>VLOOKUP(A112,'OI(Value)'!A112:O336,11,0)</f>
        <v>582</v>
      </c>
    </row>
    <row r="113" spans="1:19" x14ac:dyDescent="0.25">
      <c r="A113" s="105" t="str">
        <f>'Data Vlaue (Cr)'!C108</f>
        <v>JIOFIN</v>
      </c>
      <c r="B113" s="143">
        <f>VLOOKUP($A113,'Data shares'!$C:$FA,118)</f>
        <v>0.64</v>
      </c>
      <c r="C113" s="143">
        <f>VLOOKUP($A113,'Data shares'!$C:$FA,119)</f>
        <v>0.67</v>
      </c>
      <c r="D113" s="143">
        <f>VLOOKUP($A113,'Data shares'!$C:$FA,121)*100</f>
        <v>-4.4799999999999995</v>
      </c>
      <c r="E113" s="143">
        <f>VLOOKUP($A113,'Data shares'!$C:$FA,124)</f>
        <v>0.55000000000000004</v>
      </c>
      <c r="F113" s="143">
        <f>VLOOKUP($A113,'Data shares'!$C:$FA,125)</f>
        <v>0.34</v>
      </c>
      <c r="G113" s="143">
        <f>VLOOKUP($A113,'Data shares'!$C:$FA,127)*100</f>
        <v>61.760000000000005</v>
      </c>
      <c r="H113" s="103">
        <f>VLOOKUP($A113,'OI(Volume)'!$A$7:$O$445,8)</f>
        <v>73876950</v>
      </c>
      <c r="I113" s="103">
        <f>VLOOKUP($A113,'OI(Volume)'!$A$7:$O$445,9)</f>
        <v>4758750</v>
      </c>
      <c r="J113" s="103">
        <f>VLOOKUP($A113,'OI(Volume)'!$A$7:$O$445,11)</f>
        <v>47171550</v>
      </c>
      <c r="K113" s="103">
        <f>VLOOKUP($A113,'OI(Volume)'!$A$7:$O$445,12)</f>
        <v>695600</v>
      </c>
      <c r="L113" s="103">
        <f>VLOOKUP($A113,'OI(Value)'!$A$7:$O$329,8,0)</f>
        <v>1750</v>
      </c>
      <c r="M113" s="103">
        <f>VLOOKUP($A113,'OI(Value)'!$A$7:$O$329,9,0)</f>
        <v>113</v>
      </c>
      <c r="N113" s="103">
        <f>VLOOKUP($A113,'OI(Value)'!$A$7:$O$329,11,0)</f>
        <v>1117</v>
      </c>
      <c r="O113" s="103">
        <f>VLOOKUP($A113,'OI(Value)'!$A$7:$O$329,12,0)</f>
        <v>16</v>
      </c>
      <c r="P113" s="179">
        <f>VLOOKUP(A113,'OI(Value)'!A113:O337,8,0)</f>
        <v>1750</v>
      </c>
      <c r="Q113" s="179">
        <f>VLOOKUP(A113,'OI(Value)'!A113:O337,9,0)</f>
        <v>113</v>
      </c>
      <c r="R113" s="179">
        <f>VLOOKUP(A113,'OI(Value)'!A113:O337,11,0)</f>
        <v>1117</v>
      </c>
      <c r="S113" s="179">
        <f>VLOOKUP(A113,'OI(Value)'!A113:O337,11,0)</f>
        <v>1117</v>
      </c>
    </row>
    <row r="114" spans="1:19" x14ac:dyDescent="0.25">
      <c r="A114" s="105" t="str">
        <f>'Data Vlaue (Cr)'!C109</f>
        <v>JSWENERGY</v>
      </c>
      <c r="B114" s="143">
        <f>VLOOKUP($A114,'Data shares'!$C:$FA,118)</f>
        <v>0.65</v>
      </c>
      <c r="C114" s="143">
        <f>VLOOKUP($A114,'Data shares'!$C:$FA,119)</f>
        <v>0.69</v>
      </c>
      <c r="D114" s="143">
        <f>VLOOKUP($A114,'Data shares'!$C:$FA,121)*100</f>
        <v>-5.8000000000000007</v>
      </c>
      <c r="E114" s="143">
        <f>VLOOKUP($A114,'Data shares'!$C:$FA,124)</f>
        <v>0.31</v>
      </c>
      <c r="F114" s="143">
        <f>VLOOKUP($A114,'Data shares'!$C:$FA,125)</f>
        <v>0.53</v>
      </c>
      <c r="G114" s="143">
        <f>VLOOKUP($A114,'Data shares'!$C:$FA,127)*100</f>
        <v>-41.510000000000005</v>
      </c>
      <c r="H114" s="103">
        <f>VLOOKUP($A114,'OI(Volume)'!$A$7:$O$445,8)</f>
        <v>7257000</v>
      </c>
      <c r="I114" s="103">
        <f>VLOOKUP($A114,'OI(Volume)'!$A$7:$O$445,9)</f>
        <v>346000</v>
      </c>
      <c r="J114" s="103">
        <f>VLOOKUP($A114,'OI(Volume)'!$A$7:$O$445,11)</f>
        <v>4698000</v>
      </c>
      <c r="K114" s="103">
        <f>VLOOKUP($A114,'OI(Volume)'!$A$7:$O$445,12)</f>
        <v>-50000</v>
      </c>
      <c r="L114" s="103">
        <f>VLOOKUP($A114,'OI(Value)'!$A$7:$O$329,8,0)</f>
        <v>394</v>
      </c>
      <c r="M114" s="103">
        <f>VLOOKUP($A114,'OI(Value)'!$A$7:$O$329,9,0)</f>
        <v>19</v>
      </c>
      <c r="N114" s="103">
        <f>VLOOKUP($A114,'OI(Value)'!$A$7:$O$329,11,0)</f>
        <v>255</v>
      </c>
      <c r="O114" s="103">
        <f>VLOOKUP($A114,'OI(Value)'!$A$7:$O$329,12,0)</f>
        <v>-3</v>
      </c>
      <c r="P114" s="179">
        <f>VLOOKUP(A114,'OI(Value)'!A114:O338,8,0)</f>
        <v>394</v>
      </c>
      <c r="Q114" s="179">
        <f>VLOOKUP(A114,'OI(Value)'!A114:O338,9,0)</f>
        <v>19</v>
      </c>
      <c r="R114" s="179">
        <f>VLOOKUP(A114,'OI(Value)'!A114:O338,11,0)</f>
        <v>255</v>
      </c>
      <c r="S114" s="179">
        <f>VLOOKUP(A114,'OI(Value)'!A114:O338,11,0)</f>
        <v>255</v>
      </c>
    </row>
    <row r="115" spans="1:19" x14ac:dyDescent="0.25">
      <c r="A115" s="105" t="str">
        <f>'Data Vlaue (Cr)'!C110</f>
        <v>JSWSTEEL</v>
      </c>
      <c r="B115" s="143">
        <f>VLOOKUP($A115,'Data shares'!$C:$FA,118)</f>
        <v>1.07</v>
      </c>
      <c r="C115" s="143">
        <f>VLOOKUP($A115,'Data shares'!$C:$FA,119)</f>
        <v>0.96</v>
      </c>
      <c r="D115" s="143">
        <f>VLOOKUP($A115,'Data shares'!$C:$FA,121)*100</f>
        <v>11.459999999999999</v>
      </c>
      <c r="E115" s="143">
        <f>VLOOKUP($A115,'Data shares'!$C:$FA,124)</f>
        <v>0.45</v>
      </c>
      <c r="F115" s="143">
        <f>VLOOKUP($A115,'Data shares'!$C:$FA,125)</f>
        <v>0.5</v>
      </c>
      <c r="G115" s="143">
        <f>VLOOKUP($A115,'Data shares'!$C:$FA,127)*100</f>
        <v>-10</v>
      </c>
      <c r="H115" s="103">
        <f>VLOOKUP($A115,'OI(Volume)'!$A$7:$O$445,8)</f>
        <v>6041925</v>
      </c>
      <c r="I115" s="103">
        <f>VLOOKUP($A115,'OI(Volume)'!$A$7:$O$445,9)</f>
        <v>266625</v>
      </c>
      <c r="J115" s="103">
        <f>VLOOKUP($A115,'OI(Volume)'!$A$7:$O$445,11)</f>
        <v>6450975</v>
      </c>
      <c r="K115" s="103">
        <f>VLOOKUP($A115,'OI(Volume)'!$A$7:$O$445,12)</f>
        <v>894375</v>
      </c>
      <c r="L115" s="103">
        <f>VLOOKUP($A115,'OI(Value)'!$A$7:$O$329,8,0)</f>
        <v>769</v>
      </c>
      <c r="M115" s="103">
        <f>VLOOKUP($A115,'OI(Value)'!$A$7:$O$329,9,0)</f>
        <v>34</v>
      </c>
      <c r="N115" s="103">
        <f>VLOOKUP($A115,'OI(Value)'!$A$7:$O$329,11,0)</f>
        <v>821</v>
      </c>
      <c r="O115" s="103">
        <f>VLOOKUP($A115,'OI(Value)'!$A$7:$O$329,12,0)</f>
        <v>114</v>
      </c>
      <c r="P115" s="179">
        <f>VLOOKUP(A115,'OI(Value)'!A115:O339,8,0)</f>
        <v>769</v>
      </c>
      <c r="Q115" s="179">
        <f>VLOOKUP(A115,'OI(Value)'!A115:O339,9,0)</f>
        <v>34</v>
      </c>
      <c r="R115" s="179">
        <f>VLOOKUP(A115,'OI(Value)'!A115:O339,11,0)</f>
        <v>821</v>
      </c>
      <c r="S115" s="179">
        <f>VLOOKUP(A115,'OI(Value)'!A115:O339,11,0)</f>
        <v>821</v>
      </c>
    </row>
    <row r="116" spans="1:19" x14ac:dyDescent="0.25">
      <c r="A116" s="105" t="str">
        <f>'Data Vlaue (Cr)'!C111</f>
        <v>JUBLFOOD</v>
      </c>
      <c r="B116" s="143">
        <f>VLOOKUP($A116,'Data shares'!$C:$FA,118)</f>
        <v>0.62</v>
      </c>
      <c r="C116" s="143">
        <f>VLOOKUP($A116,'Data shares'!$C:$FA,119)</f>
        <v>0.64</v>
      </c>
      <c r="D116" s="143">
        <f>VLOOKUP($A116,'Data shares'!$C:$FA,121)*100</f>
        <v>-3.1300000000000003</v>
      </c>
      <c r="E116" s="143">
        <f>VLOOKUP($A116,'Data shares'!$C:$FA,124)</f>
        <v>0.39</v>
      </c>
      <c r="F116" s="143">
        <f>VLOOKUP($A116,'Data shares'!$C:$FA,125)</f>
        <v>0.39</v>
      </c>
      <c r="G116" s="143">
        <f>VLOOKUP($A116,'Data shares'!$C:$FA,127)*100</f>
        <v>0</v>
      </c>
      <c r="H116" s="103">
        <f>VLOOKUP($A116,'OI(Volume)'!$A$7:$O$445,8)</f>
        <v>15482500</v>
      </c>
      <c r="I116" s="103">
        <f>VLOOKUP($A116,'OI(Volume)'!$A$7:$O$445,9)</f>
        <v>335000</v>
      </c>
      <c r="J116" s="103">
        <f>VLOOKUP($A116,'OI(Volume)'!$A$7:$O$445,11)</f>
        <v>9597500</v>
      </c>
      <c r="K116" s="103">
        <f>VLOOKUP($A116,'OI(Volume)'!$A$7:$O$445,12)</f>
        <v>-153750</v>
      </c>
      <c r="L116" s="103">
        <f>VLOOKUP($A116,'OI(Value)'!$A$7:$O$329,8,0)</f>
        <v>703</v>
      </c>
      <c r="M116" s="103">
        <f>VLOOKUP($A116,'OI(Value)'!$A$7:$O$329,9,0)</f>
        <v>15</v>
      </c>
      <c r="N116" s="103">
        <f>VLOOKUP($A116,'OI(Value)'!$A$7:$O$329,11,0)</f>
        <v>436</v>
      </c>
      <c r="O116" s="103">
        <f>VLOOKUP($A116,'OI(Value)'!$A$7:$O$329,12,0)</f>
        <v>-7</v>
      </c>
      <c r="P116" s="179">
        <f>VLOOKUP(A116,'OI(Value)'!A116:O340,8,0)</f>
        <v>703</v>
      </c>
      <c r="Q116" s="179">
        <f>VLOOKUP(A116,'OI(Value)'!A116:O340,9,0)</f>
        <v>15</v>
      </c>
      <c r="R116" s="179">
        <f>VLOOKUP(A116,'OI(Value)'!A116:O340,11,0)</f>
        <v>436</v>
      </c>
      <c r="S116" s="179">
        <f>VLOOKUP(A116,'OI(Value)'!A116:O340,11,0)</f>
        <v>436</v>
      </c>
    </row>
    <row r="117" spans="1:19" x14ac:dyDescent="0.25">
      <c r="A117" s="105" t="str">
        <f>'Data Vlaue (Cr)'!C112</f>
        <v>KALYANKJIL</v>
      </c>
      <c r="B117" s="143">
        <f>VLOOKUP($A117,'Data shares'!$C:$FA,118)</f>
        <v>0.45</v>
      </c>
      <c r="C117" s="143">
        <f>VLOOKUP($A117,'Data shares'!$C:$FA,119)</f>
        <v>0.53</v>
      </c>
      <c r="D117" s="143">
        <f>VLOOKUP($A117,'Data shares'!$C:$FA,121)*100</f>
        <v>-15.09</v>
      </c>
      <c r="E117" s="143">
        <f>VLOOKUP($A117,'Data shares'!$C:$FA,124)</f>
        <v>0.46</v>
      </c>
      <c r="F117" s="143">
        <f>VLOOKUP($A117,'Data shares'!$C:$FA,125)</f>
        <v>0.73</v>
      </c>
      <c r="G117" s="143">
        <f>VLOOKUP($A117,'Data shares'!$C:$FA,127)*100</f>
        <v>-36.99</v>
      </c>
      <c r="H117" s="103">
        <f>VLOOKUP($A117,'OI(Volume)'!$A$7:$O$445,8)</f>
        <v>15834300</v>
      </c>
      <c r="I117" s="103">
        <f>VLOOKUP($A117,'OI(Volume)'!$A$7:$O$445,9)</f>
        <v>1847100</v>
      </c>
      <c r="J117" s="103">
        <f>VLOOKUP($A117,'OI(Volume)'!$A$7:$O$445,11)</f>
        <v>7195700</v>
      </c>
      <c r="K117" s="103">
        <f>VLOOKUP($A117,'OI(Volume)'!$A$7:$O$445,12)</f>
        <v>-243225</v>
      </c>
      <c r="L117" s="103">
        <f>VLOOKUP($A117,'OI(Value)'!$A$7:$O$329,8,0)</f>
        <v>661</v>
      </c>
      <c r="M117" s="103">
        <f>VLOOKUP($A117,'OI(Value)'!$A$7:$O$329,9,0)</f>
        <v>77</v>
      </c>
      <c r="N117" s="103">
        <f>VLOOKUP($A117,'OI(Value)'!$A$7:$O$329,11,0)</f>
        <v>300</v>
      </c>
      <c r="O117" s="103">
        <f>VLOOKUP($A117,'OI(Value)'!$A$7:$O$329,12,0)</f>
        <v>-10</v>
      </c>
      <c r="P117" s="179">
        <f>VLOOKUP(A117,'OI(Value)'!A117:O341,8,0)</f>
        <v>661</v>
      </c>
      <c r="Q117" s="179">
        <f>VLOOKUP(A117,'OI(Value)'!A117:O341,9,0)</f>
        <v>77</v>
      </c>
      <c r="R117" s="179">
        <f>VLOOKUP(A117,'OI(Value)'!A117:O341,11,0)</f>
        <v>300</v>
      </c>
      <c r="S117" s="179">
        <f>VLOOKUP(A117,'OI(Value)'!A117:O341,11,0)</f>
        <v>300</v>
      </c>
    </row>
    <row r="118" spans="1:19" x14ac:dyDescent="0.25">
      <c r="A118" s="105" t="str">
        <f>'Data Vlaue (Cr)'!C113</f>
        <v>KAYNES</v>
      </c>
      <c r="B118" s="143">
        <f>VLOOKUP($A118,'Data shares'!$C:$FA,118)</f>
        <v>0.83</v>
      </c>
      <c r="C118" s="143">
        <f>VLOOKUP($A118,'Data shares'!$C:$FA,119)</f>
        <v>0.8</v>
      </c>
      <c r="D118" s="143">
        <f>VLOOKUP($A118,'Data shares'!$C:$FA,121)*100</f>
        <v>3.75</v>
      </c>
      <c r="E118" s="143">
        <f>VLOOKUP($A118,'Data shares'!$C:$FA,124)</f>
        <v>0.73</v>
      </c>
      <c r="F118" s="143">
        <f>VLOOKUP($A118,'Data shares'!$C:$FA,125)</f>
        <v>0.65</v>
      </c>
      <c r="G118" s="143">
        <f>VLOOKUP($A118,'Data shares'!$C:$FA,127)*100</f>
        <v>12.31</v>
      </c>
      <c r="H118" s="103">
        <f>VLOOKUP($A118,'OI(Volume)'!$A$7:$O$445,8)</f>
        <v>1479000</v>
      </c>
      <c r="I118" s="103">
        <f>VLOOKUP($A118,'OI(Volume)'!$A$7:$O$445,9)</f>
        <v>-34300</v>
      </c>
      <c r="J118" s="103">
        <f>VLOOKUP($A118,'OI(Volume)'!$A$7:$O$445,11)</f>
        <v>1227400</v>
      </c>
      <c r="K118" s="103">
        <f>VLOOKUP($A118,'OI(Volume)'!$A$7:$O$445,12)</f>
        <v>19400</v>
      </c>
      <c r="L118" s="103">
        <f>VLOOKUP($A118,'OI(Value)'!$A$7:$O$329,8,0)</f>
        <v>622</v>
      </c>
      <c r="M118" s="103">
        <f>VLOOKUP($A118,'OI(Value)'!$A$7:$O$329,9,0)</f>
        <v>-14</v>
      </c>
      <c r="N118" s="103">
        <f>VLOOKUP($A118,'OI(Value)'!$A$7:$O$329,11,0)</f>
        <v>516</v>
      </c>
      <c r="O118" s="103">
        <f>VLOOKUP($A118,'OI(Value)'!$A$7:$O$329,12,0)</f>
        <v>8</v>
      </c>
      <c r="P118" s="179">
        <f>VLOOKUP(A118,'OI(Value)'!A118:O342,8,0)</f>
        <v>622</v>
      </c>
      <c r="Q118" s="179">
        <f>VLOOKUP(A118,'OI(Value)'!A118:O342,9,0)</f>
        <v>-14</v>
      </c>
      <c r="R118" s="179">
        <f>VLOOKUP(A118,'OI(Value)'!A118:O342,11,0)</f>
        <v>516</v>
      </c>
      <c r="S118" s="179">
        <f>VLOOKUP(A118,'OI(Value)'!A118:O342,11,0)</f>
        <v>516</v>
      </c>
    </row>
    <row r="119" spans="1:19" x14ac:dyDescent="0.25">
      <c r="A119" s="105" t="str">
        <f>'Data Vlaue (Cr)'!C114</f>
        <v>KEI</v>
      </c>
      <c r="B119" s="143">
        <f>VLOOKUP($A119,'Data shares'!$C:$FA,118)</f>
        <v>0.73</v>
      </c>
      <c r="C119" s="143">
        <f>VLOOKUP($A119,'Data shares'!$C:$FA,119)</f>
        <v>0.7</v>
      </c>
      <c r="D119" s="143">
        <f>VLOOKUP($A119,'Data shares'!$C:$FA,121)*100</f>
        <v>4.29</v>
      </c>
      <c r="E119" s="143">
        <f>VLOOKUP($A119,'Data shares'!$C:$FA,124)</f>
        <v>0.38</v>
      </c>
      <c r="F119" s="143">
        <f>VLOOKUP($A119,'Data shares'!$C:$FA,125)</f>
        <v>0.28000000000000003</v>
      </c>
      <c r="G119" s="143">
        <f>VLOOKUP($A119,'Data shares'!$C:$FA,127)*100</f>
        <v>35.709999999999994</v>
      </c>
      <c r="H119" s="103">
        <f>VLOOKUP($A119,'OI(Volume)'!$A$7:$O$445,8)</f>
        <v>674625</v>
      </c>
      <c r="I119" s="103">
        <f>VLOOKUP($A119,'OI(Volume)'!$A$7:$O$445,9)</f>
        <v>-19950</v>
      </c>
      <c r="J119" s="103">
        <f>VLOOKUP($A119,'OI(Volume)'!$A$7:$O$445,11)</f>
        <v>491225</v>
      </c>
      <c r="K119" s="103">
        <f>VLOOKUP($A119,'OI(Volume)'!$A$7:$O$445,12)</f>
        <v>7350</v>
      </c>
      <c r="L119" s="103">
        <f>VLOOKUP($A119,'OI(Value)'!$A$7:$O$329,8,0)</f>
        <v>329</v>
      </c>
      <c r="M119" s="103">
        <f>VLOOKUP($A119,'OI(Value)'!$A$7:$O$329,9,0)</f>
        <v>-10</v>
      </c>
      <c r="N119" s="103">
        <f>VLOOKUP($A119,'OI(Value)'!$A$7:$O$329,11,0)</f>
        <v>240</v>
      </c>
      <c r="O119" s="103">
        <f>VLOOKUP($A119,'OI(Value)'!$A$7:$O$329,12,0)</f>
        <v>4</v>
      </c>
      <c r="P119" s="179">
        <f>VLOOKUP(A119,'OI(Value)'!A119:O343,8,0)</f>
        <v>329</v>
      </c>
      <c r="Q119" s="179">
        <f>VLOOKUP(A119,'OI(Value)'!A119:O343,9,0)</f>
        <v>-10</v>
      </c>
      <c r="R119" s="179">
        <f>VLOOKUP(A119,'OI(Value)'!A119:O343,11,0)</f>
        <v>240</v>
      </c>
      <c r="S119" s="179">
        <f>VLOOKUP(A119,'OI(Value)'!A119:O343,11,0)</f>
        <v>240</v>
      </c>
    </row>
    <row r="120" spans="1:19" x14ac:dyDescent="0.25">
      <c r="A120" s="105" t="str">
        <f>'Data Vlaue (Cr)'!C115</f>
        <v>KFINTECH</v>
      </c>
      <c r="B120" s="143">
        <f>VLOOKUP($A120,'Data shares'!$C:$FA,118)</f>
        <v>0.56000000000000005</v>
      </c>
      <c r="C120" s="143">
        <f>VLOOKUP($A120,'Data shares'!$C:$FA,119)</f>
        <v>0.5</v>
      </c>
      <c r="D120" s="143">
        <f>VLOOKUP($A120,'Data shares'!$C:$FA,121)*100</f>
        <v>12</v>
      </c>
      <c r="E120" s="143">
        <f>VLOOKUP($A120,'Data shares'!$C:$FA,124)</f>
        <v>0.31</v>
      </c>
      <c r="F120" s="143">
        <f>VLOOKUP($A120,'Data shares'!$C:$FA,125)</f>
        <v>0.26</v>
      </c>
      <c r="G120" s="143">
        <f>VLOOKUP($A120,'Data shares'!$C:$FA,127)*100</f>
        <v>19.23</v>
      </c>
      <c r="H120" s="103">
        <f>VLOOKUP($A120,'OI(Volume)'!$A$7:$O$445,8)</f>
        <v>2297500</v>
      </c>
      <c r="I120" s="103">
        <f>VLOOKUP($A120,'OI(Volume)'!$A$7:$O$445,9)</f>
        <v>-201500</v>
      </c>
      <c r="J120" s="103">
        <f>VLOOKUP($A120,'OI(Volume)'!$A$7:$O$445,11)</f>
        <v>1283500</v>
      </c>
      <c r="K120" s="103">
        <f>VLOOKUP($A120,'OI(Volume)'!$A$7:$O$445,12)</f>
        <v>34500</v>
      </c>
      <c r="L120" s="103">
        <f>VLOOKUP($A120,'OI(Value)'!$A$7:$O$329,8,0)</f>
        <v>224</v>
      </c>
      <c r="M120" s="103">
        <f>VLOOKUP($A120,'OI(Value)'!$A$7:$O$329,9,0)</f>
        <v>-20</v>
      </c>
      <c r="N120" s="103">
        <f>VLOOKUP($A120,'OI(Value)'!$A$7:$O$329,11,0)</f>
        <v>125</v>
      </c>
      <c r="O120" s="103">
        <f>VLOOKUP($A120,'OI(Value)'!$A$7:$O$329,12,0)</f>
        <v>3</v>
      </c>
      <c r="P120" s="179">
        <f>VLOOKUP(A120,'OI(Value)'!A120:O344,8,0)</f>
        <v>224</v>
      </c>
      <c r="Q120" s="179">
        <f>VLOOKUP(A120,'OI(Value)'!A120:O344,9,0)</f>
        <v>-20</v>
      </c>
      <c r="R120" s="179">
        <f>VLOOKUP(A120,'OI(Value)'!A120:O344,11,0)</f>
        <v>125</v>
      </c>
      <c r="S120" s="179">
        <f>VLOOKUP(A120,'OI(Value)'!A120:O344,11,0)</f>
        <v>125</v>
      </c>
    </row>
    <row r="121" spans="1:19" x14ac:dyDescent="0.25">
      <c r="A121" s="105" t="str">
        <f>'Data Vlaue (Cr)'!C116</f>
        <v>KOTAKBANK</v>
      </c>
      <c r="B121" s="143">
        <f>VLOOKUP($A121,'Data shares'!$C:$FA,118)</f>
        <v>0.85</v>
      </c>
      <c r="C121" s="143">
        <f>VLOOKUP($A121,'Data shares'!$C:$FA,119)</f>
        <v>0.9</v>
      </c>
      <c r="D121" s="143">
        <f>VLOOKUP($A121,'Data shares'!$C:$FA,121)*100</f>
        <v>-5.56</v>
      </c>
      <c r="E121" s="143">
        <f>VLOOKUP($A121,'Data shares'!$C:$FA,124)</f>
        <v>0.55000000000000004</v>
      </c>
      <c r="F121" s="143">
        <f>VLOOKUP($A121,'Data shares'!$C:$FA,125)</f>
        <v>0.61</v>
      </c>
      <c r="G121" s="143">
        <f>VLOOKUP($A121,'Data shares'!$C:$FA,127)*100</f>
        <v>-9.84</v>
      </c>
      <c r="H121" s="103">
        <f>VLOOKUP($A121,'OI(Volume)'!$A$7:$O$445,8)</f>
        <v>32790000</v>
      </c>
      <c r="I121" s="103">
        <f>VLOOKUP($A121,'OI(Volume)'!$A$7:$O$445,9)</f>
        <v>1966000</v>
      </c>
      <c r="J121" s="103">
        <f>VLOOKUP($A121,'OI(Volume)'!$A$7:$O$445,11)</f>
        <v>27782000</v>
      </c>
      <c r="K121" s="103">
        <f>VLOOKUP($A121,'OI(Volume)'!$A$7:$O$445,12)</f>
        <v>62000</v>
      </c>
      <c r="L121" s="103">
        <f>VLOOKUP($A121,'OI(Value)'!$A$7:$O$329,8,0)</f>
        <v>1242</v>
      </c>
      <c r="M121" s="103">
        <f>VLOOKUP($A121,'OI(Value)'!$A$7:$O$329,9,0)</f>
        <v>74</v>
      </c>
      <c r="N121" s="103">
        <f>VLOOKUP($A121,'OI(Value)'!$A$7:$O$329,11,0)</f>
        <v>1053</v>
      </c>
      <c r="O121" s="103">
        <f>VLOOKUP($A121,'OI(Value)'!$A$7:$O$329,12,0)</f>
        <v>2</v>
      </c>
      <c r="P121" s="179">
        <f>VLOOKUP(A121,'OI(Value)'!A121:O345,8,0)</f>
        <v>1242</v>
      </c>
      <c r="Q121" s="179">
        <f>VLOOKUP(A121,'OI(Value)'!A121:O345,9,0)</f>
        <v>74</v>
      </c>
      <c r="R121" s="179">
        <f>VLOOKUP(A121,'OI(Value)'!A121:O345,11,0)</f>
        <v>1053</v>
      </c>
      <c r="S121" s="179">
        <f>VLOOKUP(A121,'OI(Value)'!A121:O345,11,0)</f>
        <v>1053</v>
      </c>
    </row>
    <row r="122" spans="1:19" x14ac:dyDescent="0.25">
      <c r="A122" s="105" t="str">
        <f>'Data Vlaue (Cr)'!C117</f>
        <v>KPITTECH</v>
      </c>
      <c r="B122" s="143">
        <f>VLOOKUP($A122,'Data shares'!$C:$FA,118)</f>
        <v>0.66</v>
      </c>
      <c r="C122" s="143">
        <f>VLOOKUP($A122,'Data shares'!$C:$FA,119)</f>
        <v>0.64</v>
      </c>
      <c r="D122" s="143">
        <f>VLOOKUP($A122,'Data shares'!$C:$FA,121)*100</f>
        <v>3.1300000000000003</v>
      </c>
      <c r="E122" s="143">
        <f>VLOOKUP($A122,'Data shares'!$C:$FA,124)</f>
        <v>1.08</v>
      </c>
      <c r="F122" s="143">
        <f>VLOOKUP($A122,'Data shares'!$C:$FA,125)</f>
        <v>0.42</v>
      </c>
      <c r="G122" s="143">
        <f>VLOOKUP($A122,'Data shares'!$C:$FA,127)*100</f>
        <v>157.13999999999999</v>
      </c>
      <c r="H122" s="103">
        <f>VLOOKUP($A122,'OI(Volume)'!$A$7:$O$445,8)</f>
        <v>3582325</v>
      </c>
      <c r="I122" s="103">
        <f>VLOOKUP($A122,'OI(Volume)'!$A$7:$O$445,9)</f>
        <v>-57375</v>
      </c>
      <c r="J122" s="103">
        <f>VLOOKUP($A122,'OI(Volume)'!$A$7:$O$445,11)</f>
        <v>2359175</v>
      </c>
      <c r="K122" s="103">
        <f>VLOOKUP($A122,'OI(Volume)'!$A$7:$O$445,12)</f>
        <v>47175</v>
      </c>
      <c r="L122" s="103">
        <f>VLOOKUP($A122,'OI(Value)'!$A$7:$O$329,8,0)</f>
        <v>264</v>
      </c>
      <c r="M122" s="103">
        <f>VLOOKUP($A122,'OI(Value)'!$A$7:$O$329,9,0)</f>
        <v>-4</v>
      </c>
      <c r="N122" s="103">
        <f>VLOOKUP($A122,'OI(Value)'!$A$7:$O$329,11,0)</f>
        <v>174</v>
      </c>
      <c r="O122" s="103">
        <f>VLOOKUP($A122,'OI(Value)'!$A$7:$O$329,12,0)</f>
        <v>3</v>
      </c>
      <c r="P122" s="179">
        <f>VLOOKUP(A122,'OI(Value)'!A122:O346,8,0)</f>
        <v>264</v>
      </c>
      <c r="Q122" s="179">
        <f>VLOOKUP(A122,'OI(Value)'!A122:O346,9,0)</f>
        <v>-4</v>
      </c>
      <c r="R122" s="179">
        <f>VLOOKUP(A122,'OI(Value)'!A122:O346,11,0)</f>
        <v>174</v>
      </c>
      <c r="S122" s="179">
        <f>VLOOKUP(A122,'OI(Value)'!A122:O346,11,0)</f>
        <v>174</v>
      </c>
    </row>
    <row r="123" spans="1:19" x14ac:dyDescent="0.25">
      <c r="A123" s="105" t="str">
        <f>'Data Vlaue (Cr)'!C118</f>
        <v>LAURUSLABS</v>
      </c>
      <c r="B123" s="143">
        <f>VLOOKUP($A123,'Data shares'!$C:$FA,118)</f>
        <v>0.93</v>
      </c>
      <c r="C123" s="143">
        <f>VLOOKUP($A123,'Data shares'!$C:$FA,119)</f>
        <v>0.88</v>
      </c>
      <c r="D123" s="143">
        <f>VLOOKUP($A123,'Data shares'!$C:$FA,121)*100</f>
        <v>5.6800000000000006</v>
      </c>
      <c r="E123" s="143">
        <f>VLOOKUP($A123,'Data shares'!$C:$FA,124)</f>
        <v>0.55000000000000004</v>
      </c>
      <c r="F123" s="143">
        <f>VLOOKUP($A123,'Data shares'!$C:$FA,125)</f>
        <v>0.55000000000000004</v>
      </c>
      <c r="G123" s="143">
        <f>VLOOKUP($A123,'Data shares'!$C:$FA,127)*100</f>
        <v>0</v>
      </c>
      <c r="H123" s="103">
        <f>VLOOKUP($A123,'OI(Volume)'!$A$7:$O$445,8)</f>
        <v>5160350</v>
      </c>
      <c r="I123" s="103">
        <f>VLOOKUP($A123,'OI(Volume)'!$A$7:$O$445,9)</f>
        <v>-245650</v>
      </c>
      <c r="J123" s="103">
        <f>VLOOKUP($A123,'OI(Volume)'!$A$7:$O$445,11)</f>
        <v>4779550</v>
      </c>
      <c r="K123" s="103">
        <f>VLOOKUP($A123,'OI(Volume)'!$A$7:$O$445,12)</f>
        <v>-4250</v>
      </c>
      <c r="L123" s="103">
        <f>VLOOKUP($A123,'OI(Value)'!$A$7:$O$329,8,0)</f>
        <v>583</v>
      </c>
      <c r="M123" s="103">
        <f>VLOOKUP($A123,'OI(Value)'!$A$7:$O$329,9,0)</f>
        <v>-28</v>
      </c>
      <c r="N123" s="103">
        <f>VLOOKUP($A123,'OI(Value)'!$A$7:$O$329,11,0)</f>
        <v>540</v>
      </c>
      <c r="O123" s="103">
        <f>VLOOKUP($A123,'OI(Value)'!$A$7:$O$329,12,0)</f>
        <v>0</v>
      </c>
      <c r="P123" s="179">
        <f>VLOOKUP(A123,'OI(Value)'!A123:O347,8,0)</f>
        <v>583</v>
      </c>
      <c r="Q123" s="179">
        <f>VLOOKUP(A123,'OI(Value)'!A123:O347,9,0)</f>
        <v>-28</v>
      </c>
      <c r="R123" s="179">
        <f>VLOOKUP(A123,'OI(Value)'!A123:O347,11,0)</f>
        <v>540</v>
      </c>
      <c r="S123" s="179">
        <f>VLOOKUP(A123,'OI(Value)'!A123:O347,11,0)</f>
        <v>540</v>
      </c>
    </row>
    <row r="124" spans="1:19" x14ac:dyDescent="0.25">
      <c r="A124" s="105" t="str">
        <f>'Data Vlaue (Cr)'!C119</f>
        <v>LICHSGFIN</v>
      </c>
      <c r="B124" s="143">
        <f>VLOOKUP($A124,'Data shares'!$C:$FA,118)</f>
        <v>0.96</v>
      </c>
      <c r="C124" s="143">
        <f>VLOOKUP($A124,'Data shares'!$C:$FA,119)</f>
        <v>0.97</v>
      </c>
      <c r="D124" s="143">
        <f>VLOOKUP($A124,'Data shares'!$C:$FA,121)*100</f>
        <v>-1.03</v>
      </c>
      <c r="E124" s="143">
        <f>VLOOKUP($A124,'Data shares'!$C:$FA,124)</f>
        <v>0.39</v>
      </c>
      <c r="F124" s="143">
        <f>VLOOKUP($A124,'Data shares'!$C:$FA,125)</f>
        <v>0.34</v>
      </c>
      <c r="G124" s="143">
        <f>VLOOKUP($A124,'Data shares'!$C:$FA,127)*100</f>
        <v>14.71</v>
      </c>
      <c r="H124" s="103">
        <f>VLOOKUP($A124,'OI(Volume)'!$A$7:$O$445,8)</f>
        <v>5911000</v>
      </c>
      <c r="I124" s="103">
        <f>VLOOKUP($A124,'OI(Volume)'!$A$7:$O$445,9)</f>
        <v>45000</v>
      </c>
      <c r="J124" s="103">
        <f>VLOOKUP($A124,'OI(Volume)'!$A$7:$O$445,11)</f>
        <v>5702000</v>
      </c>
      <c r="K124" s="103">
        <f>VLOOKUP($A124,'OI(Volume)'!$A$7:$O$445,12)</f>
        <v>2000</v>
      </c>
      <c r="L124" s="103">
        <f>VLOOKUP($A124,'OI(Value)'!$A$7:$O$329,8,0)</f>
        <v>317</v>
      </c>
      <c r="M124" s="103">
        <f>VLOOKUP($A124,'OI(Value)'!$A$7:$O$329,9,0)</f>
        <v>2</v>
      </c>
      <c r="N124" s="103">
        <f>VLOOKUP($A124,'OI(Value)'!$A$7:$O$329,11,0)</f>
        <v>306</v>
      </c>
      <c r="O124" s="103">
        <f>VLOOKUP($A124,'OI(Value)'!$A$7:$O$329,12,0)</f>
        <v>0</v>
      </c>
      <c r="P124" s="179">
        <f>VLOOKUP(A124,'OI(Value)'!A124:O348,8,0)</f>
        <v>317</v>
      </c>
      <c r="Q124" s="179">
        <f>VLOOKUP(A124,'OI(Value)'!A124:O348,9,0)</f>
        <v>2</v>
      </c>
      <c r="R124" s="179">
        <f>VLOOKUP(A124,'OI(Value)'!A124:O348,11,0)</f>
        <v>306</v>
      </c>
      <c r="S124" s="179">
        <f>VLOOKUP(A124,'OI(Value)'!A124:O348,11,0)</f>
        <v>306</v>
      </c>
    </row>
    <row r="125" spans="1:19" x14ac:dyDescent="0.25">
      <c r="A125" s="105" t="str">
        <f>'Data Vlaue (Cr)'!C120</f>
        <v>LICI</v>
      </c>
      <c r="B125" s="143">
        <f>VLOOKUP($A125,'Data shares'!$C:$FA,118)</f>
        <v>0.65</v>
      </c>
      <c r="C125" s="143">
        <f>VLOOKUP($A125,'Data shares'!$C:$FA,119)</f>
        <v>0.59</v>
      </c>
      <c r="D125" s="143">
        <f>VLOOKUP($A125,'Data shares'!$C:$FA,121)*100</f>
        <v>10.17</v>
      </c>
      <c r="E125" s="143">
        <f>VLOOKUP($A125,'Data shares'!$C:$FA,124)</f>
        <v>0.49</v>
      </c>
      <c r="F125" s="143">
        <f>VLOOKUP($A125,'Data shares'!$C:$FA,125)</f>
        <v>0.47</v>
      </c>
      <c r="G125" s="143">
        <f>VLOOKUP($A125,'Data shares'!$C:$FA,127)*100</f>
        <v>4.26</v>
      </c>
      <c r="H125" s="103">
        <f>VLOOKUP($A125,'OI(Volume)'!$A$7:$O$445,8)</f>
        <v>7030100</v>
      </c>
      <c r="I125" s="103">
        <f>VLOOKUP($A125,'OI(Volume)'!$A$7:$O$445,9)</f>
        <v>-284200</v>
      </c>
      <c r="J125" s="103">
        <f>VLOOKUP($A125,'OI(Volume)'!$A$7:$O$445,11)</f>
        <v>4560500</v>
      </c>
      <c r="K125" s="103">
        <f>VLOOKUP($A125,'OI(Volume)'!$A$7:$O$445,12)</f>
        <v>244300</v>
      </c>
      <c r="L125" s="103">
        <f>VLOOKUP($A125,'OI(Value)'!$A$7:$O$329,8,0)</f>
        <v>582</v>
      </c>
      <c r="M125" s="103">
        <f>VLOOKUP($A125,'OI(Value)'!$A$7:$O$329,9,0)</f>
        <v>-24</v>
      </c>
      <c r="N125" s="103">
        <f>VLOOKUP($A125,'OI(Value)'!$A$7:$O$329,11,0)</f>
        <v>377</v>
      </c>
      <c r="O125" s="103">
        <f>VLOOKUP($A125,'OI(Value)'!$A$7:$O$329,12,0)</f>
        <v>20</v>
      </c>
      <c r="P125" s="179">
        <f>VLOOKUP(A125,'OI(Value)'!A125:O349,8,0)</f>
        <v>582</v>
      </c>
      <c r="Q125" s="179">
        <f>VLOOKUP(A125,'OI(Value)'!A125:O349,9,0)</f>
        <v>-24</v>
      </c>
      <c r="R125" s="179">
        <f>VLOOKUP(A125,'OI(Value)'!A125:O349,11,0)</f>
        <v>377</v>
      </c>
      <c r="S125" s="179">
        <f>VLOOKUP(A125,'OI(Value)'!A125:O349,11,0)</f>
        <v>377</v>
      </c>
    </row>
    <row r="126" spans="1:19" x14ac:dyDescent="0.25">
      <c r="A126" s="105" t="str">
        <f>'Data Vlaue (Cr)'!C121</f>
        <v>LODHA</v>
      </c>
      <c r="B126" s="143">
        <f>VLOOKUP($A126,'Data shares'!$C:$FA,118)</f>
        <v>0.83</v>
      </c>
      <c r="C126" s="143">
        <f>VLOOKUP($A126,'Data shares'!$C:$FA,119)</f>
        <v>0.84</v>
      </c>
      <c r="D126" s="143">
        <f>VLOOKUP($A126,'Data shares'!$C:$FA,121)*100</f>
        <v>-1.1900000000000002</v>
      </c>
      <c r="E126" s="143">
        <f>VLOOKUP($A126,'Data shares'!$C:$FA,124)</f>
        <v>1.08</v>
      </c>
      <c r="F126" s="143">
        <f>VLOOKUP($A126,'Data shares'!$C:$FA,125)</f>
        <v>0.82</v>
      </c>
      <c r="G126" s="143">
        <f>VLOOKUP($A126,'Data shares'!$C:$FA,127)*100</f>
        <v>31.71</v>
      </c>
      <c r="H126" s="103">
        <f>VLOOKUP($A126,'OI(Volume)'!$A$7:$O$445,8)</f>
        <v>6043050</v>
      </c>
      <c r="I126" s="103">
        <f>VLOOKUP($A126,'OI(Volume)'!$A$7:$O$445,9)</f>
        <v>-91800</v>
      </c>
      <c r="J126" s="103">
        <f>VLOOKUP($A126,'OI(Volume)'!$A$7:$O$445,11)</f>
        <v>5025150</v>
      </c>
      <c r="K126" s="103">
        <f>VLOOKUP($A126,'OI(Volume)'!$A$7:$O$445,12)</f>
        <v>-140400</v>
      </c>
      <c r="L126" s="103">
        <f>VLOOKUP($A126,'OI(Value)'!$A$7:$O$329,8,0)</f>
        <v>518</v>
      </c>
      <c r="M126" s="103">
        <f>VLOOKUP($A126,'OI(Value)'!$A$7:$O$329,9,0)</f>
        <v>-8</v>
      </c>
      <c r="N126" s="103">
        <f>VLOOKUP($A126,'OI(Value)'!$A$7:$O$329,11,0)</f>
        <v>431</v>
      </c>
      <c r="O126" s="103">
        <f>VLOOKUP($A126,'OI(Value)'!$A$7:$O$329,12,0)</f>
        <v>-12</v>
      </c>
      <c r="P126" s="179">
        <f>VLOOKUP(A126,'OI(Value)'!A126:O350,8,0)</f>
        <v>518</v>
      </c>
      <c r="Q126" s="179">
        <f>VLOOKUP(A126,'OI(Value)'!A126:O350,9,0)</f>
        <v>-8</v>
      </c>
      <c r="R126" s="179">
        <f>VLOOKUP(A126,'OI(Value)'!A126:O350,11,0)</f>
        <v>431</v>
      </c>
      <c r="S126" s="179">
        <f>VLOOKUP(A126,'OI(Value)'!A126:O350,11,0)</f>
        <v>431</v>
      </c>
    </row>
    <row r="127" spans="1:19" x14ac:dyDescent="0.25">
      <c r="A127" s="105" t="str">
        <f>'Data Vlaue (Cr)'!C122</f>
        <v>LT</v>
      </c>
      <c r="B127" s="143">
        <f>VLOOKUP($A127,'Data shares'!$C:$FA,118)</f>
        <v>0.87</v>
      </c>
      <c r="C127" s="143">
        <f>VLOOKUP($A127,'Data shares'!$C:$FA,119)</f>
        <v>0.89</v>
      </c>
      <c r="D127" s="143">
        <f>VLOOKUP($A127,'Data shares'!$C:$FA,121)*100</f>
        <v>-2.25</v>
      </c>
      <c r="E127" s="143">
        <f>VLOOKUP($A127,'Data shares'!$C:$FA,124)</f>
        <v>0.79</v>
      </c>
      <c r="F127" s="143">
        <f>VLOOKUP($A127,'Data shares'!$C:$FA,125)</f>
        <v>0.9</v>
      </c>
      <c r="G127" s="143">
        <f>VLOOKUP($A127,'Data shares'!$C:$FA,127)*100</f>
        <v>-12.22</v>
      </c>
      <c r="H127" s="103">
        <f>VLOOKUP($A127,'OI(Volume)'!$A$7:$O$445,8)</f>
        <v>9609600</v>
      </c>
      <c r="I127" s="103">
        <f>VLOOKUP($A127,'OI(Volume)'!$A$7:$O$445,9)</f>
        <v>361375</v>
      </c>
      <c r="J127" s="103">
        <f>VLOOKUP($A127,'OI(Volume)'!$A$7:$O$445,11)</f>
        <v>8368675</v>
      </c>
      <c r="K127" s="103">
        <f>VLOOKUP($A127,'OI(Volume)'!$A$7:$O$445,12)</f>
        <v>147525</v>
      </c>
      <c r="L127" s="103">
        <f>VLOOKUP($A127,'OI(Value)'!$A$7:$O$329,8,0)</f>
        <v>3898</v>
      </c>
      <c r="M127" s="103">
        <f>VLOOKUP($A127,'OI(Value)'!$A$7:$O$329,9,0)</f>
        <v>147</v>
      </c>
      <c r="N127" s="103">
        <f>VLOOKUP($A127,'OI(Value)'!$A$7:$O$329,11,0)</f>
        <v>3395</v>
      </c>
      <c r="O127" s="103">
        <f>VLOOKUP($A127,'OI(Value)'!$A$7:$O$329,12,0)</f>
        <v>60</v>
      </c>
      <c r="P127" s="179">
        <f>VLOOKUP(A127,'OI(Value)'!A127:O351,8,0)</f>
        <v>3898</v>
      </c>
      <c r="Q127" s="179">
        <f>VLOOKUP(A127,'OI(Value)'!A127:O351,9,0)</f>
        <v>147</v>
      </c>
      <c r="R127" s="179">
        <f>VLOOKUP(A127,'OI(Value)'!A127:O351,11,0)</f>
        <v>3395</v>
      </c>
      <c r="S127" s="179">
        <f>VLOOKUP(A127,'OI(Value)'!A127:O351,11,0)</f>
        <v>3395</v>
      </c>
    </row>
    <row r="128" spans="1:19" x14ac:dyDescent="0.25">
      <c r="A128" s="105" t="str">
        <f>'Data Vlaue (Cr)'!C123</f>
        <v>LTF</v>
      </c>
      <c r="B128" s="143">
        <f>VLOOKUP($A128,'Data shares'!$C:$FA,118)</f>
        <v>0.96</v>
      </c>
      <c r="C128" s="143">
        <f>VLOOKUP($A128,'Data shares'!$C:$FA,119)</f>
        <v>0.87</v>
      </c>
      <c r="D128" s="143">
        <f>VLOOKUP($A128,'Data shares'!$C:$FA,121)*100</f>
        <v>10.34</v>
      </c>
      <c r="E128" s="143">
        <f>VLOOKUP($A128,'Data shares'!$C:$FA,124)</f>
        <v>0.53</v>
      </c>
      <c r="F128" s="143">
        <f>VLOOKUP($A128,'Data shares'!$C:$FA,125)</f>
        <v>0.61</v>
      </c>
      <c r="G128" s="143">
        <f>VLOOKUP($A128,'Data shares'!$C:$FA,127)*100</f>
        <v>-13.11</v>
      </c>
      <c r="H128" s="103">
        <f>VLOOKUP($A128,'OI(Volume)'!$A$7:$O$445,8)</f>
        <v>18342000</v>
      </c>
      <c r="I128" s="103">
        <f>VLOOKUP($A128,'OI(Volume)'!$A$7:$O$445,9)</f>
        <v>-569250</v>
      </c>
      <c r="J128" s="103">
        <f>VLOOKUP($A128,'OI(Volume)'!$A$7:$O$445,11)</f>
        <v>17550000</v>
      </c>
      <c r="K128" s="103">
        <f>VLOOKUP($A128,'OI(Volume)'!$A$7:$O$445,12)</f>
        <v>1113750</v>
      </c>
      <c r="L128" s="103">
        <f>VLOOKUP($A128,'OI(Value)'!$A$7:$O$329,8,0)</f>
        <v>533</v>
      </c>
      <c r="M128" s="103">
        <f>VLOOKUP($A128,'OI(Value)'!$A$7:$O$329,9,0)</f>
        <v>-17</v>
      </c>
      <c r="N128" s="103">
        <f>VLOOKUP($A128,'OI(Value)'!$A$7:$O$329,11,0)</f>
        <v>510</v>
      </c>
      <c r="O128" s="103">
        <f>VLOOKUP($A128,'OI(Value)'!$A$7:$O$329,12,0)</f>
        <v>32</v>
      </c>
      <c r="P128" s="179">
        <f>VLOOKUP(A128,'OI(Value)'!A128:O352,8,0)</f>
        <v>533</v>
      </c>
      <c r="Q128" s="179">
        <f>VLOOKUP(A128,'OI(Value)'!A128:O352,9,0)</f>
        <v>-17</v>
      </c>
      <c r="R128" s="179">
        <f>VLOOKUP(A128,'OI(Value)'!A128:O352,11,0)</f>
        <v>510</v>
      </c>
      <c r="S128" s="179">
        <f>VLOOKUP(A128,'OI(Value)'!A128:O352,11,0)</f>
        <v>510</v>
      </c>
    </row>
    <row r="129" spans="1:19" x14ac:dyDescent="0.25">
      <c r="A129" s="105" t="str">
        <f>'Data Vlaue (Cr)'!C124</f>
        <v>LTM</v>
      </c>
      <c r="B129" s="143">
        <f>VLOOKUP($A129,'Data shares'!$C:$FA,118)</f>
        <v>0.81</v>
      </c>
      <c r="C129" s="143">
        <f>VLOOKUP($A129,'Data shares'!$C:$FA,119)</f>
        <v>0.87</v>
      </c>
      <c r="D129" s="143">
        <f>VLOOKUP($A129,'Data shares'!$C:$FA,121)*100</f>
        <v>-6.9</v>
      </c>
      <c r="E129" s="143">
        <f>VLOOKUP($A129,'Data shares'!$C:$FA,124)</f>
        <v>0.62</v>
      </c>
      <c r="F129" s="143">
        <f>VLOOKUP($A129,'Data shares'!$C:$FA,125)</f>
        <v>0.5</v>
      </c>
      <c r="G129" s="143">
        <f>VLOOKUP($A129,'Data shares'!$C:$FA,127)*100</f>
        <v>24</v>
      </c>
      <c r="H129" s="103">
        <f>VLOOKUP($A129,'OI(Volume)'!$A$7:$O$445,8)</f>
        <v>1051200</v>
      </c>
      <c r="I129" s="103">
        <f>VLOOKUP($A129,'OI(Volume)'!$A$7:$O$445,9)</f>
        <v>1650</v>
      </c>
      <c r="J129" s="103">
        <f>VLOOKUP($A129,'OI(Volume)'!$A$7:$O$445,11)</f>
        <v>851100</v>
      </c>
      <c r="K129" s="103">
        <f>VLOOKUP($A129,'OI(Volume)'!$A$7:$O$445,12)</f>
        <v>-59700</v>
      </c>
      <c r="L129" s="103">
        <f>VLOOKUP($A129,'OI(Value)'!$A$7:$O$329,8,0)</f>
        <v>487</v>
      </c>
      <c r="M129" s="103">
        <f>VLOOKUP($A129,'OI(Value)'!$A$7:$O$329,9,0)</f>
        <v>1</v>
      </c>
      <c r="N129" s="103">
        <f>VLOOKUP($A129,'OI(Value)'!$A$7:$O$329,11,0)</f>
        <v>394</v>
      </c>
      <c r="O129" s="103">
        <f>VLOOKUP($A129,'OI(Value)'!$A$7:$O$329,12,0)</f>
        <v>-28</v>
      </c>
      <c r="P129" s="179">
        <f>VLOOKUP(A129,'OI(Value)'!A129:O353,8,0)</f>
        <v>487</v>
      </c>
      <c r="Q129" s="179">
        <f>VLOOKUP(A129,'OI(Value)'!A129:O353,9,0)</f>
        <v>1</v>
      </c>
      <c r="R129" s="179">
        <f>VLOOKUP(A129,'OI(Value)'!A129:O353,11,0)</f>
        <v>394</v>
      </c>
      <c r="S129" s="179">
        <f>VLOOKUP(A129,'OI(Value)'!A129:O353,11,0)</f>
        <v>394</v>
      </c>
    </row>
    <row r="130" spans="1:19" x14ac:dyDescent="0.25">
      <c r="A130" s="105" t="str">
        <f>'Data Vlaue (Cr)'!C125</f>
        <v>LUPIN</v>
      </c>
      <c r="B130" s="143">
        <f>VLOOKUP($A130,'Data shares'!$C:$FA,118)</f>
        <v>0.72</v>
      </c>
      <c r="C130" s="143">
        <f>VLOOKUP($A130,'Data shares'!$C:$FA,119)</f>
        <v>0.64</v>
      </c>
      <c r="D130" s="143">
        <f>VLOOKUP($A130,'Data shares'!$C:$FA,121)*100</f>
        <v>12.5</v>
      </c>
      <c r="E130" s="143">
        <f>VLOOKUP($A130,'Data shares'!$C:$FA,124)</f>
        <v>0.48</v>
      </c>
      <c r="F130" s="143">
        <f>VLOOKUP($A130,'Data shares'!$C:$FA,125)</f>
        <v>0.47</v>
      </c>
      <c r="G130" s="143">
        <f>VLOOKUP($A130,'Data shares'!$C:$FA,127)*100</f>
        <v>2.13</v>
      </c>
      <c r="H130" s="103">
        <f>VLOOKUP($A130,'OI(Volume)'!$A$7:$O$445,8)</f>
        <v>2386375</v>
      </c>
      <c r="I130" s="103">
        <f>VLOOKUP($A130,'OI(Volume)'!$A$7:$O$445,9)</f>
        <v>-94775</v>
      </c>
      <c r="J130" s="103">
        <f>VLOOKUP($A130,'OI(Volume)'!$A$7:$O$445,11)</f>
        <v>1725925</v>
      </c>
      <c r="K130" s="103">
        <f>VLOOKUP($A130,'OI(Volume)'!$A$7:$O$445,12)</f>
        <v>138125</v>
      </c>
      <c r="L130" s="103">
        <f>VLOOKUP($A130,'OI(Value)'!$A$7:$O$329,8,0)</f>
        <v>555</v>
      </c>
      <c r="M130" s="103">
        <f>VLOOKUP($A130,'OI(Value)'!$A$7:$O$329,9,0)</f>
        <v>-22</v>
      </c>
      <c r="N130" s="103">
        <f>VLOOKUP($A130,'OI(Value)'!$A$7:$O$329,11,0)</f>
        <v>401</v>
      </c>
      <c r="O130" s="103">
        <f>VLOOKUP($A130,'OI(Value)'!$A$7:$O$329,12,0)</f>
        <v>32</v>
      </c>
      <c r="P130" s="179">
        <f>VLOOKUP(A130,'OI(Value)'!A130:O354,8,0)</f>
        <v>555</v>
      </c>
      <c r="Q130" s="179">
        <f>VLOOKUP(A130,'OI(Value)'!A130:O354,9,0)</f>
        <v>-22</v>
      </c>
      <c r="R130" s="179">
        <f>VLOOKUP(A130,'OI(Value)'!A130:O354,11,0)</f>
        <v>401</v>
      </c>
      <c r="S130" s="179">
        <f>VLOOKUP(A130,'OI(Value)'!A130:O354,11,0)</f>
        <v>401</v>
      </c>
    </row>
    <row r="131" spans="1:19" x14ac:dyDescent="0.25">
      <c r="A131" s="105" t="str">
        <f>'Data Vlaue (Cr)'!C126</f>
        <v>M&amp;M</v>
      </c>
      <c r="B131" s="143">
        <f>VLOOKUP($A131,'Data shares'!$C:$FA,118)</f>
        <v>0.71</v>
      </c>
      <c r="C131" s="143">
        <f>VLOOKUP($A131,'Data shares'!$C:$FA,119)</f>
        <v>0.65</v>
      </c>
      <c r="D131" s="143">
        <f>VLOOKUP($A131,'Data shares'!$C:$FA,121)*100</f>
        <v>9.2299999999999986</v>
      </c>
      <c r="E131" s="143">
        <f>VLOOKUP($A131,'Data shares'!$C:$FA,124)</f>
        <v>0.48</v>
      </c>
      <c r="F131" s="143">
        <f>VLOOKUP($A131,'Data shares'!$C:$FA,125)</f>
        <v>0.55000000000000004</v>
      </c>
      <c r="G131" s="143">
        <f>VLOOKUP($A131,'Data shares'!$C:$FA,127)*100</f>
        <v>-12.73</v>
      </c>
      <c r="H131" s="103">
        <f>VLOOKUP($A131,'OI(Volume)'!$A$7:$O$445,8)</f>
        <v>5164000</v>
      </c>
      <c r="I131" s="103">
        <f>VLOOKUP($A131,'OI(Volume)'!$A$7:$O$445,9)</f>
        <v>-358800</v>
      </c>
      <c r="J131" s="103">
        <f>VLOOKUP($A131,'OI(Volume)'!$A$7:$O$445,11)</f>
        <v>3677400</v>
      </c>
      <c r="K131" s="103">
        <f>VLOOKUP($A131,'OI(Volume)'!$A$7:$O$445,12)</f>
        <v>96400</v>
      </c>
      <c r="L131" s="103">
        <f>VLOOKUP($A131,'OI(Value)'!$A$7:$O$329,8,0)</f>
        <v>1662</v>
      </c>
      <c r="M131" s="103">
        <f>VLOOKUP($A131,'OI(Value)'!$A$7:$O$329,9,0)</f>
        <v>-115</v>
      </c>
      <c r="N131" s="103">
        <f>VLOOKUP($A131,'OI(Value)'!$A$7:$O$329,11,0)</f>
        <v>1183</v>
      </c>
      <c r="O131" s="103">
        <f>VLOOKUP($A131,'OI(Value)'!$A$7:$O$329,12,0)</f>
        <v>31</v>
      </c>
      <c r="P131" s="179">
        <f>VLOOKUP(A131,'OI(Value)'!A131:O355,8,0)</f>
        <v>1662</v>
      </c>
      <c r="Q131" s="179">
        <f>VLOOKUP(A131,'OI(Value)'!A131:O355,9,0)</f>
        <v>-115</v>
      </c>
      <c r="R131" s="179">
        <f>VLOOKUP(A131,'OI(Value)'!A131:O355,11,0)</f>
        <v>1183</v>
      </c>
      <c r="S131" s="179">
        <f>VLOOKUP(A131,'OI(Value)'!A131:O355,11,0)</f>
        <v>1183</v>
      </c>
    </row>
    <row r="132" spans="1:19" x14ac:dyDescent="0.25">
      <c r="A132" s="105" t="str">
        <f>'Data Vlaue (Cr)'!C127</f>
        <v>MANAPPURAM</v>
      </c>
      <c r="B132" s="143">
        <f>VLOOKUP($A132,'Data shares'!$C:$FA,118)</f>
        <v>0.63</v>
      </c>
      <c r="C132" s="143">
        <f>VLOOKUP($A132,'Data shares'!$C:$FA,119)</f>
        <v>0.65</v>
      </c>
      <c r="D132" s="143">
        <f>VLOOKUP($A132,'Data shares'!$C:$FA,121)*100</f>
        <v>-3.08</v>
      </c>
      <c r="E132" s="143">
        <f>VLOOKUP($A132,'Data shares'!$C:$FA,124)</f>
        <v>0.41</v>
      </c>
      <c r="F132" s="143">
        <f>VLOOKUP($A132,'Data shares'!$C:$FA,125)</f>
        <v>0.68</v>
      </c>
      <c r="G132" s="143">
        <f>VLOOKUP($A132,'Data shares'!$C:$FA,127)*100</f>
        <v>-39.71</v>
      </c>
      <c r="H132" s="103">
        <f>VLOOKUP($A132,'OI(Volume)'!$A$7:$O$445,8)</f>
        <v>18333000</v>
      </c>
      <c r="I132" s="103">
        <f>VLOOKUP($A132,'OI(Volume)'!$A$7:$O$445,9)</f>
        <v>897000</v>
      </c>
      <c r="J132" s="103">
        <f>VLOOKUP($A132,'OI(Volume)'!$A$7:$O$445,11)</f>
        <v>11520000</v>
      </c>
      <c r="K132" s="103">
        <f>VLOOKUP($A132,'OI(Volume)'!$A$7:$O$445,12)</f>
        <v>243000</v>
      </c>
      <c r="L132" s="103">
        <f>VLOOKUP($A132,'OI(Value)'!$A$7:$O$329,8,0)</f>
        <v>494</v>
      </c>
      <c r="M132" s="103">
        <f>VLOOKUP($A132,'OI(Value)'!$A$7:$O$329,9,0)</f>
        <v>24</v>
      </c>
      <c r="N132" s="103">
        <f>VLOOKUP($A132,'OI(Value)'!$A$7:$O$329,11,0)</f>
        <v>310</v>
      </c>
      <c r="O132" s="103">
        <f>VLOOKUP($A132,'OI(Value)'!$A$7:$O$329,12,0)</f>
        <v>7</v>
      </c>
      <c r="P132" s="179">
        <f>VLOOKUP(A132,'OI(Value)'!A132:O356,8,0)</f>
        <v>494</v>
      </c>
      <c r="Q132" s="179">
        <f>VLOOKUP(A132,'OI(Value)'!A132:O356,9,0)</f>
        <v>24</v>
      </c>
      <c r="R132" s="179">
        <f>VLOOKUP(A132,'OI(Value)'!A132:O356,11,0)</f>
        <v>310</v>
      </c>
      <c r="S132" s="179">
        <f>VLOOKUP(A132,'OI(Value)'!A132:O356,11,0)</f>
        <v>310</v>
      </c>
    </row>
    <row r="133" spans="1:19" x14ac:dyDescent="0.25">
      <c r="A133" s="105" t="str">
        <f>'Data Vlaue (Cr)'!C128</f>
        <v>MANKIND</v>
      </c>
      <c r="B133" s="143">
        <f>VLOOKUP($A133,'Data shares'!$C:$FA,118)</f>
        <v>0.36</v>
      </c>
      <c r="C133" s="143">
        <f>VLOOKUP($A133,'Data shares'!$C:$FA,119)</f>
        <v>0.33</v>
      </c>
      <c r="D133" s="143">
        <f>VLOOKUP($A133,'Data shares'!$C:$FA,121)*100</f>
        <v>9.09</v>
      </c>
      <c r="E133" s="143">
        <f>VLOOKUP($A133,'Data shares'!$C:$FA,124)</f>
        <v>0.84</v>
      </c>
      <c r="F133" s="143">
        <f>VLOOKUP($A133,'Data shares'!$C:$FA,125)</f>
        <v>0.15</v>
      </c>
      <c r="G133" s="143">
        <f>VLOOKUP($A133,'Data shares'!$C:$FA,127)*100</f>
        <v>459.99999999999994</v>
      </c>
      <c r="H133" s="103">
        <f>VLOOKUP($A133,'OI(Volume)'!$A$7:$O$445,8)</f>
        <v>735750</v>
      </c>
      <c r="I133" s="103">
        <f>VLOOKUP($A133,'OI(Volume)'!$A$7:$O$445,9)</f>
        <v>-65475</v>
      </c>
      <c r="J133" s="103">
        <f>VLOOKUP($A133,'OI(Volume)'!$A$7:$O$445,11)</f>
        <v>266175</v>
      </c>
      <c r="K133" s="103">
        <f>VLOOKUP($A133,'OI(Volume)'!$A$7:$O$445,12)</f>
        <v>-675</v>
      </c>
      <c r="L133" s="103">
        <f>VLOOKUP($A133,'OI(Value)'!$A$7:$O$329,8,0)</f>
        <v>157</v>
      </c>
      <c r="M133" s="103">
        <f>VLOOKUP($A133,'OI(Value)'!$A$7:$O$329,9,0)</f>
        <v>-14</v>
      </c>
      <c r="N133" s="103">
        <f>VLOOKUP($A133,'OI(Value)'!$A$7:$O$329,11,0)</f>
        <v>57</v>
      </c>
      <c r="O133" s="103">
        <f>VLOOKUP($A133,'OI(Value)'!$A$7:$O$329,12,0)</f>
        <v>0</v>
      </c>
      <c r="P133" s="179">
        <f>VLOOKUP(A133,'OI(Value)'!A133:O357,8,0)</f>
        <v>157</v>
      </c>
      <c r="Q133" s="179">
        <f>VLOOKUP(A133,'OI(Value)'!A133:O357,9,0)</f>
        <v>-14</v>
      </c>
      <c r="R133" s="179">
        <f>VLOOKUP(A133,'OI(Value)'!A133:O357,11,0)</f>
        <v>57</v>
      </c>
      <c r="S133" s="179">
        <f>VLOOKUP(A133,'OI(Value)'!A133:O357,11,0)</f>
        <v>57</v>
      </c>
    </row>
    <row r="134" spans="1:19" x14ac:dyDescent="0.25">
      <c r="A134" s="105" t="str">
        <f>'Data Vlaue (Cr)'!C129</f>
        <v>MARICO</v>
      </c>
      <c r="B134" s="143">
        <f>VLOOKUP($A134,'Data shares'!$C:$FA,118)</f>
        <v>0.82</v>
      </c>
      <c r="C134" s="143">
        <f>VLOOKUP($A134,'Data shares'!$C:$FA,119)</f>
        <v>0.86</v>
      </c>
      <c r="D134" s="143">
        <f>VLOOKUP($A134,'Data shares'!$C:$FA,121)*100</f>
        <v>-4.6500000000000004</v>
      </c>
      <c r="E134" s="143">
        <f>VLOOKUP($A134,'Data shares'!$C:$FA,124)</f>
        <v>0.28999999999999998</v>
      </c>
      <c r="F134" s="143">
        <f>VLOOKUP($A134,'Data shares'!$C:$FA,125)</f>
        <v>0.27</v>
      </c>
      <c r="G134" s="143">
        <f>VLOOKUP($A134,'Data shares'!$C:$FA,127)*100</f>
        <v>7.41</v>
      </c>
      <c r="H134" s="103">
        <f>VLOOKUP($A134,'OI(Volume)'!$A$7:$O$445,8)</f>
        <v>4861200</v>
      </c>
      <c r="I134" s="103">
        <f>VLOOKUP($A134,'OI(Volume)'!$A$7:$O$445,9)</f>
        <v>160800</v>
      </c>
      <c r="J134" s="103">
        <f>VLOOKUP($A134,'OI(Volume)'!$A$7:$O$445,11)</f>
        <v>3987600</v>
      </c>
      <c r="K134" s="103">
        <f>VLOOKUP($A134,'OI(Volume)'!$A$7:$O$445,12)</f>
        <v>-36000</v>
      </c>
      <c r="L134" s="103">
        <f>VLOOKUP($A134,'OI(Value)'!$A$7:$O$329,8,0)</f>
        <v>369</v>
      </c>
      <c r="M134" s="103">
        <f>VLOOKUP($A134,'OI(Value)'!$A$7:$O$329,9,0)</f>
        <v>12</v>
      </c>
      <c r="N134" s="103">
        <f>VLOOKUP($A134,'OI(Value)'!$A$7:$O$329,11,0)</f>
        <v>303</v>
      </c>
      <c r="O134" s="103">
        <f>VLOOKUP($A134,'OI(Value)'!$A$7:$O$329,12,0)</f>
        <v>-3</v>
      </c>
      <c r="P134" s="179">
        <f>VLOOKUP(A134,'OI(Value)'!A134:O358,8,0)</f>
        <v>369</v>
      </c>
      <c r="Q134" s="179">
        <f>VLOOKUP(A134,'OI(Value)'!A134:O358,9,0)</f>
        <v>12</v>
      </c>
      <c r="R134" s="179">
        <f>VLOOKUP(A134,'OI(Value)'!A134:O358,11,0)</f>
        <v>303</v>
      </c>
      <c r="S134" s="179">
        <f>VLOOKUP(A134,'OI(Value)'!A134:O358,11,0)</f>
        <v>303</v>
      </c>
    </row>
    <row r="135" spans="1:19" x14ac:dyDescent="0.25">
      <c r="A135" s="105" t="str">
        <f>'Data Vlaue (Cr)'!C130</f>
        <v>MARUTI</v>
      </c>
      <c r="B135" s="143">
        <f>VLOOKUP($A135,'Data shares'!$C:$FA,118)</f>
        <v>0.61</v>
      </c>
      <c r="C135" s="143">
        <f>VLOOKUP($A135,'Data shares'!$C:$FA,119)</f>
        <v>0.59</v>
      </c>
      <c r="D135" s="143">
        <f>VLOOKUP($A135,'Data shares'!$C:$FA,121)*100</f>
        <v>3.39</v>
      </c>
      <c r="E135" s="143">
        <f>VLOOKUP($A135,'Data shares'!$C:$FA,124)</f>
        <v>0.55000000000000004</v>
      </c>
      <c r="F135" s="143">
        <f>VLOOKUP($A135,'Data shares'!$C:$FA,125)</f>
        <v>0.42</v>
      </c>
      <c r="G135" s="143">
        <f>VLOOKUP($A135,'Data shares'!$C:$FA,127)*100</f>
        <v>30.95</v>
      </c>
      <c r="H135" s="103">
        <f>VLOOKUP($A135,'OI(Volume)'!$A$7:$O$445,8)</f>
        <v>2063350</v>
      </c>
      <c r="I135" s="103">
        <f>VLOOKUP($A135,'OI(Volume)'!$A$7:$O$445,9)</f>
        <v>-39850</v>
      </c>
      <c r="J135" s="103">
        <f>VLOOKUP($A135,'OI(Volume)'!$A$7:$O$445,11)</f>
        <v>1252350</v>
      </c>
      <c r="K135" s="103">
        <f>VLOOKUP($A135,'OI(Volume)'!$A$7:$O$445,12)</f>
        <v>6600</v>
      </c>
      <c r="L135" s="103">
        <f>VLOOKUP($A135,'OI(Value)'!$A$7:$O$329,8,0)</f>
        <v>2774</v>
      </c>
      <c r="M135" s="103">
        <f>VLOOKUP($A135,'OI(Value)'!$A$7:$O$329,9,0)</f>
        <v>-54</v>
      </c>
      <c r="N135" s="103">
        <f>VLOOKUP($A135,'OI(Value)'!$A$7:$O$329,11,0)</f>
        <v>1683</v>
      </c>
      <c r="O135" s="103">
        <f>VLOOKUP($A135,'OI(Value)'!$A$7:$O$329,12,0)</f>
        <v>9</v>
      </c>
      <c r="P135" s="179">
        <f>VLOOKUP(A135,'OI(Value)'!A135:O359,8,0)</f>
        <v>2774</v>
      </c>
      <c r="Q135" s="179">
        <f>VLOOKUP(A135,'OI(Value)'!A135:O359,9,0)</f>
        <v>-54</v>
      </c>
      <c r="R135" s="179">
        <f>VLOOKUP(A135,'OI(Value)'!A135:O359,11,0)</f>
        <v>1683</v>
      </c>
      <c r="S135" s="179">
        <f>VLOOKUP(A135,'OI(Value)'!A135:O359,11,0)</f>
        <v>1683</v>
      </c>
    </row>
    <row r="136" spans="1:19" x14ac:dyDescent="0.25">
      <c r="A136" s="105" t="str">
        <f>'Data Vlaue (Cr)'!C131</f>
        <v>MAXHEALTH</v>
      </c>
      <c r="B136" s="143">
        <f>VLOOKUP($A136,'Data shares'!$C:$FA,118)</f>
        <v>0.57999999999999996</v>
      </c>
      <c r="C136" s="143">
        <f>VLOOKUP($A136,'Data shares'!$C:$FA,119)</f>
        <v>0.56000000000000005</v>
      </c>
      <c r="D136" s="143">
        <f>VLOOKUP($A136,'Data shares'!$C:$FA,121)*100</f>
        <v>3.5700000000000003</v>
      </c>
      <c r="E136" s="143">
        <f>VLOOKUP($A136,'Data shares'!$C:$FA,124)</f>
        <v>0.39</v>
      </c>
      <c r="F136" s="143">
        <f>VLOOKUP($A136,'Data shares'!$C:$FA,125)</f>
        <v>0.35</v>
      </c>
      <c r="G136" s="143">
        <f>VLOOKUP($A136,'Data shares'!$C:$FA,127)*100</f>
        <v>11.43</v>
      </c>
      <c r="H136" s="103">
        <f>VLOOKUP($A136,'OI(Volume)'!$A$7:$O$445,8)</f>
        <v>4200525</v>
      </c>
      <c r="I136" s="103">
        <f>VLOOKUP($A136,'OI(Volume)'!$A$7:$O$445,9)</f>
        <v>-179025</v>
      </c>
      <c r="J136" s="103">
        <f>VLOOKUP($A136,'OI(Volume)'!$A$7:$O$445,11)</f>
        <v>2440200</v>
      </c>
      <c r="K136" s="103">
        <f>VLOOKUP($A136,'OI(Volume)'!$A$7:$O$445,12)</f>
        <v>-525</v>
      </c>
      <c r="L136" s="103">
        <f>VLOOKUP($A136,'OI(Value)'!$A$7:$O$329,8,0)</f>
        <v>424</v>
      </c>
      <c r="M136" s="103">
        <f>VLOOKUP($A136,'OI(Value)'!$A$7:$O$329,9,0)</f>
        <v>-18</v>
      </c>
      <c r="N136" s="103">
        <f>VLOOKUP($A136,'OI(Value)'!$A$7:$O$329,11,0)</f>
        <v>246</v>
      </c>
      <c r="O136" s="103">
        <f>VLOOKUP($A136,'OI(Value)'!$A$7:$O$329,12,0)</f>
        <v>0</v>
      </c>
      <c r="P136" s="179">
        <f>VLOOKUP(A136,'OI(Value)'!A136:O360,8,0)</f>
        <v>424</v>
      </c>
      <c r="Q136" s="179">
        <f>VLOOKUP(A136,'OI(Value)'!A136:O360,9,0)</f>
        <v>-18</v>
      </c>
      <c r="R136" s="179">
        <f>VLOOKUP(A136,'OI(Value)'!A136:O360,11,0)</f>
        <v>246</v>
      </c>
      <c r="S136" s="179">
        <f>VLOOKUP(A136,'OI(Value)'!A136:O360,11,0)</f>
        <v>246</v>
      </c>
    </row>
    <row r="137" spans="1:19" x14ac:dyDescent="0.25">
      <c r="A137" s="105" t="str">
        <f>'Data Vlaue (Cr)'!C132</f>
        <v>MAZDOCK</v>
      </c>
      <c r="B137" s="143">
        <f>VLOOKUP($A137,'Data shares'!$C:$FA,118)</f>
        <v>0.8</v>
      </c>
      <c r="C137" s="143">
        <f>VLOOKUP($A137,'Data shares'!$C:$FA,119)</f>
        <v>0.73</v>
      </c>
      <c r="D137" s="143">
        <f>VLOOKUP($A137,'Data shares'!$C:$FA,121)*100</f>
        <v>9.59</v>
      </c>
      <c r="E137" s="143">
        <f>VLOOKUP($A137,'Data shares'!$C:$FA,124)</f>
        <v>0.35</v>
      </c>
      <c r="F137" s="143">
        <f>VLOOKUP($A137,'Data shares'!$C:$FA,125)</f>
        <v>0.32</v>
      </c>
      <c r="G137" s="143">
        <f>VLOOKUP($A137,'Data shares'!$C:$FA,127)*100</f>
        <v>9.370000000000001</v>
      </c>
      <c r="H137" s="103">
        <f>VLOOKUP($A137,'OI(Volume)'!$A$7:$O$445,8)</f>
        <v>3737400</v>
      </c>
      <c r="I137" s="103">
        <f>VLOOKUP($A137,'OI(Volume)'!$A$7:$O$445,9)</f>
        <v>171200</v>
      </c>
      <c r="J137" s="103">
        <f>VLOOKUP($A137,'OI(Volume)'!$A$7:$O$445,11)</f>
        <v>2994000</v>
      </c>
      <c r="K137" s="103">
        <f>VLOOKUP($A137,'OI(Volume)'!$A$7:$O$445,12)</f>
        <v>380000</v>
      </c>
      <c r="L137" s="103">
        <f>VLOOKUP($A137,'OI(Value)'!$A$7:$O$329,8,0)</f>
        <v>981</v>
      </c>
      <c r="M137" s="103">
        <f>VLOOKUP($A137,'OI(Value)'!$A$7:$O$329,9,0)</f>
        <v>45</v>
      </c>
      <c r="N137" s="103">
        <f>VLOOKUP($A137,'OI(Value)'!$A$7:$O$329,11,0)</f>
        <v>786</v>
      </c>
      <c r="O137" s="103">
        <f>VLOOKUP($A137,'OI(Value)'!$A$7:$O$329,12,0)</f>
        <v>100</v>
      </c>
      <c r="P137" s="179">
        <f>VLOOKUP(A137,'OI(Value)'!A137:O361,8,0)</f>
        <v>981</v>
      </c>
      <c r="Q137" s="179">
        <f>VLOOKUP(A137,'OI(Value)'!A137:O361,9,0)</f>
        <v>45</v>
      </c>
      <c r="R137" s="179">
        <f>VLOOKUP(A137,'OI(Value)'!A137:O361,11,0)</f>
        <v>786</v>
      </c>
      <c r="S137" s="179">
        <f>VLOOKUP(A137,'OI(Value)'!A137:O361,11,0)</f>
        <v>786</v>
      </c>
    </row>
    <row r="138" spans="1:19" x14ac:dyDescent="0.25">
      <c r="A138" s="105" t="str">
        <f>'Data Vlaue (Cr)'!C133</f>
        <v>MCX</v>
      </c>
      <c r="B138" s="143">
        <f>VLOOKUP($A138,'Data shares'!$C:$FA,118)</f>
        <v>0.91</v>
      </c>
      <c r="C138" s="143">
        <f>VLOOKUP($A138,'Data shares'!$C:$FA,119)</f>
        <v>0.91</v>
      </c>
      <c r="D138" s="143">
        <f>VLOOKUP($A138,'Data shares'!$C:$FA,121)*100</f>
        <v>0</v>
      </c>
      <c r="E138" s="143">
        <f>VLOOKUP($A138,'Data shares'!$C:$FA,124)</f>
        <v>0.6</v>
      </c>
      <c r="F138" s="143">
        <f>VLOOKUP($A138,'Data shares'!$C:$FA,125)</f>
        <v>0.73</v>
      </c>
      <c r="G138" s="143">
        <f>VLOOKUP($A138,'Data shares'!$C:$FA,127)*100</f>
        <v>-17.810000000000002</v>
      </c>
      <c r="H138" s="103">
        <f>VLOOKUP($A138,'OI(Volume)'!$A$7:$O$445,8)</f>
        <v>8927500</v>
      </c>
      <c r="I138" s="103">
        <f>VLOOKUP($A138,'OI(Volume)'!$A$7:$O$445,9)</f>
        <v>165625</v>
      </c>
      <c r="J138" s="103">
        <f>VLOOKUP($A138,'OI(Volume)'!$A$7:$O$445,11)</f>
        <v>8143125</v>
      </c>
      <c r="K138" s="103">
        <f>VLOOKUP($A138,'OI(Volume)'!$A$7:$O$445,12)</f>
        <v>171875</v>
      </c>
      <c r="L138" s="103">
        <f>VLOOKUP($A138,'OI(Value)'!$A$7:$O$329,8,0)</f>
        <v>2552</v>
      </c>
      <c r="M138" s="103">
        <f>VLOOKUP($A138,'OI(Value)'!$A$7:$O$329,9,0)</f>
        <v>47</v>
      </c>
      <c r="N138" s="103">
        <f>VLOOKUP($A138,'OI(Value)'!$A$7:$O$329,11,0)</f>
        <v>2328</v>
      </c>
      <c r="O138" s="103">
        <f>VLOOKUP($A138,'OI(Value)'!$A$7:$O$329,12,0)</f>
        <v>49</v>
      </c>
      <c r="P138" s="179">
        <f>VLOOKUP(A138,'OI(Value)'!A138:O362,8,0)</f>
        <v>2552</v>
      </c>
      <c r="Q138" s="179">
        <f>VLOOKUP(A138,'OI(Value)'!A138:O362,9,0)</f>
        <v>47</v>
      </c>
      <c r="R138" s="179">
        <f>VLOOKUP(A138,'OI(Value)'!A138:O362,11,0)</f>
        <v>2328</v>
      </c>
      <c r="S138" s="179">
        <f>VLOOKUP(A138,'OI(Value)'!A138:O362,11,0)</f>
        <v>2328</v>
      </c>
    </row>
    <row r="139" spans="1:19" x14ac:dyDescent="0.25">
      <c r="A139" s="105" t="str">
        <f>'Data Vlaue (Cr)'!C134</f>
        <v>MFSL</v>
      </c>
      <c r="B139" s="143">
        <f>VLOOKUP($A139,'Data shares'!$C:$FA,118)</f>
        <v>0.61</v>
      </c>
      <c r="C139" s="143">
        <f>VLOOKUP($A139,'Data shares'!$C:$FA,119)</f>
        <v>0.61</v>
      </c>
      <c r="D139" s="143">
        <f>VLOOKUP($A139,'Data shares'!$C:$FA,121)*100</f>
        <v>0</v>
      </c>
      <c r="E139" s="143">
        <f>VLOOKUP($A139,'Data shares'!$C:$FA,124)</f>
        <v>0.69</v>
      </c>
      <c r="F139" s="143">
        <f>VLOOKUP($A139,'Data shares'!$C:$FA,125)</f>
        <v>0.81</v>
      </c>
      <c r="G139" s="143">
        <f>VLOOKUP($A139,'Data shares'!$C:$FA,127)*100</f>
        <v>-14.81</v>
      </c>
      <c r="H139" s="103">
        <f>VLOOKUP($A139,'OI(Volume)'!$A$7:$O$445,8)</f>
        <v>1020800</v>
      </c>
      <c r="I139" s="103">
        <f>VLOOKUP($A139,'OI(Volume)'!$A$7:$O$445,9)</f>
        <v>15200</v>
      </c>
      <c r="J139" s="103">
        <f>VLOOKUP($A139,'OI(Volume)'!$A$7:$O$445,11)</f>
        <v>625200</v>
      </c>
      <c r="K139" s="103">
        <f>VLOOKUP($A139,'OI(Volume)'!$A$7:$O$445,12)</f>
        <v>11200</v>
      </c>
      <c r="L139" s="103">
        <f>VLOOKUP($A139,'OI(Value)'!$A$7:$O$329,8,0)</f>
        <v>172</v>
      </c>
      <c r="M139" s="103">
        <f>VLOOKUP($A139,'OI(Value)'!$A$7:$O$329,9,0)</f>
        <v>3</v>
      </c>
      <c r="N139" s="103">
        <f>VLOOKUP($A139,'OI(Value)'!$A$7:$O$329,11,0)</f>
        <v>105</v>
      </c>
      <c r="O139" s="103">
        <f>VLOOKUP($A139,'OI(Value)'!$A$7:$O$329,12,0)</f>
        <v>2</v>
      </c>
      <c r="P139" s="179">
        <f>VLOOKUP(A139,'OI(Value)'!A139:O363,8,0)</f>
        <v>172</v>
      </c>
      <c r="Q139" s="179">
        <f>VLOOKUP(A139,'OI(Value)'!A139:O363,9,0)</f>
        <v>3</v>
      </c>
      <c r="R139" s="179">
        <f>VLOOKUP(A139,'OI(Value)'!A139:O363,11,0)</f>
        <v>105</v>
      </c>
      <c r="S139" s="179">
        <f>VLOOKUP(A139,'OI(Value)'!A139:O363,11,0)</f>
        <v>105</v>
      </c>
    </row>
    <row r="140" spans="1:19" x14ac:dyDescent="0.25">
      <c r="A140" s="105" t="str">
        <f>'Data Vlaue (Cr)'!C135</f>
        <v>MIDCPNIFTY</v>
      </c>
      <c r="B140" s="143">
        <f>VLOOKUP($A140,'Data shares'!$C:$FA,118)</f>
        <v>1.23</v>
      </c>
      <c r="C140" s="143">
        <f>VLOOKUP($A140,'Data shares'!$C:$FA,119)</f>
        <v>1.21</v>
      </c>
      <c r="D140" s="143">
        <f>VLOOKUP($A140,'Data shares'!$C:$FA,121)*100</f>
        <v>1.6500000000000001</v>
      </c>
      <c r="E140" s="143">
        <f>VLOOKUP($A140,'Data shares'!$C:$FA,124)</f>
        <v>0.89</v>
      </c>
      <c r="F140" s="143">
        <f>VLOOKUP($A140,'Data shares'!$C:$FA,125)</f>
        <v>1.32</v>
      </c>
      <c r="G140" s="143">
        <f>VLOOKUP($A140,'Data shares'!$C:$FA,127)*100</f>
        <v>-32.58</v>
      </c>
      <c r="H140" s="103">
        <f>VLOOKUP($A140,'OI(Volume)'!$A$7:$O$445,8)</f>
        <v>5916240</v>
      </c>
      <c r="I140" s="103">
        <f>VLOOKUP($A140,'OI(Volume)'!$A$7:$O$445,9)</f>
        <v>-38520</v>
      </c>
      <c r="J140" s="103">
        <f>VLOOKUP($A140,'OI(Volume)'!$A$7:$O$445,11)</f>
        <v>7288920</v>
      </c>
      <c r="K140" s="103">
        <f>VLOOKUP($A140,'OI(Volume)'!$A$7:$O$445,12)</f>
        <v>59880</v>
      </c>
      <c r="L140" s="103">
        <f>VLOOKUP($A140,'OI(Value)'!$A$7:$O$329,8,0)</f>
        <v>8156</v>
      </c>
      <c r="M140" s="103">
        <f>VLOOKUP($A140,'OI(Value)'!$A$7:$O$329,9,0)</f>
        <v>-53</v>
      </c>
      <c r="N140" s="103">
        <f>VLOOKUP($A140,'OI(Value)'!$A$7:$O$329,11,0)</f>
        <v>10048</v>
      </c>
      <c r="O140" s="103">
        <f>VLOOKUP($A140,'OI(Value)'!$A$7:$O$329,12,0)</f>
        <v>83</v>
      </c>
      <c r="P140" s="179">
        <f>VLOOKUP(A140,'OI(Value)'!A140:O364,8,0)</f>
        <v>8156</v>
      </c>
      <c r="Q140" s="179">
        <f>VLOOKUP(A140,'OI(Value)'!A140:O364,9,0)</f>
        <v>-53</v>
      </c>
      <c r="R140" s="179">
        <f>VLOOKUP(A140,'OI(Value)'!A140:O364,11,0)</f>
        <v>10048</v>
      </c>
      <c r="S140" s="179">
        <f>VLOOKUP(A140,'OI(Value)'!A140:O364,11,0)</f>
        <v>10048</v>
      </c>
    </row>
    <row r="141" spans="1:19" x14ac:dyDescent="0.25">
      <c r="A141" s="105" t="str">
        <f>'Data Vlaue (Cr)'!C136</f>
        <v>MOTHERSON</v>
      </c>
      <c r="B141" s="143">
        <f>VLOOKUP($A141,'Data shares'!$C:$FA,118)</f>
        <v>0.92</v>
      </c>
      <c r="C141" s="143">
        <f>VLOOKUP($A141,'Data shares'!$C:$FA,119)</f>
        <v>0.89</v>
      </c>
      <c r="D141" s="143">
        <f>VLOOKUP($A141,'Data shares'!$C:$FA,121)*100</f>
        <v>3.37</v>
      </c>
      <c r="E141" s="143">
        <f>VLOOKUP($A141,'Data shares'!$C:$FA,124)</f>
        <v>0.9</v>
      </c>
      <c r="F141" s="143">
        <f>VLOOKUP($A141,'Data shares'!$C:$FA,125)</f>
        <v>1.01</v>
      </c>
      <c r="G141" s="143">
        <f>VLOOKUP($A141,'Data shares'!$C:$FA,127)*100</f>
        <v>-10.89</v>
      </c>
      <c r="H141" s="103">
        <f>VLOOKUP($A141,'OI(Volume)'!$A$7:$O$445,8)</f>
        <v>39458400</v>
      </c>
      <c r="I141" s="103">
        <f>VLOOKUP($A141,'OI(Volume)'!$A$7:$O$445,9)</f>
        <v>996300</v>
      </c>
      <c r="J141" s="103">
        <f>VLOOKUP($A141,'OI(Volume)'!$A$7:$O$445,11)</f>
        <v>36475650</v>
      </c>
      <c r="K141" s="103">
        <f>VLOOKUP($A141,'OI(Volume)'!$A$7:$O$445,12)</f>
        <v>2416950</v>
      </c>
      <c r="L141" s="103">
        <f>VLOOKUP($A141,'OI(Value)'!$A$7:$O$329,8,0)</f>
        <v>487</v>
      </c>
      <c r="M141" s="103">
        <f>VLOOKUP($A141,'OI(Value)'!$A$7:$O$329,9,0)</f>
        <v>12</v>
      </c>
      <c r="N141" s="103">
        <f>VLOOKUP($A141,'OI(Value)'!$A$7:$O$329,11,0)</f>
        <v>450</v>
      </c>
      <c r="O141" s="103">
        <f>VLOOKUP($A141,'OI(Value)'!$A$7:$O$329,12,0)</f>
        <v>30</v>
      </c>
      <c r="P141" s="179">
        <f>VLOOKUP(A141,'OI(Value)'!A141:O365,8,0)</f>
        <v>487</v>
      </c>
      <c r="Q141" s="179">
        <f>VLOOKUP(A141,'OI(Value)'!A141:O365,9,0)</f>
        <v>12</v>
      </c>
      <c r="R141" s="179">
        <f>VLOOKUP(A141,'OI(Value)'!A141:O365,11,0)</f>
        <v>450</v>
      </c>
      <c r="S141" s="179">
        <f>VLOOKUP(A141,'OI(Value)'!A141:O365,11,0)</f>
        <v>450</v>
      </c>
    </row>
    <row r="142" spans="1:19" x14ac:dyDescent="0.25">
      <c r="A142" s="105" t="str">
        <f>'Data Vlaue (Cr)'!C137</f>
        <v>MOTILALOFS</v>
      </c>
      <c r="B142" s="143">
        <f>VLOOKUP($A142,'Data shares'!$C:$FA,118)</f>
        <v>0.72</v>
      </c>
      <c r="C142" s="143">
        <f>VLOOKUP($A142,'Data shares'!$C:$FA,119)</f>
        <v>0.78</v>
      </c>
      <c r="D142" s="143">
        <f>VLOOKUP($A142,'Data shares'!$C:$FA,121)*100</f>
        <v>-7.6899999999999995</v>
      </c>
      <c r="E142" s="143">
        <f>VLOOKUP($A142,'Data shares'!$C:$FA,124)</f>
        <v>0.49</v>
      </c>
      <c r="F142" s="143">
        <f>VLOOKUP($A142,'Data shares'!$C:$FA,125)</f>
        <v>0.23</v>
      </c>
      <c r="G142" s="143">
        <f>VLOOKUP($A142,'Data shares'!$C:$FA,127)*100</f>
        <v>113.04</v>
      </c>
      <c r="H142" s="103">
        <f>VLOOKUP($A142,'OI(Volume)'!$A$7:$O$445,8)</f>
        <v>1937500</v>
      </c>
      <c r="I142" s="103">
        <f>VLOOKUP($A142,'OI(Volume)'!$A$7:$O$445,9)</f>
        <v>358825</v>
      </c>
      <c r="J142" s="103">
        <f>VLOOKUP($A142,'OI(Volume)'!$A$7:$O$445,11)</f>
        <v>1398875</v>
      </c>
      <c r="K142" s="103">
        <f>VLOOKUP($A142,'OI(Volume)'!$A$7:$O$445,12)</f>
        <v>164300</v>
      </c>
      <c r="L142" s="103">
        <f>VLOOKUP($A142,'OI(Value)'!$A$7:$O$329,8,0)</f>
        <v>156</v>
      </c>
      <c r="M142" s="103">
        <f>VLOOKUP($A142,'OI(Value)'!$A$7:$O$329,9,0)</f>
        <v>29</v>
      </c>
      <c r="N142" s="103">
        <f>VLOOKUP($A142,'OI(Value)'!$A$7:$O$329,11,0)</f>
        <v>113</v>
      </c>
      <c r="O142" s="103">
        <f>VLOOKUP($A142,'OI(Value)'!$A$7:$O$329,12,0)</f>
        <v>13</v>
      </c>
      <c r="P142" s="179">
        <f>VLOOKUP(A142,'OI(Value)'!A142:O366,8,0)</f>
        <v>156</v>
      </c>
      <c r="Q142" s="179">
        <f>VLOOKUP(A142,'OI(Value)'!A142:O366,9,0)</f>
        <v>29</v>
      </c>
      <c r="R142" s="179">
        <f>VLOOKUP(A142,'OI(Value)'!A142:O366,11,0)</f>
        <v>113</v>
      </c>
      <c r="S142" s="179">
        <f>VLOOKUP(A142,'OI(Value)'!A142:O366,11,0)</f>
        <v>113</v>
      </c>
    </row>
    <row r="143" spans="1:19" x14ac:dyDescent="0.25">
      <c r="A143" s="105" t="str">
        <f>'Data Vlaue (Cr)'!C138</f>
        <v>MPHASIS</v>
      </c>
      <c r="B143" s="143">
        <f>VLOOKUP($A143,'Data shares'!$C:$FA,118)</f>
        <v>0.76</v>
      </c>
      <c r="C143" s="143">
        <f>VLOOKUP($A143,'Data shares'!$C:$FA,119)</f>
        <v>0.78</v>
      </c>
      <c r="D143" s="143">
        <f>VLOOKUP($A143,'Data shares'!$C:$FA,121)*100</f>
        <v>-2.56</v>
      </c>
      <c r="E143" s="143">
        <f>VLOOKUP($A143,'Data shares'!$C:$FA,124)</f>
        <v>0.66</v>
      </c>
      <c r="F143" s="143">
        <f>VLOOKUP($A143,'Data shares'!$C:$FA,125)</f>
        <v>0.76</v>
      </c>
      <c r="G143" s="143">
        <f>VLOOKUP($A143,'Data shares'!$C:$FA,127)*100</f>
        <v>-13.16</v>
      </c>
      <c r="H143" s="103">
        <f>VLOOKUP($A143,'OI(Volume)'!$A$7:$O$445,8)</f>
        <v>1162150</v>
      </c>
      <c r="I143" s="103">
        <f>VLOOKUP($A143,'OI(Volume)'!$A$7:$O$445,9)</f>
        <v>-25025</v>
      </c>
      <c r="J143" s="103">
        <f>VLOOKUP($A143,'OI(Volume)'!$A$7:$O$445,11)</f>
        <v>878075</v>
      </c>
      <c r="K143" s="103">
        <f>VLOOKUP($A143,'OI(Volume)'!$A$7:$O$445,12)</f>
        <v>-45925</v>
      </c>
      <c r="L143" s="103">
        <f>VLOOKUP($A143,'OI(Value)'!$A$7:$O$329,8,0)</f>
        <v>281</v>
      </c>
      <c r="M143" s="103">
        <f>VLOOKUP($A143,'OI(Value)'!$A$7:$O$329,9,0)</f>
        <v>-6</v>
      </c>
      <c r="N143" s="103">
        <f>VLOOKUP($A143,'OI(Value)'!$A$7:$O$329,11,0)</f>
        <v>212</v>
      </c>
      <c r="O143" s="103">
        <f>VLOOKUP($A143,'OI(Value)'!$A$7:$O$329,12,0)</f>
        <v>-11</v>
      </c>
      <c r="P143" s="179">
        <f>VLOOKUP(A143,'OI(Value)'!A143:O367,8,0)</f>
        <v>281</v>
      </c>
      <c r="Q143" s="179">
        <f>VLOOKUP(A143,'OI(Value)'!A143:O367,9,0)</f>
        <v>-6</v>
      </c>
      <c r="R143" s="179">
        <f>VLOOKUP(A143,'OI(Value)'!A143:O367,11,0)</f>
        <v>212</v>
      </c>
      <c r="S143" s="179">
        <f>VLOOKUP(A143,'OI(Value)'!A143:O367,11,0)</f>
        <v>212</v>
      </c>
    </row>
    <row r="144" spans="1:19" x14ac:dyDescent="0.25">
      <c r="A144" s="105" t="str">
        <f>'Data Vlaue (Cr)'!C139</f>
        <v>MUTHOOTFIN</v>
      </c>
      <c r="B144" s="143">
        <f>VLOOKUP($A144,'Data shares'!$C:$FA,118)</f>
        <v>0.57999999999999996</v>
      </c>
      <c r="C144" s="143">
        <f>VLOOKUP($A144,'Data shares'!$C:$FA,119)</f>
        <v>0.61</v>
      </c>
      <c r="D144" s="143">
        <f>VLOOKUP($A144,'Data shares'!$C:$FA,121)*100</f>
        <v>-4.92</v>
      </c>
      <c r="E144" s="143">
        <f>VLOOKUP($A144,'Data shares'!$C:$FA,124)</f>
        <v>0.45</v>
      </c>
      <c r="F144" s="143">
        <f>VLOOKUP($A144,'Data shares'!$C:$FA,125)</f>
        <v>0.51</v>
      </c>
      <c r="G144" s="143">
        <f>VLOOKUP($A144,'Data shares'!$C:$FA,127)*100</f>
        <v>-11.76</v>
      </c>
      <c r="H144" s="103">
        <f>VLOOKUP($A144,'OI(Volume)'!$A$7:$O$445,8)</f>
        <v>2406250</v>
      </c>
      <c r="I144" s="103">
        <f>VLOOKUP($A144,'OI(Volume)'!$A$7:$O$445,9)</f>
        <v>47300</v>
      </c>
      <c r="J144" s="103">
        <f>VLOOKUP($A144,'OI(Volume)'!$A$7:$O$445,11)</f>
        <v>1384625</v>
      </c>
      <c r="K144" s="103">
        <f>VLOOKUP($A144,'OI(Volume)'!$A$7:$O$445,12)</f>
        <v>-53900</v>
      </c>
      <c r="L144" s="103">
        <f>VLOOKUP($A144,'OI(Value)'!$A$7:$O$329,8,0)</f>
        <v>852</v>
      </c>
      <c r="M144" s="103">
        <f>VLOOKUP($A144,'OI(Value)'!$A$7:$O$329,9,0)</f>
        <v>17</v>
      </c>
      <c r="N144" s="103">
        <f>VLOOKUP($A144,'OI(Value)'!$A$7:$O$329,11,0)</f>
        <v>490</v>
      </c>
      <c r="O144" s="103">
        <f>VLOOKUP($A144,'OI(Value)'!$A$7:$O$329,12,0)</f>
        <v>-19</v>
      </c>
      <c r="P144" s="179">
        <f>VLOOKUP(A144,'OI(Value)'!A144:O368,8,0)</f>
        <v>852</v>
      </c>
      <c r="Q144" s="179">
        <f>VLOOKUP(A144,'OI(Value)'!A144:O368,9,0)</f>
        <v>17</v>
      </c>
      <c r="R144" s="179">
        <f>VLOOKUP(A144,'OI(Value)'!A144:O368,11,0)</f>
        <v>490</v>
      </c>
      <c r="S144" s="179">
        <f>VLOOKUP(A144,'OI(Value)'!A144:O368,11,0)</f>
        <v>490</v>
      </c>
    </row>
    <row r="145" spans="1:19" x14ac:dyDescent="0.25">
      <c r="A145" s="105" t="str">
        <f>'Data Vlaue (Cr)'!C140</f>
        <v>NAM-INDIA</v>
      </c>
      <c r="B145" s="143">
        <f>VLOOKUP($A145,'Data shares'!$C:$FA,118)</f>
        <v>0.65</v>
      </c>
      <c r="C145" s="143">
        <f>VLOOKUP($A145,'Data shares'!$C:$FA,119)</f>
        <v>0.73</v>
      </c>
      <c r="D145" s="143">
        <f>VLOOKUP($A145,'Data shares'!$C:$FA,121)*100</f>
        <v>-10.96</v>
      </c>
      <c r="E145" s="143">
        <f>VLOOKUP($A145,'Data shares'!$C:$FA,124)</f>
        <v>0.28000000000000003</v>
      </c>
      <c r="F145" s="143">
        <f>VLOOKUP($A145,'Data shares'!$C:$FA,125)</f>
        <v>0.26</v>
      </c>
      <c r="G145" s="143">
        <f>VLOOKUP($A145,'Data shares'!$C:$FA,127)*100</f>
        <v>7.6899999999999995</v>
      </c>
      <c r="H145" s="103">
        <f>VLOOKUP($A145,'OI(Volume)'!$A$7:$O$445,8)</f>
        <v>764375</v>
      </c>
      <c r="I145" s="103">
        <f>VLOOKUP($A145,'OI(Volume)'!$A$7:$O$445,9)</f>
        <v>34375</v>
      </c>
      <c r="J145" s="103">
        <f>VLOOKUP($A145,'OI(Volume)'!$A$7:$O$445,11)</f>
        <v>500000</v>
      </c>
      <c r="K145" s="103">
        <f>VLOOKUP($A145,'OI(Volume)'!$A$7:$O$445,12)</f>
        <v>-29375</v>
      </c>
      <c r="L145" s="103">
        <f>VLOOKUP($A145,'OI(Value)'!$A$7:$O$329,8,0)</f>
        <v>77</v>
      </c>
      <c r="M145" s="103">
        <f>VLOOKUP($A145,'OI(Value)'!$A$7:$O$329,9,0)</f>
        <v>3</v>
      </c>
      <c r="N145" s="103">
        <f>VLOOKUP($A145,'OI(Value)'!$A$7:$O$329,11,0)</f>
        <v>50</v>
      </c>
      <c r="O145" s="103">
        <f>VLOOKUP($A145,'OI(Value)'!$A$7:$O$329,12,0)</f>
        <v>-3</v>
      </c>
      <c r="P145" s="179">
        <f>VLOOKUP(A145,'OI(Value)'!A145:O369,8,0)</f>
        <v>77</v>
      </c>
      <c r="Q145" s="179">
        <f>VLOOKUP(A145,'OI(Value)'!A145:O369,9,0)</f>
        <v>3</v>
      </c>
      <c r="R145" s="179">
        <f>VLOOKUP(A145,'OI(Value)'!A145:O369,11,0)</f>
        <v>50</v>
      </c>
      <c r="S145" s="179">
        <f>VLOOKUP(A145,'OI(Value)'!A145:O369,11,0)</f>
        <v>50</v>
      </c>
    </row>
    <row r="146" spans="1:19" x14ac:dyDescent="0.25">
      <c r="A146" s="105" t="str">
        <f>'Data Vlaue (Cr)'!C141</f>
        <v>NATIONALUM</v>
      </c>
      <c r="B146" s="143">
        <f>VLOOKUP($A146,'Data shares'!$C:$FA,118)</f>
        <v>0.91</v>
      </c>
      <c r="C146" s="143">
        <f>VLOOKUP($A146,'Data shares'!$C:$FA,119)</f>
        <v>1</v>
      </c>
      <c r="D146" s="143">
        <f>VLOOKUP($A146,'Data shares'!$C:$FA,121)*100</f>
        <v>-9</v>
      </c>
      <c r="E146" s="143">
        <f>VLOOKUP($A146,'Data shares'!$C:$FA,124)</f>
        <v>0.59</v>
      </c>
      <c r="F146" s="143">
        <f>VLOOKUP($A146,'Data shares'!$C:$FA,125)</f>
        <v>0.55000000000000004</v>
      </c>
      <c r="G146" s="143">
        <f>VLOOKUP($A146,'Data shares'!$C:$FA,127)*100</f>
        <v>7.2700000000000005</v>
      </c>
      <c r="H146" s="103">
        <f>VLOOKUP($A146,'OI(Volume)'!$A$7:$O$445,8)</f>
        <v>36273750</v>
      </c>
      <c r="I146" s="103">
        <f>VLOOKUP($A146,'OI(Volume)'!$A$7:$O$445,9)</f>
        <v>2175000</v>
      </c>
      <c r="J146" s="103">
        <f>VLOOKUP($A146,'OI(Volume)'!$A$7:$O$445,11)</f>
        <v>33112500</v>
      </c>
      <c r="K146" s="103">
        <f>VLOOKUP($A146,'OI(Volume)'!$A$7:$O$445,12)</f>
        <v>-933750</v>
      </c>
      <c r="L146" s="103">
        <f>VLOOKUP($A146,'OI(Value)'!$A$7:$O$329,8,0)</f>
        <v>1549</v>
      </c>
      <c r="M146" s="103">
        <f>VLOOKUP($A146,'OI(Value)'!$A$7:$O$329,9,0)</f>
        <v>93</v>
      </c>
      <c r="N146" s="103">
        <f>VLOOKUP($A146,'OI(Value)'!$A$7:$O$329,11,0)</f>
        <v>1414</v>
      </c>
      <c r="O146" s="103">
        <f>VLOOKUP($A146,'OI(Value)'!$A$7:$O$329,12,0)</f>
        <v>-40</v>
      </c>
      <c r="P146" s="179">
        <f>VLOOKUP(A146,'OI(Value)'!A146:O370,8,0)</f>
        <v>1549</v>
      </c>
      <c r="Q146" s="179">
        <f>VLOOKUP(A146,'OI(Value)'!A146:O370,9,0)</f>
        <v>93</v>
      </c>
      <c r="R146" s="179">
        <f>VLOOKUP(A146,'OI(Value)'!A146:O370,11,0)</f>
        <v>1414</v>
      </c>
      <c r="S146" s="179">
        <f>VLOOKUP(A146,'OI(Value)'!A146:O370,11,0)</f>
        <v>1414</v>
      </c>
    </row>
    <row r="147" spans="1:19" x14ac:dyDescent="0.25">
      <c r="A147" s="105" t="str">
        <f>'Data Vlaue (Cr)'!C142</f>
        <v>NAUKRI</v>
      </c>
      <c r="B147" s="143">
        <f>VLOOKUP($A147,'Data shares'!$C:$FA,118)</f>
        <v>0.44</v>
      </c>
      <c r="C147" s="143">
        <f>VLOOKUP($A147,'Data shares'!$C:$FA,119)</f>
        <v>0.43</v>
      </c>
      <c r="D147" s="143">
        <f>VLOOKUP($A147,'Data shares'!$C:$FA,121)*100</f>
        <v>2.33</v>
      </c>
      <c r="E147" s="143">
        <f>VLOOKUP($A147,'Data shares'!$C:$FA,124)</f>
        <v>0.24</v>
      </c>
      <c r="F147" s="143">
        <f>VLOOKUP($A147,'Data shares'!$C:$FA,125)</f>
        <v>0.43</v>
      </c>
      <c r="G147" s="143">
        <f>VLOOKUP($A147,'Data shares'!$C:$FA,127)*100</f>
        <v>-44.190000000000005</v>
      </c>
      <c r="H147" s="103">
        <f>VLOOKUP($A147,'OI(Volume)'!$A$7:$O$445,8)</f>
        <v>3708375</v>
      </c>
      <c r="I147" s="103">
        <f>VLOOKUP($A147,'OI(Volume)'!$A$7:$O$445,9)</f>
        <v>598875</v>
      </c>
      <c r="J147" s="103">
        <f>VLOOKUP($A147,'OI(Volume)'!$A$7:$O$445,11)</f>
        <v>1638000</v>
      </c>
      <c r="K147" s="103">
        <f>VLOOKUP($A147,'OI(Volume)'!$A$7:$O$445,12)</f>
        <v>291000</v>
      </c>
      <c r="L147" s="103">
        <f>VLOOKUP($A147,'OI(Value)'!$A$7:$O$329,8,0)</f>
        <v>395</v>
      </c>
      <c r="M147" s="103">
        <f>VLOOKUP($A147,'OI(Value)'!$A$7:$O$329,9,0)</f>
        <v>64</v>
      </c>
      <c r="N147" s="103">
        <f>VLOOKUP($A147,'OI(Value)'!$A$7:$O$329,11,0)</f>
        <v>175</v>
      </c>
      <c r="O147" s="103">
        <f>VLOOKUP($A147,'OI(Value)'!$A$7:$O$329,12,0)</f>
        <v>31</v>
      </c>
      <c r="P147" s="179">
        <f>VLOOKUP(A147,'OI(Value)'!A147:O371,8,0)</f>
        <v>395</v>
      </c>
      <c r="Q147" s="179">
        <f>VLOOKUP(A147,'OI(Value)'!A147:O371,9,0)</f>
        <v>64</v>
      </c>
      <c r="R147" s="179">
        <f>VLOOKUP(A147,'OI(Value)'!A147:O371,11,0)</f>
        <v>175</v>
      </c>
      <c r="S147" s="179">
        <f>VLOOKUP(A147,'OI(Value)'!A147:O371,11,0)</f>
        <v>175</v>
      </c>
    </row>
    <row r="148" spans="1:19" x14ac:dyDescent="0.25">
      <c r="A148" s="105" t="str">
        <f>'Data Vlaue (Cr)'!C143</f>
        <v>NBCC</v>
      </c>
      <c r="B148" s="143">
        <f>VLOOKUP($A148,'Data shares'!$C:$FA,118)</f>
        <v>0.67</v>
      </c>
      <c r="C148" s="143">
        <f>VLOOKUP($A148,'Data shares'!$C:$FA,119)</f>
        <v>0.67</v>
      </c>
      <c r="D148" s="143">
        <f>VLOOKUP($A148,'Data shares'!$C:$FA,121)*100</f>
        <v>0</v>
      </c>
      <c r="E148" s="143">
        <f>VLOOKUP($A148,'Data shares'!$C:$FA,124)</f>
        <v>0.56999999999999995</v>
      </c>
      <c r="F148" s="143">
        <f>VLOOKUP($A148,'Data shares'!$C:$FA,125)</f>
        <v>0.42</v>
      </c>
      <c r="G148" s="143">
        <f>VLOOKUP($A148,'Data shares'!$C:$FA,127)*100</f>
        <v>35.709999999999994</v>
      </c>
      <c r="H148" s="103">
        <f>VLOOKUP($A148,'OI(Volume)'!$A$7:$O$445,8)</f>
        <v>19844500</v>
      </c>
      <c r="I148" s="103">
        <f>VLOOKUP($A148,'OI(Volume)'!$A$7:$O$445,9)</f>
        <v>-162500</v>
      </c>
      <c r="J148" s="103">
        <f>VLOOKUP($A148,'OI(Volume)'!$A$7:$O$445,11)</f>
        <v>13208000</v>
      </c>
      <c r="K148" s="103">
        <f>VLOOKUP($A148,'OI(Volume)'!$A$7:$O$445,12)</f>
        <v>-292500</v>
      </c>
      <c r="L148" s="103">
        <f>VLOOKUP($A148,'OI(Value)'!$A$7:$O$329,8,0)</f>
        <v>185</v>
      </c>
      <c r="M148" s="103">
        <f>VLOOKUP($A148,'OI(Value)'!$A$7:$O$329,9,0)</f>
        <v>-2</v>
      </c>
      <c r="N148" s="103">
        <f>VLOOKUP($A148,'OI(Value)'!$A$7:$O$329,11,0)</f>
        <v>123</v>
      </c>
      <c r="O148" s="103">
        <f>VLOOKUP($A148,'OI(Value)'!$A$7:$O$329,12,0)</f>
        <v>-3</v>
      </c>
      <c r="P148" s="179">
        <f>VLOOKUP(A148,'OI(Value)'!A148:O372,8,0)</f>
        <v>185</v>
      </c>
      <c r="Q148" s="179">
        <f>VLOOKUP(A148,'OI(Value)'!A148:O372,9,0)</f>
        <v>-2</v>
      </c>
      <c r="R148" s="179">
        <f>VLOOKUP(A148,'OI(Value)'!A148:O372,11,0)</f>
        <v>123</v>
      </c>
      <c r="S148" s="179">
        <f>VLOOKUP(A148,'OI(Value)'!A148:O372,11,0)</f>
        <v>123</v>
      </c>
    </row>
    <row r="149" spans="1:19" x14ac:dyDescent="0.25">
      <c r="A149" s="105" t="str">
        <f>'Data Vlaue (Cr)'!C144</f>
        <v>NESTLEIND</v>
      </c>
      <c r="B149" s="143">
        <f>VLOOKUP($A149,'Data shares'!$C:$FA,118)</f>
        <v>0.54</v>
      </c>
      <c r="C149" s="143">
        <f>VLOOKUP($A149,'Data shares'!$C:$FA,119)</f>
        <v>0.56000000000000005</v>
      </c>
      <c r="D149" s="143">
        <f>VLOOKUP($A149,'Data shares'!$C:$FA,121)*100</f>
        <v>-3.5700000000000003</v>
      </c>
      <c r="E149" s="143">
        <f>VLOOKUP($A149,'Data shares'!$C:$FA,124)</f>
        <v>0.33</v>
      </c>
      <c r="F149" s="143">
        <f>VLOOKUP($A149,'Data shares'!$C:$FA,125)</f>
        <v>0.26</v>
      </c>
      <c r="G149" s="143">
        <f>VLOOKUP($A149,'Data shares'!$C:$FA,127)*100</f>
        <v>26.919999999999998</v>
      </c>
      <c r="H149" s="103">
        <f>VLOOKUP($A149,'OI(Volume)'!$A$7:$O$445,8)</f>
        <v>4878000</v>
      </c>
      <c r="I149" s="103">
        <f>VLOOKUP($A149,'OI(Volume)'!$A$7:$O$445,9)</f>
        <v>694500</v>
      </c>
      <c r="J149" s="103">
        <f>VLOOKUP($A149,'OI(Volume)'!$A$7:$O$445,11)</f>
        <v>2629500</v>
      </c>
      <c r="K149" s="103">
        <f>VLOOKUP($A149,'OI(Volume)'!$A$7:$O$445,12)</f>
        <v>278500</v>
      </c>
      <c r="L149" s="103">
        <f>VLOOKUP($A149,'OI(Value)'!$A$7:$O$329,8,0)</f>
        <v>628</v>
      </c>
      <c r="M149" s="103">
        <f>VLOOKUP($A149,'OI(Value)'!$A$7:$O$329,9,0)</f>
        <v>89</v>
      </c>
      <c r="N149" s="103">
        <f>VLOOKUP($A149,'OI(Value)'!$A$7:$O$329,11,0)</f>
        <v>339</v>
      </c>
      <c r="O149" s="103">
        <f>VLOOKUP($A149,'OI(Value)'!$A$7:$O$329,12,0)</f>
        <v>36</v>
      </c>
      <c r="P149" s="179">
        <f>VLOOKUP(A149,'OI(Value)'!A149:O373,8,0)</f>
        <v>628</v>
      </c>
      <c r="Q149" s="179">
        <f>VLOOKUP(A149,'OI(Value)'!A149:O373,9,0)</f>
        <v>89</v>
      </c>
      <c r="R149" s="179">
        <f>VLOOKUP(A149,'OI(Value)'!A149:O373,11,0)</f>
        <v>339</v>
      </c>
      <c r="S149" s="179">
        <f>VLOOKUP(A149,'OI(Value)'!A149:O373,11,0)</f>
        <v>339</v>
      </c>
    </row>
    <row r="150" spans="1:19" x14ac:dyDescent="0.25">
      <c r="A150" s="105" t="str">
        <f>'Data Vlaue (Cr)'!C145</f>
        <v>NHPC</v>
      </c>
      <c r="B150" s="143">
        <f>VLOOKUP($A150,'Data shares'!$C:$FA,118)</f>
        <v>0.84</v>
      </c>
      <c r="C150" s="143">
        <f>VLOOKUP($A150,'Data shares'!$C:$FA,119)</f>
        <v>0.8</v>
      </c>
      <c r="D150" s="143">
        <f>VLOOKUP($A150,'Data shares'!$C:$FA,121)*100</f>
        <v>5</v>
      </c>
      <c r="E150" s="143">
        <f>VLOOKUP($A150,'Data shares'!$C:$FA,124)</f>
        <v>0.49</v>
      </c>
      <c r="F150" s="143">
        <f>VLOOKUP($A150,'Data shares'!$C:$FA,125)</f>
        <v>0.43</v>
      </c>
      <c r="G150" s="143">
        <f>VLOOKUP($A150,'Data shares'!$C:$FA,127)*100</f>
        <v>13.950000000000001</v>
      </c>
      <c r="H150" s="103">
        <f>VLOOKUP($A150,'OI(Volume)'!$A$7:$O$445,8)</f>
        <v>35776000</v>
      </c>
      <c r="I150" s="103">
        <f>VLOOKUP($A150,'OI(Volume)'!$A$7:$O$445,9)</f>
        <v>-1952000</v>
      </c>
      <c r="J150" s="103">
        <f>VLOOKUP($A150,'OI(Volume)'!$A$7:$O$445,11)</f>
        <v>30182400</v>
      </c>
      <c r="K150" s="103">
        <f>VLOOKUP($A150,'OI(Volume)'!$A$7:$O$445,12)</f>
        <v>-140800</v>
      </c>
      <c r="L150" s="103">
        <f>VLOOKUP($A150,'OI(Value)'!$A$7:$O$329,8,0)</f>
        <v>296</v>
      </c>
      <c r="M150" s="103">
        <f>VLOOKUP($A150,'OI(Value)'!$A$7:$O$329,9,0)</f>
        <v>-16</v>
      </c>
      <c r="N150" s="103">
        <f>VLOOKUP($A150,'OI(Value)'!$A$7:$O$329,11,0)</f>
        <v>250</v>
      </c>
      <c r="O150" s="103">
        <f>VLOOKUP($A150,'OI(Value)'!$A$7:$O$329,12,0)</f>
        <v>-1</v>
      </c>
      <c r="P150" s="179">
        <f>VLOOKUP(A150,'OI(Value)'!A150:O374,8,0)</f>
        <v>296</v>
      </c>
      <c r="Q150" s="179">
        <f>VLOOKUP(A150,'OI(Value)'!A150:O374,9,0)</f>
        <v>-16</v>
      </c>
      <c r="R150" s="179">
        <f>VLOOKUP(A150,'OI(Value)'!A150:O374,11,0)</f>
        <v>250</v>
      </c>
      <c r="S150" s="179">
        <f>VLOOKUP(A150,'OI(Value)'!A150:O374,11,0)</f>
        <v>250</v>
      </c>
    </row>
    <row r="151" spans="1:19" x14ac:dyDescent="0.25">
      <c r="A151" s="105" t="str">
        <f>'Data Vlaue (Cr)'!C146</f>
        <v>NIFTY</v>
      </c>
      <c r="B151" s="143">
        <f>VLOOKUP($A151,'Data shares'!$C:$FA,118)</f>
        <v>1.1299999999999999</v>
      </c>
      <c r="C151" s="143">
        <f>VLOOKUP($A151,'Data shares'!$C:$FA,119)</f>
        <v>1.0900000000000001</v>
      </c>
      <c r="D151" s="143">
        <f>VLOOKUP($A151,'Data shares'!$C:$FA,121)*100</f>
        <v>3.6700000000000004</v>
      </c>
      <c r="E151" s="143">
        <f>VLOOKUP($A151,'Data shares'!$C:$FA,124)</f>
        <v>0.91</v>
      </c>
      <c r="F151" s="143">
        <f>VLOOKUP($A151,'Data shares'!$C:$FA,125)</f>
        <v>0.84</v>
      </c>
      <c r="G151" s="143">
        <f>VLOOKUP($A151,'Data shares'!$C:$FA,127)*100</f>
        <v>8.33</v>
      </c>
      <c r="H151" s="103">
        <f>VLOOKUP($A151,'OI(Volume)'!$A$7:$O$445,8)</f>
        <v>234479125</v>
      </c>
      <c r="I151" s="103">
        <f>VLOOKUP($A151,'OI(Volume)'!$A$7:$O$445,9)</f>
        <v>-3414370</v>
      </c>
      <c r="J151" s="103">
        <f>VLOOKUP($A151,'OI(Volume)'!$A$7:$O$445,11)</f>
        <v>265842655</v>
      </c>
      <c r="K151" s="103">
        <f>VLOOKUP($A151,'OI(Volume)'!$A$7:$O$445,12)</f>
        <v>5406125</v>
      </c>
      <c r="L151" s="103">
        <f>VLOOKUP($A151,'OI(Value)'!$A$7:$O$329,8,0)</f>
        <v>570530</v>
      </c>
      <c r="M151" s="103">
        <f>VLOOKUP($A151,'OI(Value)'!$A$7:$O$329,9,0)</f>
        <v>-8308</v>
      </c>
      <c r="N151" s="103">
        <f>VLOOKUP($A151,'OI(Value)'!$A$7:$O$329,11,0)</f>
        <v>646843</v>
      </c>
      <c r="O151" s="103">
        <f>VLOOKUP($A151,'OI(Value)'!$A$7:$O$329,12,0)</f>
        <v>13154</v>
      </c>
      <c r="P151" s="179">
        <f>VLOOKUP(A151,'OI(Value)'!A151:O375,8,0)</f>
        <v>570530</v>
      </c>
      <c r="Q151" s="179">
        <f>VLOOKUP(A151,'OI(Value)'!A151:O375,9,0)</f>
        <v>-8308</v>
      </c>
      <c r="R151" s="179">
        <f>VLOOKUP(A151,'OI(Value)'!A151:O375,11,0)</f>
        <v>646843</v>
      </c>
      <c r="S151" s="179">
        <f>VLOOKUP(A151,'OI(Value)'!A151:O375,11,0)</f>
        <v>646843</v>
      </c>
    </row>
    <row r="152" spans="1:19" x14ac:dyDescent="0.25">
      <c r="A152" s="105" t="str">
        <f>'Data Vlaue (Cr)'!C147</f>
        <v>NIFTYNXT50</v>
      </c>
      <c r="B152" s="143">
        <f>VLOOKUP($A152,'Data shares'!$C:$FA,118)</f>
        <v>0.39</v>
      </c>
      <c r="C152" s="143">
        <f>VLOOKUP($A152,'Data shares'!$C:$FA,119)</f>
        <v>0.36</v>
      </c>
      <c r="D152" s="143">
        <f>VLOOKUP($A152,'Data shares'!$C:$FA,121)*100</f>
        <v>8.33</v>
      </c>
      <c r="E152" s="143">
        <f>VLOOKUP($A152,'Data shares'!$C:$FA,124)</f>
        <v>0.25</v>
      </c>
      <c r="F152" s="143">
        <f>VLOOKUP($A152,'Data shares'!$C:$FA,125)</f>
        <v>0.21</v>
      </c>
      <c r="G152" s="143">
        <f>VLOOKUP($A152,'Data shares'!$C:$FA,127)*100</f>
        <v>19.05</v>
      </c>
      <c r="H152" s="103">
        <f>VLOOKUP($A152,'OI(Volume)'!$A$7:$O$445,8)</f>
        <v>13650</v>
      </c>
      <c r="I152" s="103">
        <f>VLOOKUP($A152,'OI(Volume)'!$A$7:$O$445,9)</f>
        <v>0</v>
      </c>
      <c r="J152" s="103">
        <f>VLOOKUP($A152,'OI(Volume)'!$A$7:$O$445,11)</f>
        <v>5375</v>
      </c>
      <c r="K152" s="103">
        <f>VLOOKUP($A152,'OI(Volume)'!$A$7:$O$445,12)</f>
        <v>475</v>
      </c>
      <c r="L152" s="103">
        <f>VLOOKUP($A152,'OI(Value)'!$A$7:$O$329,8,0)</f>
        <v>96</v>
      </c>
      <c r="M152" s="103">
        <f>VLOOKUP($A152,'OI(Value)'!$A$7:$O$329,9,0)</f>
        <v>0</v>
      </c>
      <c r="N152" s="103">
        <f>VLOOKUP($A152,'OI(Value)'!$A$7:$O$329,11,0)</f>
        <v>38</v>
      </c>
      <c r="O152" s="103">
        <f>VLOOKUP($A152,'OI(Value)'!$A$7:$O$329,12,0)</f>
        <v>3</v>
      </c>
      <c r="P152" s="179">
        <f>VLOOKUP(A152,'OI(Value)'!A152:O376,8,0)</f>
        <v>96</v>
      </c>
      <c r="Q152" s="179">
        <f>VLOOKUP(A152,'OI(Value)'!A152:O376,9,0)</f>
        <v>0</v>
      </c>
      <c r="R152" s="179">
        <f>VLOOKUP(A152,'OI(Value)'!A152:O376,11,0)</f>
        <v>38</v>
      </c>
      <c r="S152" s="179">
        <f>VLOOKUP(A152,'OI(Value)'!A152:O376,11,0)</f>
        <v>38</v>
      </c>
    </row>
    <row r="153" spans="1:19" x14ac:dyDescent="0.25">
      <c r="A153" s="105" t="str">
        <f>'Data Vlaue (Cr)'!C148</f>
        <v>NMDC</v>
      </c>
      <c r="B153" s="143">
        <f>VLOOKUP($A153,'Data shares'!$C:$FA,118)</f>
        <v>0.65</v>
      </c>
      <c r="C153" s="143">
        <f>VLOOKUP($A153,'Data shares'!$C:$FA,119)</f>
        <v>0.69</v>
      </c>
      <c r="D153" s="143">
        <f>VLOOKUP($A153,'Data shares'!$C:$FA,121)*100</f>
        <v>-5.8000000000000007</v>
      </c>
      <c r="E153" s="143">
        <f>VLOOKUP($A153,'Data shares'!$C:$FA,124)</f>
        <v>0.46</v>
      </c>
      <c r="F153" s="143">
        <f>VLOOKUP($A153,'Data shares'!$C:$FA,125)</f>
        <v>0.34</v>
      </c>
      <c r="G153" s="143">
        <f>VLOOKUP($A153,'Data shares'!$C:$FA,127)*100</f>
        <v>35.29</v>
      </c>
      <c r="H153" s="103">
        <f>VLOOKUP($A153,'OI(Volume)'!$A$7:$O$445,8)</f>
        <v>81189000</v>
      </c>
      <c r="I153" s="103">
        <f>VLOOKUP($A153,'OI(Volume)'!$A$7:$O$445,9)</f>
        <v>1073250</v>
      </c>
      <c r="J153" s="103">
        <f>VLOOKUP($A153,'OI(Volume)'!$A$7:$O$445,11)</f>
        <v>52683750</v>
      </c>
      <c r="K153" s="103">
        <f>VLOOKUP($A153,'OI(Volume)'!$A$7:$O$445,12)</f>
        <v>-2315250</v>
      </c>
      <c r="L153" s="103">
        <f>VLOOKUP($A153,'OI(Value)'!$A$7:$O$329,8,0)</f>
        <v>721</v>
      </c>
      <c r="M153" s="103">
        <f>VLOOKUP($A153,'OI(Value)'!$A$7:$O$329,9,0)</f>
        <v>10</v>
      </c>
      <c r="N153" s="103">
        <f>VLOOKUP($A153,'OI(Value)'!$A$7:$O$329,11,0)</f>
        <v>468</v>
      </c>
      <c r="O153" s="103">
        <f>VLOOKUP($A153,'OI(Value)'!$A$7:$O$329,12,0)</f>
        <v>-21</v>
      </c>
      <c r="P153" s="179">
        <f>VLOOKUP(A153,'OI(Value)'!A153:O377,8,0)</f>
        <v>721</v>
      </c>
      <c r="Q153" s="179">
        <f>VLOOKUP(A153,'OI(Value)'!A153:O377,9,0)</f>
        <v>10</v>
      </c>
      <c r="R153" s="179">
        <f>VLOOKUP(A153,'OI(Value)'!A153:O377,11,0)</f>
        <v>468</v>
      </c>
      <c r="S153" s="179">
        <f>VLOOKUP(A153,'OI(Value)'!A153:O377,11,0)</f>
        <v>468</v>
      </c>
    </row>
    <row r="154" spans="1:19" x14ac:dyDescent="0.25">
      <c r="A154" s="105" t="str">
        <f>'Data Vlaue (Cr)'!C149</f>
        <v>NTPC</v>
      </c>
      <c r="B154" s="143">
        <f>VLOOKUP($A154,'Data shares'!$C:$FA,118)</f>
        <v>0.53</v>
      </c>
      <c r="C154" s="143">
        <f>VLOOKUP($A154,'Data shares'!$C:$FA,119)</f>
        <v>0.53</v>
      </c>
      <c r="D154" s="143">
        <f>VLOOKUP($A154,'Data shares'!$C:$FA,121)*100</f>
        <v>0</v>
      </c>
      <c r="E154" s="143">
        <f>VLOOKUP($A154,'Data shares'!$C:$FA,124)</f>
        <v>0.45</v>
      </c>
      <c r="F154" s="143">
        <f>VLOOKUP($A154,'Data shares'!$C:$FA,125)</f>
        <v>0.47</v>
      </c>
      <c r="G154" s="143">
        <f>VLOOKUP($A154,'Data shares'!$C:$FA,127)*100</f>
        <v>-4.26</v>
      </c>
      <c r="H154" s="103">
        <f>VLOOKUP($A154,'OI(Volume)'!$A$7:$O$445,8)</f>
        <v>68433000</v>
      </c>
      <c r="I154" s="103">
        <f>VLOOKUP($A154,'OI(Volume)'!$A$7:$O$445,9)</f>
        <v>9091500</v>
      </c>
      <c r="J154" s="103">
        <f>VLOOKUP($A154,'OI(Volume)'!$A$7:$O$445,11)</f>
        <v>36288000</v>
      </c>
      <c r="K154" s="103">
        <f>VLOOKUP($A154,'OI(Volume)'!$A$7:$O$445,12)</f>
        <v>4960500</v>
      </c>
      <c r="L154" s="103">
        <f>VLOOKUP($A154,'OI(Value)'!$A$7:$O$329,8,0)</f>
        <v>2726</v>
      </c>
      <c r="M154" s="103">
        <f>VLOOKUP($A154,'OI(Value)'!$A$7:$O$329,9,0)</f>
        <v>362</v>
      </c>
      <c r="N154" s="103">
        <f>VLOOKUP($A154,'OI(Value)'!$A$7:$O$329,11,0)</f>
        <v>1445</v>
      </c>
      <c r="O154" s="103">
        <f>VLOOKUP($A154,'OI(Value)'!$A$7:$O$329,12,0)</f>
        <v>198</v>
      </c>
      <c r="P154" s="179">
        <f>VLOOKUP(A154,'OI(Value)'!A154:O378,8,0)</f>
        <v>2726</v>
      </c>
      <c r="Q154" s="179">
        <f>VLOOKUP(A154,'OI(Value)'!A154:O378,9,0)</f>
        <v>362</v>
      </c>
      <c r="R154" s="179">
        <f>VLOOKUP(A154,'OI(Value)'!A154:O378,11,0)</f>
        <v>1445</v>
      </c>
      <c r="S154" s="179">
        <f>VLOOKUP(A154,'OI(Value)'!A154:O378,11,0)</f>
        <v>1445</v>
      </c>
    </row>
    <row r="155" spans="1:19" x14ac:dyDescent="0.25">
      <c r="A155" s="105" t="str">
        <f>'Data Vlaue (Cr)'!C150</f>
        <v>NUVAMA</v>
      </c>
      <c r="B155" s="143">
        <f>VLOOKUP($A155,'Data shares'!$C:$FA,118)</f>
        <v>0.8</v>
      </c>
      <c r="C155" s="143">
        <f>VLOOKUP($A155,'Data shares'!$C:$FA,119)</f>
        <v>0.85</v>
      </c>
      <c r="D155" s="143">
        <f>VLOOKUP($A155,'Data shares'!$C:$FA,121)*100</f>
        <v>-5.88</v>
      </c>
      <c r="E155" s="143">
        <f>VLOOKUP($A155,'Data shares'!$C:$FA,124)</f>
        <v>1.51</v>
      </c>
      <c r="F155" s="143">
        <f>VLOOKUP($A155,'Data shares'!$C:$FA,125)</f>
        <v>0.28999999999999998</v>
      </c>
      <c r="G155" s="143">
        <f>VLOOKUP($A155,'Data shares'!$C:$FA,127)*100</f>
        <v>420.69</v>
      </c>
      <c r="H155" s="103">
        <f>VLOOKUP($A155,'OI(Volume)'!$A$7:$O$445,8)</f>
        <v>1010500</v>
      </c>
      <c r="I155" s="103">
        <f>VLOOKUP($A155,'OI(Volume)'!$A$7:$O$445,9)</f>
        <v>46500</v>
      </c>
      <c r="J155" s="103">
        <f>VLOOKUP($A155,'OI(Volume)'!$A$7:$O$445,11)</f>
        <v>805500</v>
      </c>
      <c r="K155" s="103">
        <f>VLOOKUP($A155,'OI(Volume)'!$A$7:$O$445,12)</f>
        <v>-10000</v>
      </c>
      <c r="L155" s="103">
        <f>VLOOKUP($A155,'OI(Value)'!$A$7:$O$329,8,0)</f>
        <v>139</v>
      </c>
      <c r="M155" s="103">
        <f>VLOOKUP($A155,'OI(Value)'!$A$7:$O$329,9,0)</f>
        <v>6</v>
      </c>
      <c r="N155" s="103">
        <f>VLOOKUP($A155,'OI(Value)'!$A$7:$O$329,11,0)</f>
        <v>111</v>
      </c>
      <c r="O155" s="103">
        <f>VLOOKUP($A155,'OI(Value)'!$A$7:$O$329,12,0)</f>
        <v>-1</v>
      </c>
      <c r="P155" s="179">
        <f>VLOOKUP(A155,'OI(Value)'!A155:O379,8,0)</f>
        <v>139</v>
      </c>
      <c r="Q155" s="179">
        <f>VLOOKUP(A155,'OI(Value)'!A155:O379,9,0)</f>
        <v>6</v>
      </c>
      <c r="R155" s="179">
        <f>VLOOKUP(A155,'OI(Value)'!A155:O379,11,0)</f>
        <v>111</v>
      </c>
      <c r="S155" s="179">
        <f>VLOOKUP(A155,'OI(Value)'!A155:O379,11,0)</f>
        <v>111</v>
      </c>
    </row>
    <row r="156" spans="1:19" x14ac:dyDescent="0.25">
      <c r="A156" s="105" t="str">
        <f>'Data Vlaue (Cr)'!C151</f>
        <v>NYKAA</v>
      </c>
      <c r="B156" s="143">
        <f>VLOOKUP($A156,'Data shares'!$C:$FA,118)</f>
        <v>0.46</v>
      </c>
      <c r="C156" s="143">
        <f>VLOOKUP($A156,'Data shares'!$C:$FA,119)</f>
        <v>0.71</v>
      </c>
      <c r="D156" s="143">
        <f>VLOOKUP($A156,'Data shares'!$C:$FA,121)*100</f>
        <v>-35.21</v>
      </c>
      <c r="E156" s="143">
        <f>VLOOKUP($A156,'Data shares'!$C:$FA,124)</f>
        <v>0.34</v>
      </c>
      <c r="F156" s="143">
        <f>VLOOKUP($A156,'Data shares'!$C:$FA,125)</f>
        <v>0.37</v>
      </c>
      <c r="G156" s="143">
        <f>VLOOKUP($A156,'Data shares'!$C:$FA,127)*100</f>
        <v>-8.1100000000000012</v>
      </c>
      <c r="H156" s="103">
        <f>VLOOKUP($A156,'OI(Volume)'!$A$7:$O$445,8)</f>
        <v>11025000</v>
      </c>
      <c r="I156" s="103">
        <f>VLOOKUP($A156,'OI(Volume)'!$A$7:$O$445,9)</f>
        <v>3362500</v>
      </c>
      <c r="J156" s="103">
        <f>VLOOKUP($A156,'OI(Volume)'!$A$7:$O$445,11)</f>
        <v>5028125</v>
      </c>
      <c r="K156" s="103">
        <f>VLOOKUP($A156,'OI(Volume)'!$A$7:$O$445,12)</f>
        <v>-381250</v>
      </c>
      <c r="L156" s="103">
        <f>VLOOKUP($A156,'OI(Value)'!$A$7:$O$329,8,0)</f>
        <v>292</v>
      </c>
      <c r="M156" s="103">
        <f>VLOOKUP($A156,'OI(Value)'!$A$7:$O$329,9,0)</f>
        <v>89</v>
      </c>
      <c r="N156" s="103">
        <f>VLOOKUP($A156,'OI(Value)'!$A$7:$O$329,11,0)</f>
        <v>133</v>
      </c>
      <c r="O156" s="103">
        <f>VLOOKUP($A156,'OI(Value)'!$A$7:$O$329,12,0)</f>
        <v>-10</v>
      </c>
      <c r="P156" s="179">
        <f>VLOOKUP(A156,'OI(Value)'!A156:O380,8,0)</f>
        <v>292</v>
      </c>
      <c r="Q156" s="179">
        <f>VLOOKUP(A156,'OI(Value)'!A156:O380,9,0)</f>
        <v>89</v>
      </c>
      <c r="R156" s="179">
        <f>VLOOKUP(A156,'OI(Value)'!A156:O380,11,0)</f>
        <v>133</v>
      </c>
      <c r="S156" s="179">
        <f>VLOOKUP(A156,'OI(Value)'!A156:O380,11,0)</f>
        <v>133</v>
      </c>
    </row>
    <row r="157" spans="1:19" x14ac:dyDescent="0.25">
      <c r="A157" s="105" t="str">
        <f>'Data Vlaue (Cr)'!C152</f>
        <v>OBEROIRLTY</v>
      </c>
      <c r="B157" s="143">
        <f>VLOOKUP($A157,'Data shares'!$C:$FA,118)</f>
        <v>0.94</v>
      </c>
      <c r="C157" s="143">
        <f>VLOOKUP($A157,'Data shares'!$C:$FA,119)</f>
        <v>0.93</v>
      </c>
      <c r="D157" s="143">
        <f>VLOOKUP($A157,'Data shares'!$C:$FA,121)*100</f>
        <v>1.08</v>
      </c>
      <c r="E157" s="143">
        <f>VLOOKUP($A157,'Data shares'!$C:$FA,124)</f>
        <v>1.25</v>
      </c>
      <c r="F157" s="143">
        <f>VLOOKUP($A157,'Data shares'!$C:$FA,125)</f>
        <v>0.83</v>
      </c>
      <c r="G157" s="143">
        <f>VLOOKUP($A157,'Data shares'!$C:$FA,127)*100</f>
        <v>50.6</v>
      </c>
      <c r="H157" s="103">
        <f>VLOOKUP($A157,'OI(Volume)'!$A$7:$O$445,8)</f>
        <v>1206100</v>
      </c>
      <c r="I157" s="103">
        <f>VLOOKUP($A157,'OI(Volume)'!$A$7:$O$445,9)</f>
        <v>17150</v>
      </c>
      <c r="J157" s="103">
        <f>VLOOKUP($A157,'OI(Volume)'!$A$7:$O$445,11)</f>
        <v>1133300</v>
      </c>
      <c r="K157" s="103">
        <f>VLOOKUP($A157,'OI(Volume)'!$A$7:$O$445,12)</f>
        <v>28000</v>
      </c>
      <c r="L157" s="103">
        <f>VLOOKUP($A157,'OI(Value)'!$A$7:$O$329,8,0)</f>
        <v>205</v>
      </c>
      <c r="M157" s="103">
        <f>VLOOKUP($A157,'OI(Value)'!$A$7:$O$329,9,0)</f>
        <v>3</v>
      </c>
      <c r="N157" s="103">
        <f>VLOOKUP($A157,'OI(Value)'!$A$7:$O$329,11,0)</f>
        <v>193</v>
      </c>
      <c r="O157" s="103">
        <f>VLOOKUP($A157,'OI(Value)'!$A$7:$O$329,12,0)</f>
        <v>5</v>
      </c>
      <c r="P157" s="179">
        <f>VLOOKUP(A157,'OI(Value)'!A157:O381,8,0)</f>
        <v>205</v>
      </c>
      <c r="Q157" s="179">
        <f>VLOOKUP(A157,'OI(Value)'!A157:O381,9,0)</f>
        <v>3</v>
      </c>
      <c r="R157" s="179">
        <f>VLOOKUP(A157,'OI(Value)'!A157:O381,11,0)</f>
        <v>193</v>
      </c>
      <c r="S157" s="179">
        <f>VLOOKUP(A157,'OI(Value)'!A157:O381,11,0)</f>
        <v>193</v>
      </c>
    </row>
    <row r="158" spans="1:19" x14ac:dyDescent="0.25">
      <c r="A158" s="105" t="str">
        <f>'Data Vlaue (Cr)'!C153</f>
        <v>OFSS</v>
      </c>
      <c r="B158" s="143">
        <f>VLOOKUP($A158,'Data shares'!$C:$FA,118)</f>
        <v>1.03</v>
      </c>
      <c r="C158" s="143">
        <f>VLOOKUP($A158,'Data shares'!$C:$FA,119)</f>
        <v>1.1299999999999999</v>
      </c>
      <c r="D158" s="143">
        <f>VLOOKUP($A158,'Data shares'!$C:$FA,121)*100</f>
        <v>-8.85</v>
      </c>
      <c r="E158" s="143">
        <f>VLOOKUP($A158,'Data shares'!$C:$FA,124)</f>
        <v>0.62</v>
      </c>
      <c r="F158" s="143">
        <f>VLOOKUP($A158,'Data shares'!$C:$FA,125)</f>
        <v>0.84</v>
      </c>
      <c r="G158" s="143">
        <f>VLOOKUP($A158,'Data shares'!$C:$FA,127)*100</f>
        <v>-26.19</v>
      </c>
      <c r="H158" s="103">
        <f>VLOOKUP($A158,'OI(Volume)'!$A$7:$O$445,8)</f>
        <v>597750</v>
      </c>
      <c r="I158" s="103">
        <f>VLOOKUP($A158,'OI(Volume)'!$A$7:$O$445,9)</f>
        <v>66675</v>
      </c>
      <c r="J158" s="103">
        <f>VLOOKUP($A158,'OI(Volume)'!$A$7:$O$445,11)</f>
        <v>613875</v>
      </c>
      <c r="K158" s="103">
        <f>VLOOKUP($A158,'OI(Volume)'!$A$7:$O$445,12)</f>
        <v>13950</v>
      </c>
      <c r="L158" s="103">
        <f>VLOOKUP($A158,'OI(Value)'!$A$7:$O$329,8,0)</f>
        <v>485</v>
      </c>
      <c r="M158" s="103">
        <f>VLOOKUP($A158,'OI(Value)'!$A$7:$O$329,9,0)</f>
        <v>54</v>
      </c>
      <c r="N158" s="103">
        <f>VLOOKUP($A158,'OI(Value)'!$A$7:$O$329,11,0)</f>
        <v>498</v>
      </c>
      <c r="O158" s="103">
        <f>VLOOKUP($A158,'OI(Value)'!$A$7:$O$329,12,0)</f>
        <v>11</v>
      </c>
      <c r="P158" s="179">
        <f>VLOOKUP(A158,'OI(Value)'!A158:O382,8,0)</f>
        <v>485</v>
      </c>
      <c r="Q158" s="179">
        <f>VLOOKUP(A158,'OI(Value)'!A158:O382,9,0)</f>
        <v>54</v>
      </c>
      <c r="R158" s="179">
        <f>VLOOKUP(A158,'OI(Value)'!A158:O382,11,0)</f>
        <v>498</v>
      </c>
      <c r="S158" s="179">
        <f>VLOOKUP(A158,'OI(Value)'!A158:O382,11,0)</f>
        <v>498</v>
      </c>
    </row>
    <row r="159" spans="1:19" x14ac:dyDescent="0.25">
      <c r="A159" s="105" t="str">
        <f>'Data Vlaue (Cr)'!C154</f>
        <v>OIL</v>
      </c>
      <c r="B159" s="143">
        <f>VLOOKUP($A159,'Data shares'!$C:$FA,118)</f>
        <v>0.45</v>
      </c>
      <c r="C159" s="143">
        <f>VLOOKUP($A159,'Data shares'!$C:$FA,119)</f>
        <v>0.44</v>
      </c>
      <c r="D159" s="143">
        <f>VLOOKUP($A159,'Data shares'!$C:$FA,121)*100</f>
        <v>2.27</v>
      </c>
      <c r="E159" s="143">
        <f>VLOOKUP($A159,'Data shares'!$C:$FA,124)</f>
        <v>0.3</v>
      </c>
      <c r="F159" s="143">
        <f>VLOOKUP($A159,'Data shares'!$C:$FA,125)</f>
        <v>0.32</v>
      </c>
      <c r="G159" s="143">
        <f>VLOOKUP($A159,'Data shares'!$C:$FA,127)*100</f>
        <v>-6.25</v>
      </c>
      <c r="H159" s="103">
        <f>VLOOKUP($A159,'OI(Volume)'!$A$7:$O$445,8)</f>
        <v>10378200</v>
      </c>
      <c r="I159" s="103">
        <f>VLOOKUP($A159,'OI(Volume)'!$A$7:$O$445,9)</f>
        <v>-800800</v>
      </c>
      <c r="J159" s="103">
        <f>VLOOKUP($A159,'OI(Volume)'!$A$7:$O$445,11)</f>
        <v>4659200</v>
      </c>
      <c r="K159" s="103">
        <f>VLOOKUP($A159,'OI(Volume)'!$A$7:$O$445,12)</f>
        <v>-229600</v>
      </c>
      <c r="L159" s="103">
        <f>VLOOKUP($A159,'OI(Value)'!$A$7:$O$329,8,0)</f>
        <v>489</v>
      </c>
      <c r="M159" s="103">
        <f>VLOOKUP($A159,'OI(Value)'!$A$7:$O$329,9,0)</f>
        <v>-38</v>
      </c>
      <c r="N159" s="103">
        <f>VLOOKUP($A159,'OI(Value)'!$A$7:$O$329,11,0)</f>
        <v>220</v>
      </c>
      <c r="O159" s="103">
        <f>VLOOKUP($A159,'OI(Value)'!$A$7:$O$329,12,0)</f>
        <v>-11</v>
      </c>
      <c r="P159" s="179">
        <f>VLOOKUP(A159,'OI(Value)'!A159:O383,8,0)</f>
        <v>489</v>
      </c>
      <c r="Q159" s="179">
        <f>VLOOKUP(A159,'OI(Value)'!A159:O383,9,0)</f>
        <v>-38</v>
      </c>
      <c r="R159" s="179">
        <f>VLOOKUP(A159,'OI(Value)'!A159:O383,11,0)</f>
        <v>220</v>
      </c>
      <c r="S159" s="179">
        <f>VLOOKUP(A159,'OI(Value)'!A159:O383,11,0)</f>
        <v>220</v>
      </c>
    </row>
    <row r="160" spans="1:19" x14ac:dyDescent="0.25">
      <c r="A160" s="105" t="str">
        <f>'Data Vlaue (Cr)'!C155</f>
        <v>ONGC</v>
      </c>
      <c r="B160" s="143">
        <f>VLOOKUP($A160,'Data shares'!$C:$FA,118)</f>
        <v>0.38</v>
      </c>
      <c r="C160" s="143">
        <f>VLOOKUP($A160,'Data shares'!$C:$FA,119)</f>
        <v>0.37</v>
      </c>
      <c r="D160" s="143">
        <f>VLOOKUP($A160,'Data shares'!$C:$FA,121)*100</f>
        <v>2.7</v>
      </c>
      <c r="E160" s="143">
        <f>VLOOKUP($A160,'Data shares'!$C:$FA,124)</f>
        <v>0.33</v>
      </c>
      <c r="F160" s="143">
        <f>VLOOKUP($A160,'Data shares'!$C:$FA,125)</f>
        <v>0.44</v>
      </c>
      <c r="G160" s="143">
        <f>VLOOKUP($A160,'Data shares'!$C:$FA,127)*100</f>
        <v>-25</v>
      </c>
      <c r="H160" s="103">
        <f>VLOOKUP($A160,'OI(Volume)'!$A$7:$O$445,8)</f>
        <v>95305500</v>
      </c>
      <c r="I160" s="103">
        <f>VLOOKUP($A160,'OI(Volume)'!$A$7:$O$445,9)</f>
        <v>-1860750</v>
      </c>
      <c r="J160" s="103">
        <f>VLOOKUP($A160,'OI(Volume)'!$A$7:$O$445,11)</f>
        <v>35788500</v>
      </c>
      <c r="K160" s="103">
        <f>VLOOKUP($A160,'OI(Volume)'!$A$7:$O$445,12)</f>
        <v>-393750</v>
      </c>
      <c r="L160" s="103">
        <f>VLOOKUP($A160,'OI(Value)'!$A$7:$O$329,8,0)</f>
        <v>2707</v>
      </c>
      <c r="M160" s="103">
        <f>VLOOKUP($A160,'OI(Value)'!$A$7:$O$329,9,0)</f>
        <v>-53</v>
      </c>
      <c r="N160" s="103">
        <f>VLOOKUP($A160,'OI(Value)'!$A$7:$O$329,11,0)</f>
        <v>1016</v>
      </c>
      <c r="O160" s="103">
        <f>VLOOKUP($A160,'OI(Value)'!$A$7:$O$329,12,0)</f>
        <v>-11</v>
      </c>
      <c r="P160" s="179">
        <f>VLOOKUP(A160,'OI(Value)'!A160:O384,8,0)</f>
        <v>2707</v>
      </c>
      <c r="Q160" s="179">
        <f>VLOOKUP(A160,'OI(Value)'!A160:O384,9,0)</f>
        <v>-53</v>
      </c>
      <c r="R160" s="179">
        <f>VLOOKUP(A160,'OI(Value)'!A160:O384,11,0)</f>
        <v>1016</v>
      </c>
      <c r="S160" s="179">
        <f>VLOOKUP(A160,'OI(Value)'!A160:O384,11,0)</f>
        <v>1016</v>
      </c>
    </row>
    <row r="161" spans="1:19" x14ac:dyDescent="0.25">
      <c r="A161" s="105" t="str">
        <f>'Data Vlaue (Cr)'!C156</f>
        <v>PAGEIND</v>
      </c>
      <c r="B161" s="143">
        <f>VLOOKUP($A161,'Data shares'!$C:$FA,118)</f>
        <v>1.26</v>
      </c>
      <c r="C161" s="143">
        <f>VLOOKUP($A161,'Data shares'!$C:$FA,119)</f>
        <v>1.0900000000000001</v>
      </c>
      <c r="D161" s="143">
        <f>VLOOKUP($A161,'Data shares'!$C:$FA,121)*100</f>
        <v>15.6</v>
      </c>
      <c r="E161" s="143">
        <f>VLOOKUP($A161,'Data shares'!$C:$FA,124)</f>
        <v>1.85</v>
      </c>
      <c r="F161" s="143">
        <f>VLOOKUP($A161,'Data shares'!$C:$FA,125)</f>
        <v>0.61</v>
      </c>
      <c r="G161" s="143">
        <f>VLOOKUP($A161,'Data shares'!$C:$FA,127)*100</f>
        <v>203.28</v>
      </c>
      <c r="H161" s="103">
        <f>VLOOKUP($A161,'OI(Volume)'!$A$7:$O$445,8)</f>
        <v>64680</v>
      </c>
      <c r="I161" s="103">
        <f>VLOOKUP($A161,'OI(Volume)'!$A$7:$O$445,9)</f>
        <v>-2940</v>
      </c>
      <c r="J161" s="103">
        <f>VLOOKUP($A161,'OI(Volume)'!$A$7:$O$445,11)</f>
        <v>81480</v>
      </c>
      <c r="K161" s="103">
        <f>VLOOKUP($A161,'OI(Volume)'!$A$7:$O$445,12)</f>
        <v>7665</v>
      </c>
      <c r="L161" s="103">
        <f>VLOOKUP($A161,'OI(Value)'!$A$7:$O$329,8,0)</f>
        <v>248</v>
      </c>
      <c r="M161" s="103">
        <f>VLOOKUP($A161,'OI(Value)'!$A$7:$O$329,9,0)</f>
        <v>-11</v>
      </c>
      <c r="N161" s="103">
        <f>VLOOKUP($A161,'OI(Value)'!$A$7:$O$329,11,0)</f>
        <v>313</v>
      </c>
      <c r="O161" s="103">
        <f>VLOOKUP($A161,'OI(Value)'!$A$7:$O$329,12,0)</f>
        <v>29</v>
      </c>
      <c r="P161" s="179">
        <f>VLOOKUP(A161,'OI(Value)'!A161:O385,8,0)</f>
        <v>248</v>
      </c>
      <c r="Q161" s="179">
        <f>VLOOKUP(A161,'OI(Value)'!A161:O385,9,0)</f>
        <v>-11</v>
      </c>
      <c r="R161" s="179">
        <f>VLOOKUP(A161,'OI(Value)'!A161:O385,11,0)</f>
        <v>313</v>
      </c>
      <c r="S161" s="179">
        <f>VLOOKUP(A161,'OI(Value)'!A161:O385,11,0)</f>
        <v>313</v>
      </c>
    </row>
    <row r="162" spans="1:19" x14ac:dyDescent="0.25">
      <c r="A162" s="105" t="str">
        <f>'Data Vlaue (Cr)'!C157</f>
        <v>PATANJALI</v>
      </c>
      <c r="B162" s="143">
        <f>VLOOKUP($A162,'Data shares'!$C:$FA,118)</f>
        <v>0.54</v>
      </c>
      <c r="C162" s="143">
        <f>VLOOKUP($A162,'Data shares'!$C:$FA,119)</f>
        <v>0.59</v>
      </c>
      <c r="D162" s="143">
        <f>VLOOKUP($A162,'Data shares'!$C:$FA,121)*100</f>
        <v>-8.4699999999999989</v>
      </c>
      <c r="E162" s="143">
        <f>VLOOKUP($A162,'Data shares'!$C:$FA,124)</f>
        <v>0.33</v>
      </c>
      <c r="F162" s="143">
        <f>VLOOKUP($A162,'Data shares'!$C:$FA,125)</f>
        <v>0.21</v>
      </c>
      <c r="G162" s="143">
        <f>VLOOKUP($A162,'Data shares'!$C:$FA,127)*100</f>
        <v>57.14</v>
      </c>
      <c r="H162" s="103">
        <f>VLOOKUP($A162,'OI(Volume)'!$A$7:$O$445,8)</f>
        <v>5737500</v>
      </c>
      <c r="I162" s="103">
        <f>VLOOKUP($A162,'OI(Volume)'!$A$7:$O$445,9)</f>
        <v>556200</v>
      </c>
      <c r="J162" s="103">
        <f>VLOOKUP($A162,'OI(Volume)'!$A$7:$O$445,11)</f>
        <v>3077100</v>
      </c>
      <c r="K162" s="103">
        <f>VLOOKUP($A162,'OI(Volume)'!$A$7:$O$445,12)</f>
        <v>45900</v>
      </c>
      <c r="L162" s="103">
        <f>VLOOKUP($A162,'OI(Value)'!$A$7:$O$329,8,0)</f>
        <v>264</v>
      </c>
      <c r="M162" s="103">
        <f>VLOOKUP($A162,'OI(Value)'!$A$7:$O$329,9,0)</f>
        <v>26</v>
      </c>
      <c r="N162" s="103">
        <f>VLOOKUP($A162,'OI(Value)'!$A$7:$O$329,11,0)</f>
        <v>141</v>
      </c>
      <c r="O162" s="103">
        <f>VLOOKUP($A162,'OI(Value)'!$A$7:$O$329,12,0)</f>
        <v>2</v>
      </c>
      <c r="P162" s="179">
        <f>VLOOKUP(A162,'OI(Value)'!A162:O386,8,0)</f>
        <v>264</v>
      </c>
      <c r="Q162" s="179">
        <f>VLOOKUP(A162,'OI(Value)'!A162:O386,9,0)</f>
        <v>26</v>
      </c>
      <c r="R162" s="179">
        <f>VLOOKUP(A162,'OI(Value)'!A162:O386,11,0)</f>
        <v>141</v>
      </c>
      <c r="S162" s="179">
        <f>VLOOKUP(A162,'OI(Value)'!A162:O386,11,0)</f>
        <v>141</v>
      </c>
    </row>
    <row r="163" spans="1:19" x14ac:dyDescent="0.25">
      <c r="A163" s="105" t="str">
        <f>'Data Vlaue (Cr)'!C158</f>
        <v>PAYTM</v>
      </c>
      <c r="B163" s="143">
        <f>VLOOKUP($A163,'Data shares'!$C:$FA,118)</f>
        <v>0.98</v>
      </c>
      <c r="C163" s="143">
        <f>VLOOKUP($A163,'Data shares'!$C:$FA,119)</f>
        <v>0.96</v>
      </c>
      <c r="D163" s="143">
        <f>VLOOKUP($A163,'Data shares'!$C:$FA,121)*100</f>
        <v>2.08</v>
      </c>
      <c r="E163" s="143">
        <f>VLOOKUP($A163,'Data shares'!$C:$FA,124)</f>
        <v>0.78</v>
      </c>
      <c r="F163" s="143">
        <f>VLOOKUP($A163,'Data shares'!$C:$FA,125)</f>
        <v>0.72</v>
      </c>
      <c r="G163" s="143">
        <f>VLOOKUP($A163,'Data shares'!$C:$FA,127)*100</f>
        <v>8.33</v>
      </c>
      <c r="H163" s="103">
        <f>VLOOKUP($A163,'OI(Volume)'!$A$7:$O$445,8)</f>
        <v>6540225</v>
      </c>
      <c r="I163" s="103">
        <f>VLOOKUP($A163,'OI(Volume)'!$A$7:$O$445,9)</f>
        <v>179800</v>
      </c>
      <c r="J163" s="103">
        <f>VLOOKUP($A163,'OI(Volume)'!$A$7:$O$445,11)</f>
        <v>6390150</v>
      </c>
      <c r="K163" s="103">
        <f>VLOOKUP($A163,'OI(Volume)'!$A$7:$O$445,12)</f>
        <v>283475</v>
      </c>
      <c r="L163" s="103">
        <f>VLOOKUP($A163,'OI(Value)'!$A$7:$O$329,8,0)</f>
        <v>760</v>
      </c>
      <c r="M163" s="103">
        <f>VLOOKUP($A163,'OI(Value)'!$A$7:$O$329,9,0)</f>
        <v>21</v>
      </c>
      <c r="N163" s="103">
        <f>VLOOKUP($A163,'OI(Value)'!$A$7:$O$329,11,0)</f>
        <v>743</v>
      </c>
      <c r="O163" s="103">
        <f>VLOOKUP($A163,'OI(Value)'!$A$7:$O$329,12,0)</f>
        <v>33</v>
      </c>
      <c r="P163" s="179">
        <f>VLOOKUP(A163,'OI(Value)'!A163:O387,8,0)</f>
        <v>760</v>
      </c>
      <c r="Q163" s="179">
        <f>VLOOKUP(A163,'OI(Value)'!A163:O387,9,0)</f>
        <v>21</v>
      </c>
      <c r="R163" s="179">
        <f>VLOOKUP(A163,'OI(Value)'!A163:O387,11,0)</f>
        <v>743</v>
      </c>
      <c r="S163" s="179">
        <f>VLOOKUP(A163,'OI(Value)'!A163:O387,11,0)</f>
        <v>743</v>
      </c>
    </row>
    <row r="164" spans="1:19" x14ac:dyDescent="0.25">
      <c r="A164" s="105" t="str">
        <f>'Data Vlaue (Cr)'!C159</f>
        <v>PERSISTENT</v>
      </c>
      <c r="B164" s="143">
        <f>VLOOKUP($A164,'Data shares'!$C:$FA,118)</f>
        <v>0.79</v>
      </c>
      <c r="C164" s="143">
        <f>VLOOKUP($A164,'Data shares'!$C:$FA,119)</f>
        <v>0.96</v>
      </c>
      <c r="D164" s="143">
        <f>VLOOKUP($A164,'Data shares'!$C:$FA,121)*100</f>
        <v>-17.71</v>
      </c>
      <c r="E164" s="143">
        <f>VLOOKUP($A164,'Data shares'!$C:$FA,124)</f>
        <v>0.63</v>
      </c>
      <c r="F164" s="143">
        <f>VLOOKUP($A164,'Data shares'!$C:$FA,125)</f>
        <v>0.81</v>
      </c>
      <c r="G164" s="143">
        <f>VLOOKUP($A164,'Data shares'!$C:$FA,127)*100</f>
        <v>-22.220000000000002</v>
      </c>
      <c r="H164" s="103">
        <f>VLOOKUP($A164,'OI(Volume)'!$A$7:$O$445,8)</f>
        <v>1412000</v>
      </c>
      <c r="I164" s="103">
        <f>VLOOKUP($A164,'OI(Volume)'!$A$7:$O$445,9)</f>
        <v>204400</v>
      </c>
      <c r="J164" s="103">
        <f>VLOOKUP($A164,'OI(Volume)'!$A$7:$O$445,11)</f>
        <v>1117700</v>
      </c>
      <c r="K164" s="103">
        <f>VLOOKUP($A164,'OI(Volume)'!$A$7:$O$445,12)</f>
        <v>-36500</v>
      </c>
      <c r="L164" s="103">
        <f>VLOOKUP($A164,'OI(Value)'!$A$7:$O$329,8,0)</f>
        <v>753</v>
      </c>
      <c r="M164" s="103">
        <f>VLOOKUP($A164,'OI(Value)'!$A$7:$O$329,9,0)</f>
        <v>109</v>
      </c>
      <c r="N164" s="103">
        <f>VLOOKUP($A164,'OI(Value)'!$A$7:$O$329,11,0)</f>
        <v>596</v>
      </c>
      <c r="O164" s="103">
        <f>VLOOKUP($A164,'OI(Value)'!$A$7:$O$329,12,0)</f>
        <v>-19</v>
      </c>
      <c r="P164" s="179">
        <f>VLOOKUP(A164,'OI(Value)'!A164:O388,8,0)</f>
        <v>753</v>
      </c>
      <c r="Q164" s="179">
        <f>VLOOKUP(A164,'OI(Value)'!A164:O388,9,0)</f>
        <v>109</v>
      </c>
      <c r="R164" s="179">
        <f>VLOOKUP(A164,'OI(Value)'!A164:O388,11,0)</f>
        <v>596</v>
      </c>
      <c r="S164" s="179">
        <f>VLOOKUP(A164,'OI(Value)'!A164:O388,11,0)</f>
        <v>596</v>
      </c>
    </row>
    <row r="165" spans="1:19" x14ac:dyDescent="0.25">
      <c r="A165" s="105" t="str">
        <f>'Data Vlaue (Cr)'!C160</f>
        <v>PETRONET</v>
      </c>
      <c r="B165" s="143">
        <f>VLOOKUP($A165,'Data shares'!$C:$FA,118)</f>
        <v>0.65</v>
      </c>
      <c r="C165" s="143">
        <f>VLOOKUP($A165,'Data shares'!$C:$FA,119)</f>
        <v>0.64</v>
      </c>
      <c r="D165" s="143">
        <f>VLOOKUP($A165,'Data shares'!$C:$FA,121)*100</f>
        <v>1.5599999999999998</v>
      </c>
      <c r="E165" s="143">
        <f>VLOOKUP($A165,'Data shares'!$C:$FA,124)</f>
        <v>0.48</v>
      </c>
      <c r="F165" s="143">
        <f>VLOOKUP($A165,'Data shares'!$C:$FA,125)</f>
        <v>0.44</v>
      </c>
      <c r="G165" s="143">
        <f>VLOOKUP($A165,'Data shares'!$C:$FA,127)*100</f>
        <v>9.09</v>
      </c>
      <c r="H165" s="103">
        <f>VLOOKUP($A165,'OI(Volume)'!$A$7:$O$445,8)</f>
        <v>15298800</v>
      </c>
      <c r="I165" s="103">
        <f>VLOOKUP($A165,'OI(Volume)'!$A$7:$O$445,9)</f>
        <v>-522500</v>
      </c>
      <c r="J165" s="103">
        <f>VLOOKUP($A165,'OI(Volume)'!$A$7:$O$445,11)</f>
        <v>9978800</v>
      </c>
      <c r="K165" s="103">
        <f>VLOOKUP($A165,'OI(Volume)'!$A$7:$O$445,12)</f>
        <v>-201400</v>
      </c>
      <c r="L165" s="103">
        <f>VLOOKUP($A165,'OI(Value)'!$A$7:$O$329,8,0)</f>
        <v>417</v>
      </c>
      <c r="M165" s="103">
        <f>VLOOKUP($A165,'OI(Value)'!$A$7:$O$329,9,0)</f>
        <v>-14</v>
      </c>
      <c r="N165" s="103">
        <f>VLOOKUP($A165,'OI(Value)'!$A$7:$O$329,11,0)</f>
        <v>272</v>
      </c>
      <c r="O165" s="103">
        <f>VLOOKUP($A165,'OI(Value)'!$A$7:$O$329,12,0)</f>
        <v>-5</v>
      </c>
      <c r="P165" s="179">
        <f>VLOOKUP(A165,'OI(Value)'!A165:O389,8,0)</f>
        <v>417</v>
      </c>
      <c r="Q165" s="179">
        <f>VLOOKUP(A165,'OI(Value)'!A165:O389,9,0)</f>
        <v>-14</v>
      </c>
      <c r="R165" s="179">
        <f>VLOOKUP(A165,'OI(Value)'!A165:O389,11,0)</f>
        <v>272</v>
      </c>
      <c r="S165" s="179">
        <f>VLOOKUP(A165,'OI(Value)'!A165:O389,11,0)</f>
        <v>272</v>
      </c>
    </row>
    <row r="166" spans="1:19" x14ac:dyDescent="0.25">
      <c r="A166" s="105" t="str">
        <f>'Data Vlaue (Cr)'!C161</f>
        <v>PFC</v>
      </c>
      <c r="B166" s="143">
        <f>VLOOKUP($A166,'Data shares'!$C:$FA,118)</f>
        <v>0.84</v>
      </c>
      <c r="C166" s="143">
        <f>VLOOKUP($A166,'Data shares'!$C:$FA,119)</f>
        <v>0.73</v>
      </c>
      <c r="D166" s="143">
        <f>VLOOKUP($A166,'Data shares'!$C:$FA,121)*100</f>
        <v>15.07</v>
      </c>
      <c r="E166" s="143">
        <f>VLOOKUP($A166,'Data shares'!$C:$FA,124)</f>
        <v>0.56999999999999995</v>
      </c>
      <c r="F166" s="143">
        <f>VLOOKUP($A166,'Data shares'!$C:$FA,125)</f>
        <v>0.52</v>
      </c>
      <c r="G166" s="143">
        <f>VLOOKUP($A166,'Data shares'!$C:$FA,127)*100</f>
        <v>9.6199999999999992</v>
      </c>
      <c r="H166" s="103">
        <f>VLOOKUP($A166,'OI(Volume)'!$A$7:$O$445,8)</f>
        <v>26360100</v>
      </c>
      <c r="I166" s="103">
        <f>VLOOKUP($A166,'OI(Volume)'!$A$7:$O$445,9)</f>
        <v>-781300</v>
      </c>
      <c r="J166" s="103">
        <f>VLOOKUP($A166,'OI(Volume)'!$A$7:$O$445,11)</f>
        <v>22079200</v>
      </c>
      <c r="K166" s="103">
        <f>VLOOKUP($A166,'OI(Volume)'!$A$7:$O$445,12)</f>
        <v>2224300</v>
      </c>
      <c r="L166" s="103">
        <f>VLOOKUP($A166,'OI(Value)'!$A$7:$O$329,8,0)</f>
        <v>1250</v>
      </c>
      <c r="M166" s="103">
        <f>VLOOKUP($A166,'OI(Value)'!$A$7:$O$329,9,0)</f>
        <v>-37</v>
      </c>
      <c r="N166" s="103">
        <f>VLOOKUP($A166,'OI(Value)'!$A$7:$O$329,11,0)</f>
        <v>1047</v>
      </c>
      <c r="O166" s="103">
        <f>VLOOKUP($A166,'OI(Value)'!$A$7:$O$329,12,0)</f>
        <v>105</v>
      </c>
      <c r="P166" s="179">
        <f>VLOOKUP(A166,'OI(Value)'!A166:O390,8,0)</f>
        <v>1250</v>
      </c>
      <c r="Q166" s="179">
        <f>VLOOKUP(A166,'OI(Value)'!A166:O390,9,0)</f>
        <v>-37</v>
      </c>
      <c r="R166" s="179">
        <f>VLOOKUP(A166,'OI(Value)'!A166:O390,11,0)</f>
        <v>1047</v>
      </c>
      <c r="S166" s="179">
        <f>VLOOKUP(A166,'OI(Value)'!A166:O390,11,0)</f>
        <v>1047</v>
      </c>
    </row>
    <row r="167" spans="1:19" x14ac:dyDescent="0.25">
      <c r="A167" s="105" t="str">
        <f>'Data Vlaue (Cr)'!C162</f>
        <v>PGEL</v>
      </c>
      <c r="B167" s="143">
        <f>VLOOKUP($A167,'Data shares'!$C:$FA,118)</f>
        <v>1.17</v>
      </c>
      <c r="C167" s="143">
        <f>VLOOKUP($A167,'Data shares'!$C:$FA,119)</f>
        <v>1.18</v>
      </c>
      <c r="D167" s="143">
        <f>VLOOKUP($A167,'Data shares'!$C:$FA,121)*100</f>
        <v>-0.85000000000000009</v>
      </c>
      <c r="E167" s="143">
        <f>VLOOKUP($A167,'Data shares'!$C:$FA,124)</f>
        <v>0.98</v>
      </c>
      <c r="F167" s="143">
        <f>VLOOKUP($A167,'Data shares'!$C:$FA,125)</f>
        <v>1.01</v>
      </c>
      <c r="G167" s="143">
        <f>VLOOKUP($A167,'Data shares'!$C:$FA,127)*100</f>
        <v>-2.97</v>
      </c>
      <c r="H167" s="103">
        <f>VLOOKUP($A167,'OI(Volume)'!$A$7:$O$445,8)</f>
        <v>8378050</v>
      </c>
      <c r="I167" s="103">
        <f>VLOOKUP($A167,'OI(Volume)'!$A$7:$O$445,9)</f>
        <v>-158650</v>
      </c>
      <c r="J167" s="103">
        <f>VLOOKUP($A167,'OI(Volume)'!$A$7:$O$445,11)</f>
        <v>9772650</v>
      </c>
      <c r="K167" s="103">
        <f>VLOOKUP($A167,'OI(Volume)'!$A$7:$O$445,12)</f>
        <v>-317300</v>
      </c>
      <c r="L167" s="103">
        <f>VLOOKUP($A167,'OI(Value)'!$A$7:$O$329,8,0)</f>
        <v>469</v>
      </c>
      <c r="M167" s="103">
        <f>VLOOKUP($A167,'OI(Value)'!$A$7:$O$329,9,0)</f>
        <v>-9</v>
      </c>
      <c r="N167" s="103">
        <f>VLOOKUP($A167,'OI(Value)'!$A$7:$O$329,11,0)</f>
        <v>548</v>
      </c>
      <c r="O167" s="103">
        <f>VLOOKUP($A167,'OI(Value)'!$A$7:$O$329,12,0)</f>
        <v>-18</v>
      </c>
      <c r="P167" s="179">
        <f>VLOOKUP(A167,'OI(Value)'!A167:O391,8,0)</f>
        <v>469</v>
      </c>
      <c r="Q167" s="179">
        <f>VLOOKUP(A167,'OI(Value)'!A167:O391,9,0)</f>
        <v>-9</v>
      </c>
      <c r="R167" s="179">
        <f>VLOOKUP(A167,'OI(Value)'!A167:O391,11,0)</f>
        <v>548</v>
      </c>
      <c r="S167" s="179">
        <f>VLOOKUP(A167,'OI(Value)'!A167:O391,11,0)</f>
        <v>548</v>
      </c>
    </row>
    <row r="168" spans="1:19" x14ac:dyDescent="0.25">
      <c r="A168" s="105" t="str">
        <f>'Data Vlaue (Cr)'!C163</f>
        <v>PHOENIXLTD</v>
      </c>
      <c r="B168" s="143">
        <f>VLOOKUP($A168,'Data shares'!$C:$FA,118)</f>
        <v>0.8</v>
      </c>
      <c r="C168" s="143">
        <f>VLOOKUP($A168,'Data shares'!$C:$FA,119)</f>
        <v>0.86</v>
      </c>
      <c r="D168" s="143">
        <f>VLOOKUP($A168,'Data shares'!$C:$FA,121)*100</f>
        <v>-6.98</v>
      </c>
      <c r="E168" s="143">
        <f>VLOOKUP($A168,'Data shares'!$C:$FA,124)</f>
        <v>0.95</v>
      </c>
      <c r="F168" s="143">
        <f>VLOOKUP($A168,'Data shares'!$C:$FA,125)</f>
        <v>0.72</v>
      </c>
      <c r="G168" s="143">
        <f>VLOOKUP($A168,'Data shares'!$C:$FA,127)*100</f>
        <v>31.94</v>
      </c>
      <c r="H168" s="103">
        <f>VLOOKUP($A168,'OI(Volume)'!$A$7:$O$445,8)</f>
        <v>770700</v>
      </c>
      <c r="I168" s="103">
        <f>VLOOKUP($A168,'OI(Volume)'!$A$7:$O$445,9)</f>
        <v>33250</v>
      </c>
      <c r="J168" s="103">
        <f>VLOOKUP($A168,'OI(Volume)'!$A$7:$O$445,11)</f>
        <v>617050</v>
      </c>
      <c r="K168" s="103">
        <f>VLOOKUP($A168,'OI(Volume)'!$A$7:$O$445,12)</f>
        <v>-13650</v>
      </c>
      <c r="L168" s="103">
        <f>VLOOKUP($A168,'OI(Value)'!$A$7:$O$329,8,0)</f>
        <v>137</v>
      </c>
      <c r="M168" s="103">
        <f>VLOOKUP($A168,'OI(Value)'!$A$7:$O$329,9,0)</f>
        <v>6</v>
      </c>
      <c r="N168" s="103">
        <f>VLOOKUP($A168,'OI(Value)'!$A$7:$O$329,11,0)</f>
        <v>109</v>
      </c>
      <c r="O168" s="103">
        <f>VLOOKUP($A168,'OI(Value)'!$A$7:$O$329,12,0)</f>
        <v>-2</v>
      </c>
      <c r="P168" s="179">
        <f>VLOOKUP(A168,'OI(Value)'!A168:O392,8,0)</f>
        <v>137</v>
      </c>
      <c r="Q168" s="179">
        <f>VLOOKUP(A168,'OI(Value)'!A168:O392,9,0)</f>
        <v>6</v>
      </c>
      <c r="R168" s="179">
        <f>VLOOKUP(A168,'OI(Value)'!A168:O392,11,0)</f>
        <v>109</v>
      </c>
      <c r="S168" s="179">
        <f>VLOOKUP(A168,'OI(Value)'!A168:O392,11,0)</f>
        <v>109</v>
      </c>
    </row>
    <row r="169" spans="1:19" x14ac:dyDescent="0.25">
      <c r="A169" s="105" t="str">
        <f>'Data Vlaue (Cr)'!C164</f>
        <v>PIDILITIND</v>
      </c>
      <c r="B169" s="143">
        <f>VLOOKUP($A169,'Data shares'!$C:$FA,118)</f>
        <v>0.66</v>
      </c>
      <c r="C169" s="143">
        <f>VLOOKUP($A169,'Data shares'!$C:$FA,119)</f>
        <v>0.66</v>
      </c>
      <c r="D169" s="143">
        <f>VLOOKUP($A169,'Data shares'!$C:$FA,121)*100</f>
        <v>0</v>
      </c>
      <c r="E169" s="143">
        <f>VLOOKUP($A169,'Data shares'!$C:$FA,124)</f>
        <v>0.61</v>
      </c>
      <c r="F169" s="143">
        <f>VLOOKUP($A169,'Data shares'!$C:$FA,125)</f>
        <v>0.33</v>
      </c>
      <c r="G169" s="143">
        <f>VLOOKUP($A169,'Data shares'!$C:$FA,127)*100</f>
        <v>84.850000000000009</v>
      </c>
      <c r="H169" s="103">
        <f>VLOOKUP($A169,'OI(Volume)'!$A$7:$O$445,8)</f>
        <v>1650500</v>
      </c>
      <c r="I169" s="103">
        <f>VLOOKUP($A169,'OI(Volume)'!$A$7:$O$445,9)</f>
        <v>-110500</v>
      </c>
      <c r="J169" s="103">
        <f>VLOOKUP($A169,'OI(Volume)'!$A$7:$O$445,11)</f>
        <v>1093500</v>
      </c>
      <c r="K169" s="103">
        <f>VLOOKUP($A169,'OI(Volume)'!$A$7:$O$445,12)</f>
        <v>-60500</v>
      </c>
      <c r="L169" s="103">
        <f>VLOOKUP($A169,'OI(Value)'!$A$7:$O$329,8,0)</f>
        <v>230</v>
      </c>
      <c r="M169" s="103">
        <f>VLOOKUP($A169,'OI(Value)'!$A$7:$O$329,9,0)</f>
        <v>-15</v>
      </c>
      <c r="N169" s="103">
        <f>VLOOKUP($A169,'OI(Value)'!$A$7:$O$329,11,0)</f>
        <v>152</v>
      </c>
      <c r="O169" s="103">
        <f>VLOOKUP($A169,'OI(Value)'!$A$7:$O$329,12,0)</f>
        <v>-8</v>
      </c>
      <c r="P169" s="179">
        <f>VLOOKUP(A169,'OI(Value)'!A169:O393,8,0)</f>
        <v>230</v>
      </c>
      <c r="Q169" s="179">
        <f>VLOOKUP(A169,'OI(Value)'!A169:O393,9,0)</f>
        <v>-15</v>
      </c>
      <c r="R169" s="179">
        <f>VLOOKUP(A169,'OI(Value)'!A169:O393,11,0)</f>
        <v>152</v>
      </c>
      <c r="S169" s="179">
        <f>VLOOKUP(A169,'OI(Value)'!A169:O393,11,0)</f>
        <v>152</v>
      </c>
    </row>
    <row r="170" spans="1:19" x14ac:dyDescent="0.25">
      <c r="A170" s="105" t="str">
        <f>'Data Vlaue (Cr)'!C165</f>
        <v>PIIND</v>
      </c>
      <c r="B170" s="143">
        <f>VLOOKUP($A170,'Data shares'!$C:$FA,118)</f>
        <v>0.85</v>
      </c>
      <c r="C170" s="143">
        <f>VLOOKUP($A170,'Data shares'!$C:$FA,119)</f>
        <v>1.01</v>
      </c>
      <c r="D170" s="143">
        <f>VLOOKUP($A170,'Data shares'!$C:$FA,121)*100</f>
        <v>-15.840000000000002</v>
      </c>
      <c r="E170" s="143">
        <f>VLOOKUP($A170,'Data shares'!$C:$FA,124)</f>
        <v>0.82</v>
      </c>
      <c r="F170" s="143">
        <f>VLOOKUP($A170,'Data shares'!$C:$FA,125)</f>
        <v>0.56999999999999995</v>
      </c>
      <c r="G170" s="143">
        <f>VLOOKUP($A170,'Data shares'!$C:$FA,127)*100</f>
        <v>43.86</v>
      </c>
      <c r="H170" s="103">
        <f>VLOOKUP($A170,'OI(Volume)'!$A$7:$O$445,8)</f>
        <v>743050</v>
      </c>
      <c r="I170" s="103">
        <f>VLOOKUP($A170,'OI(Volume)'!$A$7:$O$445,9)</f>
        <v>74550</v>
      </c>
      <c r="J170" s="103">
        <f>VLOOKUP($A170,'OI(Volume)'!$A$7:$O$445,11)</f>
        <v>630525</v>
      </c>
      <c r="K170" s="103">
        <f>VLOOKUP($A170,'OI(Volume)'!$A$7:$O$445,12)</f>
        <v>-43050</v>
      </c>
      <c r="L170" s="103">
        <f>VLOOKUP($A170,'OI(Value)'!$A$7:$O$329,8,0)</f>
        <v>224</v>
      </c>
      <c r="M170" s="103">
        <f>VLOOKUP($A170,'OI(Value)'!$A$7:$O$329,9,0)</f>
        <v>23</v>
      </c>
      <c r="N170" s="103">
        <f>VLOOKUP($A170,'OI(Value)'!$A$7:$O$329,11,0)</f>
        <v>190</v>
      </c>
      <c r="O170" s="103">
        <f>VLOOKUP($A170,'OI(Value)'!$A$7:$O$329,12,0)</f>
        <v>-13</v>
      </c>
      <c r="P170" s="179">
        <f>VLOOKUP(A170,'OI(Value)'!A170:O394,8,0)</f>
        <v>224</v>
      </c>
      <c r="Q170" s="179">
        <f>VLOOKUP(A170,'OI(Value)'!A170:O394,9,0)</f>
        <v>23</v>
      </c>
      <c r="R170" s="179">
        <f>VLOOKUP(A170,'OI(Value)'!A170:O394,11,0)</f>
        <v>190</v>
      </c>
      <c r="S170" s="179">
        <f>VLOOKUP(A170,'OI(Value)'!A170:O394,11,0)</f>
        <v>190</v>
      </c>
    </row>
    <row r="171" spans="1:19" x14ac:dyDescent="0.25">
      <c r="A171" s="105" t="str">
        <f>'Data Vlaue (Cr)'!C166</f>
        <v>PNB</v>
      </c>
      <c r="B171" s="143">
        <f>VLOOKUP($A171,'Data shares'!$C:$FA,118)</f>
        <v>0.87</v>
      </c>
      <c r="C171" s="143">
        <f>VLOOKUP($A171,'Data shares'!$C:$FA,119)</f>
        <v>0.88</v>
      </c>
      <c r="D171" s="143">
        <f>VLOOKUP($A171,'Data shares'!$C:$FA,121)*100</f>
        <v>-1.1400000000000001</v>
      </c>
      <c r="E171" s="143">
        <f>VLOOKUP($A171,'Data shares'!$C:$FA,124)</f>
        <v>0.54</v>
      </c>
      <c r="F171" s="143">
        <f>VLOOKUP($A171,'Data shares'!$C:$FA,125)</f>
        <v>0.59</v>
      </c>
      <c r="G171" s="143">
        <f>VLOOKUP($A171,'Data shares'!$C:$FA,127)*100</f>
        <v>-8.4699999999999989</v>
      </c>
      <c r="H171" s="103">
        <f>VLOOKUP($A171,'OI(Volume)'!$A$7:$O$445,8)</f>
        <v>84496000</v>
      </c>
      <c r="I171" s="103">
        <f>VLOOKUP($A171,'OI(Volume)'!$A$7:$O$445,9)</f>
        <v>1840000</v>
      </c>
      <c r="J171" s="103">
        <f>VLOOKUP($A171,'OI(Volume)'!$A$7:$O$445,11)</f>
        <v>73400000</v>
      </c>
      <c r="K171" s="103">
        <f>VLOOKUP($A171,'OI(Volume)'!$A$7:$O$445,12)</f>
        <v>792000</v>
      </c>
      <c r="L171" s="103">
        <f>VLOOKUP($A171,'OI(Value)'!$A$7:$O$329,8,0)</f>
        <v>962</v>
      </c>
      <c r="M171" s="103">
        <f>VLOOKUP($A171,'OI(Value)'!$A$7:$O$329,9,0)</f>
        <v>21</v>
      </c>
      <c r="N171" s="103">
        <f>VLOOKUP($A171,'OI(Value)'!$A$7:$O$329,11,0)</f>
        <v>836</v>
      </c>
      <c r="O171" s="103">
        <f>VLOOKUP($A171,'OI(Value)'!$A$7:$O$329,12,0)</f>
        <v>9</v>
      </c>
      <c r="P171" s="179">
        <f>VLOOKUP(A171,'OI(Value)'!A171:O395,8,0)</f>
        <v>962</v>
      </c>
      <c r="Q171" s="179">
        <f>VLOOKUP(A171,'OI(Value)'!A171:O395,9,0)</f>
        <v>21</v>
      </c>
      <c r="R171" s="179">
        <f>VLOOKUP(A171,'OI(Value)'!A171:O395,11,0)</f>
        <v>836</v>
      </c>
      <c r="S171" s="179">
        <f>VLOOKUP(A171,'OI(Value)'!A171:O395,11,0)</f>
        <v>836</v>
      </c>
    </row>
    <row r="172" spans="1:19" x14ac:dyDescent="0.25">
      <c r="A172" s="105" t="str">
        <f>'Data Vlaue (Cr)'!C167</f>
        <v>PNBHOUSING</v>
      </c>
      <c r="B172" s="143">
        <f>VLOOKUP($A172,'Data shares'!$C:$FA,118)</f>
        <v>0.87</v>
      </c>
      <c r="C172" s="143">
        <f>VLOOKUP($A172,'Data shares'!$C:$FA,119)</f>
        <v>1</v>
      </c>
      <c r="D172" s="143">
        <f>VLOOKUP($A172,'Data shares'!$C:$FA,121)*100</f>
        <v>-13</v>
      </c>
      <c r="E172" s="143">
        <f>VLOOKUP($A172,'Data shares'!$C:$FA,124)</f>
        <v>0.6</v>
      </c>
      <c r="F172" s="143">
        <f>VLOOKUP($A172,'Data shares'!$C:$FA,125)</f>
        <v>0.34</v>
      </c>
      <c r="G172" s="143">
        <f>VLOOKUP($A172,'Data shares'!$C:$FA,127)*100</f>
        <v>76.47</v>
      </c>
      <c r="H172" s="103">
        <f>VLOOKUP($A172,'OI(Volume)'!$A$7:$O$445,8)</f>
        <v>4781400</v>
      </c>
      <c r="I172" s="103">
        <f>VLOOKUP($A172,'OI(Volume)'!$A$7:$O$445,9)</f>
        <v>2215850</v>
      </c>
      <c r="J172" s="103">
        <f>VLOOKUP($A172,'OI(Volume)'!$A$7:$O$445,11)</f>
        <v>4161950</v>
      </c>
      <c r="K172" s="103">
        <f>VLOOKUP($A172,'OI(Volume)'!$A$7:$O$445,12)</f>
        <v>1600950</v>
      </c>
      <c r="L172" s="103">
        <f>VLOOKUP($A172,'OI(Value)'!$A$7:$O$329,8,0)</f>
        <v>434</v>
      </c>
      <c r="M172" s="103">
        <f>VLOOKUP($A172,'OI(Value)'!$A$7:$O$329,9,0)</f>
        <v>201</v>
      </c>
      <c r="N172" s="103">
        <f>VLOOKUP($A172,'OI(Value)'!$A$7:$O$329,11,0)</f>
        <v>378</v>
      </c>
      <c r="O172" s="103">
        <f>VLOOKUP($A172,'OI(Value)'!$A$7:$O$329,12,0)</f>
        <v>145</v>
      </c>
      <c r="P172" s="179">
        <f>VLOOKUP(A172,'OI(Value)'!A172:O396,8,0)</f>
        <v>434</v>
      </c>
      <c r="Q172" s="179">
        <f>VLOOKUP(A172,'OI(Value)'!A172:O396,9,0)</f>
        <v>201</v>
      </c>
      <c r="R172" s="179">
        <f>VLOOKUP(A172,'OI(Value)'!A172:O396,11,0)</f>
        <v>378</v>
      </c>
      <c r="S172" s="179">
        <f>VLOOKUP(A172,'OI(Value)'!A172:O396,11,0)</f>
        <v>378</v>
      </c>
    </row>
    <row r="173" spans="1:19" x14ac:dyDescent="0.25">
      <c r="A173" s="105" t="str">
        <f>'Data Vlaue (Cr)'!C168</f>
        <v>POLICYBZR</v>
      </c>
      <c r="B173" s="143">
        <f>VLOOKUP($A173,'Data shares'!$C:$FA,118)</f>
        <v>0.74</v>
      </c>
      <c r="C173" s="143">
        <f>VLOOKUP($A173,'Data shares'!$C:$FA,119)</f>
        <v>0.66</v>
      </c>
      <c r="D173" s="143">
        <f>VLOOKUP($A173,'Data shares'!$C:$FA,121)*100</f>
        <v>12.120000000000001</v>
      </c>
      <c r="E173" s="143">
        <f>VLOOKUP($A173,'Data shares'!$C:$FA,124)</f>
        <v>0.65</v>
      </c>
      <c r="F173" s="143">
        <f>VLOOKUP($A173,'Data shares'!$C:$FA,125)</f>
        <v>0.35</v>
      </c>
      <c r="G173" s="143">
        <f>VLOOKUP($A173,'Data shares'!$C:$FA,127)*100</f>
        <v>85.71</v>
      </c>
      <c r="H173" s="103">
        <f>VLOOKUP($A173,'OI(Volume)'!$A$7:$O$445,8)</f>
        <v>2223550</v>
      </c>
      <c r="I173" s="103">
        <f>VLOOKUP($A173,'OI(Volume)'!$A$7:$O$445,9)</f>
        <v>-180600</v>
      </c>
      <c r="J173" s="103">
        <f>VLOOKUP($A173,'OI(Volume)'!$A$7:$O$445,11)</f>
        <v>1644650</v>
      </c>
      <c r="K173" s="103">
        <f>VLOOKUP($A173,'OI(Volume)'!$A$7:$O$445,12)</f>
        <v>52500</v>
      </c>
      <c r="L173" s="103">
        <f>VLOOKUP($A173,'OI(Value)'!$A$7:$O$329,8,0)</f>
        <v>359</v>
      </c>
      <c r="M173" s="103">
        <f>VLOOKUP($A173,'OI(Value)'!$A$7:$O$329,9,0)</f>
        <v>-29</v>
      </c>
      <c r="N173" s="103">
        <f>VLOOKUP($A173,'OI(Value)'!$A$7:$O$329,11,0)</f>
        <v>265</v>
      </c>
      <c r="O173" s="103">
        <f>VLOOKUP($A173,'OI(Value)'!$A$7:$O$329,12,0)</f>
        <v>8</v>
      </c>
    </row>
    <row r="174" spans="1:19" x14ac:dyDescent="0.25">
      <c r="A174" s="105" t="str">
        <f>'Data Vlaue (Cr)'!C169</f>
        <v>POLYCAB</v>
      </c>
      <c r="B174" s="143">
        <f>VLOOKUP($A174,'Data shares'!$C:$FA,118)</f>
        <v>1.06</v>
      </c>
      <c r="C174" s="143">
        <f>VLOOKUP($A174,'Data shares'!$C:$FA,119)</f>
        <v>1.24</v>
      </c>
      <c r="D174" s="143">
        <f>VLOOKUP($A174,'Data shares'!$C:$FA,121)*100</f>
        <v>-14.52</v>
      </c>
      <c r="E174" s="143">
        <f>VLOOKUP($A174,'Data shares'!$C:$FA,124)</f>
        <v>1.38</v>
      </c>
      <c r="F174" s="143">
        <f>VLOOKUP($A174,'Data shares'!$C:$FA,125)</f>
        <v>0.68</v>
      </c>
      <c r="G174" s="143">
        <f>VLOOKUP($A174,'Data shares'!$C:$FA,127)*100</f>
        <v>102.94000000000001</v>
      </c>
      <c r="H174" s="103">
        <f>VLOOKUP($A174,'OI(Volume)'!$A$7:$O$445,8)</f>
        <v>1130375</v>
      </c>
      <c r="I174" s="103">
        <f>VLOOKUP($A174,'OI(Volume)'!$A$7:$O$445,9)</f>
        <v>-24750</v>
      </c>
      <c r="J174" s="103">
        <f>VLOOKUP($A174,'OI(Volume)'!$A$7:$O$445,11)</f>
        <v>1194375</v>
      </c>
      <c r="K174" s="103">
        <f>VLOOKUP($A174,'OI(Volume)'!$A$7:$O$445,12)</f>
        <v>-240875</v>
      </c>
      <c r="L174" s="103">
        <f>VLOOKUP($A174,'OI(Value)'!$A$7:$O$329,8,0)</f>
        <v>926</v>
      </c>
      <c r="M174" s="103">
        <f>VLOOKUP($A174,'OI(Value)'!$A$7:$O$329,9,0)</f>
        <v>-20</v>
      </c>
      <c r="N174" s="103">
        <f>VLOOKUP($A174,'OI(Value)'!$A$7:$O$329,11,0)</f>
        <v>978</v>
      </c>
      <c r="O174" s="103">
        <f>VLOOKUP($A174,'OI(Value)'!$A$7:$O$329,12,0)</f>
        <v>-197</v>
      </c>
    </row>
    <row r="175" spans="1:19" x14ac:dyDescent="0.25">
      <c r="A175" s="105" t="str">
        <f>'Data Vlaue (Cr)'!C170</f>
        <v>POWERGRID</v>
      </c>
      <c r="B175" s="143">
        <f>VLOOKUP($A175,'Data shares'!$C:$FA,118)</f>
        <v>0.62</v>
      </c>
      <c r="C175" s="143">
        <f>VLOOKUP($A175,'Data shares'!$C:$FA,119)</f>
        <v>0.63</v>
      </c>
      <c r="D175" s="143">
        <f>VLOOKUP($A175,'Data shares'!$C:$FA,121)*100</f>
        <v>-1.59</v>
      </c>
      <c r="E175" s="143">
        <f>VLOOKUP($A175,'Data shares'!$C:$FA,124)</f>
        <v>0.35</v>
      </c>
      <c r="F175" s="143">
        <f>VLOOKUP($A175,'Data shares'!$C:$FA,125)</f>
        <v>0.38</v>
      </c>
      <c r="G175" s="143">
        <f>VLOOKUP($A175,'Data shares'!$C:$FA,127)*100</f>
        <v>-7.89</v>
      </c>
      <c r="H175" s="103">
        <f>VLOOKUP($A175,'OI(Volume)'!$A$7:$O$445,8)</f>
        <v>40154600</v>
      </c>
      <c r="I175" s="103">
        <f>VLOOKUP($A175,'OI(Volume)'!$A$7:$O$445,9)</f>
        <v>2720800</v>
      </c>
      <c r="J175" s="103">
        <f>VLOOKUP($A175,'OI(Volume)'!$A$7:$O$445,11)</f>
        <v>24720900</v>
      </c>
      <c r="K175" s="103">
        <f>VLOOKUP($A175,'OI(Volume)'!$A$7:$O$445,12)</f>
        <v>1100100</v>
      </c>
      <c r="L175" s="103">
        <f>VLOOKUP($A175,'OI(Value)'!$A$7:$O$329,8,0)</f>
        <v>1280</v>
      </c>
      <c r="M175" s="103">
        <f>VLOOKUP($A175,'OI(Value)'!$A$7:$O$329,9,0)</f>
        <v>87</v>
      </c>
      <c r="N175" s="103">
        <f>VLOOKUP($A175,'OI(Value)'!$A$7:$O$329,11,0)</f>
        <v>788</v>
      </c>
      <c r="O175" s="103">
        <f>VLOOKUP($A175,'OI(Value)'!$A$7:$O$329,12,0)</f>
        <v>35</v>
      </c>
    </row>
    <row r="176" spans="1:19" x14ac:dyDescent="0.25">
      <c r="A176" s="105" t="str">
        <f>'Data Vlaue (Cr)'!C171</f>
        <v>POWERINDIA</v>
      </c>
      <c r="B176" s="143">
        <f>VLOOKUP($A176,'Data shares'!$C:$FA,118)</f>
        <v>1.18</v>
      </c>
      <c r="C176" s="143">
        <f>VLOOKUP($A176,'Data shares'!$C:$FA,119)</f>
        <v>1.05</v>
      </c>
      <c r="D176" s="143">
        <f>VLOOKUP($A176,'Data shares'!$C:$FA,121)*100</f>
        <v>12.379999999999999</v>
      </c>
      <c r="E176" s="143">
        <f>VLOOKUP($A176,'Data shares'!$C:$FA,124)</f>
        <v>0.56999999999999995</v>
      </c>
      <c r="F176" s="143">
        <f>VLOOKUP($A176,'Data shares'!$C:$FA,125)</f>
        <v>0.67</v>
      </c>
      <c r="G176" s="143">
        <f>VLOOKUP($A176,'Data shares'!$C:$FA,127)*100</f>
        <v>-14.93</v>
      </c>
      <c r="H176" s="103">
        <f>VLOOKUP($A176,'OI(Volume)'!$A$7:$O$445,8)</f>
        <v>274450</v>
      </c>
      <c r="I176" s="103">
        <f>VLOOKUP($A176,'OI(Volume)'!$A$7:$O$445,9)</f>
        <v>24200</v>
      </c>
      <c r="J176" s="103">
        <f>VLOOKUP($A176,'OI(Volume)'!$A$7:$O$445,11)</f>
        <v>322900</v>
      </c>
      <c r="K176" s="103">
        <f>VLOOKUP($A176,'OI(Volume)'!$A$7:$O$445,12)</f>
        <v>59500</v>
      </c>
      <c r="L176" s="103">
        <f>VLOOKUP($A176,'OI(Value)'!$A$7:$O$329,8,0)</f>
        <v>815</v>
      </c>
      <c r="M176" s="103">
        <f>VLOOKUP($A176,'OI(Value)'!$A$7:$O$329,9,0)</f>
        <v>72</v>
      </c>
      <c r="N176" s="103">
        <f>VLOOKUP($A176,'OI(Value)'!$A$7:$O$329,11,0)</f>
        <v>959</v>
      </c>
      <c r="O176" s="103">
        <f>VLOOKUP($A176,'OI(Value)'!$A$7:$O$329,12,0)</f>
        <v>177</v>
      </c>
    </row>
    <row r="177" spans="1:15" x14ac:dyDescent="0.25">
      <c r="A177" s="105" t="str">
        <f>'Data Vlaue (Cr)'!C172</f>
        <v>PPLPHARMA</v>
      </c>
      <c r="B177" s="143">
        <f>VLOOKUP($A177,'Data shares'!$C:$FA,118)</f>
        <v>0.61</v>
      </c>
      <c r="C177" s="143">
        <f>VLOOKUP($A177,'Data shares'!$C:$FA,119)</f>
        <v>0.6</v>
      </c>
      <c r="D177" s="143">
        <f>VLOOKUP($A177,'Data shares'!$C:$FA,121)*100</f>
        <v>1.67</v>
      </c>
      <c r="E177" s="143">
        <f>VLOOKUP($A177,'Data shares'!$C:$FA,124)</f>
        <v>0.34</v>
      </c>
      <c r="F177" s="143">
        <f>VLOOKUP($A177,'Data shares'!$C:$FA,125)</f>
        <v>0.25</v>
      </c>
      <c r="G177" s="143">
        <f>VLOOKUP($A177,'Data shares'!$C:$FA,127)*100</f>
        <v>36</v>
      </c>
      <c r="H177" s="103">
        <f>VLOOKUP($A177,'OI(Volume)'!$A$7:$O$445,8)</f>
        <v>5271000</v>
      </c>
      <c r="I177" s="103">
        <f>VLOOKUP($A177,'OI(Volume)'!$A$7:$O$445,9)</f>
        <v>-254625</v>
      </c>
      <c r="J177" s="103">
        <f>VLOOKUP($A177,'OI(Volume)'!$A$7:$O$445,11)</f>
        <v>3218250</v>
      </c>
      <c r="K177" s="103">
        <f>VLOOKUP($A177,'OI(Volume)'!$A$7:$O$445,12)</f>
        <v>-102375</v>
      </c>
      <c r="L177" s="103">
        <f>VLOOKUP($A177,'OI(Value)'!$A$7:$O$329,8,0)</f>
        <v>78</v>
      </c>
      <c r="M177" s="103">
        <f>VLOOKUP($A177,'OI(Value)'!$A$7:$O$329,9,0)</f>
        <v>-4</v>
      </c>
      <c r="N177" s="103">
        <f>VLOOKUP($A177,'OI(Value)'!$A$7:$O$329,11,0)</f>
        <v>48</v>
      </c>
      <c r="O177" s="103">
        <f>VLOOKUP($A177,'OI(Value)'!$A$7:$O$329,12,0)</f>
        <v>-2</v>
      </c>
    </row>
    <row r="178" spans="1:15" x14ac:dyDescent="0.25">
      <c r="A178" s="105" t="str">
        <f>'Data Vlaue (Cr)'!C173</f>
        <v>PREMIERENE</v>
      </c>
      <c r="B178" s="143">
        <f>VLOOKUP($A178,'Data shares'!$C:$FA,118)</f>
        <v>0.77</v>
      </c>
      <c r="C178" s="143">
        <f>VLOOKUP($A178,'Data shares'!$C:$FA,119)</f>
        <v>0.81</v>
      </c>
      <c r="D178" s="143">
        <f>VLOOKUP($A178,'Data shares'!$C:$FA,121)*100</f>
        <v>-4.9399999999999995</v>
      </c>
      <c r="E178" s="143">
        <f>VLOOKUP($A178,'Data shares'!$C:$FA,124)</f>
        <v>0.37</v>
      </c>
      <c r="F178" s="143">
        <f>VLOOKUP($A178,'Data shares'!$C:$FA,125)</f>
        <v>0.69</v>
      </c>
      <c r="G178" s="143">
        <f>VLOOKUP($A178,'Data shares'!$C:$FA,127)*100</f>
        <v>-46.379999999999995</v>
      </c>
      <c r="H178" s="103">
        <f>VLOOKUP($A178,'OI(Volume)'!$A$7:$O$445,8)</f>
        <v>2670875</v>
      </c>
      <c r="I178" s="103">
        <f>VLOOKUP($A178,'OI(Volume)'!$A$7:$O$445,9)</f>
        <v>458850</v>
      </c>
      <c r="J178" s="103">
        <f>VLOOKUP($A178,'OI(Volume)'!$A$7:$O$445,11)</f>
        <v>2043550</v>
      </c>
      <c r="K178" s="103">
        <f>VLOOKUP($A178,'OI(Volume)'!$A$7:$O$445,12)</f>
        <v>244375</v>
      </c>
      <c r="L178" s="103">
        <f>VLOOKUP($A178,'OI(Value)'!$A$7:$O$329,8,0)</f>
        <v>268</v>
      </c>
      <c r="M178" s="103">
        <f>VLOOKUP($A178,'OI(Value)'!$A$7:$O$329,9,0)</f>
        <v>46</v>
      </c>
      <c r="N178" s="103">
        <f>VLOOKUP($A178,'OI(Value)'!$A$7:$O$329,11,0)</f>
        <v>205</v>
      </c>
      <c r="O178" s="103">
        <f>VLOOKUP($A178,'OI(Value)'!$A$7:$O$329,12,0)</f>
        <v>25</v>
      </c>
    </row>
    <row r="179" spans="1:15" x14ac:dyDescent="0.25">
      <c r="A179" s="105" t="str">
        <f>'Data Vlaue (Cr)'!C174</f>
        <v>PRESTIGE</v>
      </c>
      <c r="B179" s="143">
        <f>VLOOKUP($A179,'Data shares'!$C:$FA,118)</f>
        <v>0.64</v>
      </c>
      <c r="C179" s="143">
        <f>VLOOKUP($A179,'Data shares'!$C:$FA,119)</f>
        <v>0.74</v>
      </c>
      <c r="D179" s="143">
        <f>VLOOKUP($A179,'Data shares'!$C:$FA,121)*100</f>
        <v>-13.51</v>
      </c>
      <c r="E179" s="143">
        <f>VLOOKUP($A179,'Data shares'!$C:$FA,124)</f>
        <v>0.64</v>
      </c>
      <c r="F179" s="143">
        <f>VLOOKUP($A179,'Data shares'!$C:$FA,125)</f>
        <v>0.43</v>
      </c>
      <c r="G179" s="143">
        <f>VLOOKUP($A179,'Data shares'!$C:$FA,127)*100</f>
        <v>48.84</v>
      </c>
      <c r="H179" s="103">
        <f>VLOOKUP($A179,'OI(Volume)'!$A$7:$O$445,8)</f>
        <v>2157750</v>
      </c>
      <c r="I179" s="103">
        <f>VLOOKUP($A179,'OI(Volume)'!$A$7:$O$445,9)</f>
        <v>-51300</v>
      </c>
      <c r="J179" s="103">
        <f>VLOOKUP($A179,'OI(Volume)'!$A$7:$O$445,11)</f>
        <v>1378350</v>
      </c>
      <c r="K179" s="103">
        <f>VLOOKUP($A179,'OI(Volume)'!$A$7:$O$445,12)</f>
        <v>-265950</v>
      </c>
      <c r="L179" s="103">
        <f>VLOOKUP($A179,'OI(Value)'!$A$7:$O$329,8,0)</f>
        <v>296</v>
      </c>
      <c r="M179" s="103">
        <f>VLOOKUP($A179,'OI(Value)'!$A$7:$O$329,9,0)</f>
        <v>-7</v>
      </c>
      <c r="N179" s="103">
        <f>VLOOKUP($A179,'OI(Value)'!$A$7:$O$329,11,0)</f>
        <v>189</v>
      </c>
      <c r="O179" s="103">
        <f>VLOOKUP($A179,'OI(Value)'!$A$7:$O$329,12,0)</f>
        <v>-36</v>
      </c>
    </row>
    <row r="180" spans="1:15" x14ac:dyDescent="0.25">
      <c r="A180" s="105" t="str">
        <f>'Data Vlaue (Cr)'!C175</f>
        <v>RBLBANK</v>
      </c>
      <c r="B180" s="143">
        <f>VLOOKUP($A180,'Data shares'!$C:$FA,118)</f>
        <v>0.91</v>
      </c>
      <c r="C180" s="143">
        <f>VLOOKUP($A180,'Data shares'!$C:$FA,119)</f>
        <v>0.9</v>
      </c>
      <c r="D180" s="143">
        <f>VLOOKUP($A180,'Data shares'!$C:$FA,121)*100</f>
        <v>1.1100000000000001</v>
      </c>
      <c r="E180" s="143">
        <f>VLOOKUP($A180,'Data shares'!$C:$FA,124)</f>
        <v>0.47</v>
      </c>
      <c r="F180" s="143">
        <f>VLOOKUP($A180,'Data shares'!$C:$FA,125)</f>
        <v>0.39</v>
      </c>
      <c r="G180" s="143">
        <f>VLOOKUP($A180,'Data shares'!$C:$FA,127)*100</f>
        <v>20.51</v>
      </c>
      <c r="H180" s="103">
        <f>VLOOKUP($A180,'OI(Volume)'!$A$7:$O$445,8)</f>
        <v>29311600</v>
      </c>
      <c r="I180" s="103">
        <f>VLOOKUP($A180,'OI(Volume)'!$A$7:$O$445,9)</f>
        <v>-1428750</v>
      </c>
      <c r="J180" s="103">
        <f>VLOOKUP($A180,'OI(Volume)'!$A$7:$O$445,11)</f>
        <v>26606500</v>
      </c>
      <c r="K180" s="103">
        <f>VLOOKUP($A180,'OI(Volume)'!$A$7:$O$445,12)</f>
        <v>-1082675</v>
      </c>
      <c r="L180" s="103">
        <f>VLOOKUP($A180,'OI(Value)'!$A$7:$O$329,8,0)</f>
        <v>930</v>
      </c>
      <c r="M180" s="103">
        <f>VLOOKUP($A180,'OI(Value)'!$A$7:$O$329,9,0)</f>
        <v>-45</v>
      </c>
      <c r="N180" s="103">
        <f>VLOOKUP($A180,'OI(Value)'!$A$7:$O$329,11,0)</f>
        <v>844</v>
      </c>
      <c r="O180" s="103">
        <f>VLOOKUP($A180,'OI(Value)'!$A$7:$O$329,12,0)</f>
        <v>-34</v>
      </c>
    </row>
    <row r="181" spans="1:15" x14ac:dyDescent="0.25">
      <c r="A181" s="105" t="str">
        <f>'Data Vlaue (Cr)'!C176</f>
        <v>RECLTD</v>
      </c>
      <c r="B181" s="143">
        <f>VLOOKUP($A181,'Data shares'!$C:$FA,118)</f>
        <v>0.91</v>
      </c>
      <c r="C181" s="143">
        <f>VLOOKUP($A181,'Data shares'!$C:$FA,119)</f>
        <v>0.92</v>
      </c>
      <c r="D181" s="143">
        <f>VLOOKUP($A181,'Data shares'!$C:$FA,121)*100</f>
        <v>-1.0900000000000001</v>
      </c>
      <c r="E181" s="143">
        <f>VLOOKUP($A181,'Data shares'!$C:$FA,124)</f>
        <v>0.57999999999999996</v>
      </c>
      <c r="F181" s="143">
        <f>VLOOKUP($A181,'Data shares'!$C:$FA,125)</f>
        <v>0.59</v>
      </c>
      <c r="G181" s="143">
        <f>VLOOKUP($A181,'Data shares'!$C:$FA,127)*100</f>
        <v>-1.69</v>
      </c>
      <c r="H181" s="103">
        <f>VLOOKUP($A181,'OI(Volume)'!$A$7:$O$445,8)</f>
        <v>28225400</v>
      </c>
      <c r="I181" s="103">
        <f>VLOOKUP($A181,'OI(Volume)'!$A$7:$O$445,9)</f>
        <v>996800</v>
      </c>
      <c r="J181" s="103">
        <f>VLOOKUP($A181,'OI(Volume)'!$A$7:$O$445,11)</f>
        <v>25555600</v>
      </c>
      <c r="K181" s="103">
        <f>VLOOKUP($A181,'OI(Volume)'!$A$7:$O$445,12)</f>
        <v>533400</v>
      </c>
      <c r="L181" s="103">
        <f>VLOOKUP($A181,'OI(Value)'!$A$7:$O$329,8,0)</f>
        <v>1079</v>
      </c>
      <c r="M181" s="103">
        <f>VLOOKUP($A181,'OI(Value)'!$A$7:$O$329,9,0)</f>
        <v>38</v>
      </c>
      <c r="N181" s="103">
        <f>VLOOKUP($A181,'OI(Value)'!$A$7:$O$329,11,0)</f>
        <v>977</v>
      </c>
      <c r="O181" s="103">
        <f>VLOOKUP($A181,'OI(Value)'!$A$7:$O$329,12,0)</f>
        <v>20</v>
      </c>
    </row>
    <row r="182" spans="1:15" x14ac:dyDescent="0.25">
      <c r="A182" s="105" t="str">
        <f>'Data Vlaue (Cr)'!C177</f>
        <v>RELIANCE</v>
      </c>
      <c r="B182" s="143">
        <f>VLOOKUP($A182,'Data shares'!$C:$FA,118)</f>
        <v>0.49</v>
      </c>
      <c r="C182" s="143">
        <f>VLOOKUP($A182,'Data shares'!$C:$FA,119)</f>
        <v>0.48</v>
      </c>
      <c r="D182" s="143">
        <f>VLOOKUP($A182,'Data shares'!$C:$FA,121)*100</f>
        <v>2.08</v>
      </c>
      <c r="E182" s="143">
        <f>VLOOKUP($A182,'Data shares'!$C:$FA,124)</f>
        <v>0.53</v>
      </c>
      <c r="F182" s="143">
        <f>VLOOKUP($A182,'Data shares'!$C:$FA,125)</f>
        <v>0.48</v>
      </c>
      <c r="G182" s="143">
        <f>VLOOKUP($A182,'Data shares'!$C:$FA,127)*100</f>
        <v>10.42</v>
      </c>
      <c r="H182" s="103">
        <f>VLOOKUP($A182,'OI(Volume)'!$A$7:$O$445,8)</f>
        <v>78316000</v>
      </c>
      <c r="I182" s="103">
        <f>VLOOKUP($A182,'OI(Volume)'!$A$7:$O$445,9)</f>
        <v>-1434000</v>
      </c>
      <c r="J182" s="103">
        <f>VLOOKUP($A182,'OI(Volume)'!$A$7:$O$445,11)</f>
        <v>38233500</v>
      </c>
      <c r="K182" s="103">
        <f>VLOOKUP($A182,'OI(Volume)'!$A$7:$O$445,12)</f>
        <v>-331500</v>
      </c>
      <c r="L182" s="103">
        <f>VLOOKUP($A182,'OI(Value)'!$A$7:$O$329,8,0)</f>
        <v>10670</v>
      </c>
      <c r="M182" s="103">
        <f>VLOOKUP($A182,'OI(Value)'!$A$7:$O$329,9,0)</f>
        <v>-195</v>
      </c>
      <c r="N182" s="103">
        <f>VLOOKUP($A182,'OI(Value)'!$A$7:$O$329,11,0)</f>
        <v>5209</v>
      </c>
      <c r="O182" s="103">
        <f>VLOOKUP($A182,'OI(Value)'!$A$7:$O$329,12,0)</f>
        <v>-45</v>
      </c>
    </row>
    <row r="183" spans="1:15" x14ac:dyDescent="0.25">
      <c r="A183" s="105" t="str">
        <f>'Data Vlaue (Cr)'!C178</f>
        <v>RVNL</v>
      </c>
      <c r="B183" s="143">
        <f>VLOOKUP($A183,'Data shares'!$C:$FA,118)</f>
        <v>0.66</v>
      </c>
      <c r="C183" s="143">
        <f>VLOOKUP($A183,'Data shares'!$C:$FA,119)</f>
        <v>0.66</v>
      </c>
      <c r="D183" s="143">
        <f>VLOOKUP($A183,'Data shares'!$C:$FA,121)*100</f>
        <v>0</v>
      </c>
      <c r="E183" s="143">
        <f>VLOOKUP($A183,'Data shares'!$C:$FA,124)</f>
        <v>0.45</v>
      </c>
      <c r="F183" s="143">
        <f>VLOOKUP($A183,'Data shares'!$C:$FA,125)</f>
        <v>0.3</v>
      </c>
      <c r="G183" s="143">
        <f>VLOOKUP($A183,'Data shares'!$C:$FA,127)*100</f>
        <v>50</v>
      </c>
      <c r="H183" s="103">
        <f>VLOOKUP($A183,'OI(Volume)'!$A$7:$O$445,8)</f>
        <v>24602825</v>
      </c>
      <c r="I183" s="103">
        <f>VLOOKUP($A183,'OI(Volume)'!$A$7:$O$445,9)</f>
        <v>-18300</v>
      </c>
      <c r="J183" s="103">
        <f>VLOOKUP($A183,'OI(Volume)'!$A$7:$O$445,11)</f>
        <v>16187875</v>
      </c>
      <c r="K183" s="103">
        <f>VLOOKUP($A183,'OI(Volume)'!$A$7:$O$445,12)</f>
        <v>-77775</v>
      </c>
      <c r="L183" s="103">
        <f>VLOOKUP($A183,'OI(Value)'!$A$7:$O$329,8,0)</f>
        <v>725</v>
      </c>
      <c r="M183" s="103">
        <f>VLOOKUP($A183,'OI(Value)'!$A$7:$O$329,9,0)</f>
        <v>-1</v>
      </c>
      <c r="N183" s="103">
        <f>VLOOKUP($A183,'OI(Value)'!$A$7:$O$329,11,0)</f>
        <v>477</v>
      </c>
      <c r="O183" s="103">
        <f>VLOOKUP($A183,'OI(Value)'!$A$7:$O$329,12,0)</f>
        <v>-2</v>
      </c>
    </row>
    <row r="184" spans="1:15" x14ac:dyDescent="0.25">
      <c r="A184" s="105" t="str">
        <f>'Data Vlaue (Cr)'!C179</f>
        <v>SAIL</v>
      </c>
      <c r="B184" s="143">
        <f>VLOOKUP($A184,'Data shares'!$C:$FA,118)</f>
        <v>0.74</v>
      </c>
      <c r="C184" s="143">
        <f>VLOOKUP($A184,'Data shares'!$C:$FA,119)</f>
        <v>0.74</v>
      </c>
      <c r="D184" s="143">
        <f>VLOOKUP($A184,'Data shares'!$C:$FA,121)*100</f>
        <v>0</v>
      </c>
      <c r="E184" s="143">
        <f>VLOOKUP($A184,'Data shares'!$C:$FA,124)</f>
        <v>3.71</v>
      </c>
      <c r="F184" s="143">
        <f>VLOOKUP($A184,'Data shares'!$C:$FA,125)</f>
        <v>0.53</v>
      </c>
      <c r="G184" s="143">
        <f>VLOOKUP($A184,'Data shares'!$C:$FA,127)*100</f>
        <v>600</v>
      </c>
      <c r="H184" s="103">
        <f>VLOOKUP($A184,'OI(Volume)'!$A$7:$O$445,8)</f>
        <v>10560900</v>
      </c>
      <c r="I184" s="103">
        <f>VLOOKUP($A184,'OI(Volume)'!$A$7:$O$445,9)</f>
        <v>-70500</v>
      </c>
      <c r="J184" s="103">
        <f>VLOOKUP($A184,'OI(Volume)'!$A$7:$O$445,11)</f>
        <v>7834900</v>
      </c>
      <c r="K184" s="103">
        <f>VLOOKUP($A184,'OI(Volume)'!$A$7:$O$445,12)</f>
        <v>-75200</v>
      </c>
      <c r="L184" s="103">
        <f>VLOOKUP($A184,'OI(Value)'!$A$7:$O$329,8,0)</f>
        <v>182</v>
      </c>
      <c r="M184" s="103">
        <f>VLOOKUP($A184,'OI(Value)'!$A$7:$O$329,9,0)</f>
        <v>-1</v>
      </c>
      <c r="N184" s="103">
        <f>VLOOKUP($A184,'OI(Value)'!$A$7:$O$329,11,0)</f>
        <v>135</v>
      </c>
      <c r="O184" s="103">
        <f>VLOOKUP($A184,'OI(Value)'!$A$7:$O$329,12,0)</f>
        <v>-1</v>
      </c>
    </row>
    <row r="185" spans="1:15" x14ac:dyDescent="0.25">
      <c r="A185" s="105" t="str">
        <f>'Data Vlaue (Cr)'!C180</f>
        <v>SAMMAANCAP</v>
      </c>
      <c r="B185" s="143">
        <f>VLOOKUP($A185,'Data shares'!$C:$FA,118)</f>
        <v>1.08</v>
      </c>
      <c r="C185" s="143">
        <f>VLOOKUP($A185,'Data shares'!$C:$FA,119)</f>
        <v>1.08</v>
      </c>
      <c r="D185" s="143">
        <f>VLOOKUP($A185,'Data shares'!$C:$FA,121)*100</f>
        <v>0</v>
      </c>
      <c r="E185" s="143">
        <f>VLOOKUP($A185,'Data shares'!$C:$FA,124)</f>
        <v>0.36</v>
      </c>
      <c r="F185" s="143">
        <f>VLOOKUP($A185,'Data shares'!$C:$FA,125)</f>
        <v>0.97</v>
      </c>
      <c r="G185" s="143">
        <f>VLOOKUP($A185,'Data shares'!$C:$FA,127)*100</f>
        <v>-62.89</v>
      </c>
      <c r="H185" s="103">
        <f>VLOOKUP($A185,'OI(Volume)'!$A$7:$O$445,8)</f>
        <v>17466600</v>
      </c>
      <c r="I185" s="103">
        <f>VLOOKUP($A185,'OI(Volume)'!$A$7:$O$445,9)</f>
        <v>-38700</v>
      </c>
      <c r="J185" s="103">
        <f>VLOOKUP($A185,'OI(Volume)'!$A$7:$O$445,11)</f>
        <v>18868400</v>
      </c>
      <c r="K185" s="103">
        <f>VLOOKUP($A185,'OI(Volume)'!$A$7:$O$445,12)</f>
        <v>-38700</v>
      </c>
      <c r="L185" s="103">
        <f>VLOOKUP($A185,'OI(Value)'!$A$7:$O$329,8,0)</f>
        <v>267</v>
      </c>
      <c r="M185" s="103">
        <f>VLOOKUP($A185,'OI(Value)'!$A$7:$O$329,9,0)</f>
        <v>-1</v>
      </c>
      <c r="N185" s="103">
        <f>VLOOKUP($A185,'OI(Value)'!$A$7:$O$329,11,0)</f>
        <v>289</v>
      </c>
      <c r="O185" s="103">
        <f>VLOOKUP($A185,'OI(Value)'!$A$7:$O$329,12,0)</f>
        <v>-1</v>
      </c>
    </row>
    <row r="186" spans="1:15" x14ac:dyDescent="0.25">
      <c r="A186" s="105" t="str">
        <f>'Data Vlaue (Cr)'!C181</f>
        <v>SBICARD</v>
      </c>
      <c r="B186" s="143">
        <f>VLOOKUP($A186,'Data shares'!$C:$FA,118)</f>
        <v>0.79</v>
      </c>
      <c r="C186" s="143">
        <f>VLOOKUP($A186,'Data shares'!$C:$FA,119)</f>
        <v>0.74</v>
      </c>
      <c r="D186" s="143">
        <f>VLOOKUP($A186,'Data shares'!$C:$FA,121)*100</f>
        <v>6.76</v>
      </c>
      <c r="E186" s="143">
        <f>VLOOKUP($A186,'Data shares'!$C:$FA,124)</f>
        <v>0.6</v>
      </c>
      <c r="F186" s="143">
        <f>VLOOKUP($A186,'Data shares'!$C:$FA,125)</f>
        <v>0.56999999999999995</v>
      </c>
      <c r="G186" s="143">
        <f>VLOOKUP($A186,'Data shares'!$C:$FA,127)*100</f>
        <v>5.26</v>
      </c>
      <c r="H186" s="103">
        <f>VLOOKUP($A186,'OI(Volume)'!$A$7:$O$445,8)</f>
        <v>8350400</v>
      </c>
      <c r="I186" s="103">
        <f>VLOOKUP($A186,'OI(Volume)'!$A$7:$O$445,9)</f>
        <v>697600</v>
      </c>
      <c r="J186" s="103">
        <f>VLOOKUP($A186,'OI(Volume)'!$A$7:$O$445,11)</f>
        <v>6619200</v>
      </c>
      <c r="K186" s="103">
        <f>VLOOKUP($A186,'OI(Volume)'!$A$7:$O$445,12)</f>
        <v>924000</v>
      </c>
      <c r="L186" s="103">
        <f>VLOOKUP($A186,'OI(Value)'!$A$7:$O$329,8,0)</f>
        <v>561</v>
      </c>
      <c r="M186" s="103">
        <f>VLOOKUP($A186,'OI(Value)'!$A$7:$O$329,9,0)</f>
        <v>47</v>
      </c>
      <c r="N186" s="103">
        <f>VLOOKUP($A186,'OI(Value)'!$A$7:$O$329,11,0)</f>
        <v>444</v>
      </c>
      <c r="O186" s="103">
        <f>VLOOKUP($A186,'OI(Value)'!$A$7:$O$329,12,0)</f>
        <v>62</v>
      </c>
    </row>
    <row r="187" spans="1:15" x14ac:dyDescent="0.25">
      <c r="A187" s="105" t="str">
        <f>'Data Vlaue (Cr)'!C182</f>
        <v>SBILIFE</v>
      </c>
      <c r="B187" s="143">
        <f>VLOOKUP($A187,'Data shares'!$C:$FA,118)</f>
        <v>0.62</v>
      </c>
      <c r="C187" s="143">
        <f>VLOOKUP($A187,'Data shares'!$C:$FA,119)</f>
        <v>0.61</v>
      </c>
      <c r="D187" s="143">
        <f>VLOOKUP($A187,'Data shares'!$C:$FA,121)*100</f>
        <v>1.6400000000000001</v>
      </c>
      <c r="E187" s="143">
        <f>VLOOKUP($A187,'Data shares'!$C:$FA,124)</f>
        <v>0.35</v>
      </c>
      <c r="F187" s="143">
        <f>VLOOKUP($A187,'Data shares'!$C:$FA,125)</f>
        <v>0.44</v>
      </c>
      <c r="G187" s="143">
        <f>VLOOKUP($A187,'Data shares'!$C:$FA,127)*100</f>
        <v>-20.45</v>
      </c>
      <c r="H187" s="103">
        <f>VLOOKUP($A187,'OI(Volume)'!$A$7:$O$445,8)</f>
        <v>3738375</v>
      </c>
      <c r="I187" s="103">
        <f>VLOOKUP($A187,'OI(Volume)'!$A$7:$O$445,9)</f>
        <v>30000</v>
      </c>
      <c r="J187" s="103">
        <f>VLOOKUP($A187,'OI(Volume)'!$A$7:$O$445,11)</f>
        <v>2306625</v>
      </c>
      <c r="K187" s="103">
        <f>VLOOKUP($A187,'OI(Volume)'!$A$7:$O$445,12)</f>
        <v>59625</v>
      </c>
      <c r="L187" s="103">
        <f>VLOOKUP($A187,'OI(Value)'!$A$7:$O$329,8,0)</f>
        <v>742</v>
      </c>
      <c r="M187" s="103">
        <f>VLOOKUP($A187,'OI(Value)'!$A$7:$O$329,9,0)</f>
        <v>6</v>
      </c>
      <c r="N187" s="103">
        <f>VLOOKUP($A187,'OI(Value)'!$A$7:$O$329,11,0)</f>
        <v>458</v>
      </c>
      <c r="O187" s="103">
        <f>VLOOKUP($A187,'OI(Value)'!$A$7:$O$329,12,0)</f>
        <v>12</v>
      </c>
    </row>
    <row r="188" spans="1:15" x14ac:dyDescent="0.25">
      <c r="A188" s="105" t="str">
        <f>'Data Vlaue (Cr)'!C183</f>
        <v>SBIN</v>
      </c>
      <c r="B188" s="143">
        <f>VLOOKUP($A188,'Data shares'!$C:$FA,118)</f>
        <v>0.89</v>
      </c>
      <c r="C188" s="143">
        <f>VLOOKUP($A188,'Data shares'!$C:$FA,119)</f>
        <v>0.81</v>
      </c>
      <c r="D188" s="143">
        <f>VLOOKUP($A188,'Data shares'!$C:$FA,121)*100</f>
        <v>9.879999999999999</v>
      </c>
      <c r="E188" s="143">
        <f>VLOOKUP($A188,'Data shares'!$C:$FA,124)</f>
        <v>0.55000000000000004</v>
      </c>
      <c r="F188" s="143">
        <f>VLOOKUP($A188,'Data shares'!$C:$FA,125)</f>
        <v>0.62</v>
      </c>
      <c r="G188" s="143">
        <f>VLOOKUP($A188,'Data shares'!$C:$FA,127)*100</f>
        <v>-11.29</v>
      </c>
      <c r="H188" s="103">
        <f>VLOOKUP($A188,'OI(Volume)'!$A$7:$O$445,8)</f>
        <v>45209250</v>
      </c>
      <c r="I188" s="103">
        <f>VLOOKUP($A188,'OI(Volume)'!$A$7:$O$445,9)</f>
        <v>363750</v>
      </c>
      <c r="J188" s="103">
        <f>VLOOKUP($A188,'OI(Volume)'!$A$7:$O$445,11)</f>
        <v>40200000</v>
      </c>
      <c r="K188" s="103">
        <f>VLOOKUP($A188,'OI(Volume)'!$A$7:$O$445,12)</f>
        <v>4071000</v>
      </c>
      <c r="L188" s="103">
        <f>VLOOKUP($A188,'OI(Value)'!$A$7:$O$329,8,0)</f>
        <v>5001</v>
      </c>
      <c r="M188" s="103">
        <f>VLOOKUP($A188,'OI(Value)'!$A$7:$O$329,9,0)</f>
        <v>40</v>
      </c>
      <c r="N188" s="103">
        <f>VLOOKUP($A188,'OI(Value)'!$A$7:$O$329,11,0)</f>
        <v>4447</v>
      </c>
      <c r="O188" s="103">
        <f>VLOOKUP($A188,'OI(Value)'!$A$7:$O$329,12,0)</f>
        <v>450</v>
      </c>
    </row>
    <row r="189" spans="1:15" x14ac:dyDescent="0.25">
      <c r="A189" s="105" t="str">
        <f>'Data Vlaue (Cr)'!C184</f>
        <v>SHREECEM</v>
      </c>
      <c r="B189" s="143">
        <f>VLOOKUP($A189,'Data shares'!$C:$FA,118)</f>
        <v>0.89</v>
      </c>
      <c r="C189" s="143">
        <f>VLOOKUP($A189,'Data shares'!$C:$FA,119)</f>
        <v>0.85</v>
      </c>
      <c r="D189" s="143">
        <f>VLOOKUP($A189,'Data shares'!$C:$FA,121)*100</f>
        <v>4.71</v>
      </c>
      <c r="E189" s="143">
        <f>VLOOKUP($A189,'Data shares'!$C:$FA,124)</f>
        <v>0.38</v>
      </c>
      <c r="F189" s="143">
        <f>VLOOKUP($A189,'Data shares'!$C:$FA,125)</f>
        <v>0.2</v>
      </c>
      <c r="G189" s="143">
        <f>VLOOKUP($A189,'Data shares'!$C:$FA,127)*100</f>
        <v>90</v>
      </c>
      <c r="H189" s="103">
        <f>VLOOKUP($A189,'OI(Volume)'!$A$7:$O$445,8)</f>
        <v>58175</v>
      </c>
      <c r="I189" s="103">
        <f>VLOOKUP($A189,'OI(Volume)'!$A$7:$O$445,9)</f>
        <v>1900</v>
      </c>
      <c r="J189" s="103">
        <f>VLOOKUP($A189,'OI(Volume)'!$A$7:$O$445,11)</f>
        <v>51725</v>
      </c>
      <c r="K189" s="103">
        <f>VLOOKUP($A189,'OI(Volume)'!$A$7:$O$445,12)</f>
        <v>3900</v>
      </c>
      <c r="L189" s="103">
        <f>VLOOKUP($A189,'OI(Value)'!$A$7:$O$329,8,0)</f>
        <v>148</v>
      </c>
      <c r="M189" s="103">
        <f>VLOOKUP($A189,'OI(Value)'!$A$7:$O$329,9,0)</f>
        <v>5</v>
      </c>
      <c r="N189" s="103">
        <f>VLOOKUP($A189,'OI(Value)'!$A$7:$O$329,11,0)</f>
        <v>131</v>
      </c>
      <c r="O189" s="103">
        <f>VLOOKUP($A189,'OI(Value)'!$A$7:$O$329,12,0)</f>
        <v>10</v>
      </c>
    </row>
    <row r="190" spans="1:15" x14ac:dyDescent="0.25">
      <c r="A190" s="105" t="str">
        <f>'Data Vlaue (Cr)'!C185</f>
        <v>SHRIRAMFIN</v>
      </c>
      <c r="B190" s="143">
        <f>VLOOKUP($A190,'Data shares'!$C:$FA,118)</f>
        <v>0.73</v>
      </c>
      <c r="C190" s="143">
        <f>VLOOKUP($A190,'Data shares'!$C:$FA,119)</f>
        <v>0.73</v>
      </c>
      <c r="D190" s="143">
        <f>VLOOKUP($A190,'Data shares'!$C:$FA,121)*100</f>
        <v>0</v>
      </c>
      <c r="E190" s="143">
        <f>VLOOKUP($A190,'Data shares'!$C:$FA,124)</f>
        <v>0.47</v>
      </c>
      <c r="F190" s="143">
        <f>VLOOKUP($A190,'Data shares'!$C:$FA,125)</f>
        <v>0.45</v>
      </c>
      <c r="G190" s="143">
        <f>VLOOKUP($A190,'Data shares'!$C:$FA,127)*100</f>
        <v>4.4400000000000004</v>
      </c>
      <c r="H190" s="103">
        <f>VLOOKUP($A190,'OI(Volume)'!$A$7:$O$445,8)</f>
        <v>13866600</v>
      </c>
      <c r="I190" s="103">
        <f>VLOOKUP($A190,'OI(Volume)'!$A$7:$O$445,9)</f>
        <v>-140250</v>
      </c>
      <c r="J190" s="103">
        <f>VLOOKUP($A190,'OI(Volume)'!$A$7:$O$445,11)</f>
        <v>10170600</v>
      </c>
      <c r="K190" s="103">
        <f>VLOOKUP($A190,'OI(Volume)'!$A$7:$O$445,12)</f>
        <v>13200</v>
      </c>
      <c r="L190" s="103">
        <f>VLOOKUP($A190,'OI(Value)'!$A$7:$O$329,8,0)</f>
        <v>1448</v>
      </c>
      <c r="M190" s="103">
        <f>VLOOKUP($A190,'OI(Value)'!$A$7:$O$329,9,0)</f>
        <v>-15</v>
      </c>
      <c r="N190" s="103">
        <f>VLOOKUP($A190,'OI(Value)'!$A$7:$O$329,11,0)</f>
        <v>1062</v>
      </c>
      <c r="O190" s="103">
        <f>VLOOKUP($A190,'OI(Value)'!$A$7:$O$329,12,0)</f>
        <v>1</v>
      </c>
    </row>
    <row r="191" spans="1:15" x14ac:dyDescent="0.25">
      <c r="A191" s="105" t="str">
        <f>'Data Vlaue (Cr)'!C186</f>
        <v>SIEMENS</v>
      </c>
      <c r="B191" s="143">
        <f>VLOOKUP($A191,'Data shares'!$C:$FA,118)</f>
        <v>0.89</v>
      </c>
      <c r="C191" s="143">
        <f>VLOOKUP($A191,'Data shares'!$C:$FA,119)</f>
        <v>0.95</v>
      </c>
      <c r="D191" s="143">
        <f>VLOOKUP($A191,'Data shares'!$C:$FA,121)*100</f>
        <v>-6.32</v>
      </c>
      <c r="E191" s="143">
        <f>VLOOKUP($A191,'Data shares'!$C:$FA,124)</f>
        <v>0.53</v>
      </c>
      <c r="F191" s="143">
        <f>VLOOKUP($A191,'Data shares'!$C:$FA,125)</f>
        <v>0.46</v>
      </c>
      <c r="G191" s="143">
        <f>VLOOKUP($A191,'Data shares'!$C:$FA,127)*100</f>
        <v>15.22</v>
      </c>
      <c r="H191" s="103">
        <f>VLOOKUP($A191,'OI(Volume)'!$A$7:$O$445,8)</f>
        <v>1519875</v>
      </c>
      <c r="I191" s="103">
        <f>VLOOKUP($A191,'OI(Volume)'!$A$7:$O$445,9)</f>
        <v>123375</v>
      </c>
      <c r="J191" s="103">
        <f>VLOOKUP($A191,'OI(Volume)'!$A$7:$O$445,11)</f>
        <v>1348900</v>
      </c>
      <c r="K191" s="103">
        <f>VLOOKUP($A191,'OI(Volume)'!$A$7:$O$445,12)</f>
        <v>17675</v>
      </c>
      <c r="L191" s="103">
        <f>VLOOKUP($A191,'OI(Value)'!$A$7:$O$329,8,0)</f>
        <v>564</v>
      </c>
      <c r="M191" s="103">
        <f>VLOOKUP($A191,'OI(Value)'!$A$7:$O$329,9,0)</f>
        <v>46</v>
      </c>
      <c r="N191" s="103">
        <f>VLOOKUP($A191,'OI(Value)'!$A$7:$O$329,11,0)</f>
        <v>500</v>
      </c>
      <c r="O191" s="103">
        <f>VLOOKUP($A191,'OI(Value)'!$A$7:$O$329,12,0)</f>
        <v>7</v>
      </c>
    </row>
    <row r="192" spans="1:15" x14ac:dyDescent="0.25">
      <c r="A192" s="105" t="str">
        <f>'Data Vlaue (Cr)'!C187</f>
        <v>SOLARINDS</v>
      </c>
      <c r="B192" s="143">
        <f>VLOOKUP($A192,'Data shares'!$C:$FA,118)</f>
        <v>0.69</v>
      </c>
      <c r="C192" s="143">
        <f>VLOOKUP($A192,'Data shares'!$C:$FA,119)</f>
        <v>0.76</v>
      </c>
      <c r="D192" s="143">
        <f>VLOOKUP($A192,'Data shares'!$C:$FA,121)*100</f>
        <v>-9.2100000000000009</v>
      </c>
      <c r="E192" s="143">
        <f>VLOOKUP($A192,'Data shares'!$C:$FA,124)</f>
        <v>1.07</v>
      </c>
      <c r="F192" s="143">
        <f>VLOOKUP($A192,'Data shares'!$C:$FA,125)</f>
        <v>2.71</v>
      </c>
      <c r="G192" s="143">
        <f>VLOOKUP($A192,'Data shares'!$C:$FA,127)*100</f>
        <v>-60.519999999999996</v>
      </c>
      <c r="H192" s="103">
        <f>VLOOKUP($A192,'OI(Volume)'!$A$7:$O$445,8)</f>
        <v>308100</v>
      </c>
      <c r="I192" s="103">
        <f>VLOOKUP($A192,'OI(Volume)'!$A$7:$O$445,9)</f>
        <v>6100</v>
      </c>
      <c r="J192" s="103">
        <f>VLOOKUP($A192,'OI(Volume)'!$A$7:$O$445,11)</f>
        <v>212000</v>
      </c>
      <c r="K192" s="103">
        <f>VLOOKUP($A192,'OI(Volume)'!$A$7:$O$445,12)</f>
        <v>-18850</v>
      </c>
      <c r="L192" s="103">
        <f>VLOOKUP($A192,'OI(Value)'!$A$7:$O$329,8,0)</f>
        <v>460</v>
      </c>
      <c r="M192" s="103">
        <f>VLOOKUP($A192,'OI(Value)'!$A$7:$O$329,9,0)</f>
        <v>9</v>
      </c>
      <c r="N192" s="103">
        <f>VLOOKUP($A192,'OI(Value)'!$A$7:$O$329,11,0)</f>
        <v>317</v>
      </c>
      <c r="O192" s="103">
        <f>VLOOKUP($A192,'OI(Value)'!$A$7:$O$329,12,0)</f>
        <v>-28</v>
      </c>
    </row>
    <row r="193" spans="1:15" x14ac:dyDescent="0.25">
      <c r="A193" s="105" t="str">
        <f>'Data Vlaue (Cr)'!C188</f>
        <v>SONACOMS</v>
      </c>
      <c r="B193" s="143">
        <f>VLOOKUP($A193,'Data shares'!$C:$FA,118)</f>
        <v>0.78</v>
      </c>
      <c r="C193" s="143">
        <f>VLOOKUP($A193,'Data shares'!$C:$FA,119)</f>
        <v>0.79</v>
      </c>
      <c r="D193" s="143">
        <f>VLOOKUP($A193,'Data shares'!$C:$FA,121)*100</f>
        <v>-1.27</v>
      </c>
      <c r="E193" s="143">
        <f>VLOOKUP($A193,'Data shares'!$C:$FA,124)</f>
        <v>0.64</v>
      </c>
      <c r="F193" s="143">
        <f>VLOOKUP($A193,'Data shares'!$C:$FA,125)</f>
        <v>0.35</v>
      </c>
      <c r="G193" s="143">
        <f>VLOOKUP($A193,'Data shares'!$C:$FA,127)*100</f>
        <v>82.86</v>
      </c>
      <c r="H193" s="103">
        <f>VLOOKUP($A193,'OI(Volume)'!$A$7:$O$445,8)</f>
        <v>4327925</v>
      </c>
      <c r="I193" s="103">
        <f>VLOOKUP($A193,'OI(Volume)'!$A$7:$O$445,9)</f>
        <v>-196000</v>
      </c>
      <c r="J193" s="103">
        <f>VLOOKUP($A193,'OI(Volume)'!$A$7:$O$445,11)</f>
        <v>3376100</v>
      </c>
      <c r="K193" s="103">
        <f>VLOOKUP($A193,'OI(Volume)'!$A$7:$O$445,12)</f>
        <v>-176400</v>
      </c>
      <c r="L193" s="103">
        <f>VLOOKUP($A193,'OI(Value)'!$A$7:$O$329,8,0)</f>
        <v>250</v>
      </c>
      <c r="M193" s="103">
        <f>VLOOKUP($A193,'OI(Value)'!$A$7:$O$329,9,0)</f>
        <v>-11</v>
      </c>
      <c r="N193" s="103">
        <f>VLOOKUP($A193,'OI(Value)'!$A$7:$O$329,11,0)</f>
        <v>195</v>
      </c>
      <c r="O193" s="103">
        <f>VLOOKUP($A193,'OI(Value)'!$A$7:$O$329,12,0)</f>
        <v>-10</v>
      </c>
    </row>
    <row r="194" spans="1:15" x14ac:dyDescent="0.25">
      <c r="A194" s="105" t="str">
        <f>'Data Vlaue (Cr)'!C189</f>
        <v>SRF</v>
      </c>
      <c r="B194" s="143">
        <f>VLOOKUP($A194,'Data shares'!$C:$FA,118)</f>
        <v>0.55000000000000004</v>
      </c>
      <c r="C194" s="143">
        <f>VLOOKUP($A194,'Data shares'!$C:$FA,119)</f>
        <v>0.59</v>
      </c>
      <c r="D194" s="143">
        <f>VLOOKUP($A194,'Data shares'!$C:$FA,121)*100</f>
        <v>-6.78</v>
      </c>
      <c r="E194" s="143">
        <f>VLOOKUP($A194,'Data shares'!$C:$FA,124)</f>
        <v>0.33</v>
      </c>
      <c r="F194" s="143">
        <f>VLOOKUP($A194,'Data shares'!$C:$FA,125)</f>
        <v>0.35</v>
      </c>
      <c r="G194" s="143">
        <f>VLOOKUP($A194,'Data shares'!$C:$FA,127)*100</f>
        <v>-5.71</v>
      </c>
      <c r="H194" s="103">
        <f>VLOOKUP($A194,'OI(Volume)'!$A$7:$O$445,8)</f>
        <v>2104000</v>
      </c>
      <c r="I194" s="103">
        <f>VLOOKUP($A194,'OI(Volume)'!$A$7:$O$445,9)</f>
        <v>48400</v>
      </c>
      <c r="J194" s="103">
        <f>VLOOKUP($A194,'OI(Volume)'!$A$7:$O$445,11)</f>
        <v>1157800</v>
      </c>
      <c r="K194" s="103">
        <f>VLOOKUP($A194,'OI(Volume)'!$A$7:$O$445,12)</f>
        <v>-45200</v>
      </c>
      <c r="L194" s="103">
        <f>VLOOKUP($A194,'OI(Value)'!$A$7:$O$329,8,0)</f>
        <v>519</v>
      </c>
      <c r="M194" s="103">
        <f>VLOOKUP($A194,'OI(Value)'!$A$7:$O$329,9,0)</f>
        <v>12</v>
      </c>
      <c r="N194" s="103">
        <f>VLOOKUP($A194,'OI(Value)'!$A$7:$O$329,11,0)</f>
        <v>286</v>
      </c>
      <c r="O194" s="103">
        <f>VLOOKUP($A194,'OI(Value)'!$A$7:$O$329,12,0)</f>
        <v>-11</v>
      </c>
    </row>
    <row r="195" spans="1:15" x14ac:dyDescent="0.25">
      <c r="A195" s="105" t="str">
        <f>'Data Vlaue (Cr)'!C190</f>
        <v>SUNPHARMA</v>
      </c>
      <c r="B195" s="143">
        <f>VLOOKUP($A195,'Data shares'!$C:$FA,118)</f>
        <v>0.66</v>
      </c>
      <c r="C195" s="143">
        <f>VLOOKUP($A195,'Data shares'!$C:$FA,119)</f>
        <v>0.71</v>
      </c>
      <c r="D195" s="143">
        <f>VLOOKUP($A195,'Data shares'!$C:$FA,121)*100</f>
        <v>-7.04</v>
      </c>
      <c r="E195" s="143">
        <f>VLOOKUP($A195,'Data shares'!$C:$FA,124)</f>
        <v>0.49</v>
      </c>
      <c r="F195" s="143">
        <f>VLOOKUP($A195,'Data shares'!$C:$FA,125)</f>
        <v>0.74</v>
      </c>
      <c r="G195" s="143">
        <f>VLOOKUP($A195,'Data shares'!$C:$FA,127)*100</f>
        <v>-33.78</v>
      </c>
      <c r="H195" s="103">
        <f>VLOOKUP($A195,'OI(Volume)'!$A$7:$O$445,8)</f>
        <v>8292200</v>
      </c>
      <c r="I195" s="103">
        <f>VLOOKUP($A195,'OI(Volume)'!$A$7:$O$445,9)</f>
        <v>91700</v>
      </c>
      <c r="J195" s="103">
        <f>VLOOKUP($A195,'OI(Volume)'!$A$7:$O$445,11)</f>
        <v>5504450</v>
      </c>
      <c r="K195" s="103">
        <f>VLOOKUP($A195,'OI(Volume)'!$A$7:$O$445,12)</f>
        <v>-336350</v>
      </c>
      <c r="L195" s="103">
        <f>VLOOKUP($A195,'OI(Value)'!$A$7:$O$329,8,0)</f>
        <v>1383</v>
      </c>
      <c r="M195" s="103">
        <f>VLOOKUP($A195,'OI(Value)'!$A$7:$O$329,9,0)</f>
        <v>15</v>
      </c>
      <c r="N195" s="103">
        <f>VLOOKUP($A195,'OI(Value)'!$A$7:$O$329,11,0)</f>
        <v>918</v>
      </c>
      <c r="O195" s="103">
        <f>VLOOKUP($A195,'OI(Value)'!$A$7:$O$329,12,0)</f>
        <v>-56</v>
      </c>
    </row>
    <row r="196" spans="1:15" x14ac:dyDescent="0.25">
      <c r="A196" s="105" t="str">
        <f>'Data Vlaue (Cr)'!C191</f>
        <v>SUPREMEIND</v>
      </c>
      <c r="B196" s="143">
        <f>VLOOKUP($A196,'Data shares'!$C:$FA,118)</f>
        <v>0.5</v>
      </c>
      <c r="C196" s="143">
        <f>VLOOKUP($A196,'Data shares'!$C:$FA,119)</f>
        <v>0.52</v>
      </c>
      <c r="D196" s="143">
        <f>VLOOKUP($A196,'Data shares'!$C:$FA,121)*100</f>
        <v>-3.85</v>
      </c>
      <c r="E196" s="143">
        <f>VLOOKUP($A196,'Data shares'!$C:$FA,124)</f>
        <v>0.36</v>
      </c>
      <c r="F196" s="143">
        <f>VLOOKUP($A196,'Data shares'!$C:$FA,125)</f>
        <v>0.42</v>
      </c>
      <c r="G196" s="143">
        <f>VLOOKUP($A196,'Data shares'!$C:$FA,127)*100</f>
        <v>-14.29</v>
      </c>
      <c r="H196" s="103">
        <f>VLOOKUP($A196,'OI(Volume)'!$A$7:$O$445,8)</f>
        <v>862225</v>
      </c>
      <c r="I196" s="103">
        <f>VLOOKUP($A196,'OI(Volume)'!$A$7:$O$445,9)</f>
        <v>76475</v>
      </c>
      <c r="J196" s="103">
        <f>VLOOKUP($A196,'OI(Volume)'!$A$7:$O$445,11)</f>
        <v>432250</v>
      </c>
      <c r="K196" s="103">
        <f>VLOOKUP($A196,'OI(Volume)'!$A$7:$O$445,12)</f>
        <v>21700</v>
      </c>
      <c r="L196" s="103">
        <f>VLOOKUP($A196,'OI(Value)'!$A$7:$O$329,8,0)</f>
        <v>320</v>
      </c>
      <c r="M196" s="103">
        <f>VLOOKUP($A196,'OI(Value)'!$A$7:$O$329,9,0)</f>
        <v>28</v>
      </c>
      <c r="N196" s="103">
        <f>VLOOKUP($A196,'OI(Value)'!$A$7:$O$329,11,0)</f>
        <v>161</v>
      </c>
      <c r="O196" s="103">
        <f>VLOOKUP($A196,'OI(Value)'!$A$7:$O$329,12,0)</f>
        <v>8</v>
      </c>
    </row>
    <row r="197" spans="1:15" x14ac:dyDescent="0.25">
      <c r="A197" s="105" t="str">
        <f>'Data Vlaue (Cr)'!C192</f>
        <v>SUZLON</v>
      </c>
      <c r="B197" s="143">
        <f>VLOOKUP($A197,'Data shares'!$C:$FA,118)</f>
        <v>0.82</v>
      </c>
      <c r="C197" s="143">
        <f>VLOOKUP($A197,'Data shares'!$C:$FA,119)</f>
        <v>0.97</v>
      </c>
      <c r="D197" s="143">
        <f>VLOOKUP($A197,'Data shares'!$C:$FA,121)*100</f>
        <v>-15.459999999999999</v>
      </c>
      <c r="E197" s="143">
        <f>VLOOKUP($A197,'Data shares'!$C:$FA,124)</f>
        <v>0.56000000000000005</v>
      </c>
      <c r="F197" s="143">
        <f>VLOOKUP($A197,'Data shares'!$C:$FA,125)</f>
        <v>0.47</v>
      </c>
      <c r="G197" s="143">
        <f>VLOOKUP($A197,'Data shares'!$C:$FA,127)*100</f>
        <v>19.149999999999999</v>
      </c>
      <c r="H197" s="103">
        <f>VLOOKUP($A197,'OI(Volume)'!$A$7:$O$445,8)</f>
        <v>207141800</v>
      </c>
      <c r="I197" s="103">
        <f>VLOOKUP($A197,'OI(Volume)'!$A$7:$O$445,9)</f>
        <v>29800550</v>
      </c>
      <c r="J197" s="103">
        <f>VLOOKUP($A197,'OI(Volume)'!$A$7:$O$445,11)</f>
        <v>169715125</v>
      </c>
      <c r="K197" s="103">
        <f>VLOOKUP($A197,'OI(Volume)'!$A$7:$O$445,12)</f>
        <v>-2734575</v>
      </c>
      <c r="L197" s="103">
        <f>VLOOKUP($A197,'OI(Value)'!$A$7:$O$329,8,0)</f>
        <v>1086</v>
      </c>
      <c r="M197" s="103">
        <f>VLOOKUP($A197,'OI(Value)'!$A$7:$O$329,9,0)</f>
        <v>156</v>
      </c>
      <c r="N197" s="103">
        <f>VLOOKUP($A197,'OI(Value)'!$A$7:$O$329,11,0)</f>
        <v>890</v>
      </c>
      <c r="O197" s="103">
        <f>VLOOKUP($A197,'OI(Value)'!$A$7:$O$329,12,0)</f>
        <v>-14</v>
      </c>
    </row>
    <row r="198" spans="1:15" x14ac:dyDescent="0.25">
      <c r="A198" s="105" t="str">
        <f>'Data Vlaue (Cr)'!C193</f>
        <v>SWIGGY</v>
      </c>
      <c r="B198" s="143">
        <f>VLOOKUP($A198,'Data shares'!$C:$FA,118)</f>
        <v>0.56000000000000005</v>
      </c>
      <c r="C198" s="143">
        <f>VLOOKUP($A198,'Data shares'!$C:$FA,119)</f>
        <v>0.56000000000000005</v>
      </c>
      <c r="D198" s="143">
        <f>VLOOKUP($A198,'Data shares'!$C:$FA,121)*100</f>
        <v>0</v>
      </c>
      <c r="E198" s="143">
        <f>VLOOKUP($A198,'Data shares'!$C:$FA,124)</f>
        <v>0.28000000000000003</v>
      </c>
      <c r="F198" s="143">
        <f>VLOOKUP($A198,'Data shares'!$C:$FA,125)</f>
        <v>0.31</v>
      </c>
      <c r="G198" s="143">
        <f>VLOOKUP($A198,'Data shares'!$C:$FA,127)*100</f>
        <v>-9.68</v>
      </c>
      <c r="H198" s="103">
        <f>VLOOKUP($A198,'OI(Volume)'!$A$7:$O$445,8)</f>
        <v>11285300</v>
      </c>
      <c r="I198" s="103">
        <f>VLOOKUP($A198,'OI(Volume)'!$A$7:$O$445,9)</f>
        <v>-564200</v>
      </c>
      <c r="J198" s="103">
        <f>VLOOKUP($A198,'OI(Volume)'!$A$7:$O$445,11)</f>
        <v>6370000</v>
      </c>
      <c r="K198" s="103">
        <f>VLOOKUP($A198,'OI(Volume)'!$A$7:$O$445,12)</f>
        <v>-208000</v>
      </c>
      <c r="L198" s="103">
        <f>VLOOKUP($A198,'OI(Value)'!$A$7:$O$329,8,0)</f>
        <v>315</v>
      </c>
      <c r="M198" s="103">
        <f>VLOOKUP($A198,'OI(Value)'!$A$7:$O$329,9,0)</f>
        <v>-16</v>
      </c>
      <c r="N198" s="103">
        <f>VLOOKUP($A198,'OI(Value)'!$A$7:$O$329,11,0)</f>
        <v>178</v>
      </c>
      <c r="O198" s="103">
        <f>VLOOKUP($A198,'OI(Value)'!$A$7:$O$329,12,0)</f>
        <v>-6</v>
      </c>
    </row>
    <row r="199" spans="1:15" x14ac:dyDescent="0.25">
      <c r="A199" s="105" t="str">
        <f>'Data Vlaue (Cr)'!C194</f>
        <v>TATACONSUM</v>
      </c>
      <c r="B199" s="143">
        <f>VLOOKUP($A199,'Data shares'!$C:$FA,118)</f>
        <v>1.1299999999999999</v>
      </c>
      <c r="C199" s="143">
        <f>VLOOKUP($A199,'Data shares'!$C:$FA,119)</f>
        <v>1</v>
      </c>
      <c r="D199" s="143">
        <f>VLOOKUP($A199,'Data shares'!$C:$FA,121)*100</f>
        <v>13</v>
      </c>
      <c r="E199" s="143">
        <f>VLOOKUP($A199,'Data shares'!$C:$FA,124)</f>
        <v>0.4</v>
      </c>
      <c r="F199" s="143">
        <f>VLOOKUP($A199,'Data shares'!$C:$FA,125)</f>
        <v>0.24</v>
      </c>
      <c r="G199" s="143">
        <f>VLOOKUP($A199,'Data shares'!$C:$FA,127)*100</f>
        <v>66.67</v>
      </c>
      <c r="H199" s="103">
        <f>VLOOKUP($A199,'OI(Volume)'!$A$7:$O$445,8)</f>
        <v>2314400</v>
      </c>
      <c r="I199" s="103">
        <f>VLOOKUP($A199,'OI(Volume)'!$A$7:$O$445,9)</f>
        <v>-136950</v>
      </c>
      <c r="J199" s="103">
        <f>VLOOKUP($A199,'OI(Volume)'!$A$7:$O$445,11)</f>
        <v>2616900</v>
      </c>
      <c r="K199" s="103">
        <f>VLOOKUP($A199,'OI(Volume)'!$A$7:$O$445,12)</f>
        <v>159500</v>
      </c>
      <c r="L199" s="103">
        <f>VLOOKUP($A199,'OI(Value)'!$A$7:$O$329,8,0)</f>
        <v>259</v>
      </c>
      <c r="M199" s="103">
        <f>VLOOKUP($A199,'OI(Value)'!$A$7:$O$329,9,0)</f>
        <v>-15</v>
      </c>
      <c r="N199" s="103">
        <f>VLOOKUP($A199,'OI(Value)'!$A$7:$O$329,11,0)</f>
        <v>293</v>
      </c>
      <c r="O199" s="103">
        <f>VLOOKUP($A199,'OI(Value)'!$A$7:$O$329,12,0)</f>
        <v>18</v>
      </c>
    </row>
    <row r="200" spans="1:15" x14ac:dyDescent="0.25">
      <c r="A200" s="105" t="str">
        <f>'Data Vlaue (Cr)'!C195</f>
        <v>TATAELXSI</v>
      </c>
      <c r="B200" s="143">
        <f>VLOOKUP($A200,'Data shares'!$C:$FA,118)</f>
        <v>0.51</v>
      </c>
      <c r="C200" s="143">
        <f>VLOOKUP($A200,'Data shares'!$C:$FA,119)</f>
        <v>0.55000000000000004</v>
      </c>
      <c r="D200" s="143">
        <f>VLOOKUP($A200,'Data shares'!$C:$FA,121)*100</f>
        <v>-7.2700000000000005</v>
      </c>
      <c r="E200" s="143">
        <f>VLOOKUP($A200,'Data shares'!$C:$FA,124)</f>
        <v>0.56999999999999995</v>
      </c>
      <c r="F200" s="143">
        <f>VLOOKUP($A200,'Data shares'!$C:$FA,125)</f>
        <v>0.42</v>
      </c>
      <c r="G200" s="143">
        <f>VLOOKUP($A200,'Data shares'!$C:$FA,127)*100</f>
        <v>35.709999999999994</v>
      </c>
      <c r="H200" s="103">
        <f>VLOOKUP($A200,'OI(Volume)'!$A$7:$O$445,8)</f>
        <v>1049300</v>
      </c>
      <c r="I200" s="103">
        <f>VLOOKUP($A200,'OI(Volume)'!$A$7:$O$445,9)</f>
        <v>134100</v>
      </c>
      <c r="J200" s="103">
        <f>VLOOKUP($A200,'OI(Volume)'!$A$7:$O$445,11)</f>
        <v>534500</v>
      </c>
      <c r="K200" s="103">
        <f>VLOOKUP($A200,'OI(Volume)'!$A$7:$O$445,12)</f>
        <v>31500</v>
      </c>
      <c r="L200" s="103">
        <f>VLOOKUP($A200,'OI(Value)'!$A$7:$O$329,8,0)</f>
        <v>475</v>
      </c>
      <c r="M200" s="103">
        <f>VLOOKUP($A200,'OI(Value)'!$A$7:$O$329,9,0)</f>
        <v>61</v>
      </c>
      <c r="N200" s="103">
        <f>VLOOKUP($A200,'OI(Value)'!$A$7:$O$329,11,0)</f>
        <v>242</v>
      </c>
      <c r="O200" s="103">
        <f>VLOOKUP($A200,'OI(Value)'!$A$7:$O$329,12,0)</f>
        <v>14</v>
      </c>
    </row>
    <row r="201" spans="1:15" x14ac:dyDescent="0.25">
      <c r="A201" s="105" t="str">
        <f>'Data Vlaue (Cr)'!C196</f>
        <v>TATAPOWER</v>
      </c>
      <c r="B201" s="143">
        <f>VLOOKUP($A201,'Data shares'!$C:$FA,118)</f>
        <v>0.84</v>
      </c>
      <c r="C201" s="143">
        <f>VLOOKUP($A201,'Data shares'!$C:$FA,119)</f>
        <v>0.86</v>
      </c>
      <c r="D201" s="143">
        <f>VLOOKUP($A201,'Data shares'!$C:$FA,121)*100</f>
        <v>-2.33</v>
      </c>
      <c r="E201" s="143">
        <f>VLOOKUP($A201,'Data shares'!$C:$FA,124)</f>
        <v>0.57999999999999996</v>
      </c>
      <c r="F201" s="143">
        <f>VLOOKUP($A201,'Data shares'!$C:$FA,125)</f>
        <v>0.75</v>
      </c>
      <c r="G201" s="143">
        <f>VLOOKUP($A201,'Data shares'!$C:$FA,127)*100</f>
        <v>-22.67</v>
      </c>
      <c r="H201" s="103">
        <f>VLOOKUP($A201,'OI(Volume)'!$A$7:$O$445,8)</f>
        <v>35801950</v>
      </c>
      <c r="I201" s="103">
        <f>VLOOKUP($A201,'OI(Volume)'!$A$7:$O$445,9)</f>
        <v>-867100</v>
      </c>
      <c r="J201" s="103">
        <f>VLOOKUP($A201,'OI(Volume)'!$A$7:$O$445,11)</f>
        <v>30235400</v>
      </c>
      <c r="K201" s="103">
        <f>VLOOKUP($A201,'OI(Volume)'!$A$7:$O$445,12)</f>
        <v>-1139700</v>
      </c>
      <c r="L201" s="103">
        <f>VLOOKUP($A201,'OI(Value)'!$A$7:$O$329,8,0)</f>
        <v>1553</v>
      </c>
      <c r="M201" s="103">
        <f>VLOOKUP($A201,'OI(Value)'!$A$7:$O$329,9,0)</f>
        <v>-38</v>
      </c>
      <c r="N201" s="103">
        <f>VLOOKUP($A201,'OI(Value)'!$A$7:$O$329,11,0)</f>
        <v>1312</v>
      </c>
      <c r="O201" s="103">
        <f>VLOOKUP($A201,'OI(Value)'!$A$7:$O$329,12,0)</f>
        <v>-49</v>
      </c>
    </row>
    <row r="202" spans="1:15" x14ac:dyDescent="0.25">
      <c r="A202" s="105" t="str">
        <f>'Data Vlaue (Cr)'!C197</f>
        <v>TATASTEEL</v>
      </c>
      <c r="B202" s="143">
        <f>VLOOKUP($A202,'Data shares'!$C:$FA,118)</f>
        <v>0.85</v>
      </c>
      <c r="C202" s="143">
        <f>VLOOKUP($A202,'Data shares'!$C:$FA,119)</f>
        <v>0.86</v>
      </c>
      <c r="D202" s="143">
        <f>VLOOKUP($A202,'Data shares'!$C:$FA,121)*100</f>
        <v>-1.1599999999999999</v>
      </c>
      <c r="E202" s="143">
        <f>VLOOKUP($A202,'Data shares'!$C:$FA,124)</f>
        <v>0.56000000000000005</v>
      </c>
      <c r="F202" s="143">
        <f>VLOOKUP($A202,'Data shares'!$C:$FA,125)</f>
        <v>0.65</v>
      </c>
      <c r="G202" s="143">
        <f>VLOOKUP($A202,'Data shares'!$C:$FA,127)*100</f>
        <v>-13.850000000000001</v>
      </c>
      <c r="H202" s="103">
        <f>VLOOKUP($A202,'OI(Volume)'!$A$7:$O$445,8)</f>
        <v>119295000</v>
      </c>
      <c r="I202" s="103">
        <f>VLOOKUP($A202,'OI(Volume)'!$A$7:$O$445,9)</f>
        <v>2860000</v>
      </c>
      <c r="J202" s="103">
        <f>VLOOKUP($A202,'OI(Volume)'!$A$7:$O$445,11)</f>
        <v>100815000</v>
      </c>
      <c r="K202" s="103">
        <f>VLOOKUP($A202,'OI(Volume)'!$A$7:$O$445,12)</f>
        <v>935000</v>
      </c>
      <c r="L202" s="103">
        <f>VLOOKUP($A202,'OI(Value)'!$A$7:$O$329,8,0)</f>
        <v>2523</v>
      </c>
      <c r="M202" s="103">
        <f>VLOOKUP($A202,'OI(Value)'!$A$7:$O$329,9,0)</f>
        <v>60</v>
      </c>
      <c r="N202" s="103">
        <f>VLOOKUP($A202,'OI(Value)'!$A$7:$O$329,11,0)</f>
        <v>2132</v>
      </c>
      <c r="O202" s="103">
        <f>VLOOKUP($A202,'OI(Value)'!$A$7:$O$329,12,0)</f>
        <v>20</v>
      </c>
    </row>
    <row r="203" spans="1:15" x14ac:dyDescent="0.25">
      <c r="A203" s="105" t="str">
        <f>'Data Vlaue (Cr)'!C198</f>
        <v>TATATECH</v>
      </c>
      <c r="B203" s="143">
        <f>VLOOKUP($A203,'Data shares'!$C:$FA,118)</f>
        <v>0.64</v>
      </c>
      <c r="C203" s="143">
        <f>VLOOKUP($A203,'Data shares'!$C:$FA,119)</f>
        <v>0.66</v>
      </c>
      <c r="D203" s="143">
        <f>VLOOKUP($A203,'Data shares'!$C:$FA,121)*100</f>
        <v>-3.0300000000000002</v>
      </c>
      <c r="E203" s="143">
        <f>VLOOKUP($A203,'Data shares'!$C:$FA,124)</f>
        <v>0.42</v>
      </c>
      <c r="F203" s="143">
        <f>VLOOKUP($A203,'Data shares'!$C:$FA,125)</f>
        <v>0.32</v>
      </c>
      <c r="G203" s="143">
        <f>VLOOKUP($A203,'Data shares'!$C:$FA,127)*100</f>
        <v>31.25</v>
      </c>
      <c r="H203" s="103">
        <f>VLOOKUP($A203,'OI(Volume)'!$A$7:$O$445,8)</f>
        <v>2841600</v>
      </c>
      <c r="I203" s="103">
        <f>VLOOKUP($A203,'OI(Volume)'!$A$7:$O$445,9)</f>
        <v>104800</v>
      </c>
      <c r="J203" s="103">
        <f>VLOOKUP($A203,'OI(Volume)'!$A$7:$O$445,11)</f>
        <v>1825600</v>
      </c>
      <c r="K203" s="103">
        <f>VLOOKUP($A203,'OI(Volume)'!$A$7:$O$445,12)</f>
        <v>8000</v>
      </c>
      <c r="L203" s="103">
        <f>VLOOKUP($A203,'OI(Value)'!$A$7:$O$329,8,0)</f>
        <v>164</v>
      </c>
      <c r="M203" s="103">
        <f>VLOOKUP($A203,'OI(Value)'!$A$7:$O$329,9,0)</f>
        <v>6</v>
      </c>
      <c r="N203" s="103">
        <f>VLOOKUP($A203,'OI(Value)'!$A$7:$O$329,11,0)</f>
        <v>105</v>
      </c>
      <c r="O203" s="103">
        <f>VLOOKUP($A203,'OI(Value)'!$A$7:$O$329,12,0)</f>
        <v>0</v>
      </c>
    </row>
    <row r="204" spans="1:15" x14ac:dyDescent="0.25">
      <c r="A204" s="105" t="str">
        <f>'Data Vlaue (Cr)'!C199</f>
        <v>TCS</v>
      </c>
      <c r="B204" s="143">
        <f>VLOOKUP($A204,'Data shares'!$C:$FA,118)</f>
        <v>0.68</v>
      </c>
      <c r="C204" s="143">
        <f>VLOOKUP($A204,'Data shares'!$C:$FA,119)</f>
        <v>0.65</v>
      </c>
      <c r="D204" s="143">
        <f>VLOOKUP($A204,'Data shares'!$C:$FA,121)*100</f>
        <v>4.62</v>
      </c>
      <c r="E204" s="143">
        <f>VLOOKUP($A204,'Data shares'!$C:$FA,124)</f>
        <v>0.53</v>
      </c>
      <c r="F204" s="143">
        <f>VLOOKUP($A204,'Data shares'!$C:$FA,125)</f>
        <v>0.57999999999999996</v>
      </c>
      <c r="G204" s="143">
        <f>VLOOKUP($A204,'Data shares'!$C:$FA,127)*100</f>
        <v>-8.6199999999999992</v>
      </c>
      <c r="H204" s="103">
        <f>VLOOKUP($A204,'OI(Volume)'!$A$7:$O$445,8)</f>
        <v>17157350</v>
      </c>
      <c r="I204" s="103">
        <f>VLOOKUP($A204,'OI(Volume)'!$A$7:$O$445,9)</f>
        <v>-930825</v>
      </c>
      <c r="J204" s="103">
        <f>VLOOKUP($A204,'OI(Volume)'!$A$7:$O$445,11)</f>
        <v>11582725</v>
      </c>
      <c r="K204" s="103">
        <f>VLOOKUP($A204,'OI(Volume)'!$A$7:$O$445,12)</f>
        <v>-250950</v>
      </c>
      <c r="L204" s="103">
        <f>VLOOKUP($A204,'OI(Value)'!$A$7:$O$329,8,0)</f>
        <v>4401</v>
      </c>
      <c r="M204" s="103">
        <f>VLOOKUP($A204,'OI(Value)'!$A$7:$O$329,9,0)</f>
        <v>-239</v>
      </c>
      <c r="N204" s="103">
        <f>VLOOKUP($A204,'OI(Value)'!$A$7:$O$329,11,0)</f>
        <v>2971</v>
      </c>
      <c r="O204" s="103">
        <f>VLOOKUP($A204,'OI(Value)'!$A$7:$O$329,12,0)</f>
        <v>-64</v>
      </c>
    </row>
    <row r="205" spans="1:15" x14ac:dyDescent="0.25">
      <c r="A205" s="105" t="str">
        <f>'Data Vlaue (Cr)'!C200</f>
        <v>TECHM</v>
      </c>
      <c r="B205" s="143">
        <f>VLOOKUP($A205,'Data shares'!$C:$FA,118)</f>
        <v>0.81</v>
      </c>
      <c r="C205" s="143">
        <f>VLOOKUP($A205,'Data shares'!$C:$FA,119)</f>
        <v>0.84</v>
      </c>
      <c r="D205" s="143">
        <f>VLOOKUP($A205,'Data shares'!$C:$FA,121)*100</f>
        <v>-3.5700000000000003</v>
      </c>
      <c r="E205" s="143">
        <f>VLOOKUP($A205,'Data shares'!$C:$FA,124)</f>
        <v>0.76</v>
      </c>
      <c r="F205" s="143">
        <f>VLOOKUP($A205,'Data shares'!$C:$FA,125)</f>
        <v>0.46</v>
      </c>
      <c r="G205" s="143">
        <f>VLOOKUP($A205,'Data shares'!$C:$FA,127)*100</f>
        <v>65.22</v>
      </c>
      <c r="H205" s="103">
        <f>VLOOKUP($A205,'OI(Volume)'!$A$7:$O$445,8)</f>
        <v>4807200</v>
      </c>
      <c r="I205" s="103">
        <f>VLOOKUP($A205,'OI(Volume)'!$A$7:$O$445,9)</f>
        <v>-169800</v>
      </c>
      <c r="J205" s="103">
        <f>VLOOKUP($A205,'OI(Volume)'!$A$7:$O$445,11)</f>
        <v>3909600</v>
      </c>
      <c r="K205" s="103">
        <f>VLOOKUP($A205,'OI(Volume)'!$A$7:$O$445,12)</f>
        <v>-276000</v>
      </c>
      <c r="L205" s="103">
        <f>VLOOKUP($A205,'OI(Value)'!$A$7:$O$329,8,0)</f>
        <v>720</v>
      </c>
      <c r="M205" s="103">
        <f>VLOOKUP($A205,'OI(Value)'!$A$7:$O$329,9,0)</f>
        <v>-25</v>
      </c>
      <c r="N205" s="103">
        <f>VLOOKUP($A205,'OI(Value)'!$A$7:$O$329,11,0)</f>
        <v>586</v>
      </c>
      <c r="O205" s="103">
        <f>VLOOKUP($A205,'OI(Value)'!$A$7:$O$329,12,0)</f>
        <v>-41</v>
      </c>
    </row>
    <row r="206" spans="1:15" x14ac:dyDescent="0.25">
      <c r="A206" s="105" t="str">
        <f>'Data Vlaue (Cr)'!C201</f>
        <v>TIINDIA</v>
      </c>
      <c r="B206" s="143">
        <f>VLOOKUP($A206,'Data shares'!$C:$FA,118)</f>
        <v>0.48</v>
      </c>
      <c r="C206" s="143">
        <f>VLOOKUP($A206,'Data shares'!$C:$FA,119)</f>
        <v>0.44</v>
      </c>
      <c r="D206" s="143">
        <f>VLOOKUP($A206,'Data shares'!$C:$FA,121)*100</f>
        <v>9.09</v>
      </c>
      <c r="E206" s="143">
        <f>VLOOKUP($A206,'Data shares'!$C:$FA,124)</f>
        <v>0.2</v>
      </c>
      <c r="F206" s="143">
        <f>VLOOKUP($A206,'Data shares'!$C:$FA,125)</f>
        <v>0.14000000000000001</v>
      </c>
      <c r="G206" s="143">
        <f>VLOOKUP($A206,'Data shares'!$C:$FA,127)*100</f>
        <v>42.86</v>
      </c>
      <c r="H206" s="103">
        <f>VLOOKUP($A206,'OI(Volume)'!$A$7:$O$445,8)</f>
        <v>730800</v>
      </c>
      <c r="I206" s="103">
        <f>VLOOKUP($A206,'OI(Volume)'!$A$7:$O$445,9)</f>
        <v>178200</v>
      </c>
      <c r="J206" s="103">
        <f>VLOOKUP($A206,'OI(Volume)'!$A$7:$O$445,11)</f>
        <v>349600</v>
      </c>
      <c r="K206" s="103">
        <f>VLOOKUP($A206,'OI(Volume)'!$A$7:$O$445,12)</f>
        <v>109000</v>
      </c>
      <c r="L206" s="103">
        <f>VLOOKUP($A206,'OI(Value)'!$A$7:$O$329,8,0)</f>
        <v>210</v>
      </c>
      <c r="M206" s="103">
        <f>VLOOKUP($A206,'OI(Value)'!$A$7:$O$329,9,0)</f>
        <v>51</v>
      </c>
      <c r="N206" s="103">
        <f>VLOOKUP($A206,'OI(Value)'!$A$7:$O$329,11,0)</f>
        <v>100</v>
      </c>
      <c r="O206" s="103">
        <f>VLOOKUP($A206,'OI(Value)'!$A$7:$O$329,12,0)</f>
        <v>31</v>
      </c>
    </row>
    <row r="207" spans="1:15" x14ac:dyDescent="0.25">
      <c r="A207" s="105" t="str">
        <f>'Data Vlaue (Cr)'!C202</f>
        <v>TITAN</v>
      </c>
      <c r="B207" s="143">
        <f>VLOOKUP($A207,'Data shares'!$C:$FA,118)</f>
        <v>0.79</v>
      </c>
      <c r="C207" s="143">
        <f>VLOOKUP($A207,'Data shares'!$C:$FA,119)</f>
        <v>0.81</v>
      </c>
      <c r="D207" s="143">
        <f>VLOOKUP($A207,'Data shares'!$C:$FA,121)*100</f>
        <v>-2.4699999999999998</v>
      </c>
      <c r="E207" s="143">
        <f>VLOOKUP($A207,'Data shares'!$C:$FA,124)</f>
        <v>0.77</v>
      </c>
      <c r="F207" s="143">
        <f>VLOOKUP($A207,'Data shares'!$C:$FA,125)</f>
        <v>0.93</v>
      </c>
      <c r="G207" s="143">
        <f>VLOOKUP($A207,'Data shares'!$C:$FA,127)*100</f>
        <v>-17.2</v>
      </c>
      <c r="H207" s="103">
        <f>VLOOKUP($A207,'OI(Volume)'!$A$7:$O$445,8)</f>
        <v>3971275</v>
      </c>
      <c r="I207" s="103">
        <f>VLOOKUP($A207,'OI(Volume)'!$A$7:$O$445,9)</f>
        <v>35350</v>
      </c>
      <c r="J207" s="103">
        <f>VLOOKUP($A207,'OI(Volume)'!$A$7:$O$445,11)</f>
        <v>3152275</v>
      </c>
      <c r="K207" s="103">
        <f>VLOOKUP($A207,'OI(Volume)'!$A$7:$O$445,12)</f>
        <v>-50750</v>
      </c>
      <c r="L207" s="103">
        <f>VLOOKUP($A207,'OI(Value)'!$A$7:$O$329,8,0)</f>
        <v>1791</v>
      </c>
      <c r="M207" s="103">
        <f>VLOOKUP($A207,'OI(Value)'!$A$7:$O$329,9,0)</f>
        <v>16</v>
      </c>
      <c r="N207" s="103">
        <f>VLOOKUP($A207,'OI(Value)'!$A$7:$O$329,11,0)</f>
        <v>1422</v>
      </c>
      <c r="O207" s="103">
        <f>VLOOKUP($A207,'OI(Value)'!$A$7:$O$329,12,0)</f>
        <v>-23</v>
      </c>
    </row>
    <row r="208" spans="1:15" x14ac:dyDescent="0.25">
      <c r="A208" s="105" t="str">
        <f>'Data Vlaue (Cr)'!C203</f>
        <v>TMPV</v>
      </c>
      <c r="B208" s="143">
        <f>VLOOKUP($A208,'Data shares'!$C:$FA,118)</f>
        <v>0.79</v>
      </c>
      <c r="C208" s="143">
        <f>VLOOKUP($A208,'Data shares'!$C:$FA,119)</f>
        <v>0.8</v>
      </c>
      <c r="D208" s="143">
        <f>VLOOKUP($A208,'Data shares'!$C:$FA,121)*100</f>
        <v>-1.25</v>
      </c>
      <c r="E208" s="143">
        <f>VLOOKUP($A208,'Data shares'!$C:$FA,124)</f>
        <v>0.73</v>
      </c>
      <c r="F208" s="143">
        <f>VLOOKUP($A208,'Data shares'!$C:$FA,125)</f>
        <v>0.69</v>
      </c>
      <c r="G208" s="143">
        <f>VLOOKUP($A208,'Data shares'!$C:$FA,127)*100</f>
        <v>5.8000000000000007</v>
      </c>
      <c r="H208" s="103">
        <f>VLOOKUP($A208,'OI(Volume)'!$A$7:$O$445,8)</f>
        <v>36602400</v>
      </c>
      <c r="I208" s="103">
        <f>VLOOKUP($A208,'OI(Volume)'!$A$7:$O$445,9)</f>
        <v>698400</v>
      </c>
      <c r="J208" s="103">
        <f>VLOOKUP($A208,'OI(Volume)'!$A$7:$O$445,11)</f>
        <v>29020800</v>
      </c>
      <c r="K208" s="103">
        <f>VLOOKUP($A208,'OI(Volume)'!$A$7:$O$445,12)</f>
        <v>136000</v>
      </c>
      <c r="L208" s="103">
        <f>VLOOKUP($A208,'OI(Value)'!$A$7:$O$329,8,0)</f>
        <v>1298</v>
      </c>
      <c r="M208" s="103">
        <f>VLOOKUP($A208,'OI(Value)'!$A$7:$O$329,9,0)</f>
        <v>25</v>
      </c>
      <c r="N208" s="103">
        <f>VLOOKUP($A208,'OI(Value)'!$A$7:$O$329,11,0)</f>
        <v>1029</v>
      </c>
      <c r="O208" s="103">
        <f>VLOOKUP($A208,'OI(Value)'!$A$7:$O$329,12,0)</f>
        <v>5</v>
      </c>
    </row>
    <row r="209" spans="1:15" x14ac:dyDescent="0.25">
      <c r="A209" s="105" t="str">
        <f>'Data Vlaue (Cr)'!C204</f>
        <v>TORNTPHARM</v>
      </c>
      <c r="B209" s="143">
        <f>VLOOKUP($A209,'Data shares'!$C:$FA,118)</f>
        <v>0.71</v>
      </c>
      <c r="C209" s="143">
        <f>VLOOKUP($A209,'Data shares'!$C:$FA,119)</f>
        <v>0.7</v>
      </c>
      <c r="D209" s="143">
        <f>VLOOKUP($A209,'Data shares'!$C:$FA,121)*100</f>
        <v>1.43</v>
      </c>
      <c r="E209" s="143">
        <f>VLOOKUP($A209,'Data shares'!$C:$FA,124)</f>
        <v>0.7</v>
      </c>
      <c r="F209" s="143">
        <f>VLOOKUP($A209,'Data shares'!$C:$FA,125)</f>
        <v>0.47</v>
      </c>
      <c r="G209" s="143">
        <f>VLOOKUP($A209,'Data shares'!$C:$FA,127)*100</f>
        <v>48.94</v>
      </c>
      <c r="H209" s="103">
        <f>VLOOKUP($A209,'OI(Volume)'!$A$7:$O$445,8)</f>
        <v>648750</v>
      </c>
      <c r="I209" s="103">
        <f>VLOOKUP($A209,'OI(Volume)'!$A$7:$O$445,9)</f>
        <v>-20000</v>
      </c>
      <c r="J209" s="103">
        <f>VLOOKUP($A209,'OI(Volume)'!$A$7:$O$445,11)</f>
        <v>458750</v>
      </c>
      <c r="K209" s="103">
        <f>VLOOKUP($A209,'OI(Volume)'!$A$7:$O$445,12)</f>
        <v>-11000</v>
      </c>
      <c r="L209" s="103">
        <f>VLOOKUP($A209,'OI(Value)'!$A$7:$O$329,8,0)</f>
        <v>271</v>
      </c>
      <c r="M209" s="103">
        <f>VLOOKUP($A209,'OI(Value)'!$A$7:$O$329,9,0)</f>
        <v>-8</v>
      </c>
      <c r="N209" s="103">
        <f>VLOOKUP($A209,'OI(Value)'!$A$7:$O$329,11,0)</f>
        <v>192</v>
      </c>
      <c r="O209" s="103">
        <f>VLOOKUP($A209,'OI(Value)'!$A$7:$O$329,12,0)</f>
        <v>-5</v>
      </c>
    </row>
    <row r="210" spans="1:15" x14ac:dyDescent="0.25">
      <c r="A210" s="105" t="str">
        <f>'Data Vlaue (Cr)'!C205</f>
        <v>TORNTPOWER</v>
      </c>
      <c r="B210" s="143">
        <f>VLOOKUP($A210,'Data shares'!$C:$FA,118)</f>
        <v>0.77</v>
      </c>
      <c r="C210" s="143">
        <f>VLOOKUP($A210,'Data shares'!$C:$FA,119)</f>
        <v>0.73</v>
      </c>
      <c r="D210" s="143">
        <f>VLOOKUP($A210,'Data shares'!$C:$FA,121)*100</f>
        <v>5.48</v>
      </c>
      <c r="E210" s="143">
        <f>VLOOKUP($A210,'Data shares'!$C:$FA,124)</f>
        <v>0.36</v>
      </c>
      <c r="F210" s="143">
        <f>VLOOKUP($A210,'Data shares'!$C:$FA,125)</f>
        <v>0.28000000000000003</v>
      </c>
      <c r="G210" s="143">
        <f>VLOOKUP($A210,'Data shares'!$C:$FA,127)*100</f>
        <v>28.57</v>
      </c>
      <c r="H210" s="103">
        <f>VLOOKUP($A210,'OI(Volume)'!$A$7:$O$445,8)</f>
        <v>1770125</v>
      </c>
      <c r="I210" s="103">
        <f>VLOOKUP($A210,'OI(Volume)'!$A$7:$O$445,9)</f>
        <v>643450</v>
      </c>
      <c r="J210" s="103">
        <f>VLOOKUP($A210,'OI(Volume)'!$A$7:$O$445,11)</f>
        <v>1367650</v>
      </c>
      <c r="K210" s="103">
        <f>VLOOKUP($A210,'OI(Volume)'!$A$7:$O$445,12)</f>
        <v>548250</v>
      </c>
      <c r="L210" s="103">
        <f>VLOOKUP($A210,'OI(Value)'!$A$7:$O$329,8,0)</f>
        <v>285</v>
      </c>
      <c r="M210" s="103">
        <f>VLOOKUP($A210,'OI(Value)'!$A$7:$O$329,9,0)</f>
        <v>104</v>
      </c>
      <c r="N210" s="103">
        <f>VLOOKUP($A210,'OI(Value)'!$A$7:$O$329,11,0)</f>
        <v>220</v>
      </c>
      <c r="O210" s="103">
        <f>VLOOKUP($A210,'OI(Value)'!$A$7:$O$329,12,0)</f>
        <v>88</v>
      </c>
    </row>
    <row r="211" spans="1:15" x14ac:dyDescent="0.25">
      <c r="A211" s="105" t="str">
        <f>'Data Vlaue (Cr)'!C206</f>
        <v>TRENT</v>
      </c>
      <c r="B211" s="143">
        <f>VLOOKUP($A211,'Data shares'!$C:$FA,118)</f>
        <v>0.84</v>
      </c>
      <c r="C211" s="143">
        <f>VLOOKUP($A211,'Data shares'!$C:$FA,119)</f>
        <v>0.86</v>
      </c>
      <c r="D211" s="143">
        <f>VLOOKUP($A211,'Data shares'!$C:$FA,121)*100</f>
        <v>-2.33</v>
      </c>
      <c r="E211" s="143">
        <f>VLOOKUP($A211,'Data shares'!$C:$FA,124)</f>
        <v>0.38</v>
      </c>
      <c r="F211" s="143">
        <f>VLOOKUP($A211,'Data shares'!$C:$FA,125)</f>
        <v>0.48</v>
      </c>
      <c r="G211" s="143">
        <f>VLOOKUP($A211,'Data shares'!$C:$FA,127)*100</f>
        <v>-20.830000000000002</v>
      </c>
      <c r="H211" s="103">
        <f>VLOOKUP($A211,'OI(Volume)'!$A$7:$O$445,8)</f>
        <v>0</v>
      </c>
      <c r="I211" s="103">
        <f>VLOOKUP($A211,'OI(Volume)'!$A$7:$O$445,9)</f>
        <v>0</v>
      </c>
      <c r="J211" s="103">
        <f>VLOOKUP($A211,'OI(Volume)'!$A$7:$O$445,11)</f>
        <v>0</v>
      </c>
      <c r="K211" s="103">
        <f>VLOOKUP($A211,'OI(Volume)'!$A$7:$O$445,12)</f>
        <v>0</v>
      </c>
      <c r="L211" s="103">
        <f>VLOOKUP($A211,'OI(Value)'!$A$7:$O$329,8,0)</f>
        <v>1414</v>
      </c>
      <c r="M211" s="103">
        <f>VLOOKUP($A211,'OI(Value)'!$A$7:$O$329,9,0)</f>
        <v>175</v>
      </c>
      <c r="N211" s="103">
        <f>VLOOKUP($A211,'OI(Value)'!$A$7:$O$329,11,0)</f>
        <v>1194</v>
      </c>
      <c r="O211" s="103">
        <f>VLOOKUP($A211,'OI(Value)'!$A$7:$O$329,12,0)</f>
        <v>130</v>
      </c>
    </row>
    <row r="212" spans="1:15" x14ac:dyDescent="0.25">
      <c r="A212" s="105" t="str">
        <f>'Data Vlaue (Cr)'!C207</f>
        <v>TVSMOTOR</v>
      </c>
      <c r="B212" s="143">
        <f>VLOOKUP($A212,'Data shares'!$C:$FA,118)</f>
        <v>0.76</v>
      </c>
      <c r="C212" s="143">
        <f>VLOOKUP($A212,'Data shares'!$C:$FA,119)</f>
        <v>0.7</v>
      </c>
      <c r="D212" s="143">
        <f>VLOOKUP($A212,'Data shares'!$C:$FA,121)*100</f>
        <v>8.57</v>
      </c>
      <c r="E212" s="143">
        <f>VLOOKUP($A212,'Data shares'!$C:$FA,124)</f>
        <v>0.77</v>
      </c>
      <c r="F212" s="143">
        <f>VLOOKUP($A212,'Data shares'!$C:$FA,125)</f>
        <v>0.62</v>
      </c>
      <c r="G212" s="143">
        <f>VLOOKUP($A212,'Data shares'!$C:$FA,127)*100</f>
        <v>24.19</v>
      </c>
      <c r="H212" s="103">
        <f>VLOOKUP($A212,'OI(Volume)'!$A$7:$O$445,8)</f>
        <v>0</v>
      </c>
      <c r="I212" s="103">
        <f>VLOOKUP($A212,'OI(Volume)'!$A$7:$O$445,9)</f>
        <v>0</v>
      </c>
      <c r="J212" s="103">
        <f>VLOOKUP($A212,'OI(Volume)'!$A$7:$O$445,11)</f>
        <v>0</v>
      </c>
      <c r="K212" s="103">
        <f>VLOOKUP($A212,'OI(Volume)'!$A$7:$O$445,12)</f>
        <v>0</v>
      </c>
      <c r="L212" s="103">
        <f>VLOOKUP($A212,'OI(Value)'!$A$7:$O$329,8,0)</f>
        <v>588</v>
      </c>
      <c r="M212" s="103">
        <f>VLOOKUP($A212,'OI(Value)'!$A$7:$O$329,9,0)</f>
        <v>-29</v>
      </c>
      <c r="N212" s="103">
        <f>VLOOKUP($A212,'OI(Value)'!$A$7:$O$329,11,0)</f>
        <v>448</v>
      </c>
      <c r="O212" s="103">
        <f>VLOOKUP($A212,'OI(Value)'!$A$7:$O$329,12,0)</f>
        <v>16</v>
      </c>
    </row>
    <row r="213" spans="1:15" x14ac:dyDescent="0.25">
      <c r="A213" s="105" t="str">
        <f>'Data Vlaue (Cr)'!C208</f>
        <v>ULTRACEMCO</v>
      </c>
      <c r="B213" s="143">
        <f>VLOOKUP($A213,'Data shares'!$C:$FA,118)</f>
        <v>0.63</v>
      </c>
      <c r="C213" s="143">
        <f>VLOOKUP($A213,'Data shares'!$C:$FA,119)</f>
        <v>0.62</v>
      </c>
      <c r="D213" s="143">
        <f>VLOOKUP($A213,'Data shares'!$C:$FA,121)*100</f>
        <v>1.6099999999999999</v>
      </c>
      <c r="E213" s="143">
        <f>VLOOKUP($A213,'Data shares'!$C:$FA,124)</f>
        <v>0.32</v>
      </c>
      <c r="F213" s="143">
        <f>VLOOKUP($A213,'Data shares'!$C:$FA,125)</f>
        <v>0.47</v>
      </c>
      <c r="G213" s="143">
        <f>VLOOKUP($A213,'Data shares'!$C:$FA,127)*100</f>
        <v>-31.91</v>
      </c>
      <c r="H213" s="103">
        <f>VLOOKUP($A213,'OI(Volume)'!$A$7:$O$445,8)</f>
        <v>0</v>
      </c>
      <c r="I213" s="103">
        <f>VLOOKUP($A213,'OI(Volume)'!$A$7:$O$445,9)</f>
        <v>0</v>
      </c>
      <c r="J213" s="103">
        <f>VLOOKUP($A213,'OI(Volume)'!$A$7:$O$445,11)</f>
        <v>0</v>
      </c>
      <c r="K213" s="103">
        <f>VLOOKUP($A213,'OI(Volume)'!$A$7:$O$445,12)</f>
        <v>0</v>
      </c>
      <c r="L213" s="103">
        <f>VLOOKUP($A213,'OI(Value)'!$A$7:$O$329,8,0)</f>
        <v>852</v>
      </c>
      <c r="M213" s="103">
        <f>VLOOKUP($A213,'OI(Value)'!$A$7:$O$329,9,0)</f>
        <v>24</v>
      </c>
      <c r="N213" s="103">
        <f>VLOOKUP($A213,'OI(Value)'!$A$7:$O$329,11,0)</f>
        <v>533</v>
      </c>
      <c r="O213" s="103">
        <f>VLOOKUP($A213,'OI(Value)'!$A$7:$O$329,12,0)</f>
        <v>22</v>
      </c>
    </row>
    <row r="214" spans="1:15" x14ac:dyDescent="0.25">
      <c r="A214" s="105" t="str">
        <f>'Data Vlaue (Cr)'!C209</f>
        <v>UNIONBANK</v>
      </c>
      <c r="B214" s="143">
        <f>VLOOKUP($A214,'Data shares'!$C:$FA,118)</f>
        <v>0.76</v>
      </c>
      <c r="C214" s="143">
        <f>VLOOKUP($A214,'Data shares'!$C:$FA,119)</f>
        <v>0.79</v>
      </c>
      <c r="D214" s="143">
        <f>VLOOKUP($A214,'Data shares'!$C:$FA,121)*100</f>
        <v>-3.8</v>
      </c>
      <c r="E214" s="143">
        <f>VLOOKUP($A214,'Data shares'!$C:$FA,124)</f>
        <v>0.42</v>
      </c>
      <c r="F214" s="143">
        <f>VLOOKUP($A214,'Data shares'!$C:$FA,125)</f>
        <v>0.56000000000000005</v>
      </c>
      <c r="G214" s="143">
        <f>VLOOKUP($A214,'Data shares'!$C:$FA,127)*100</f>
        <v>-25</v>
      </c>
      <c r="H214" s="103">
        <f>VLOOKUP($A214,'OI(Volume)'!$A$7:$O$445,8)</f>
        <v>0</v>
      </c>
      <c r="I214" s="103">
        <f>VLOOKUP($A214,'OI(Volume)'!$A$7:$O$445,9)</f>
        <v>0</v>
      </c>
      <c r="J214" s="103">
        <f>VLOOKUP($A214,'OI(Volume)'!$A$7:$O$445,11)</f>
        <v>0</v>
      </c>
      <c r="K214" s="103">
        <f>VLOOKUP($A214,'OI(Volume)'!$A$7:$O$445,12)</f>
        <v>0</v>
      </c>
      <c r="L214" s="103">
        <f>VLOOKUP($A214,'OI(Value)'!$A$7:$O$329,8,0)</f>
        <v>689</v>
      </c>
      <c r="M214" s="103">
        <f>VLOOKUP($A214,'OI(Value)'!$A$7:$O$329,9,0)</f>
        <v>6</v>
      </c>
      <c r="N214" s="103">
        <f>VLOOKUP($A214,'OI(Value)'!$A$7:$O$329,11,0)</f>
        <v>522</v>
      </c>
      <c r="O214" s="103">
        <f>VLOOKUP($A214,'OI(Value)'!$A$7:$O$329,12,0)</f>
        <v>-16</v>
      </c>
    </row>
    <row r="215" spans="1:15" x14ac:dyDescent="0.25">
      <c r="A215" s="105" t="str">
        <f>'Data Vlaue (Cr)'!C210</f>
        <v>UNITDSPR</v>
      </c>
      <c r="B215" s="143">
        <f>VLOOKUP($A215,'Data shares'!$C:$FA,118)</f>
        <v>0.69</v>
      </c>
      <c r="C215" s="143">
        <f>VLOOKUP($A215,'Data shares'!$C:$FA,119)</f>
        <v>0.65</v>
      </c>
      <c r="D215" s="143">
        <f>VLOOKUP($A215,'Data shares'!$C:$FA,121)*100</f>
        <v>6.15</v>
      </c>
      <c r="E215" s="143">
        <f>VLOOKUP($A215,'Data shares'!$C:$FA,124)</f>
        <v>0.4</v>
      </c>
      <c r="F215" s="143">
        <f>VLOOKUP($A215,'Data shares'!$C:$FA,125)</f>
        <v>0.27</v>
      </c>
      <c r="G215" s="143">
        <f>VLOOKUP($A215,'Data shares'!$C:$FA,127)*100</f>
        <v>48.15</v>
      </c>
      <c r="H215" s="103">
        <f>VLOOKUP($A215,'OI(Volume)'!$A$7:$O$445,8)</f>
        <v>0</v>
      </c>
      <c r="I215" s="103">
        <f>VLOOKUP($A215,'OI(Volume)'!$A$7:$O$445,9)</f>
        <v>0</v>
      </c>
      <c r="J215" s="103">
        <f>VLOOKUP($A215,'OI(Volume)'!$A$7:$O$445,11)</f>
        <v>0</v>
      </c>
      <c r="K215" s="103">
        <f>VLOOKUP($A215,'OI(Volume)'!$A$7:$O$445,12)</f>
        <v>0</v>
      </c>
      <c r="L215" s="103">
        <f>VLOOKUP($A215,'OI(Value)'!$A$7:$O$329,8,0)</f>
        <v>612</v>
      </c>
      <c r="M215" s="103">
        <f>VLOOKUP($A215,'OI(Value)'!$A$7:$O$329,9,0)</f>
        <v>7</v>
      </c>
      <c r="N215" s="103">
        <f>VLOOKUP($A215,'OI(Value)'!$A$7:$O$329,11,0)</f>
        <v>423</v>
      </c>
      <c r="O215" s="103">
        <f>VLOOKUP($A215,'OI(Value)'!$A$7:$O$329,12,0)</f>
        <v>27</v>
      </c>
    </row>
    <row r="216" spans="1:15" x14ac:dyDescent="0.25">
      <c r="A216" s="105" t="str">
        <f>'Data Vlaue (Cr)'!C211</f>
        <v>UNOMINDA</v>
      </c>
      <c r="B216" s="143">
        <f>VLOOKUP($A216,'Data shares'!$C:$FA,118)</f>
        <v>0.41</v>
      </c>
      <c r="C216" s="143">
        <f>VLOOKUP($A216,'Data shares'!$C:$FA,119)</f>
        <v>0.41</v>
      </c>
      <c r="D216" s="143">
        <f>VLOOKUP($A216,'Data shares'!$C:$FA,121)*100</f>
        <v>0</v>
      </c>
      <c r="E216" s="143">
        <f>VLOOKUP($A216,'Data shares'!$C:$FA,124)</f>
        <v>0.15</v>
      </c>
      <c r="F216" s="143">
        <f>VLOOKUP($A216,'Data shares'!$C:$FA,125)</f>
        <v>0.22</v>
      </c>
      <c r="G216" s="143">
        <f>VLOOKUP($A216,'Data shares'!$C:$FA,127)*100</f>
        <v>-31.819999999999997</v>
      </c>
      <c r="H216" s="103">
        <f>VLOOKUP($A216,'OI(Volume)'!$A$7:$O$445,8)</f>
        <v>0</v>
      </c>
      <c r="I216" s="103">
        <f>VLOOKUP($A216,'OI(Volume)'!$A$7:$O$445,9)</f>
        <v>0</v>
      </c>
      <c r="J216" s="103">
        <f>VLOOKUP($A216,'OI(Volume)'!$A$7:$O$445,11)</f>
        <v>0</v>
      </c>
      <c r="K216" s="103">
        <f>VLOOKUP($A216,'OI(Volume)'!$A$7:$O$445,12)</f>
        <v>0</v>
      </c>
      <c r="L216" s="103">
        <f>VLOOKUP($A216,'OI(Value)'!$A$7:$O$329,8,0)</f>
        <v>208</v>
      </c>
      <c r="M216" s="103">
        <f>VLOOKUP($A216,'OI(Value)'!$A$7:$O$329,9,0)</f>
        <v>9</v>
      </c>
      <c r="N216" s="103">
        <f>VLOOKUP($A216,'OI(Value)'!$A$7:$O$329,11,0)</f>
        <v>86</v>
      </c>
      <c r="O216" s="103">
        <f>VLOOKUP($A216,'OI(Value)'!$A$7:$O$329,12,0)</f>
        <v>6</v>
      </c>
    </row>
    <row r="217" spans="1:15" x14ac:dyDescent="0.25">
      <c r="A217" s="105" t="str">
        <f>'Data Vlaue (Cr)'!C212</f>
        <v>UPL</v>
      </c>
      <c r="B217" s="143">
        <f>VLOOKUP($A217,'Data shares'!$C:$FA,118)</f>
        <v>0.75</v>
      </c>
      <c r="C217" s="143">
        <f>VLOOKUP($A217,'Data shares'!$C:$FA,119)</f>
        <v>0.75</v>
      </c>
      <c r="D217" s="143">
        <f>VLOOKUP($A217,'Data shares'!$C:$FA,121)*100</f>
        <v>0</v>
      </c>
      <c r="E217" s="143">
        <f>VLOOKUP($A217,'Data shares'!$C:$FA,124)</f>
        <v>0.65</v>
      </c>
      <c r="F217" s="143">
        <f>VLOOKUP($A217,'Data shares'!$C:$FA,125)</f>
        <v>0.72</v>
      </c>
      <c r="G217" s="143">
        <f>VLOOKUP($A217,'Data shares'!$C:$FA,127)*100</f>
        <v>-9.7199999999999989</v>
      </c>
      <c r="H217" s="103">
        <f>VLOOKUP($A217,'OI(Volume)'!$A$7:$O$445,8)</f>
        <v>0</v>
      </c>
      <c r="I217" s="103">
        <f>VLOOKUP($A217,'OI(Volume)'!$A$7:$O$445,9)</f>
        <v>0</v>
      </c>
      <c r="J217" s="103">
        <f>VLOOKUP($A217,'OI(Volume)'!$A$7:$O$445,11)</f>
        <v>0</v>
      </c>
      <c r="K217" s="103">
        <f>VLOOKUP($A217,'OI(Volume)'!$A$7:$O$445,12)</f>
        <v>0</v>
      </c>
      <c r="L217" s="103">
        <f>VLOOKUP($A217,'OI(Value)'!$A$7:$O$329,8,0)</f>
        <v>652</v>
      </c>
      <c r="M217" s="103">
        <f>VLOOKUP($A217,'OI(Value)'!$A$7:$O$329,9,0)</f>
        <v>3</v>
      </c>
      <c r="N217" s="103">
        <f>VLOOKUP($A217,'OI(Value)'!$A$7:$O$329,11,0)</f>
        <v>488</v>
      </c>
      <c r="O217" s="103">
        <f>VLOOKUP($A217,'OI(Value)'!$A$7:$O$329,12,0)</f>
        <v>3</v>
      </c>
    </row>
    <row r="218" spans="1:15" x14ac:dyDescent="0.25">
      <c r="A218" s="105" t="str">
        <f>'Data Vlaue (Cr)'!C213</f>
        <v>VBL</v>
      </c>
      <c r="B218" s="143">
        <f>VLOOKUP($A218,'Data shares'!$C:$FA,118)</f>
        <v>0.57999999999999996</v>
      </c>
      <c r="C218" s="143">
        <f>VLOOKUP($A218,'Data shares'!$C:$FA,119)</f>
        <v>0.62</v>
      </c>
      <c r="D218" s="143">
        <f>VLOOKUP($A218,'Data shares'!$C:$FA,121)*100</f>
        <v>-6.45</v>
      </c>
      <c r="E218" s="143">
        <f>VLOOKUP($A218,'Data shares'!$C:$FA,124)</f>
        <v>0.5</v>
      </c>
      <c r="F218" s="143">
        <f>VLOOKUP($A218,'Data shares'!$C:$FA,125)</f>
        <v>0.45</v>
      </c>
      <c r="G218" s="143">
        <f>VLOOKUP($A218,'Data shares'!$C:$FA,127)*100</f>
        <v>11.110000000000001</v>
      </c>
      <c r="H218" s="103">
        <f>VLOOKUP($A218,'OI(Volume)'!$A$7:$O$445,8)</f>
        <v>0</v>
      </c>
      <c r="I218" s="103">
        <f>VLOOKUP($A218,'OI(Volume)'!$A$7:$O$445,9)</f>
        <v>0</v>
      </c>
      <c r="J218" s="103">
        <f>VLOOKUP($A218,'OI(Volume)'!$A$7:$O$445,11)</f>
        <v>0</v>
      </c>
      <c r="K218" s="103">
        <f>VLOOKUP($A218,'OI(Volume)'!$A$7:$O$445,12)</f>
        <v>0</v>
      </c>
      <c r="L218" s="103">
        <f>VLOOKUP($A218,'OI(Value)'!$A$7:$O$329,8,0)</f>
        <v>851</v>
      </c>
      <c r="M218" s="103">
        <f>VLOOKUP($A218,'OI(Value)'!$A$7:$O$329,9,0)</f>
        <v>89</v>
      </c>
      <c r="N218" s="103">
        <f>VLOOKUP($A218,'OI(Value)'!$A$7:$O$329,11,0)</f>
        <v>496</v>
      </c>
      <c r="O218" s="103">
        <f>VLOOKUP($A218,'OI(Value)'!$A$7:$O$329,12,0)</f>
        <v>24</v>
      </c>
    </row>
    <row r="219" spans="1:15" x14ac:dyDescent="0.25">
      <c r="A219" s="105" t="str">
        <f>'Data Vlaue (Cr)'!C214</f>
        <v>VEDL</v>
      </c>
      <c r="B219" s="143">
        <f>VLOOKUP($A219,'Data shares'!$C:$FA,118)</f>
        <v>0.9</v>
      </c>
      <c r="C219" s="143">
        <f>VLOOKUP($A219,'Data shares'!$C:$FA,119)</f>
        <v>0.98</v>
      </c>
      <c r="D219" s="143">
        <f>VLOOKUP($A219,'Data shares'!$C:$FA,121)*100</f>
        <v>-8.16</v>
      </c>
      <c r="E219" s="143">
        <f>VLOOKUP($A219,'Data shares'!$C:$FA,124)</f>
        <v>0.72</v>
      </c>
      <c r="F219" s="143">
        <f>VLOOKUP($A219,'Data shares'!$C:$FA,125)</f>
        <v>0.7</v>
      </c>
      <c r="G219" s="143">
        <f>VLOOKUP($A219,'Data shares'!$C:$FA,127)*100</f>
        <v>2.86</v>
      </c>
      <c r="H219" s="103">
        <f>VLOOKUP($A219,'OI(Volume)'!$A$7:$O$445,8)</f>
        <v>0</v>
      </c>
      <c r="I219" s="103">
        <f>VLOOKUP($A219,'OI(Volume)'!$A$7:$O$445,9)</f>
        <v>0</v>
      </c>
      <c r="J219" s="103">
        <f>VLOOKUP($A219,'OI(Volume)'!$A$7:$O$445,11)</f>
        <v>0</v>
      </c>
      <c r="K219" s="103">
        <f>VLOOKUP($A219,'OI(Volume)'!$A$7:$O$445,12)</f>
        <v>0</v>
      </c>
      <c r="L219" s="103">
        <f>VLOOKUP($A219,'OI(Value)'!$A$7:$O$329,8,0)</f>
        <v>2609</v>
      </c>
      <c r="M219" s="103">
        <f>VLOOKUP($A219,'OI(Value)'!$A$7:$O$329,9,0)</f>
        <v>204</v>
      </c>
      <c r="N219" s="103">
        <f>VLOOKUP($A219,'OI(Value)'!$A$7:$O$329,11,0)</f>
        <v>2336</v>
      </c>
      <c r="O219" s="103">
        <f>VLOOKUP($A219,'OI(Value)'!$A$7:$O$329,12,0)</f>
        <v>-30</v>
      </c>
    </row>
    <row r="220" spans="1:15" x14ac:dyDescent="0.25">
      <c r="A220" s="105" t="str">
        <f>'Data Vlaue (Cr)'!C215</f>
        <v>VMM</v>
      </c>
      <c r="B220" s="143">
        <f>VLOOKUP($A220,'Data shares'!$C:$FA,118)</f>
        <v>0.53</v>
      </c>
      <c r="C220" s="143">
        <f>VLOOKUP($A220,'Data shares'!$C:$FA,119)</f>
        <v>0.61</v>
      </c>
      <c r="D220" s="143">
        <f>VLOOKUP($A220,'Data shares'!$C:$FA,121)*100</f>
        <v>-13.11</v>
      </c>
      <c r="E220" s="143">
        <f>VLOOKUP($A220,'Data shares'!$C:$FA,124)</f>
        <v>0.24</v>
      </c>
      <c r="F220" s="143">
        <f>VLOOKUP($A220,'Data shares'!$C:$FA,125)</f>
        <v>0.17</v>
      </c>
      <c r="G220" s="143">
        <f>VLOOKUP($A220,'Data shares'!$C:$FA,127)*100</f>
        <v>41.18</v>
      </c>
      <c r="H220" s="103">
        <f>VLOOKUP($A220,'OI(Volume)'!$A$7:$O$445,8)</f>
        <v>0</v>
      </c>
      <c r="I220" s="103">
        <f>VLOOKUP($A220,'OI(Volume)'!$A$7:$O$445,9)</f>
        <v>0</v>
      </c>
      <c r="J220" s="103">
        <f>VLOOKUP($A220,'OI(Volume)'!$A$7:$O$445,11)</f>
        <v>0</v>
      </c>
      <c r="K220" s="103">
        <f>VLOOKUP($A220,'OI(Volume)'!$A$7:$O$445,12)</f>
        <v>0</v>
      </c>
      <c r="L220" s="103">
        <f>VLOOKUP($A220,'OI(Value)'!$A$7:$O$329,8,0)</f>
        <v>90</v>
      </c>
      <c r="M220" s="103">
        <f>VLOOKUP($A220,'OI(Value)'!$A$7:$O$329,9,0)</f>
        <v>13</v>
      </c>
      <c r="N220" s="103">
        <f>VLOOKUP($A220,'OI(Value)'!$A$7:$O$329,11,0)</f>
        <v>48</v>
      </c>
      <c r="O220" s="103">
        <f>VLOOKUP($A220,'OI(Value)'!$A$7:$O$329,12,0)</f>
        <v>1</v>
      </c>
    </row>
    <row r="221" spans="1:15" x14ac:dyDescent="0.25">
      <c r="A221" s="105" t="str">
        <f>'Data Vlaue (Cr)'!C216</f>
        <v>VOLTAS</v>
      </c>
      <c r="B221" s="143">
        <f>VLOOKUP($A221,'Data shares'!$C:$FA,118)</f>
        <v>0.86</v>
      </c>
      <c r="C221" s="143">
        <f>VLOOKUP($A221,'Data shares'!$C:$FA,119)</f>
        <v>0.95</v>
      </c>
      <c r="D221" s="143">
        <f>VLOOKUP($A221,'Data shares'!$C:$FA,121)*100</f>
        <v>-9.4700000000000006</v>
      </c>
      <c r="E221" s="143">
        <f>VLOOKUP($A221,'Data shares'!$C:$FA,124)</f>
        <v>0.46</v>
      </c>
      <c r="F221" s="143">
        <f>VLOOKUP($A221,'Data shares'!$C:$FA,125)</f>
        <v>0.52</v>
      </c>
      <c r="G221" s="143">
        <f>VLOOKUP($A221,'Data shares'!$C:$FA,127)*100</f>
        <v>-11.540000000000001</v>
      </c>
      <c r="H221" s="103">
        <f>VLOOKUP($A221,'OI(Volume)'!$A$7:$O$445,8)</f>
        <v>0</v>
      </c>
      <c r="I221" s="103">
        <f>VLOOKUP($A221,'OI(Volume)'!$A$7:$O$445,9)</f>
        <v>0</v>
      </c>
      <c r="J221" s="103">
        <f>VLOOKUP($A221,'OI(Volume)'!$A$7:$O$445,11)</f>
        <v>0</v>
      </c>
      <c r="K221" s="103">
        <f>VLOOKUP($A221,'OI(Volume)'!$A$7:$O$445,12)</f>
        <v>0</v>
      </c>
      <c r="L221" s="103">
        <f>VLOOKUP($A221,'OI(Value)'!$A$7:$O$329,8,0)</f>
        <v>689</v>
      </c>
      <c r="M221" s="103">
        <f>VLOOKUP($A221,'OI(Value)'!$A$7:$O$329,9,0)</f>
        <v>73</v>
      </c>
      <c r="N221" s="103">
        <f>VLOOKUP($A221,'OI(Value)'!$A$7:$O$329,11,0)</f>
        <v>593</v>
      </c>
      <c r="O221" s="103">
        <f>VLOOKUP($A221,'OI(Value)'!$A$7:$O$329,12,0)</f>
        <v>10</v>
      </c>
    </row>
    <row r="222" spans="1:15" x14ac:dyDescent="0.25">
      <c r="A222" s="105" t="str">
        <f>'Data Vlaue (Cr)'!C217</f>
        <v>WAAREEENER</v>
      </c>
      <c r="B222" s="143">
        <f>VLOOKUP($A222,'Data shares'!$C:$FA,118)</f>
        <v>0.76</v>
      </c>
      <c r="C222" s="143">
        <f>VLOOKUP($A222,'Data shares'!$C:$FA,119)</f>
        <v>0.74</v>
      </c>
      <c r="D222" s="143">
        <f>VLOOKUP($A222,'Data shares'!$C:$FA,121)*100</f>
        <v>2.7</v>
      </c>
      <c r="E222" s="143">
        <f>VLOOKUP($A222,'Data shares'!$C:$FA,124)</f>
        <v>0.45</v>
      </c>
      <c r="F222" s="143">
        <f>VLOOKUP($A222,'Data shares'!$C:$FA,125)</f>
        <v>0.49</v>
      </c>
      <c r="G222" s="143">
        <f>VLOOKUP($A222,'Data shares'!$C:$FA,127)*100</f>
        <v>-8.16</v>
      </c>
      <c r="H222" s="103">
        <f>VLOOKUP($A222,'OI(Volume)'!$A$7:$O$445,8)</f>
        <v>0</v>
      </c>
      <c r="I222" s="103">
        <f>VLOOKUP($A222,'OI(Volume)'!$A$7:$O$445,9)</f>
        <v>0</v>
      </c>
      <c r="J222" s="103">
        <f>VLOOKUP($A222,'OI(Volume)'!$A$7:$O$445,11)</f>
        <v>0</v>
      </c>
      <c r="K222" s="103">
        <f>VLOOKUP($A222,'OI(Volume)'!$A$7:$O$445,12)</f>
        <v>0</v>
      </c>
      <c r="L222" s="103">
        <f>VLOOKUP($A222,'OI(Value)'!$A$7:$O$329,8,0)</f>
        <v>717</v>
      </c>
      <c r="M222" s="103">
        <f>VLOOKUP($A222,'OI(Value)'!$A$7:$O$329,9,0)</f>
        <v>-33</v>
      </c>
      <c r="N222" s="103">
        <f>VLOOKUP($A222,'OI(Value)'!$A$7:$O$329,11,0)</f>
        <v>547</v>
      </c>
      <c r="O222" s="103">
        <f>VLOOKUP($A222,'OI(Value)'!$A$7:$O$329,12,0)</f>
        <v>-5</v>
      </c>
    </row>
    <row r="223" spans="1:15" x14ac:dyDescent="0.25">
      <c r="A223" s="105" t="str">
        <f>'Data Vlaue (Cr)'!C218</f>
        <v>WIPRO</v>
      </c>
      <c r="B223" s="143">
        <f>VLOOKUP($A223,'Data shares'!$C:$FA,118)</f>
        <v>0.48</v>
      </c>
      <c r="C223" s="143">
        <f>VLOOKUP($A223,'Data shares'!$C:$FA,119)</f>
        <v>0.49</v>
      </c>
      <c r="D223" s="143">
        <f>VLOOKUP($A223,'Data shares'!$C:$FA,121)*100</f>
        <v>-2.04</v>
      </c>
      <c r="E223" s="143">
        <f>VLOOKUP($A223,'Data shares'!$C:$FA,124)</f>
        <v>0.44</v>
      </c>
      <c r="F223" s="143">
        <f>VLOOKUP($A223,'Data shares'!$C:$FA,125)</f>
        <v>0.52</v>
      </c>
      <c r="G223" s="143">
        <f>VLOOKUP($A223,'Data shares'!$C:$FA,127)*100</f>
        <v>-15.379999999999999</v>
      </c>
      <c r="H223" s="103">
        <f>VLOOKUP($A223,'OI(Volume)'!$A$7:$O$445,8)</f>
        <v>0</v>
      </c>
      <c r="I223" s="103">
        <f>VLOOKUP($A223,'OI(Volume)'!$A$7:$O$445,9)</f>
        <v>0</v>
      </c>
      <c r="J223" s="103">
        <f>VLOOKUP($A223,'OI(Volume)'!$A$7:$O$445,11)</f>
        <v>0</v>
      </c>
      <c r="K223" s="103">
        <f>VLOOKUP($A223,'OI(Volume)'!$A$7:$O$445,12)</f>
        <v>0</v>
      </c>
      <c r="L223" s="103">
        <f>VLOOKUP($A223,'OI(Value)'!$A$7:$O$329,8,0)</f>
        <v>3429</v>
      </c>
      <c r="M223" s="103">
        <f>VLOOKUP($A223,'OI(Value)'!$A$7:$O$329,9,0)</f>
        <v>-6</v>
      </c>
      <c r="N223" s="103">
        <f>VLOOKUP($A223,'OI(Value)'!$A$7:$O$329,11,0)</f>
        <v>1661</v>
      </c>
      <c r="O223" s="103">
        <f>VLOOKUP($A223,'OI(Value)'!$A$7:$O$329,12,0)</f>
        <v>-25</v>
      </c>
    </row>
    <row r="224" spans="1:15" x14ac:dyDescent="0.25">
      <c r="A224" s="105" t="str">
        <f>'Data Vlaue (Cr)'!C219</f>
        <v>YESBANK</v>
      </c>
      <c r="B224" s="143">
        <f>VLOOKUP($A224,'Data shares'!$C:$FA,118)</f>
        <v>0.53</v>
      </c>
      <c r="C224" s="143">
        <f>VLOOKUP($A224,'Data shares'!$C:$FA,119)</f>
        <v>0.63</v>
      </c>
      <c r="D224" s="143">
        <f>VLOOKUP($A224,'Data shares'!$C:$FA,121)*100</f>
        <v>-15.870000000000001</v>
      </c>
      <c r="E224" s="143">
        <f>VLOOKUP($A224,'Data shares'!$C:$FA,124)</f>
        <v>0.21</v>
      </c>
      <c r="F224" s="143">
        <f>VLOOKUP($A224,'Data shares'!$C:$FA,125)</f>
        <v>0.21</v>
      </c>
      <c r="G224" s="143">
        <f>VLOOKUP($A224,'Data shares'!$C:$FA,127)*100</f>
        <v>0</v>
      </c>
      <c r="H224" s="103">
        <f>VLOOKUP($A224,'OI(Volume)'!$A$7:$O$445,8)</f>
        <v>0</v>
      </c>
      <c r="I224" s="103">
        <f>VLOOKUP($A224,'OI(Volume)'!$A$7:$O$445,9)</f>
        <v>0</v>
      </c>
      <c r="J224" s="103">
        <f>VLOOKUP($A224,'OI(Volume)'!$A$7:$O$445,11)</f>
        <v>0</v>
      </c>
      <c r="K224" s="103">
        <f>VLOOKUP($A224,'OI(Volume)'!$A$7:$O$445,12)</f>
        <v>0</v>
      </c>
      <c r="L224" s="103">
        <f>VLOOKUP($A224,'OI(Value)'!$A$7:$O$329,8,0)</f>
        <v>1310</v>
      </c>
      <c r="M224" s="103">
        <f>VLOOKUP($A224,'OI(Value)'!$A$7:$O$329,9,0)</f>
        <v>342</v>
      </c>
      <c r="N224" s="103">
        <f>VLOOKUP($A224,'OI(Value)'!$A$7:$O$329,11,0)</f>
        <v>692</v>
      </c>
      <c r="O224" s="103">
        <f>VLOOKUP($A224,'OI(Value)'!$A$7:$O$329,12,0)</f>
        <v>81</v>
      </c>
    </row>
    <row r="225" spans="1:15" x14ac:dyDescent="0.25">
      <c r="A225" s="105" t="str">
        <f>'Data Vlaue (Cr)'!C220</f>
        <v>ZYDUSLIFE</v>
      </c>
      <c r="B225" s="143">
        <f>VLOOKUP($A225,'Data shares'!$C:$FA,118)</f>
        <v>0.7</v>
      </c>
      <c r="C225" s="143">
        <f>VLOOKUP($A225,'Data shares'!$C:$FA,119)</f>
        <v>0.77</v>
      </c>
      <c r="D225" s="143">
        <f>VLOOKUP($A225,'Data shares'!$C:$FA,121)*100</f>
        <v>-9.09</v>
      </c>
      <c r="E225" s="143">
        <f>VLOOKUP($A225,'Data shares'!$C:$FA,124)</f>
        <v>0.37</v>
      </c>
      <c r="F225" s="143">
        <f>VLOOKUP($A225,'Data shares'!$C:$FA,125)</f>
        <v>0.36</v>
      </c>
      <c r="G225" s="143">
        <f>VLOOKUP($A225,'Data shares'!$C:$FA,127)*100</f>
        <v>2.78</v>
      </c>
      <c r="H225" s="103">
        <f>VLOOKUP($A225,'OI(Volume)'!$A$7:$O$445,8)</f>
        <v>0</v>
      </c>
      <c r="I225" s="103">
        <f>VLOOKUP($A225,'OI(Volume)'!$A$7:$O$445,9)</f>
        <v>0</v>
      </c>
      <c r="J225" s="103">
        <f>VLOOKUP($A225,'OI(Volume)'!$A$7:$O$445,11)</f>
        <v>0</v>
      </c>
      <c r="K225" s="103">
        <f>VLOOKUP($A225,'OI(Volume)'!$A$7:$O$445,12)</f>
        <v>0</v>
      </c>
      <c r="L225" s="103">
        <f>VLOOKUP($A225,'OI(Value)'!$A$7:$O$329,8,0)</f>
        <v>303</v>
      </c>
      <c r="M225" s="103">
        <f>VLOOKUP($A225,'OI(Value)'!$A$7:$O$329,9,0)</f>
        <v>27</v>
      </c>
      <c r="N225" s="103">
        <f>VLOOKUP($A225,'OI(Value)'!$A$7:$O$329,11,0)</f>
        <v>213</v>
      </c>
      <c r="O225" s="103">
        <f>VLOOKUP($A225,'OI(Value)'!$A$7:$O$329,12,0)</f>
        <v>2</v>
      </c>
    </row>
    <row r="226" spans="1:15" x14ac:dyDescent="0.25">
      <c r="A226" s="105"/>
      <c r="B226" s="143"/>
      <c r="C226" s="143"/>
      <c r="D226" s="143"/>
      <c r="E226" s="143"/>
      <c r="F226" s="143"/>
      <c r="G226" s="143"/>
      <c r="H226" s="103"/>
      <c r="I226" s="103"/>
      <c r="J226" s="103"/>
      <c r="K226" s="103"/>
      <c r="L226" s="103"/>
      <c r="M226" s="103"/>
      <c r="N226" s="103"/>
      <c r="O226" s="103"/>
    </row>
    <row r="227" spans="1:15" x14ac:dyDescent="0.25">
      <c r="A227" s="105"/>
      <c r="B227" s="143"/>
      <c r="C227" s="143"/>
      <c r="D227" s="143"/>
      <c r="E227" s="143"/>
      <c r="F227" s="143"/>
      <c r="G227" s="143"/>
      <c r="H227" s="103"/>
      <c r="I227" s="103"/>
      <c r="J227" s="103"/>
      <c r="K227" s="103"/>
      <c r="L227" s="103"/>
      <c r="M227" s="103"/>
      <c r="N227" s="103"/>
      <c r="O227" s="103"/>
    </row>
    <row r="228" spans="1:15" x14ac:dyDescent="0.25">
      <c r="A228" s="105"/>
      <c r="B228" s="143"/>
      <c r="C228" s="143"/>
      <c r="D228" s="143"/>
      <c r="E228" s="143"/>
      <c r="F228" s="143"/>
      <c r="G228" s="143"/>
      <c r="H228" s="103"/>
      <c r="I228" s="103"/>
      <c r="J228" s="103"/>
      <c r="K228" s="103"/>
      <c r="L228" s="103"/>
      <c r="M228" s="103"/>
      <c r="N228" s="103"/>
      <c r="O228" s="103"/>
    </row>
    <row r="229" spans="1:15" x14ac:dyDescent="0.25">
      <c r="A229" s="105"/>
      <c r="B229" s="143"/>
      <c r="C229" s="143"/>
      <c r="D229" s="143"/>
      <c r="E229" s="143"/>
      <c r="F229" s="143"/>
      <c r="G229" s="143"/>
      <c r="H229" s="103"/>
      <c r="I229" s="103"/>
      <c r="J229" s="103"/>
      <c r="K229" s="103"/>
      <c r="L229" s="103"/>
      <c r="M229" s="103"/>
      <c r="N229" s="103"/>
      <c r="O229" s="103"/>
    </row>
    <row r="230" spans="1:15" x14ac:dyDescent="0.25">
      <c r="A230" s="105"/>
      <c r="B230" s="143"/>
      <c r="C230" s="143"/>
      <c r="D230" s="143"/>
      <c r="E230" s="143"/>
      <c r="F230" s="143"/>
      <c r="G230" s="143"/>
      <c r="H230" s="103"/>
      <c r="I230" s="103"/>
      <c r="J230" s="103"/>
      <c r="K230" s="103"/>
      <c r="L230" s="103"/>
      <c r="M230" s="103"/>
      <c r="N230" s="103"/>
      <c r="O230" s="103"/>
    </row>
    <row r="231" spans="1:15" x14ac:dyDescent="0.25">
      <c r="A231" s="105"/>
      <c r="B231" s="143"/>
      <c r="C231" s="143"/>
      <c r="D231" s="143"/>
      <c r="E231" s="143"/>
      <c r="F231" s="143"/>
      <c r="G231" s="143"/>
      <c r="H231" s="103"/>
      <c r="I231" s="103"/>
      <c r="J231" s="103"/>
      <c r="K231" s="103"/>
      <c r="L231" s="103"/>
      <c r="M231" s="103"/>
      <c r="N231" s="103"/>
      <c r="O231" s="103"/>
    </row>
    <row r="232" spans="1:15" x14ac:dyDescent="0.25">
      <c r="A232" s="105"/>
      <c r="B232" s="143"/>
      <c r="C232" s="143"/>
      <c r="D232" s="143"/>
      <c r="E232" s="143"/>
      <c r="F232" s="143"/>
      <c r="G232" s="143"/>
      <c r="H232" s="103"/>
      <c r="I232" s="103"/>
      <c r="J232" s="103"/>
      <c r="K232" s="103"/>
      <c r="L232" s="103"/>
      <c r="M232" s="103"/>
      <c r="N232" s="103"/>
      <c r="O232" s="103"/>
    </row>
    <row r="233" spans="1:15" x14ac:dyDescent="0.25">
      <c r="A233" s="105"/>
      <c r="B233" s="143"/>
      <c r="C233" s="143"/>
      <c r="D233" s="143"/>
      <c r="E233" s="143"/>
      <c r="F233" s="143"/>
      <c r="G233" s="143"/>
      <c r="H233" s="103"/>
      <c r="I233" s="103"/>
      <c r="J233" s="103"/>
      <c r="K233" s="103"/>
      <c r="L233" s="103"/>
      <c r="M233" s="103"/>
      <c r="N233" s="103"/>
      <c r="O233" s="103"/>
    </row>
    <row r="234" spans="1:15" x14ac:dyDescent="0.25">
      <c r="A234" s="105"/>
      <c r="B234" s="143"/>
      <c r="C234" s="143"/>
      <c r="D234" s="143"/>
      <c r="E234" s="143"/>
      <c r="F234" s="143"/>
      <c r="G234" s="143"/>
      <c r="H234" s="103"/>
      <c r="I234" s="103"/>
      <c r="J234" s="103"/>
      <c r="K234" s="103"/>
      <c r="L234" s="103"/>
      <c r="M234" s="103"/>
      <c r="N234" s="103"/>
      <c r="O234" s="103"/>
    </row>
    <row r="235" spans="1:15" x14ac:dyDescent="0.25">
      <c r="A235" s="105"/>
      <c r="B235" s="143"/>
      <c r="C235" s="143"/>
      <c r="D235" s="143"/>
      <c r="E235" s="143"/>
      <c r="F235" s="143"/>
      <c r="G235" s="143"/>
      <c r="H235" s="103"/>
      <c r="I235" s="103"/>
      <c r="J235" s="103"/>
      <c r="K235" s="103"/>
      <c r="L235" s="103"/>
      <c r="M235" s="103"/>
      <c r="N235" s="103"/>
      <c r="O235" s="103"/>
    </row>
    <row r="236" spans="1:15" x14ac:dyDescent="0.25">
      <c r="A236" s="105"/>
      <c r="B236" s="143"/>
      <c r="C236" s="143"/>
      <c r="D236" s="143"/>
      <c r="E236" s="143"/>
      <c r="F236" s="143"/>
      <c r="G236" s="143"/>
      <c r="H236" s="103"/>
      <c r="I236" s="103"/>
      <c r="J236" s="103"/>
      <c r="K236" s="103"/>
      <c r="L236" s="103"/>
      <c r="M236" s="103"/>
      <c r="N236" s="103"/>
      <c r="O236" s="103"/>
    </row>
    <row r="237" spans="1:15" x14ac:dyDescent="0.25">
      <c r="A237" s="105"/>
      <c r="B237" s="143"/>
      <c r="C237" s="143"/>
      <c r="D237" s="143"/>
      <c r="E237" s="143"/>
      <c r="F237" s="143"/>
      <c r="G237" s="143"/>
      <c r="H237" s="103"/>
      <c r="I237" s="103"/>
      <c r="J237" s="103"/>
      <c r="K237" s="103"/>
      <c r="L237" s="103"/>
      <c r="M237" s="103"/>
      <c r="N237" s="103"/>
      <c r="O237" s="103"/>
    </row>
    <row r="238" spans="1:15" x14ac:dyDescent="0.25">
      <c r="A238" s="105"/>
      <c r="B238" s="143"/>
      <c r="C238" s="143"/>
      <c r="D238" s="143"/>
      <c r="E238" s="143"/>
      <c r="F238" s="143"/>
      <c r="G238" s="143"/>
      <c r="H238" s="103"/>
      <c r="I238" s="103"/>
      <c r="J238" s="103"/>
      <c r="K238" s="103"/>
      <c r="L238" s="103"/>
      <c r="M238" s="103"/>
      <c r="N238" s="103"/>
      <c r="O238" s="103"/>
    </row>
    <row r="239" spans="1:15" x14ac:dyDescent="0.25">
      <c r="A239" s="105"/>
      <c r="B239" s="143"/>
      <c r="C239" s="143"/>
      <c r="D239" s="143"/>
      <c r="E239" s="143"/>
      <c r="F239" s="143"/>
      <c r="G239" s="143"/>
      <c r="H239" s="103"/>
      <c r="I239" s="103"/>
      <c r="J239" s="103"/>
      <c r="K239" s="103"/>
      <c r="L239" s="103"/>
      <c r="M239" s="103"/>
      <c r="N239" s="103"/>
      <c r="O239" s="103"/>
    </row>
    <row r="240" spans="1:15" x14ac:dyDescent="0.25">
      <c r="A240" s="105"/>
      <c r="B240" s="143"/>
      <c r="C240" s="143"/>
      <c r="D240" s="143"/>
      <c r="E240" s="143"/>
      <c r="F240" s="143"/>
      <c r="G240" s="143"/>
      <c r="H240" s="103"/>
      <c r="I240" s="103"/>
      <c r="J240" s="103"/>
      <c r="K240" s="103"/>
      <c r="L240" s="103"/>
      <c r="M240" s="103"/>
      <c r="N240" s="103"/>
      <c r="O240" s="103"/>
    </row>
    <row r="241" spans="1:15" x14ac:dyDescent="0.25">
      <c r="A241" s="126" t="s">
        <v>391</v>
      </c>
      <c r="B241" s="136"/>
      <c r="C241" s="136"/>
      <c r="D241" s="136"/>
      <c r="E241" s="136"/>
      <c r="F241" s="136"/>
      <c r="G241" s="136"/>
      <c r="H241" s="135">
        <f t="shared" ref="H241:N241" si="0">SUM(H7:H227)</f>
        <v>5167512387</v>
      </c>
      <c r="I241" s="135">
        <f t="shared" si="0"/>
        <v>196187307</v>
      </c>
      <c r="J241" s="135">
        <f t="shared" si="0"/>
        <v>3617275494</v>
      </c>
      <c r="K241" s="135">
        <f t="shared" si="0"/>
        <v>62035679</v>
      </c>
      <c r="L241" s="135">
        <f t="shared" si="0"/>
        <v>898795</v>
      </c>
      <c r="M241" s="135">
        <f t="shared" si="0"/>
        <v>-3294</v>
      </c>
      <c r="N241" s="135">
        <f t="shared" si="0"/>
        <v>921758</v>
      </c>
      <c r="O241" s="135">
        <f>SUM(O7:O240)</f>
        <v>21565</v>
      </c>
    </row>
    <row r="242" spans="1:15" x14ac:dyDescent="0.25">
      <c r="A242" s="126" t="s">
        <v>415</v>
      </c>
      <c r="B242" s="136"/>
      <c r="C242" s="136"/>
      <c r="D242" s="136"/>
      <c r="E242" s="136"/>
      <c r="F242" s="136"/>
      <c r="G242" s="136"/>
      <c r="H242" s="137">
        <f>H241/10000000</f>
        <v>516.75123870000004</v>
      </c>
      <c r="I242" s="137">
        <f>I241/10000000</f>
        <v>19.6187307</v>
      </c>
      <c r="J242" s="137">
        <f>J241/10000000</f>
        <v>361.72754939999999</v>
      </c>
      <c r="K242" s="137">
        <f>K241/10000000</f>
        <v>6.2035679000000004</v>
      </c>
      <c r="L242" s="138">
        <f>L241</f>
        <v>898795</v>
      </c>
      <c r="M242" s="138">
        <f>M241</f>
        <v>-3294</v>
      </c>
      <c r="N242" s="138">
        <f>N241</f>
        <v>921758</v>
      </c>
      <c r="O242" s="138">
        <f>O241</f>
        <v>21565</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NIFTY GRP</vt:lpstr>
      <vt:lpstr>Data Vlaue (Cr)</vt:lpstr>
      <vt:lpstr>Data shares</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2026-02-05T03:35:01Z</cp:lastPrinted>
  <dcterms:created xsi:type="dcterms:W3CDTF">2020-04-05T11:10:02Z</dcterms:created>
  <dcterms:modified xsi:type="dcterms:W3CDTF">2026-04-21T03:05:11Z</dcterms:modified>
</cp:coreProperties>
</file>